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creightonuniv-my.sharepoint.com/personal/ejk60737_creighton_edu/Documents/Collections/Print Book Deselection/"/>
    </mc:Choice>
  </mc:AlternateContent>
  <xr:revisionPtr revIDLastSave="0" documentId="8_{A93F6341-CB6A-4317-8CC3-1064702AABA0}" xr6:coauthVersionLast="47" xr6:coauthVersionMax="47" xr10:uidLastSave="{00000000-0000-0000-0000-000000000000}"/>
  <bookViews>
    <workbookView xWindow="-28920" yWindow="-120" windowWidth="29040" windowHeight="15840" xr2:uid="{DD607923-9579-464E-A4B2-A16B9D52D02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T2756" i="1" l="1"/>
  <c r="AS2756" i="1"/>
  <c r="AT2755" i="1"/>
  <c r="AS2755" i="1"/>
  <c r="AR2755" i="1"/>
  <c r="AT2754" i="1"/>
  <c r="AS2754" i="1"/>
  <c r="AR2754" i="1"/>
  <c r="AT2753" i="1"/>
  <c r="AS2753" i="1"/>
  <c r="AR2753" i="1"/>
  <c r="AT2752" i="1"/>
  <c r="AS2752" i="1"/>
  <c r="AT2751" i="1"/>
  <c r="AS2751" i="1"/>
  <c r="AR2751" i="1"/>
  <c r="AT2750" i="1"/>
  <c r="AS2750" i="1"/>
  <c r="AT2749" i="1"/>
  <c r="AS2749" i="1"/>
  <c r="AR2749" i="1"/>
  <c r="AT2748" i="1"/>
  <c r="AS2748" i="1"/>
  <c r="AR2748" i="1"/>
  <c r="AT2747" i="1"/>
  <c r="AS2747" i="1"/>
  <c r="AT2746" i="1"/>
  <c r="AS2746" i="1"/>
  <c r="AT2745" i="1"/>
  <c r="AS2745" i="1"/>
  <c r="AR2745" i="1"/>
  <c r="AT2744" i="1"/>
  <c r="AS2744" i="1"/>
  <c r="AT2743" i="1"/>
  <c r="AS2743" i="1"/>
  <c r="AR2743" i="1"/>
  <c r="AT2742" i="1"/>
  <c r="AS2742" i="1"/>
  <c r="AR2742" i="1"/>
  <c r="AT2741" i="1"/>
  <c r="AS2741" i="1"/>
  <c r="AR2741" i="1"/>
  <c r="AT2740" i="1"/>
  <c r="AS2740" i="1"/>
  <c r="AR2740" i="1"/>
  <c r="AT2739" i="1"/>
  <c r="AS2739" i="1"/>
  <c r="AT2738" i="1"/>
  <c r="AS2738" i="1"/>
  <c r="AR2738" i="1"/>
  <c r="AT2737" i="1"/>
  <c r="AS2737" i="1"/>
  <c r="AR2737" i="1"/>
  <c r="AT2736" i="1"/>
  <c r="AS2736" i="1"/>
  <c r="AR2736" i="1"/>
  <c r="AT2735" i="1"/>
  <c r="AS2735" i="1"/>
  <c r="AT2734" i="1"/>
  <c r="AS2734" i="1"/>
  <c r="AT2733" i="1"/>
  <c r="AS2733" i="1"/>
  <c r="AT2732" i="1"/>
  <c r="AS2732" i="1"/>
  <c r="AR2732" i="1"/>
  <c r="AT2731" i="1"/>
  <c r="AS2731" i="1"/>
  <c r="AR2731" i="1"/>
  <c r="AT2730" i="1"/>
  <c r="AS2730" i="1"/>
  <c r="AR2730" i="1"/>
  <c r="AT2729" i="1"/>
  <c r="AS2729" i="1"/>
  <c r="AR2729" i="1"/>
  <c r="AT2728" i="1"/>
  <c r="AS2728" i="1"/>
  <c r="AT2727" i="1"/>
  <c r="AS2727" i="1"/>
  <c r="AR2727" i="1"/>
  <c r="AT2726" i="1"/>
  <c r="AS2726" i="1"/>
  <c r="AR2726" i="1"/>
  <c r="AT2725" i="1"/>
  <c r="AS2725" i="1"/>
  <c r="AR2725" i="1"/>
  <c r="AT2724" i="1"/>
  <c r="AS2724" i="1"/>
  <c r="AR2724" i="1"/>
  <c r="AT2723" i="1"/>
  <c r="AS2723" i="1"/>
  <c r="AR2723" i="1"/>
  <c r="AT2722" i="1"/>
  <c r="AS2722" i="1"/>
  <c r="AR2722" i="1"/>
  <c r="AT2721" i="1"/>
  <c r="AS2721" i="1"/>
  <c r="AR2721" i="1"/>
  <c r="AT2720" i="1"/>
  <c r="AS2720" i="1"/>
  <c r="AR2720" i="1"/>
  <c r="AT2719" i="1"/>
  <c r="AS2719" i="1"/>
  <c r="AT2718" i="1"/>
  <c r="AS2718" i="1"/>
  <c r="AR2718" i="1"/>
  <c r="AT2717" i="1"/>
  <c r="AS2717" i="1"/>
  <c r="AR2717" i="1"/>
  <c r="AT2716" i="1"/>
  <c r="AS2716" i="1"/>
  <c r="AT2715" i="1"/>
  <c r="AS2715" i="1"/>
  <c r="AT2714" i="1"/>
  <c r="AS2714" i="1"/>
  <c r="AT2713" i="1"/>
  <c r="AS2713" i="1"/>
  <c r="AT2712" i="1"/>
  <c r="AS2712" i="1"/>
  <c r="AR2712" i="1"/>
  <c r="AT2711" i="1"/>
  <c r="AS2711" i="1"/>
  <c r="AR2711" i="1"/>
  <c r="AT2710" i="1"/>
  <c r="AS2710" i="1"/>
  <c r="AR2710" i="1"/>
  <c r="AT2709" i="1"/>
  <c r="AS2709" i="1"/>
  <c r="AR2709" i="1"/>
  <c r="AT2708" i="1"/>
  <c r="AS2708" i="1"/>
  <c r="AR2708" i="1"/>
  <c r="AT2707" i="1"/>
  <c r="AS2707" i="1"/>
  <c r="AT2706" i="1"/>
  <c r="AS2706" i="1"/>
  <c r="AR2706" i="1"/>
  <c r="AT2705" i="1"/>
  <c r="AS2705" i="1"/>
  <c r="AR2705" i="1"/>
  <c r="AT2704" i="1"/>
  <c r="AS2704" i="1"/>
  <c r="AT2703" i="1"/>
  <c r="AS2703" i="1"/>
  <c r="AR2703" i="1"/>
  <c r="AT2702" i="1"/>
  <c r="AS2702" i="1"/>
  <c r="AR2702" i="1"/>
  <c r="AT2701" i="1"/>
  <c r="AS2701" i="1"/>
  <c r="AR2701" i="1"/>
  <c r="AT2700" i="1"/>
  <c r="AS2700" i="1"/>
  <c r="AT2699" i="1"/>
  <c r="AS2699" i="1"/>
  <c r="AT2698" i="1"/>
  <c r="AS2698" i="1"/>
  <c r="AT2697" i="1"/>
  <c r="AS2697" i="1"/>
  <c r="AT2696" i="1"/>
  <c r="AS2696" i="1"/>
  <c r="AT2695" i="1"/>
  <c r="AS2695" i="1"/>
  <c r="AR2695" i="1"/>
  <c r="AT2694" i="1"/>
  <c r="AS2694" i="1"/>
  <c r="AT2693" i="1"/>
  <c r="AS2693" i="1"/>
  <c r="AT2692" i="1"/>
  <c r="AS2692" i="1"/>
  <c r="AT2691" i="1"/>
  <c r="AS2691" i="1"/>
  <c r="AR2691" i="1"/>
  <c r="AT2690" i="1"/>
  <c r="AS2690" i="1"/>
  <c r="AR2690" i="1"/>
  <c r="AT2689" i="1"/>
  <c r="AS2689" i="1"/>
  <c r="AR2689" i="1"/>
  <c r="AT2688" i="1"/>
  <c r="AS2688" i="1"/>
  <c r="AT2687" i="1"/>
  <c r="AS2687" i="1"/>
  <c r="AT2686" i="1"/>
  <c r="AS2686" i="1"/>
  <c r="AR2686" i="1"/>
  <c r="AT2685" i="1"/>
  <c r="AS2685" i="1"/>
  <c r="AT2684" i="1"/>
  <c r="AS2684" i="1"/>
  <c r="AT2683" i="1"/>
  <c r="AS2683" i="1"/>
  <c r="AR2683" i="1"/>
  <c r="AT2682" i="1"/>
  <c r="AS2682" i="1"/>
  <c r="AT2681" i="1"/>
  <c r="AS2681" i="1"/>
  <c r="AR2681" i="1"/>
  <c r="AT2680" i="1"/>
  <c r="AS2680" i="1"/>
  <c r="AR2680" i="1"/>
  <c r="AT2679" i="1"/>
  <c r="AS2679" i="1"/>
  <c r="AT2678" i="1"/>
  <c r="AS2678" i="1"/>
  <c r="AR2678" i="1"/>
  <c r="AT2677" i="1"/>
  <c r="AS2677" i="1"/>
  <c r="AR2677" i="1"/>
  <c r="AT2676" i="1"/>
  <c r="AS2676" i="1"/>
  <c r="AR2676" i="1"/>
  <c r="AT2675" i="1"/>
  <c r="AS2675" i="1"/>
  <c r="AR2675" i="1"/>
  <c r="AT2674" i="1"/>
  <c r="AS2674" i="1"/>
  <c r="AR2674" i="1"/>
  <c r="AT2673" i="1"/>
  <c r="AS2673" i="1"/>
  <c r="AR2673" i="1"/>
  <c r="AT2672" i="1"/>
  <c r="AS2672" i="1"/>
  <c r="AT2671" i="1"/>
  <c r="AS2671" i="1"/>
  <c r="AT2670" i="1"/>
  <c r="AS2670" i="1"/>
  <c r="AT2669" i="1"/>
  <c r="AS2669" i="1"/>
  <c r="AT2668" i="1"/>
  <c r="AS2668" i="1"/>
  <c r="AT2667" i="1"/>
  <c r="AS2667" i="1"/>
  <c r="AR2667" i="1"/>
  <c r="AT2666" i="1"/>
  <c r="AS2666" i="1"/>
  <c r="AT2665" i="1"/>
  <c r="AS2665" i="1"/>
  <c r="AR2665" i="1"/>
  <c r="AT2664" i="1"/>
  <c r="AS2664" i="1"/>
  <c r="AR2664" i="1"/>
  <c r="AT2663" i="1"/>
  <c r="AS2663" i="1"/>
  <c r="AT2662" i="1"/>
  <c r="AS2662" i="1"/>
  <c r="AR2662" i="1"/>
  <c r="AT2661" i="1"/>
  <c r="AS2661" i="1"/>
  <c r="AR2661" i="1"/>
  <c r="AT2660" i="1"/>
  <c r="AS2660" i="1"/>
  <c r="AR2660" i="1"/>
  <c r="AT2659" i="1"/>
  <c r="AS2659" i="1"/>
  <c r="AR2659" i="1"/>
  <c r="AT2658" i="1"/>
  <c r="AS2658" i="1"/>
  <c r="AR2658" i="1"/>
  <c r="AT2657" i="1"/>
  <c r="AS2657" i="1"/>
  <c r="AR2657" i="1"/>
  <c r="AT2656" i="1"/>
  <c r="AS2656" i="1"/>
  <c r="AT2655" i="1"/>
  <c r="AS2655" i="1"/>
  <c r="AR2655" i="1"/>
  <c r="AT2654" i="1"/>
  <c r="AS2654" i="1"/>
  <c r="AT2653" i="1"/>
  <c r="AS2653" i="1"/>
  <c r="AR2653" i="1"/>
  <c r="AT2652" i="1"/>
  <c r="AS2652" i="1"/>
  <c r="AT2651" i="1"/>
  <c r="AS2651" i="1"/>
  <c r="AT2650" i="1"/>
  <c r="AS2650" i="1"/>
  <c r="AR2650" i="1"/>
  <c r="AT2649" i="1"/>
  <c r="AS2649" i="1"/>
  <c r="AT2648" i="1"/>
  <c r="AS2648" i="1"/>
  <c r="AT2647" i="1"/>
  <c r="AS2647" i="1"/>
  <c r="AR2647" i="1"/>
  <c r="AT2646" i="1"/>
  <c r="AS2646" i="1"/>
  <c r="AT2645" i="1"/>
  <c r="AS2645" i="1"/>
  <c r="AR2645" i="1"/>
  <c r="AT2644" i="1"/>
  <c r="AS2644" i="1"/>
  <c r="AR2644" i="1"/>
  <c r="AT2643" i="1"/>
  <c r="AS2643" i="1"/>
  <c r="AR2643" i="1"/>
  <c r="AT2642" i="1"/>
  <c r="AS2642" i="1"/>
  <c r="AT2641" i="1"/>
  <c r="AS2641" i="1"/>
  <c r="AR2641" i="1"/>
  <c r="AT2640" i="1"/>
  <c r="AS2640" i="1"/>
  <c r="AR2640" i="1"/>
  <c r="AT2639" i="1"/>
  <c r="AS2639" i="1"/>
  <c r="AR2639" i="1"/>
  <c r="AT2638" i="1"/>
  <c r="AS2638" i="1"/>
  <c r="AR2638" i="1"/>
  <c r="AT2637" i="1"/>
  <c r="AS2637" i="1"/>
  <c r="AR2637" i="1"/>
  <c r="AT2636" i="1"/>
  <c r="AS2636" i="1"/>
  <c r="AT2635" i="1"/>
  <c r="AS2635" i="1"/>
  <c r="AT2634" i="1"/>
  <c r="AS2634" i="1"/>
  <c r="AT2633" i="1"/>
  <c r="AS2633" i="1"/>
  <c r="AT2632" i="1"/>
  <c r="AS2632" i="1"/>
  <c r="AR2632" i="1"/>
  <c r="AT2631" i="1"/>
  <c r="AS2631" i="1"/>
  <c r="AR2631" i="1"/>
  <c r="AT2630" i="1"/>
  <c r="AS2630" i="1"/>
  <c r="AR2630" i="1"/>
  <c r="AT2629" i="1"/>
  <c r="AS2629" i="1"/>
  <c r="AT2628" i="1"/>
  <c r="AS2628" i="1"/>
  <c r="AT2627" i="1"/>
  <c r="AS2627" i="1"/>
  <c r="AR2627" i="1"/>
  <c r="AT2626" i="1"/>
  <c r="AS2626" i="1"/>
  <c r="AT2625" i="1"/>
  <c r="AS2625" i="1"/>
  <c r="AR2625" i="1"/>
  <c r="AT2624" i="1"/>
  <c r="AS2624" i="1"/>
  <c r="AR2624" i="1"/>
  <c r="AT2623" i="1"/>
  <c r="AS2623" i="1"/>
  <c r="AT2622" i="1"/>
  <c r="AS2622" i="1"/>
  <c r="AT2621" i="1"/>
  <c r="AS2621" i="1"/>
  <c r="AR2621" i="1"/>
  <c r="AT2620" i="1"/>
  <c r="AS2620" i="1"/>
  <c r="AT2619" i="1"/>
  <c r="AS2619" i="1"/>
  <c r="AT2618" i="1"/>
  <c r="AS2618" i="1"/>
  <c r="AR2618" i="1"/>
  <c r="AT2617" i="1"/>
  <c r="AS2617" i="1"/>
  <c r="AT2616" i="1"/>
  <c r="AS2616" i="1"/>
  <c r="AT2615" i="1"/>
  <c r="AS2615" i="1"/>
  <c r="AT2614" i="1"/>
  <c r="AS2614" i="1"/>
  <c r="AR2614" i="1"/>
  <c r="AT2613" i="1"/>
  <c r="AS2613" i="1"/>
  <c r="AT2612" i="1"/>
  <c r="AS2612" i="1"/>
  <c r="AR2612" i="1"/>
  <c r="AT2611" i="1"/>
  <c r="AS2611" i="1"/>
  <c r="AR2611" i="1"/>
  <c r="AT2610" i="1"/>
  <c r="AS2610" i="1"/>
  <c r="AT2609" i="1"/>
  <c r="AS2609" i="1"/>
  <c r="AT2608" i="1"/>
  <c r="AS2608" i="1"/>
  <c r="AR2608" i="1"/>
  <c r="AT2607" i="1"/>
  <c r="AS2607" i="1"/>
  <c r="AR2607" i="1"/>
  <c r="AT2606" i="1"/>
  <c r="AS2606" i="1"/>
  <c r="AT2605" i="1"/>
  <c r="AS2605" i="1"/>
  <c r="AT2604" i="1"/>
  <c r="AS2604" i="1"/>
  <c r="AT2603" i="1"/>
  <c r="AS2603" i="1"/>
  <c r="AR2603" i="1"/>
  <c r="AT2602" i="1"/>
  <c r="AS2602" i="1"/>
  <c r="AR2602" i="1"/>
  <c r="AT2601" i="1"/>
  <c r="AS2601" i="1"/>
  <c r="AR2601" i="1"/>
  <c r="AT2600" i="1"/>
  <c r="AS2600" i="1"/>
  <c r="AT2599" i="1"/>
  <c r="AS2599" i="1"/>
  <c r="AT2598" i="1"/>
  <c r="AS2598" i="1"/>
  <c r="AR2598" i="1"/>
  <c r="AT2597" i="1"/>
  <c r="AS2597" i="1"/>
  <c r="AT2596" i="1"/>
  <c r="AS2596" i="1"/>
  <c r="AR2596" i="1"/>
  <c r="AT2595" i="1"/>
  <c r="AS2595" i="1"/>
  <c r="AR2595" i="1"/>
  <c r="AT2594" i="1"/>
  <c r="AS2594" i="1"/>
  <c r="AT2593" i="1"/>
  <c r="AS2593" i="1"/>
  <c r="AR2593" i="1"/>
  <c r="AT2592" i="1"/>
  <c r="AS2592" i="1"/>
  <c r="AR2592" i="1"/>
  <c r="AT2591" i="1"/>
  <c r="AS2591" i="1"/>
  <c r="AR2591" i="1"/>
  <c r="AT2590" i="1"/>
  <c r="AS2590" i="1"/>
  <c r="AT2589" i="1"/>
  <c r="AS2589" i="1"/>
  <c r="AT2588" i="1"/>
  <c r="AS2588" i="1"/>
  <c r="AR2588" i="1"/>
  <c r="AT2587" i="1"/>
  <c r="AS2587" i="1"/>
  <c r="AR2587" i="1"/>
  <c r="AT2586" i="1"/>
  <c r="AS2586" i="1"/>
  <c r="AT2585" i="1"/>
  <c r="AS2585" i="1"/>
  <c r="AR2585" i="1"/>
  <c r="AT2584" i="1"/>
  <c r="AS2584" i="1"/>
  <c r="AT2583" i="1"/>
  <c r="AS2583" i="1"/>
  <c r="AR2583" i="1"/>
  <c r="AT2582" i="1"/>
  <c r="AS2582" i="1"/>
  <c r="AT2581" i="1"/>
  <c r="AS2581" i="1"/>
  <c r="AT2580" i="1"/>
  <c r="AS2580" i="1"/>
  <c r="AT2579" i="1"/>
  <c r="AS2579" i="1"/>
  <c r="AT2578" i="1"/>
  <c r="AS2578" i="1"/>
  <c r="AT2577" i="1"/>
  <c r="AS2577" i="1"/>
  <c r="AT2576" i="1"/>
  <c r="AS2576" i="1"/>
  <c r="AT2575" i="1"/>
  <c r="AS2575" i="1"/>
  <c r="AT2574" i="1"/>
  <c r="AS2574" i="1"/>
  <c r="AR2574" i="1"/>
  <c r="AT2573" i="1"/>
  <c r="AS2573" i="1"/>
  <c r="AR2573" i="1"/>
  <c r="AT2572" i="1"/>
  <c r="AS2572" i="1"/>
  <c r="AR2572" i="1"/>
  <c r="AT2571" i="1"/>
  <c r="AS2571" i="1"/>
  <c r="AR2571" i="1"/>
  <c r="AT2570" i="1"/>
  <c r="AS2570" i="1"/>
  <c r="AT2569" i="1"/>
  <c r="AS2569" i="1"/>
  <c r="AT2568" i="1"/>
  <c r="AS2568" i="1"/>
  <c r="AR2568" i="1"/>
  <c r="AT2567" i="1"/>
  <c r="AS2567" i="1"/>
  <c r="AR2567" i="1"/>
  <c r="AT2566" i="1"/>
  <c r="AS2566" i="1"/>
  <c r="AT2565" i="1"/>
  <c r="AS2565" i="1"/>
  <c r="AR2565" i="1"/>
  <c r="AT2564" i="1"/>
  <c r="AS2564" i="1"/>
  <c r="AR2564" i="1"/>
  <c r="AT2563" i="1"/>
  <c r="AS2563" i="1"/>
  <c r="AR2563" i="1"/>
  <c r="AT2562" i="1"/>
  <c r="AS2562" i="1"/>
  <c r="AR2562" i="1"/>
  <c r="AT2561" i="1"/>
  <c r="AS2561" i="1"/>
  <c r="AR2561" i="1"/>
  <c r="AT2560" i="1"/>
  <c r="AS2560" i="1"/>
  <c r="AR2560" i="1"/>
  <c r="AT2559" i="1"/>
  <c r="AS2559" i="1"/>
  <c r="AR2559" i="1"/>
  <c r="AT2558" i="1"/>
  <c r="AS2558" i="1"/>
  <c r="AR2558" i="1"/>
  <c r="AT2557" i="1"/>
  <c r="AS2557" i="1"/>
  <c r="AT2556" i="1"/>
  <c r="AS2556" i="1"/>
  <c r="AR2556" i="1"/>
  <c r="AT2555" i="1"/>
  <c r="AS2555" i="1"/>
  <c r="AR2555" i="1"/>
  <c r="AT2554" i="1"/>
  <c r="AS2554" i="1"/>
  <c r="AR2554" i="1"/>
  <c r="AT2553" i="1"/>
  <c r="AS2553" i="1"/>
  <c r="AT2552" i="1"/>
  <c r="AS2552" i="1"/>
  <c r="AT2551" i="1"/>
  <c r="AS2551" i="1"/>
  <c r="AT2550" i="1"/>
  <c r="AS2550" i="1"/>
  <c r="AT2549" i="1"/>
  <c r="AS2549" i="1"/>
  <c r="AT2548" i="1"/>
  <c r="AS2548" i="1"/>
  <c r="AT2547" i="1"/>
  <c r="AS2547" i="1"/>
  <c r="AR2547" i="1"/>
  <c r="AT2546" i="1"/>
  <c r="AS2546" i="1"/>
  <c r="AR2546" i="1"/>
  <c r="AT2545" i="1"/>
  <c r="AS2545" i="1"/>
  <c r="AT2544" i="1"/>
  <c r="AS2544" i="1"/>
  <c r="AR2544" i="1"/>
  <c r="AT2543" i="1"/>
  <c r="AS2543" i="1"/>
  <c r="AT2542" i="1"/>
  <c r="AS2542" i="1"/>
  <c r="AR2542" i="1"/>
  <c r="AT2541" i="1"/>
  <c r="AS2541" i="1"/>
  <c r="AR2541" i="1"/>
  <c r="AT2540" i="1"/>
  <c r="AS2540" i="1"/>
  <c r="AT2539" i="1"/>
  <c r="AS2539" i="1"/>
  <c r="AR2539" i="1"/>
  <c r="AT2538" i="1"/>
  <c r="AS2538" i="1"/>
  <c r="AT2537" i="1"/>
  <c r="AS2537" i="1"/>
  <c r="AR2537" i="1"/>
  <c r="AT2536" i="1"/>
  <c r="AS2536" i="1"/>
  <c r="AT2535" i="1"/>
  <c r="AS2535" i="1"/>
  <c r="AT2534" i="1"/>
  <c r="AS2534" i="1"/>
  <c r="AR2534" i="1"/>
  <c r="AT2533" i="1"/>
  <c r="AS2533" i="1"/>
  <c r="AT2532" i="1"/>
  <c r="AS2532" i="1"/>
  <c r="AR2532" i="1"/>
  <c r="AT2531" i="1"/>
  <c r="AS2531" i="1"/>
  <c r="AT2530" i="1"/>
  <c r="AS2530" i="1"/>
  <c r="AT2529" i="1"/>
  <c r="AS2529" i="1"/>
  <c r="AR2529" i="1"/>
  <c r="AT2528" i="1"/>
  <c r="AS2528" i="1"/>
  <c r="AR2528" i="1"/>
  <c r="AT2527" i="1"/>
  <c r="AS2527" i="1"/>
  <c r="AR2527" i="1"/>
  <c r="AT2526" i="1"/>
  <c r="AS2526" i="1"/>
  <c r="AT2525" i="1"/>
  <c r="AS2525" i="1"/>
  <c r="AR2525" i="1"/>
  <c r="AT2524" i="1"/>
  <c r="AS2524" i="1"/>
  <c r="AR2524" i="1"/>
  <c r="AT2523" i="1"/>
  <c r="AS2523" i="1"/>
  <c r="AT2522" i="1"/>
  <c r="AS2522" i="1"/>
  <c r="AT2521" i="1"/>
  <c r="AS2521" i="1"/>
  <c r="AR2521" i="1"/>
  <c r="AT2520" i="1"/>
  <c r="AS2520" i="1"/>
  <c r="AT2519" i="1"/>
  <c r="AS2519" i="1"/>
  <c r="AR2519" i="1"/>
  <c r="AT2518" i="1"/>
  <c r="AS2518" i="1"/>
  <c r="AT2517" i="1"/>
  <c r="AS2517" i="1"/>
  <c r="AR2517" i="1"/>
  <c r="AT2516" i="1"/>
  <c r="AS2516" i="1"/>
  <c r="AT2515" i="1"/>
  <c r="AS2515" i="1"/>
  <c r="AR2515" i="1"/>
  <c r="AT2514" i="1"/>
  <c r="AS2514" i="1"/>
  <c r="AR2514" i="1"/>
  <c r="AT2513" i="1"/>
  <c r="AS2513" i="1"/>
  <c r="AT2512" i="1"/>
  <c r="AS2512" i="1"/>
  <c r="AR2512" i="1"/>
  <c r="AT2511" i="1"/>
  <c r="AS2511" i="1"/>
  <c r="AR2511" i="1"/>
  <c r="AT2510" i="1"/>
  <c r="AS2510" i="1"/>
  <c r="AT2509" i="1"/>
  <c r="AS2509" i="1"/>
  <c r="AR2509" i="1"/>
  <c r="AT2508" i="1"/>
  <c r="AS2508" i="1"/>
  <c r="AR2508" i="1"/>
  <c r="AT2507" i="1"/>
  <c r="AS2507" i="1"/>
  <c r="AR2507" i="1"/>
  <c r="AT2506" i="1"/>
  <c r="AS2506" i="1"/>
  <c r="AR2506" i="1"/>
  <c r="AT2505" i="1"/>
  <c r="AS2505" i="1"/>
  <c r="AR2505" i="1"/>
  <c r="AT2504" i="1"/>
  <c r="AS2504" i="1"/>
  <c r="AR2504" i="1"/>
  <c r="AT2503" i="1"/>
  <c r="AS2503" i="1"/>
  <c r="AR2503" i="1"/>
  <c r="AT2502" i="1"/>
  <c r="AS2502" i="1"/>
  <c r="AR2502" i="1"/>
  <c r="AT2501" i="1"/>
  <c r="AS2501" i="1"/>
  <c r="AT2500" i="1"/>
  <c r="AS2500" i="1"/>
  <c r="AR2500" i="1"/>
  <c r="AT2499" i="1"/>
  <c r="AS2499" i="1"/>
  <c r="AT2498" i="1"/>
  <c r="AS2498" i="1"/>
  <c r="AT2497" i="1"/>
  <c r="AS2497" i="1"/>
  <c r="AR2497" i="1"/>
  <c r="AT2496" i="1"/>
  <c r="AS2496" i="1"/>
  <c r="AR2496" i="1"/>
  <c r="AT2495" i="1"/>
  <c r="AS2495" i="1"/>
  <c r="AR2495" i="1"/>
  <c r="AT2494" i="1"/>
  <c r="AS2494" i="1"/>
  <c r="AR2494" i="1"/>
  <c r="AT2493" i="1"/>
  <c r="AS2493" i="1"/>
  <c r="AT2492" i="1"/>
  <c r="AS2492" i="1"/>
  <c r="AR2492" i="1"/>
  <c r="AT2491" i="1"/>
  <c r="AS2491" i="1"/>
  <c r="AR2491" i="1"/>
  <c r="AT2490" i="1"/>
  <c r="AS2490" i="1"/>
  <c r="AR2490" i="1"/>
  <c r="AT2489" i="1"/>
  <c r="AS2489" i="1"/>
  <c r="AR2489" i="1"/>
  <c r="AT2488" i="1"/>
  <c r="AS2488" i="1"/>
  <c r="AT2487" i="1"/>
  <c r="AS2487" i="1"/>
  <c r="AR2487" i="1"/>
  <c r="AT2486" i="1"/>
  <c r="AS2486" i="1"/>
  <c r="AR2486" i="1"/>
  <c r="AT2485" i="1"/>
  <c r="AS2485" i="1"/>
  <c r="AT2484" i="1"/>
  <c r="AS2484" i="1"/>
  <c r="AT2483" i="1"/>
  <c r="AS2483" i="1"/>
  <c r="AR2483" i="1"/>
  <c r="AT2482" i="1"/>
  <c r="AS2482" i="1"/>
  <c r="AT2481" i="1"/>
  <c r="AS2481" i="1"/>
  <c r="AR2481" i="1"/>
  <c r="AT2480" i="1"/>
  <c r="AS2480" i="1"/>
  <c r="AR2480" i="1"/>
  <c r="AT2479" i="1"/>
  <c r="AS2479" i="1"/>
  <c r="AT2478" i="1"/>
  <c r="AS2478" i="1"/>
  <c r="AR2478" i="1"/>
  <c r="AT2477" i="1"/>
  <c r="AS2477" i="1"/>
  <c r="AT2476" i="1"/>
  <c r="AS2476" i="1"/>
  <c r="AT2475" i="1"/>
  <c r="AS2475" i="1"/>
  <c r="AR2475" i="1"/>
  <c r="AT2474" i="1"/>
  <c r="AS2474" i="1"/>
  <c r="AR2474" i="1"/>
  <c r="AT2473" i="1"/>
  <c r="AS2473" i="1"/>
  <c r="AR2473" i="1"/>
  <c r="AT2472" i="1"/>
  <c r="AS2472" i="1"/>
  <c r="AR2472" i="1"/>
  <c r="AT2471" i="1"/>
  <c r="AS2471" i="1"/>
  <c r="AT2470" i="1"/>
  <c r="AS2470" i="1"/>
  <c r="AT2469" i="1"/>
  <c r="AS2469" i="1"/>
  <c r="AT2468" i="1"/>
  <c r="AS2468" i="1"/>
  <c r="AR2468" i="1"/>
  <c r="AT2467" i="1"/>
  <c r="AS2467" i="1"/>
  <c r="AT2466" i="1"/>
  <c r="AS2466" i="1"/>
  <c r="AT2465" i="1"/>
  <c r="AS2465" i="1"/>
  <c r="AT2464" i="1"/>
  <c r="AS2464" i="1"/>
  <c r="AR2464" i="1"/>
  <c r="AT2463" i="1"/>
  <c r="AS2463" i="1"/>
  <c r="AT2462" i="1"/>
  <c r="AS2462" i="1"/>
  <c r="AR2462" i="1"/>
  <c r="AT2461" i="1"/>
  <c r="AS2461" i="1"/>
  <c r="AR2461" i="1"/>
  <c r="AT2460" i="1"/>
  <c r="AS2460" i="1"/>
  <c r="AR2460" i="1"/>
  <c r="AT2459" i="1"/>
  <c r="AS2459" i="1"/>
  <c r="AR2459" i="1"/>
  <c r="AT2458" i="1"/>
  <c r="AS2458" i="1"/>
  <c r="AR2458" i="1"/>
  <c r="AT2457" i="1"/>
  <c r="AS2457" i="1"/>
  <c r="AR2457" i="1"/>
  <c r="AT2456" i="1"/>
  <c r="AS2456" i="1"/>
  <c r="AR2456" i="1"/>
  <c r="AT2455" i="1"/>
  <c r="AS2455" i="1"/>
  <c r="AR2455" i="1"/>
  <c r="AT2454" i="1"/>
  <c r="AS2454" i="1"/>
  <c r="AR2454" i="1"/>
  <c r="AT2453" i="1"/>
  <c r="AS2453" i="1"/>
  <c r="AT2452" i="1"/>
  <c r="AS2452" i="1"/>
  <c r="AR2452" i="1"/>
  <c r="AT2451" i="1"/>
  <c r="AS2451" i="1"/>
  <c r="AR2451" i="1"/>
  <c r="AT2450" i="1"/>
  <c r="AS2450" i="1"/>
  <c r="AT2449" i="1"/>
  <c r="AS2449" i="1"/>
  <c r="AT2448" i="1"/>
  <c r="AS2448" i="1"/>
  <c r="AT2447" i="1"/>
  <c r="AS2447" i="1"/>
  <c r="AR2447" i="1"/>
  <c r="AT2446" i="1"/>
  <c r="AS2446" i="1"/>
  <c r="AR2446" i="1"/>
  <c r="AT2445" i="1"/>
  <c r="AS2445" i="1"/>
  <c r="AT2444" i="1"/>
  <c r="AS2444" i="1"/>
  <c r="AT2443" i="1"/>
  <c r="AS2443" i="1"/>
  <c r="AR2443" i="1"/>
  <c r="AT2442" i="1"/>
  <c r="AS2442" i="1"/>
  <c r="AR2442" i="1"/>
  <c r="AT2441" i="1"/>
  <c r="AS2441" i="1"/>
  <c r="AT2440" i="1"/>
  <c r="AS2440" i="1"/>
  <c r="AT2439" i="1"/>
  <c r="AS2439" i="1"/>
  <c r="AT2438" i="1"/>
  <c r="AS2438" i="1"/>
  <c r="AR2438" i="1"/>
  <c r="AT2437" i="1"/>
  <c r="AS2437" i="1"/>
  <c r="AR2437" i="1"/>
  <c r="AT2436" i="1"/>
  <c r="AS2436" i="1"/>
  <c r="AR2436" i="1"/>
  <c r="AT2435" i="1"/>
  <c r="AS2435" i="1"/>
  <c r="AR2435" i="1"/>
  <c r="AT2434" i="1"/>
  <c r="AS2434" i="1"/>
  <c r="AT2433" i="1"/>
  <c r="AS2433" i="1"/>
  <c r="AT2432" i="1"/>
  <c r="AS2432" i="1"/>
  <c r="AR2432" i="1"/>
  <c r="AT2431" i="1"/>
  <c r="AS2431" i="1"/>
  <c r="AR2431" i="1"/>
  <c r="AT2430" i="1"/>
  <c r="AS2430" i="1"/>
  <c r="AR2430" i="1"/>
  <c r="AT2429" i="1"/>
  <c r="AS2429" i="1"/>
  <c r="AT2428" i="1"/>
  <c r="AS2428" i="1"/>
  <c r="AT2427" i="1"/>
  <c r="AS2427" i="1"/>
  <c r="AT2426" i="1"/>
  <c r="AS2426" i="1"/>
  <c r="AT2425" i="1"/>
  <c r="AS2425" i="1"/>
  <c r="AT2424" i="1"/>
  <c r="AS2424" i="1"/>
  <c r="AR2424" i="1"/>
  <c r="AT2423" i="1"/>
  <c r="AS2423" i="1"/>
  <c r="AT2422" i="1"/>
  <c r="AS2422" i="1"/>
  <c r="AR2422" i="1"/>
  <c r="AT2421" i="1"/>
  <c r="AS2421" i="1"/>
  <c r="AT2420" i="1"/>
  <c r="AS2420" i="1"/>
  <c r="AR2420" i="1"/>
  <c r="AT2419" i="1"/>
  <c r="AS2419" i="1"/>
  <c r="AR2419" i="1"/>
  <c r="AT2418" i="1"/>
  <c r="AS2418" i="1"/>
  <c r="AR2418" i="1"/>
  <c r="AT2417" i="1"/>
  <c r="AS2417" i="1"/>
  <c r="AR2417" i="1"/>
  <c r="AT2416" i="1"/>
  <c r="AS2416" i="1"/>
  <c r="AR2416" i="1"/>
  <c r="AT2415" i="1"/>
  <c r="AS2415" i="1"/>
  <c r="AT2414" i="1"/>
  <c r="AS2414" i="1"/>
  <c r="AR2414" i="1"/>
  <c r="AT2413" i="1"/>
  <c r="AS2413" i="1"/>
  <c r="AT2412" i="1"/>
  <c r="AS2412" i="1"/>
  <c r="AT2411" i="1"/>
  <c r="AS2411" i="1"/>
  <c r="AR2411" i="1"/>
  <c r="AT2410" i="1"/>
  <c r="AS2410" i="1"/>
  <c r="AT2409" i="1"/>
  <c r="AS2409" i="1"/>
  <c r="AR2409" i="1"/>
  <c r="AT2408" i="1"/>
  <c r="AS2408" i="1"/>
  <c r="AR2408" i="1"/>
  <c r="AT2407" i="1"/>
  <c r="AS2407" i="1"/>
  <c r="AT2406" i="1"/>
  <c r="AS2406" i="1"/>
  <c r="AT2405" i="1"/>
  <c r="AS2405" i="1"/>
  <c r="AR2405" i="1"/>
  <c r="AT2404" i="1"/>
  <c r="AS2404" i="1"/>
  <c r="AT2403" i="1"/>
  <c r="AS2403" i="1"/>
  <c r="AT2402" i="1"/>
  <c r="AS2402" i="1"/>
  <c r="AT2401" i="1"/>
  <c r="AS2401" i="1"/>
  <c r="AR2401" i="1"/>
  <c r="AT2400" i="1"/>
  <c r="AS2400" i="1"/>
  <c r="AT2399" i="1"/>
  <c r="AS2399" i="1"/>
  <c r="AT2398" i="1"/>
  <c r="AS2398" i="1"/>
  <c r="AR2398" i="1"/>
  <c r="AT2397" i="1"/>
  <c r="AS2397" i="1"/>
  <c r="AT2396" i="1"/>
  <c r="AS2396" i="1"/>
  <c r="AT2395" i="1"/>
  <c r="AS2395" i="1"/>
  <c r="AR2395" i="1"/>
  <c r="AT2394" i="1"/>
  <c r="AS2394" i="1"/>
  <c r="AR2394" i="1"/>
  <c r="AT2393" i="1"/>
  <c r="AS2393" i="1"/>
  <c r="AT2392" i="1"/>
  <c r="AS2392" i="1"/>
  <c r="AT2391" i="1"/>
  <c r="AS2391" i="1"/>
  <c r="AR2391" i="1"/>
  <c r="AT2390" i="1"/>
  <c r="AS2390" i="1"/>
  <c r="AR2390" i="1"/>
  <c r="AT2389" i="1"/>
  <c r="AS2389" i="1"/>
  <c r="AR2389" i="1"/>
  <c r="AT2388" i="1"/>
  <c r="AS2388" i="1"/>
  <c r="AR2388" i="1"/>
  <c r="AT2387" i="1"/>
  <c r="AS2387" i="1"/>
  <c r="AR2387" i="1"/>
  <c r="AT2386" i="1"/>
  <c r="AS2386" i="1"/>
  <c r="AT2385" i="1"/>
  <c r="AS2385" i="1"/>
  <c r="AR2385" i="1"/>
  <c r="AT2384" i="1"/>
  <c r="AS2384" i="1"/>
  <c r="AT2383" i="1"/>
  <c r="AS2383" i="1"/>
  <c r="AT2382" i="1"/>
  <c r="AS2382" i="1"/>
  <c r="AR2382" i="1"/>
  <c r="AT2381" i="1"/>
  <c r="AS2381" i="1"/>
  <c r="AR2381" i="1"/>
  <c r="AT2380" i="1"/>
  <c r="AS2380" i="1"/>
  <c r="AR2380" i="1"/>
  <c r="AT2379" i="1"/>
  <c r="AS2379" i="1"/>
  <c r="AR2379" i="1"/>
  <c r="AT2378" i="1"/>
  <c r="AS2378" i="1"/>
  <c r="AT2377" i="1"/>
  <c r="AS2377" i="1"/>
  <c r="AT2376" i="1"/>
  <c r="AS2376" i="1"/>
  <c r="AR2376" i="1"/>
  <c r="AT2375" i="1"/>
  <c r="AS2375" i="1"/>
  <c r="AR2375" i="1"/>
  <c r="AT2374" i="1"/>
  <c r="AS2374" i="1"/>
  <c r="AT2373" i="1"/>
  <c r="AS2373" i="1"/>
  <c r="AR2373" i="1"/>
  <c r="AT2372" i="1"/>
  <c r="AS2372" i="1"/>
  <c r="AR2372" i="1"/>
  <c r="AT2371" i="1"/>
  <c r="AS2371" i="1"/>
  <c r="AR2371" i="1"/>
  <c r="AT2370" i="1"/>
  <c r="AS2370" i="1"/>
  <c r="AR2370" i="1"/>
  <c r="AT2369" i="1"/>
  <c r="AS2369" i="1"/>
  <c r="AR2369" i="1"/>
  <c r="AT2368" i="1"/>
  <c r="AS2368" i="1"/>
  <c r="AT2367" i="1"/>
  <c r="AS2367" i="1"/>
  <c r="AR2367" i="1"/>
  <c r="AT2366" i="1"/>
  <c r="AS2366" i="1"/>
  <c r="AR2366" i="1"/>
  <c r="AT2365" i="1"/>
  <c r="AS2365" i="1"/>
  <c r="AR2365" i="1"/>
  <c r="AT2364" i="1"/>
  <c r="AS2364" i="1"/>
  <c r="AT2363" i="1"/>
  <c r="AS2363" i="1"/>
  <c r="AR2363" i="1"/>
  <c r="AT2362" i="1"/>
  <c r="AS2362" i="1"/>
  <c r="AR2362" i="1"/>
  <c r="AT2361" i="1"/>
  <c r="AS2361" i="1"/>
  <c r="AR2361" i="1"/>
  <c r="AT2360" i="1"/>
  <c r="AS2360" i="1"/>
  <c r="AR2360" i="1"/>
  <c r="AT2359" i="1"/>
  <c r="AS2359" i="1"/>
  <c r="AR2359" i="1"/>
  <c r="AT2358" i="1"/>
  <c r="AS2358" i="1"/>
  <c r="AR2358" i="1"/>
  <c r="AT2357" i="1"/>
  <c r="AS2357" i="1"/>
  <c r="AR2357" i="1"/>
  <c r="AT2356" i="1"/>
  <c r="AS2356" i="1"/>
  <c r="AR2356" i="1"/>
  <c r="AT2355" i="1"/>
  <c r="AS2355" i="1"/>
  <c r="AR2355" i="1"/>
  <c r="AT2354" i="1"/>
  <c r="AS2354" i="1"/>
  <c r="AR2354" i="1"/>
  <c r="AT2353" i="1"/>
  <c r="AS2353" i="1"/>
  <c r="AT2352" i="1"/>
  <c r="AS2352" i="1"/>
  <c r="AR2352" i="1"/>
  <c r="AT2351" i="1"/>
  <c r="AS2351" i="1"/>
  <c r="AR2351" i="1"/>
  <c r="AT2350" i="1"/>
  <c r="AS2350" i="1"/>
  <c r="AT2349" i="1"/>
  <c r="AS2349" i="1"/>
  <c r="AR2349" i="1"/>
  <c r="AT2348" i="1"/>
  <c r="AS2348" i="1"/>
  <c r="AT2347" i="1"/>
  <c r="AS2347" i="1"/>
  <c r="AR2347" i="1"/>
  <c r="AT2346" i="1"/>
  <c r="AS2346" i="1"/>
  <c r="AR2346" i="1"/>
  <c r="AT2345" i="1"/>
  <c r="AS2345" i="1"/>
  <c r="AR2345" i="1"/>
  <c r="AT2344" i="1"/>
  <c r="AS2344" i="1"/>
  <c r="AR2344" i="1"/>
  <c r="AT2343" i="1"/>
  <c r="AS2343" i="1"/>
  <c r="AT2342" i="1"/>
  <c r="AS2342" i="1"/>
  <c r="AR2342" i="1"/>
  <c r="AT2341" i="1"/>
  <c r="AS2341" i="1"/>
  <c r="AT2340" i="1"/>
  <c r="AS2340" i="1"/>
  <c r="AT2339" i="1"/>
  <c r="AS2339" i="1"/>
  <c r="AR2339" i="1"/>
  <c r="AT2338" i="1"/>
  <c r="AS2338" i="1"/>
  <c r="AR2338" i="1"/>
  <c r="AT2337" i="1"/>
  <c r="AS2337" i="1"/>
  <c r="AR2337" i="1"/>
  <c r="AT2336" i="1"/>
  <c r="AS2336" i="1"/>
  <c r="AR2336" i="1"/>
  <c r="AT2335" i="1"/>
  <c r="AS2335" i="1"/>
  <c r="AT2334" i="1"/>
  <c r="AS2334" i="1"/>
  <c r="AR2334" i="1"/>
  <c r="AT2333" i="1"/>
  <c r="AS2333" i="1"/>
  <c r="AT2332" i="1"/>
  <c r="AS2332" i="1"/>
  <c r="AR2332" i="1"/>
  <c r="AT2331" i="1"/>
  <c r="AS2331" i="1"/>
  <c r="AR2331" i="1"/>
  <c r="AT2330" i="1"/>
  <c r="AS2330" i="1"/>
  <c r="AT2329" i="1"/>
  <c r="AS2329" i="1"/>
  <c r="AR2329" i="1"/>
  <c r="AT2328" i="1"/>
  <c r="AS2328" i="1"/>
  <c r="AT2327" i="1"/>
  <c r="AS2327" i="1"/>
  <c r="AR2327" i="1"/>
  <c r="AT2326" i="1"/>
  <c r="AS2326" i="1"/>
  <c r="AR2326" i="1"/>
  <c r="AT2325" i="1"/>
  <c r="AS2325" i="1"/>
  <c r="AT2324" i="1"/>
  <c r="AS2324" i="1"/>
  <c r="AT2323" i="1"/>
  <c r="AS2323" i="1"/>
  <c r="AR2323" i="1"/>
  <c r="AT2322" i="1"/>
  <c r="AS2322" i="1"/>
  <c r="AT2321" i="1"/>
  <c r="AS2321" i="1"/>
  <c r="AR2321" i="1"/>
  <c r="AT2320" i="1"/>
  <c r="AS2320" i="1"/>
  <c r="AT2319" i="1"/>
  <c r="AS2319" i="1"/>
  <c r="AR2319" i="1"/>
  <c r="AT2318" i="1"/>
  <c r="AS2318" i="1"/>
  <c r="AT2317" i="1"/>
  <c r="AS2317" i="1"/>
  <c r="AT2316" i="1"/>
  <c r="AS2316" i="1"/>
  <c r="AT2315" i="1"/>
  <c r="AS2315" i="1"/>
  <c r="AT2314" i="1"/>
  <c r="AS2314" i="1"/>
  <c r="AR2314" i="1"/>
  <c r="AT2313" i="1"/>
  <c r="AS2313" i="1"/>
  <c r="AR2313" i="1"/>
  <c r="AT2312" i="1"/>
  <c r="AS2312" i="1"/>
  <c r="AR2312" i="1"/>
  <c r="AT2311" i="1"/>
  <c r="AS2311" i="1"/>
  <c r="AT2310" i="1"/>
  <c r="AS2310" i="1"/>
  <c r="AT2309" i="1"/>
  <c r="AS2309" i="1"/>
  <c r="AT2308" i="1"/>
  <c r="AS2308" i="1"/>
  <c r="AR2308" i="1"/>
  <c r="AT2307" i="1"/>
  <c r="AS2307" i="1"/>
  <c r="AT2306" i="1"/>
  <c r="AS2306" i="1"/>
  <c r="AR2306" i="1"/>
  <c r="AT2305" i="1"/>
  <c r="AS2305" i="1"/>
  <c r="AT2304" i="1"/>
  <c r="AS2304" i="1"/>
  <c r="AT2303" i="1"/>
  <c r="AS2303" i="1"/>
  <c r="AT2302" i="1"/>
  <c r="AS2302" i="1"/>
  <c r="AR2302" i="1"/>
  <c r="AT2301" i="1"/>
  <c r="AS2301" i="1"/>
  <c r="AR2301" i="1"/>
  <c r="AT2300" i="1"/>
  <c r="AS2300" i="1"/>
  <c r="AR2300" i="1"/>
  <c r="AT2299" i="1"/>
  <c r="AS2299" i="1"/>
  <c r="AR2299" i="1"/>
  <c r="AT2298" i="1"/>
  <c r="AS2298" i="1"/>
  <c r="AT2297" i="1"/>
  <c r="AS2297" i="1"/>
  <c r="AR2297" i="1"/>
  <c r="AT2296" i="1"/>
  <c r="AS2296" i="1"/>
  <c r="AT2295" i="1"/>
  <c r="AS2295" i="1"/>
  <c r="AR2295" i="1"/>
  <c r="AT2294" i="1"/>
  <c r="AS2294" i="1"/>
  <c r="AR2294" i="1"/>
  <c r="AT2293" i="1"/>
  <c r="AS2293" i="1"/>
  <c r="AT2292" i="1"/>
  <c r="AS2292" i="1"/>
  <c r="AR2292" i="1"/>
  <c r="AT2291" i="1"/>
  <c r="AS2291" i="1"/>
  <c r="AR2291" i="1"/>
  <c r="AT2290" i="1"/>
  <c r="AS2290" i="1"/>
  <c r="AT2289" i="1"/>
  <c r="AS2289" i="1"/>
  <c r="AR2289" i="1"/>
  <c r="AT2288" i="1"/>
  <c r="AS2288" i="1"/>
  <c r="AT2287" i="1"/>
  <c r="AS2287" i="1"/>
  <c r="AT2286" i="1"/>
  <c r="AS2286" i="1"/>
  <c r="AT2285" i="1"/>
  <c r="AS2285" i="1"/>
  <c r="AR2285" i="1"/>
  <c r="AT2284" i="1"/>
  <c r="AS2284" i="1"/>
  <c r="AT2283" i="1"/>
  <c r="AS2283" i="1"/>
  <c r="AR2283" i="1"/>
  <c r="AT2282" i="1"/>
  <c r="AS2282" i="1"/>
  <c r="AR2282" i="1"/>
  <c r="AT2281" i="1"/>
  <c r="AS2281" i="1"/>
  <c r="AT2280" i="1"/>
  <c r="AS2280" i="1"/>
  <c r="AT2279" i="1"/>
  <c r="AS2279" i="1"/>
  <c r="AR2279" i="1"/>
  <c r="AT2278" i="1"/>
  <c r="AS2278" i="1"/>
  <c r="AR2278" i="1"/>
  <c r="AT2277" i="1"/>
  <c r="AS2277" i="1"/>
  <c r="AT2276" i="1"/>
  <c r="AS2276" i="1"/>
  <c r="AR2276" i="1"/>
  <c r="AT2275" i="1"/>
  <c r="AS2275" i="1"/>
  <c r="AR2275" i="1"/>
  <c r="AT2274" i="1"/>
  <c r="AS2274" i="1"/>
  <c r="AT2273" i="1"/>
  <c r="AS2273" i="1"/>
  <c r="AR2273" i="1"/>
  <c r="AT2272" i="1"/>
  <c r="AS2272" i="1"/>
  <c r="AR2272" i="1"/>
  <c r="AT2271" i="1"/>
  <c r="AS2271" i="1"/>
  <c r="AR2271" i="1"/>
  <c r="AT2270" i="1"/>
  <c r="AS2270" i="1"/>
  <c r="AT2269" i="1"/>
  <c r="AS2269" i="1"/>
  <c r="AR2269" i="1"/>
  <c r="AT2268" i="1"/>
  <c r="AS2268" i="1"/>
  <c r="AR2268" i="1"/>
  <c r="AT2267" i="1"/>
  <c r="AS2267" i="1"/>
  <c r="AR2267" i="1"/>
  <c r="AT2266" i="1"/>
  <c r="AS2266" i="1"/>
  <c r="AT2265" i="1"/>
  <c r="AS2265" i="1"/>
  <c r="AT2264" i="1"/>
  <c r="AS2264" i="1"/>
  <c r="AT2263" i="1"/>
  <c r="AS2263" i="1"/>
  <c r="AR2263" i="1"/>
  <c r="AT2262" i="1"/>
  <c r="AS2262" i="1"/>
  <c r="AR2262" i="1"/>
  <c r="AT2261" i="1"/>
  <c r="AS2261" i="1"/>
  <c r="AR2261" i="1"/>
  <c r="AT2260" i="1"/>
  <c r="AS2260" i="1"/>
  <c r="AT2259" i="1"/>
  <c r="AS2259" i="1"/>
  <c r="AT2258" i="1"/>
  <c r="AS2258" i="1"/>
  <c r="AT2257" i="1"/>
  <c r="AS2257" i="1"/>
  <c r="AT2256" i="1"/>
  <c r="AS2256" i="1"/>
  <c r="AR2256" i="1"/>
  <c r="AT2255" i="1"/>
  <c r="AS2255" i="1"/>
  <c r="AR2255" i="1"/>
  <c r="AT2254" i="1"/>
  <c r="AS2254" i="1"/>
  <c r="AT2253" i="1"/>
  <c r="AS2253" i="1"/>
  <c r="AT2252" i="1"/>
  <c r="AS2252" i="1"/>
  <c r="AT2251" i="1"/>
  <c r="AS2251" i="1"/>
  <c r="AR2251" i="1"/>
  <c r="AT2250" i="1"/>
  <c r="AS2250" i="1"/>
  <c r="AR2250" i="1"/>
  <c r="AT2249" i="1"/>
  <c r="AS2249" i="1"/>
  <c r="AT2248" i="1"/>
  <c r="AS2248" i="1"/>
  <c r="AR2248" i="1"/>
  <c r="AT2247" i="1"/>
  <c r="AS2247" i="1"/>
  <c r="AT2246" i="1"/>
  <c r="AS2246" i="1"/>
  <c r="AR2246" i="1"/>
  <c r="AT2245" i="1"/>
  <c r="AS2245" i="1"/>
  <c r="AR2245" i="1"/>
  <c r="AT2244" i="1"/>
  <c r="AS2244" i="1"/>
  <c r="AT2243" i="1"/>
  <c r="AS2243" i="1"/>
  <c r="AR2243" i="1"/>
  <c r="AT2242" i="1"/>
  <c r="AS2242" i="1"/>
  <c r="AT2241" i="1"/>
  <c r="AS2241" i="1"/>
  <c r="AR2241" i="1"/>
  <c r="AT2240" i="1"/>
  <c r="AS2240" i="1"/>
  <c r="AT2239" i="1"/>
  <c r="AS2239" i="1"/>
  <c r="AR2239" i="1"/>
  <c r="AT2238" i="1"/>
  <c r="AS2238" i="1"/>
  <c r="AT2237" i="1"/>
  <c r="AS2237" i="1"/>
  <c r="AT2236" i="1"/>
  <c r="AS2236" i="1"/>
  <c r="AR2236" i="1"/>
  <c r="AT2235" i="1"/>
  <c r="AS2235" i="1"/>
  <c r="AT2234" i="1"/>
  <c r="AS2234" i="1"/>
  <c r="AT2233" i="1"/>
  <c r="AS2233" i="1"/>
  <c r="AR2233" i="1"/>
  <c r="AT2232" i="1"/>
  <c r="AS2232" i="1"/>
  <c r="AR2232" i="1"/>
  <c r="AT2231" i="1"/>
  <c r="AS2231" i="1"/>
  <c r="AR2231" i="1"/>
  <c r="AT2230" i="1"/>
  <c r="AS2230" i="1"/>
  <c r="AR2230" i="1"/>
  <c r="AT2229" i="1"/>
  <c r="AS2229" i="1"/>
  <c r="AR2229" i="1"/>
  <c r="AT2228" i="1"/>
  <c r="AS2228" i="1"/>
  <c r="AR2228" i="1"/>
  <c r="AT2227" i="1"/>
  <c r="AS2227" i="1"/>
  <c r="AR2227" i="1"/>
  <c r="AT2226" i="1"/>
  <c r="AS2226" i="1"/>
  <c r="AR2226" i="1"/>
  <c r="AT2225" i="1"/>
  <c r="AS2225" i="1"/>
  <c r="AR2225" i="1"/>
  <c r="AT2224" i="1"/>
  <c r="AS2224" i="1"/>
  <c r="AR2224" i="1"/>
  <c r="AT2223" i="1"/>
  <c r="AS2223" i="1"/>
  <c r="AR2223" i="1"/>
  <c r="AT2222" i="1"/>
  <c r="AS2222" i="1"/>
  <c r="AT2221" i="1"/>
  <c r="AS2221" i="1"/>
  <c r="AT2220" i="1"/>
  <c r="AS2220" i="1"/>
  <c r="AR2220" i="1"/>
  <c r="AT2219" i="1"/>
  <c r="AS2219" i="1"/>
  <c r="AT2218" i="1"/>
  <c r="AS2218" i="1"/>
  <c r="AR2218" i="1"/>
  <c r="AT2217" i="1"/>
  <c r="AS2217" i="1"/>
  <c r="AR2217" i="1"/>
  <c r="AT2216" i="1"/>
  <c r="AS2216" i="1"/>
  <c r="AT2215" i="1"/>
  <c r="AS2215" i="1"/>
  <c r="AR2215" i="1"/>
  <c r="AT2214" i="1"/>
  <c r="AS2214" i="1"/>
  <c r="AR2214" i="1"/>
  <c r="AT2213" i="1"/>
  <c r="AS2213" i="1"/>
  <c r="AT2212" i="1"/>
  <c r="AS2212" i="1"/>
  <c r="AR2212" i="1"/>
  <c r="AT2211" i="1"/>
  <c r="AS2211" i="1"/>
  <c r="AR2211" i="1"/>
  <c r="AT2210" i="1"/>
  <c r="AS2210" i="1"/>
  <c r="AT2209" i="1"/>
  <c r="AS2209" i="1"/>
  <c r="AR2209" i="1"/>
  <c r="AT2208" i="1"/>
  <c r="AS2208" i="1"/>
  <c r="AR2208" i="1"/>
  <c r="AT2207" i="1"/>
  <c r="AS2207" i="1"/>
  <c r="AR2207" i="1"/>
  <c r="AT2206" i="1"/>
  <c r="AS2206" i="1"/>
  <c r="AR2206" i="1"/>
  <c r="AT2205" i="1"/>
  <c r="AS2205" i="1"/>
  <c r="AR2205" i="1"/>
  <c r="AT2204" i="1"/>
  <c r="AS2204" i="1"/>
  <c r="AT2203" i="1"/>
  <c r="AS2203" i="1"/>
  <c r="AR2203" i="1"/>
  <c r="AT2202" i="1"/>
  <c r="AS2202" i="1"/>
  <c r="AR2202" i="1"/>
  <c r="AT2201" i="1"/>
  <c r="AS2201" i="1"/>
  <c r="AT2200" i="1"/>
  <c r="AS2200" i="1"/>
  <c r="AR2200" i="1"/>
  <c r="AT2199" i="1"/>
  <c r="AS2199" i="1"/>
  <c r="AT2198" i="1"/>
  <c r="AS2198" i="1"/>
  <c r="AR2198" i="1"/>
  <c r="AT2197" i="1"/>
  <c r="AS2197" i="1"/>
  <c r="AR2197" i="1"/>
  <c r="AT2196" i="1"/>
  <c r="AS2196" i="1"/>
  <c r="AT2195" i="1"/>
  <c r="AS2195" i="1"/>
  <c r="AR2195" i="1"/>
  <c r="AT2194" i="1"/>
  <c r="AS2194" i="1"/>
  <c r="AR2194" i="1"/>
  <c r="AT2193" i="1"/>
  <c r="AS2193" i="1"/>
  <c r="AR2193" i="1"/>
  <c r="AT2192" i="1"/>
  <c r="AS2192" i="1"/>
  <c r="AT2191" i="1"/>
  <c r="AS2191" i="1"/>
  <c r="AR2191" i="1"/>
  <c r="AT2190" i="1"/>
  <c r="AS2190" i="1"/>
  <c r="AR2190" i="1"/>
  <c r="AT2189" i="1"/>
  <c r="AS2189" i="1"/>
  <c r="AR2189" i="1"/>
  <c r="AT2188" i="1"/>
  <c r="AS2188" i="1"/>
  <c r="AT2187" i="1"/>
  <c r="AS2187" i="1"/>
  <c r="AT2186" i="1"/>
  <c r="AS2186" i="1"/>
  <c r="AT2185" i="1"/>
  <c r="AS2185" i="1"/>
  <c r="AR2185" i="1"/>
  <c r="AT2184" i="1"/>
  <c r="AS2184" i="1"/>
  <c r="AR2184" i="1"/>
  <c r="AT2183" i="1"/>
  <c r="AS2183" i="1"/>
  <c r="AR2183" i="1"/>
  <c r="AT2182" i="1"/>
  <c r="AS2182" i="1"/>
  <c r="AT2181" i="1"/>
  <c r="AS2181" i="1"/>
  <c r="AR2181" i="1"/>
  <c r="AT2180" i="1"/>
  <c r="AS2180" i="1"/>
  <c r="AT2179" i="1"/>
  <c r="AS2179" i="1"/>
  <c r="AR2179" i="1"/>
  <c r="AT2178" i="1"/>
  <c r="AS2178" i="1"/>
  <c r="AR2178" i="1"/>
  <c r="AT2177" i="1"/>
  <c r="AS2177" i="1"/>
  <c r="AT2176" i="1"/>
  <c r="AS2176" i="1"/>
  <c r="AT2175" i="1"/>
  <c r="AS2175" i="1"/>
  <c r="AT2174" i="1"/>
  <c r="AS2174" i="1"/>
  <c r="AR2174" i="1"/>
  <c r="AT2173" i="1"/>
  <c r="AS2173" i="1"/>
  <c r="AT2172" i="1"/>
  <c r="AS2172" i="1"/>
  <c r="AR2172" i="1"/>
  <c r="AT2171" i="1"/>
  <c r="AS2171" i="1"/>
  <c r="AR2171" i="1"/>
  <c r="AT2170" i="1"/>
  <c r="AS2170" i="1"/>
  <c r="AR2170" i="1"/>
  <c r="AT2169" i="1"/>
  <c r="AS2169" i="1"/>
  <c r="AT2168" i="1"/>
  <c r="AS2168" i="1"/>
  <c r="AR2168" i="1"/>
  <c r="AT2167" i="1"/>
  <c r="AS2167" i="1"/>
  <c r="AT2166" i="1"/>
  <c r="AS2166" i="1"/>
  <c r="AT2165" i="1"/>
  <c r="AS2165" i="1"/>
  <c r="AT2164" i="1"/>
  <c r="AS2164" i="1"/>
  <c r="AR2164" i="1"/>
  <c r="AT2163" i="1"/>
  <c r="AS2163" i="1"/>
  <c r="AT2162" i="1"/>
  <c r="AS2162" i="1"/>
  <c r="AR2162" i="1"/>
  <c r="AT2161" i="1"/>
  <c r="AS2161" i="1"/>
  <c r="AR2161" i="1"/>
  <c r="AT2160" i="1"/>
  <c r="AS2160" i="1"/>
  <c r="AT2159" i="1"/>
  <c r="AS2159" i="1"/>
  <c r="AR2159" i="1"/>
  <c r="AT2158" i="1"/>
  <c r="AS2158" i="1"/>
  <c r="AR2158" i="1"/>
  <c r="AT2157" i="1"/>
  <c r="AS2157" i="1"/>
  <c r="AR2157" i="1"/>
  <c r="AT2156" i="1"/>
  <c r="AS2156" i="1"/>
  <c r="AR2156" i="1"/>
  <c r="AT2155" i="1"/>
  <c r="AS2155" i="1"/>
  <c r="AT2154" i="1"/>
  <c r="AS2154" i="1"/>
  <c r="AT2153" i="1"/>
  <c r="AS2153" i="1"/>
  <c r="AR2153" i="1"/>
  <c r="AT2152" i="1"/>
  <c r="AS2152" i="1"/>
  <c r="AR2152" i="1"/>
  <c r="AT2151" i="1"/>
  <c r="AS2151" i="1"/>
  <c r="AR2151" i="1"/>
  <c r="AT2150" i="1"/>
  <c r="AS2150" i="1"/>
  <c r="AT2149" i="1"/>
  <c r="AS2149" i="1"/>
  <c r="AT2148" i="1"/>
  <c r="AS2148" i="1"/>
  <c r="AR2148" i="1"/>
  <c r="AT2147" i="1"/>
  <c r="AS2147" i="1"/>
  <c r="AR2147" i="1"/>
  <c r="AT2146" i="1"/>
  <c r="AS2146" i="1"/>
  <c r="AT2145" i="1"/>
  <c r="AS2145" i="1"/>
  <c r="AT2144" i="1"/>
  <c r="AS2144" i="1"/>
  <c r="AR2144" i="1"/>
  <c r="AT2143" i="1"/>
  <c r="AS2143" i="1"/>
  <c r="AT2142" i="1"/>
  <c r="AS2142" i="1"/>
  <c r="AR2142" i="1"/>
  <c r="AT2141" i="1"/>
  <c r="AS2141" i="1"/>
  <c r="AT2140" i="1"/>
  <c r="AS2140" i="1"/>
  <c r="AR2140" i="1"/>
  <c r="AT2139" i="1"/>
  <c r="AS2139" i="1"/>
  <c r="AR2139" i="1"/>
  <c r="AT2138" i="1"/>
  <c r="AS2138" i="1"/>
  <c r="AR2138" i="1"/>
  <c r="AT2137" i="1"/>
  <c r="AS2137" i="1"/>
  <c r="AT2136" i="1"/>
  <c r="AS2136" i="1"/>
  <c r="AT2135" i="1"/>
  <c r="AS2135" i="1"/>
  <c r="AT2134" i="1"/>
  <c r="AS2134" i="1"/>
  <c r="AR2134" i="1"/>
  <c r="AT2133" i="1"/>
  <c r="AS2133" i="1"/>
  <c r="AR2133" i="1"/>
  <c r="AT2132" i="1"/>
  <c r="AS2132" i="1"/>
  <c r="AR2132" i="1"/>
  <c r="AT2131" i="1"/>
  <c r="AS2131" i="1"/>
  <c r="AT2130" i="1"/>
  <c r="AS2130" i="1"/>
  <c r="AR2130" i="1"/>
  <c r="AT2129" i="1"/>
  <c r="AS2129" i="1"/>
  <c r="AR2129" i="1"/>
  <c r="AT2128" i="1"/>
  <c r="AS2128" i="1"/>
  <c r="AR2128" i="1"/>
  <c r="AT2127" i="1"/>
  <c r="AS2127" i="1"/>
  <c r="AT2126" i="1"/>
  <c r="AS2126" i="1"/>
  <c r="AR2126" i="1"/>
  <c r="AT2125" i="1"/>
  <c r="AS2125" i="1"/>
  <c r="AR2125" i="1"/>
  <c r="AT2124" i="1"/>
  <c r="AS2124" i="1"/>
  <c r="AR2124" i="1"/>
  <c r="AT2123" i="1"/>
  <c r="AS2123" i="1"/>
  <c r="AR2123" i="1"/>
  <c r="AT2122" i="1"/>
  <c r="AS2122" i="1"/>
  <c r="AR2122" i="1"/>
  <c r="AT2121" i="1"/>
  <c r="AS2121" i="1"/>
  <c r="AT2120" i="1"/>
  <c r="AS2120" i="1"/>
  <c r="AR2120" i="1"/>
  <c r="AT2119" i="1"/>
  <c r="AS2119" i="1"/>
  <c r="AT2118" i="1"/>
  <c r="AS2118" i="1"/>
  <c r="AR2118" i="1"/>
  <c r="AT2117" i="1"/>
  <c r="AS2117" i="1"/>
  <c r="AR2117" i="1"/>
  <c r="AT2116" i="1"/>
  <c r="AS2116" i="1"/>
  <c r="AR2116" i="1"/>
  <c r="AT2115" i="1"/>
  <c r="AS2115" i="1"/>
  <c r="AR2115" i="1"/>
  <c r="AT2114" i="1"/>
  <c r="AS2114" i="1"/>
  <c r="AR2114" i="1"/>
  <c r="AT2113" i="1"/>
  <c r="AS2113" i="1"/>
  <c r="AT2112" i="1"/>
  <c r="AS2112" i="1"/>
  <c r="AR2112" i="1"/>
  <c r="AT2111" i="1"/>
  <c r="AS2111" i="1"/>
  <c r="AT2110" i="1"/>
  <c r="AS2110" i="1"/>
  <c r="AR2110" i="1"/>
  <c r="AT2109" i="1"/>
  <c r="AS2109" i="1"/>
  <c r="AT2108" i="1"/>
  <c r="AS2108" i="1"/>
  <c r="AR2108" i="1"/>
  <c r="AT2107" i="1"/>
  <c r="AS2107" i="1"/>
  <c r="AR2107" i="1"/>
  <c r="AT2106" i="1"/>
  <c r="AS2106" i="1"/>
  <c r="AR2106" i="1"/>
  <c r="AT2105" i="1"/>
  <c r="AS2105" i="1"/>
  <c r="AR2105" i="1"/>
  <c r="AT2104" i="1"/>
  <c r="AS2104" i="1"/>
  <c r="AR2104" i="1"/>
  <c r="AT2103" i="1"/>
  <c r="AS2103" i="1"/>
  <c r="AR2103" i="1"/>
  <c r="AT2102" i="1"/>
  <c r="AS2102" i="1"/>
  <c r="AR2102" i="1"/>
  <c r="AT2101" i="1"/>
  <c r="AS2101" i="1"/>
  <c r="AT2100" i="1"/>
  <c r="AS2100" i="1"/>
  <c r="AT2099" i="1"/>
  <c r="AS2099" i="1"/>
  <c r="AR2099" i="1"/>
  <c r="AT2098" i="1"/>
  <c r="AS2098" i="1"/>
  <c r="AR2098" i="1"/>
  <c r="AT2097" i="1"/>
  <c r="AS2097" i="1"/>
  <c r="AR2097" i="1"/>
  <c r="AT2096" i="1"/>
  <c r="AS2096" i="1"/>
  <c r="AT2095" i="1"/>
  <c r="AS2095" i="1"/>
  <c r="AR2095" i="1"/>
  <c r="AT2094" i="1"/>
  <c r="AS2094" i="1"/>
  <c r="AR2094" i="1"/>
  <c r="AT2093" i="1"/>
  <c r="AS2093" i="1"/>
  <c r="AR2093" i="1"/>
  <c r="AT2092" i="1"/>
  <c r="AS2092" i="1"/>
  <c r="AR2092" i="1"/>
  <c r="AT2091" i="1"/>
  <c r="AS2091" i="1"/>
  <c r="AR2091" i="1"/>
  <c r="AT2090" i="1"/>
  <c r="AS2090" i="1"/>
  <c r="AR2090" i="1"/>
  <c r="AT2089" i="1"/>
  <c r="AS2089" i="1"/>
  <c r="AR2089" i="1"/>
  <c r="AT2088" i="1"/>
  <c r="AS2088" i="1"/>
  <c r="AR2088" i="1"/>
  <c r="AT2087" i="1"/>
  <c r="AS2087" i="1"/>
  <c r="AR2087" i="1"/>
  <c r="AT2086" i="1"/>
  <c r="AS2086" i="1"/>
  <c r="AR2086" i="1"/>
  <c r="AT2085" i="1"/>
  <c r="AS2085" i="1"/>
  <c r="AR2085" i="1"/>
  <c r="AT2084" i="1"/>
  <c r="AS2084" i="1"/>
  <c r="AT2083" i="1"/>
  <c r="AS2083" i="1"/>
  <c r="AR2083" i="1"/>
  <c r="AT2082" i="1"/>
  <c r="AS2082" i="1"/>
  <c r="AR2082" i="1"/>
  <c r="AT2081" i="1"/>
  <c r="AS2081" i="1"/>
  <c r="AR2081" i="1"/>
  <c r="AT2080" i="1"/>
  <c r="AS2080" i="1"/>
  <c r="AT2079" i="1"/>
  <c r="AS2079" i="1"/>
  <c r="AT2078" i="1"/>
  <c r="AS2078" i="1"/>
  <c r="AT2077" i="1"/>
  <c r="AS2077" i="1"/>
  <c r="AR2077" i="1"/>
  <c r="AT2076" i="1"/>
  <c r="AS2076" i="1"/>
  <c r="AR2076" i="1"/>
  <c r="AT2075" i="1"/>
  <c r="AS2075" i="1"/>
  <c r="AR2075" i="1"/>
  <c r="AT2074" i="1"/>
  <c r="AS2074" i="1"/>
  <c r="AT2073" i="1"/>
  <c r="AS2073" i="1"/>
  <c r="AT2072" i="1"/>
  <c r="AS2072" i="1"/>
  <c r="AR2072" i="1"/>
  <c r="AT2071" i="1"/>
  <c r="AS2071" i="1"/>
  <c r="AR2071" i="1"/>
  <c r="AT2070" i="1"/>
  <c r="AS2070" i="1"/>
  <c r="AR2070" i="1"/>
  <c r="AT2069" i="1"/>
  <c r="AS2069" i="1"/>
  <c r="AR2069" i="1"/>
  <c r="AT2068" i="1"/>
  <c r="AS2068" i="1"/>
  <c r="AT2067" i="1"/>
  <c r="AS2067" i="1"/>
  <c r="AR2067" i="1"/>
  <c r="AT2066" i="1"/>
  <c r="AS2066" i="1"/>
  <c r="AR2066" i="1"/>
  <c r="AT2065" i="1"/>
  <c r="AS2065" i="1"/>
  <c r="AT2064" i="1"/>
  <c r="AS2064" i="1"/>
  <c r="AR2064" i="1"/>
  <c r="AT2063" i="1"/>
  <c r="AS2063" i="1"/>
  <c r="AT2062" i="1"/>
  <c r="AS2062" i="1"/>
  <c r="AR2062" i="1"/>
  <c r="AT2061" i="1"/>
  <c r="AS2061" i="1"/>
  <c r="AT2060" i="1"/>
  <c r="AS2060" i="1"/>
  <c r="AR2060" i="1"/>
  <c r="AT2059" i="1"/>
  <c r="AS2059" i="1"/>
  <c r="AT2058" i="1"/>
  <c r="AS2058" i="1"/>
  <c r="AR2058" i="1"/>
  <c r="AT2057" i="1"/>
  <c r="AS2057" i="1"/>
  <c r="AT2056" i="1"/>
  <c r="AS2056" i="1"/>
  <c r="AR2056" i="1"/>
  <c r="AT2055" i="1"/>
  <c r="AS2055" i="1"/>
  <c r="AT2054" i="1"/>
  <c r="AS2054" i="1"/>
  <c r="AR2054" i="1"/>
  <c r="AT2053" i="1"/>
  <c r="AS2053" i="1"/>
  <c r="AT2052" i="1"/>
  <c r="AS2052" i="1"/>
  <c r="AT2051" i="1"/>
  <c r="AS2051" i="1"/>
  <c r="AT2050" i="1"/>
  <c r="AS2050" i="1"/>
  <c r="AT2049" i="1"/>
  <c r="AS2049" i="1"/>
  <c r="AR2049" i="1"/>
  <c r="AT2048" i="1"/>
  <c r="AS2048" i="1"/>
  <c r="AR2048" i="1"/>
  <c r="AT2047" i="1"/>
  <c r="AS2047" i="1"/>
  <c r="AT2046" i="1"/>
  <c r="AS2046" i="1"/>
  <c r="AT2045" i="1"/>
  <c r="AS2045" i="1"/>
  <c r="AR2045" i="1"/>
  <c r="AT2044" i="1"/>
  <c r="AS2044" i="1"/>
  <c r="AR2044" i="1"/>
  <c r="AT2043" i="1"/>
  <c r="AS2043" i="1"/>
  <c r="AR2043" i="1"/>
  <c r="AT2042" i="1"/>
  <c r="AS2042" i="1"/>
  <c r="AR2042" i="1"/>
  <c r="AT2041" i="1"/>
  <c r="AS2041" i="1"/>
  <c r="AR2041" i="1"/>
  <c r="AT2040" i="1"/>
  <c r="AS2040" i="1"/>
  <c r="AR2040" i="1"/>
  <c r="AT2039" i="1"/>
  <c r="AS2039" i="1"/>
  <c r="AR2039" i="1"/>
  <c r="AT2038" i="1"/>
  <c r="AS2038" i="1"/>
  <c r="AR2038" i="1"/>
  <c r="AT2037" i="1"/>
  <c r="AS2037" i="1"/>
  <c r="AR2037" i="1"/>
  <c r="AT2036" i="1"/>
  <c r="AS2036" i="1"/>
  <c r="AR2036" i="1"/>
  <c r="AT2035" i="1"/>
  <c r="AS2035" i="1"/>
  <c r="AR2035" i="1"/>
  <c r="AT2034" i="1"/>
  <c r="AS2034" i="1"/>
  <c r="AR2034" i="1"/>
  <c r="AT2033" i="1"/>
  <c r="AS2033" i="1"/>
  <c r="AR2033" i="1"/>
  <c r="AT2032" i="1"/>
  <c r="AS2032" i="1"/>
  <c r="AT2031" i="1"/>
  <c r="AS2031" i="1"/>
  <c r="AR2031" i="1"/>
  <c r="AT2030" i="1"/>
  <c r="AS2030" i="1"/>
  <c r="AT2029" i="1"/>
  <c r="AS2029" i="1"/>
  <c r="AR2029" i="1"/>
  <c r="AT2028" i="1"/>
  <c r="AS2028" i="1"/>
  <c r="AT2027" i="1"/>
  <c r="AS2027" i="1"/>
  <c r="AR2027" i="1"/>
  <c r="AT2026" i="1"/>
  <c r="AS2026" i="1"/>
  <c r="AR2026" i="1"/>
  <c r="AT2025" i="1"/>
  <c r="AS2025" i="1"/>
  <c r="AT2024" i="1"/>
  <c r="AS2024" i="1"/>
  <c r="AR2024" i="1"/>
  <c r="AT2023" i="1"/>
  <c r="AS2023" i="1"/>
  <c r="AR2023" i="1"/>
  <c r="AT2022" i="1"/>
  <c r="AS2022" i="1"/>
  <c r="AT2021" i="1"/>
  <c r="AS2021" i="1"/>
  <c r="AT2020" i="1"/>
  <c r="AS2020" i="1"/>
  <c r="AR2020" i="1"/>
  <c r="AT2019" i="1"/>
  <c r="AS2019" i="1"/>
  <c r="AT2018" i="1"/>
  <c r="AS2018" i="1"/>
  <c r="AR2018" i="1"/>
  <c r="AT2017" i="1"/>
  <c r="AS2017" i="1"/>
  <c r="AR2017" i="1"/>
  <c r="AT2016" i="1"/>
  <c r="AS2016" i="1"/>
  <c r="AR2016" i="1"/>
  <c r="AT2015" i="1"/>
  <c r="AS2015" i="1"/>
  <c r="AT2014" i="1"/>
  <c r="AS2014" i="1"/>
  <c r="AT2013" i="1"/>
  <c r="AS2013" i="1"/>
  <c r="AT2012" i="1"/>
  <c r="AS2012" i="1"/>
  <c r="AT2011" i="1"/>
  <c r="AS2011" i="1"/>
  <c r="AT2010" i="1"/>
  <c r="AS2010" i="1"/>
  <c r="AR2010" i="1"/>
  <c r="AT2009" i="1"/>
  <c r="AS2009" i="1"/>
  <c r="AT2008" i="1"/>
  <c r="AS2008" i="1"/>
  <c r="AR2008" i="1"/>
  <c r="AT2007" i="1"/>
  <c r="AS2007" i="1"/>
  <c r="AT2006" i="1"/>
  <c r="AS2006" i="1"/>
  <c r="AT2005" i="1"/>
  <c r="AS2005" i="1"/>
  <c r="AT2004" i="1"/>
  <c r="AS2004" i="1"/>
  <c r="AR2004" i="1"/>
  <c r="AT2003" i="1"/>
  <c r="AS2003" i="1"/>
  <c r="AT2002" i="1"/>
  <c r="AS2002" i="1"/>
  <c r="AT2001" i="1"/>
  <c r="AS2001" i="1"/>
  <c r="AT2000" i="1"/>
  <c r="AS2000" i="1"/>
  <c r="AR2000" i="1"/>
  <c r="AT1999" i="1"/>
  <c r="AS1999" i="1"/>
  <c r="AR1999" i="1"/>
  <c r="AT1998" i="1"/>
  <c r="AS1998" i="1"/>
  <c r="AT1997" i="1"/>
  <c r="AS1997" i="1"/>
  <c r="AR1997" i="1"/>
  <c r="AT1996" i="1"/>
  <c r="AS1996" i="1"/>
  <c r="AR1996" i="1"/>
  <c r="AT1995" i="1"/>
  <c r="AS1995" i="1"/>
  <c r="AR1995" i="1"/>
  <c r="AT1994" i="1"/>
  <c r="AS1994" i="1"/>
  <c r="AR1994" i="1"/>
  <c r="AT1993" i="1"/>
  <c r="AS1993" i="1"/>
  <c r="AR1993" i="1"/>
  <c r="AT1992" i="1"/>
  <c r="AS1992" i="1"/>
  <c r="AT1991" i="1"/>
  <c r="AS1991" i="1"/>
  <c r="AT1990" i="1"/>
  <c r="AS1990" i="1"/>
  <c r="AT1989" i="1"/>
  <c r="AS1989" i="1"/>
  <c r="AR1989" i="1"/>
  <c r="AT1988" i="1"/>
  <c r="AS1988" i="1"/>
  <c r="AT1987" i="1"/>
  <c r="AS1987" i="1"/>
  <c r="AT1986" i="1"/>
  <c r="AS1986" i="1"/>
  <c r="AT1985" i="1"/>
  <c r="AS1985" i="1"/>
  <c r="AR1985" i="1"/>
  <c r="AT1984" i="1"/>
  <c r="AS1984" i="1"/>
  <c r="AR1984" i="1"/>
  <c r="AT1983" i="1"/>
  <c r="AS1983" i="1"/>
  <c r="AR1983" i="1"/>
  <c r="AT1982" i="1"/>
  <c r="AS1982" i="1"/>
  <c r="AR1982" i="1"/>
  <c r="AT1981" i="1"/>
  <c r="AS1981" i="1"/>
  <c r="AR1981" i="1"/>
  <c r="AT1980" i="1"/>
  <c r="AS1980" i="1"/>
  <c r="AR1980" i="1"/>
  <c r="AT1979" i="1"/>
  <c r="AS1979" i="1"/>
  <c r="AR1979" i="1"/>
  <c r="AT1978" i="1"/>
  <c r="AS1978" i="1"/>
  <c r="AR1978" i="1"/>
  <c r="AT1977" i="1"/>
  <c r="AS1977" i="1"/>
  <c r="AT1976" i="1"/>
  <c r="AS1976" i="1"/>
  <c r="AT1975" i="1"/>
  <c r="AS1975" i="1"/>
  <c r="AR1975" i="1"/>
  <c r="AT1974" i="1"/>
  <c r="AS1974" i="1"/>
  <c r="AR1974" i="1"/>
  <c r="AT1973" i="1"/>
  <c r="AS1973" i="1"/>
  <c r="AT1972" i="1"/>
  <c r="AS1972" i="1"/>
  <c r="AR1972" i="1"/>
  <c r="AT1971" i="1"/>
  <c r="AS1971" i="1"/>
  <c r="AT1970" i="1"/>
  <c r="AS1970" i="1"/>
  <c r="AT1969" i="1"/>
  <c r="AS1969" i="1"/>
  <c r="AT1968" i="1"/>
  <c r="AS1968" i="1"/>
  <c r="AR1968" i="1"/>
  <c r="AT1967" i="1"/>
  <c r="AS1967" i="1"/>
  <c r="AT1966" i="1"/>
  <c r="AS1966" i="1"/>
  <c r="AT1965" i="1"/>
  <c r="AS1965" i="1"/>
  <c r="AR1965" i="1"/>
  <c r="AT1964" i="1"/>
  <c r="AS1964" i="1"/>
  <c r="AR1964" i="1"/>
  <c r="AT1963" i="1"/>
  <c r="AS1963" i="1"/>
  <c r="AR1963" i="1"/>
  <c r="AT1962" i="1"/>
  <c r="AS1962" i="1"/>
  <c r="AR1962" i="1"/>
  <c r="AT1961" i="1"/>
  <c r="AS1961" i="1"/>
  <c r="AT1960" i="1"/>
  <c r="AS1960" i="1"/>
  <c r="AT1959" i="1"/>
  <c r="AS1959" i="1"/>
  <c r="AR1959" i="1"/>
  <c r="AT1958" i="1"/>
  <c r="AS1958" i="1"/>
  <c r="AR1958" i="1"/>
  <c r="AT1957" i="1"/>
  <c r="AS1957" i="1"/>
  <c r="AR1957" i="1"/>
  <c r="AT1956" i="1"/>
  <c r="AS1956" i="1"/>
  <c r="AR1956" i="1"/>
  <c r="AT1955" i="1"/>
  <c r="AS1955" i="1"/>
  <c r="AR1955" i="1"/>
  <c r="AT1954" i="1"/>
  <c r="AS1954" i="1"/>
  <c r="AT1953" i="1"/>
  <c r="AS1953" i="1"/>
  <c r="AT1952" i="1"/>
  <c r="AS1952" i="1"/>
  <c r="AT1951" i="1"/>
  <c r="AS1951" i="1"/>
  <c r="AT1950" i="1"/>
  <c r="AS1950" i="1"/>
  <c r="AT1949" i="1"/>
  <c r="AS1949" i="1"/>
  <c r="AR1949" i="1"/>
  <c r="AT1948" i="1"/>
  <c r="AS1948" i="1"/>
  <c r="AR1948" i="1"/>
  <c r="AT1947" i="1"/>
  <c r="AS1947" i="1"/>
  <c r="AT1946" i="1"/>
  <c r="AS1946" i="1"/>
  <c r="AT1945" i="1"/>
  <c r="AS1945" i="1"/>
  <c r="AR1945" i="1"/>
  <c r="AT1944" i="1"/>
  <c r="AS1944" i="1"/>
  <c r="AT1943" i="1"/>
  <c r="AS1943" i="1"/>
  <c r="AT1942" i="1"/>
  <c r="AS1942" i="1"/>
  <c r="AT1941" i="1"/>
  <c r="AS1941" i="1"/>
  <c r="AT1940" i="1"/>
  <c r="AS1940" i="1"/>
  <c r="AR1940" i="1"/>
  <c r="AT1939" i="1"/>
  <c r="AS1939" i="1"/>
  <c r="AR1939" i="1"/>
  <c r="AT1938" i="1"/>
  <c r="AS1938" i="1"/>
  <c r="AR1938" i="1"/>
  <c r="AT1937" i="1"/>
  <c r="AS1937" i="1"/>
  <c r="AR1937" i="1"/>
  <c r="AT1936" i="1"/>
  <c r="AS1936" i="1"/>
  <c r="AR1936" i="1"/>
  <c r="AT1935" i="1"/>
  <c r="AS1935" i="1"/>
  <c r="AR1935" i="1"/>
  <c r="AT1934" i="1"/>
  <c r="AS1934" i="1"/>
  <c r="AR1934" i="1"/>
  <c r="AT1933" i="1"/>
  <c r="AS1933" i="1"/>
  <c r="AR1933" i="1"/>
  <c r="AT1932" i="1"/>
  <c r="AS1932" i="1"/>
  <c r="AT1931" i="1"/>
  <c r="AS1931" i="1"/>
  <c r="AT1930" i="1"/>
  <c r="AS1930" i="1"/>
  <c r="AT1929" i="1"/>
  <c r="AS1929" i="1"/>
  <c r="AR1929" i="1"/>
  <c r="AT1928" i="1"/>
  <c r="AS1928" i="1"/>
  <c r="AR1928" i="1"/>
  <c r="AT1927" i="1"/>
  <c r="AS1927" i="1"/>
  <c r="AR1927" i="1"/>
  <c r="AT1926" i="1"/>
  <c r="AS1926" i="1"/>
  <c r="AR1926" i="1"/>
  <c r="AT1925" i="1"/>
  <c r="AS1925" i="1"/>
  <c r="AR1925" i="1"/>
  <c r="AT1924" i="1"/>
  <c r="AS1924" i="1"/>
  <c r="AR1924" i="1"/>
  <c r="AT1923" i="1"/>
  <c r="AS1923" i="1"/>
  <c r="AT1922" i="1"/>
  <c r="AS1922" i="1"/>
  <c r="AT1921" i="1"/>
  <c r="AS1921" i="1"/>
  <c r="AR1921" i="1"/>
  <c r="AT1920" i="1"/>
  <c r="AS1920" i="1"/>
  <c r="AR1920" i="1"/>
  <c r="AT1919" i="1"/>
  <c r="AS1919" i="1"/>
  <c r="AT1918" i="1"/>
  <c r="AS1918" i="1"/>
  <c r="AT1917" i="1"/>
  <c r="AS1917" i="1"/>
  <c r="AR1917" i="1"/>
  <c r="AT1916" i="1"/>
  <c r="AS1916" i="1"/>
  <c r="AT1915" i="1"/>
  <c r="AS1915" i="1"/>
  <c r="AT1914" i="1"/>
  <c r="AS1914" i="1"/>
  <c r="AR1914" i="1"/>
  <c r="AT1913" i="1"/>
  <c r="AS1913" i="1"/>
  <c r="AT1912" i="1"/>
  <c r="AS1912" i="1"/>
  <c r="AT1911" i="1"/>
  <c r="AS1911" i="1"/>
  <c r="AR1911" i="1"/>
  <c r="AT1910" i="1"/>
  <c r="AS1910" i="1"/>
  <c r="AT1909" i="1"/>
  <c r="AS1909" i="1"/>
  <c r="AR1909" i="1"/>
  <c r="AT1908" i="1"/>
  <c r="AS1908" i="1"/>
  <c r="AT1907" i="1"/>
  <c r="AS1907" i="1"/>
  <c r="AR1907" i="1"/>
  <c r="AT1906" i="1"/>
  <c r="AS1906" i="1"/>
  <c r="AR1906" i="1"/>
  <c r="AT1905" i="1"/>
  <c r="AS1905" i="1"/>
  <c r="AT1904" i="1"/>
  <c r="AS1904" i="1"/>
  <c r="AR1904" i="1"/>
  <c r="AT1903" i="1"/>
  <c r="AS1903" i="1"/>
  <c r="AR1903" i="1"/>
  <c r="AT1902" i="1"/>
  <c r="AS1902" i="1"/>
  <c r="AT1901" i="1"/>
  <c r="AS1901" i="1"/>
  <c r="AT1900" i="1"/>
  <c r="AS1900" i="1"/>
  <c r="AR1900" i="1"/>
  <c r="AT1899" i="1"/>
  <c r="AS1899" i="1"/>
  <c r="AT1898" i="1"/>
  <c r="AS1898" i="1"/>
  <c r="AT1897" i="1"/>
  <c r="AS1897" i="1"/>
  <c r="AR1897" i="1"/>
  <c r="AT1896" i="1"/>
  <c r="AS1896" i="1"/>
  <c r="AT1895" i="1"/>
  <c r="AS1895" i="1"/>
  <c r="AT1894" i="1"/>
  <c r="AS1894" i="1"/>
  <c r="AR1894" i="1"/>
  <c r="AT1893" i="1"/>
  <c r="AS1893" i="1"/>
  <c r="AT1892" i="1"/>
  <c r="AS1892" i="1"/>
  <c r="AT1891" i="1"/>
  <c r="AS1891" i="1"/>
  <c r="AR1891" i="1"/>
  <c r="AT1890" i="1"/>
  <c r="AS1890" i="1"/>
  <c r="AR1890" i="1"/>
  <c r="AT1889" i="1"/>
  <c r="AS1889" i="1"/>
  <c r="AR1889" i="1"/>
  <c r="AT1888" i="1"/>
  <c r="AS1888" i="1"/>
  <c r="AT1887" i="1"/>
  <c r="AS1887" i="1"/>
  <c r="AR1887" i="1"/>
  <c r="AT1886" i="1"/>
  <c r="AS1886" i="1"/>
  <c r="AR1886" i="1"/>
  <c r="AT1885" i="1"/>
  <c r="AS1885" i="1"/>
  <c r="AR1885" i="1"/>
  <c r="AT1884" i="1"/>
  <c r="AS1884" i="1"/>
  <c r="AT1883" i="1"/>
  <c r="AS1883" i="1"/>
  <c r="AT1882" i="1"/>
  <c r="AS1882" i="1"/>
  <c r="AT1881" i="1"/>
  <c r="AS1881" i="1"/>
  <c r="AT1880" i="1"/>
  <c r="AS1880" i="1"/>
  <c r="AT1879" i="1"/>
  <c r="AS1879" i="1"/>
  <c r="AR1879" i="1"/>
  <c r="AT1878" i="1"/>
  <c r="AS1878" i="1"/>
  <c r="AR1878" i="1"/>
  <c r="AT1877" i="1"/>
  <c r="AS1877" i="1"/>
  <c r="AR1877" i="1"/>
  <c r="AT1876" i="1"/>
  <c r="AS1876" i="1"/>
  <c r="AR1876" i="1"/>
  <c r="AT1875" i="1"/>
  <c r="AS1875" i="1"/>
  <c r="AT1874" i="1"/>
  <c r="AS1874" i="1"/>
  <c r="AR1874" i="1"/>
  <c r="AT1873" i="1"/>
  <c r="AS1873" i="1"/>
  <c r="AR1873" i="1"/>
  <c r="AT1872" i="1"/>
  <c r="AS1872" i="1"/>
  <c r="AR1872" i="1"/>
  <c r="AT1871" i="1"/>
  <c r="AS1871" i="1"/>
  <c r="AT1870" i="1"/>
  <c r="AS1870" i="1"/>
  <c r="AR1870" i="1"/>
  <c r="AT1869" i="1"/>
  <c r="AS1869" i="1"/>
  <c r="AT1868" i="1"/>
  <c r="AS1868" i="1"/>
  <c r="AR1868" i="1"/>
  <c r="AT1867" i="1"/>
  <c r="AS1867" i="1"/>
  <c r="AR1867" i="1"/>
  <c r="AT1866" i="1"/>
  <c r="AS1866" i="1"/>
  <c r="AR1866" i="1"/>
  <c r="AT1865" i="1"/>
  <c r="AS1865" i="1"/>
  <c r="AT1864" i="1"/>
  <c r="AS1864" i="1"/>
  <c r="AT1863" i="1"/>
  <c r="AS1863" i="1"/>
  <c r="AT1862" i="1"/>
  <c r="AS1862" i="1"/>
  <c r="AT1861" i="1"/>
  <c r="AS1861" i="1"/>
  <c r="AR1861" i="1"/>
  <c r="AT1860" i="1"/>
  <c r="AS1860" i="1"/>
  <c r="AT1859" i="1"/>
  <c r="AS1859" i="1"/>
  <c r="AT1858" i="1"/>
  <c r="AS1858" i="1"/>
  <c r="AR1858" i="1"/>
  <c r="AT1857" i="1"/>
  <c r="AS1857" i="1"/>
  <c r="AT1856" i="1"/>
  <c r="AS1856" i="1"/>
  <c r="AT1855" i="1"/>
  <c r="AS1855" i="1"/>
  <c r="AR1855" i="1"/>
  <c r="AT1854" i="1"/>
  <c r="AS1854" i="1"/>
  <c r="AT1853" i="1"/>
  <c r="AS1853" i="1"/>
  <c r="AT1852" i="1"/>
  <c r="AS1852" i="1"/>
  <c r="AT1851" i="1"/>
  <c r="AS1851" i="1"/>
  <c r="AR1851" i="1"/>
  <c r="AT1850" i="1"/>
  <c r="AS1850" i="1"/>
  <c r="AT1849" i="1"/>
  <c r="AS1849" i="1"/>
  <c r="AR1849" i="1"/>
  <c r="AT1848" i="1"/>
  <c r="AS1848" i="1"/>
  <c r="AR1848" i="1"/>
  <c r="AT1847" i="1"/>
  <c r="AS1847" i="1"/>
  <c r="AT1846" i="1"/>
  <c r="AS1846" i="1"/>
  <c r="AT1845" i="1"/>
  <c r="AS1845" i="1"/>
  <c r="AR1845" i="1"/>
  <c r="AT1844" i="1"/>
  <c r="AS1844" i="1"/>
  <c r="AR1844" i="1"/>
  <c r="AT1843" i="1"/>
  <c r="AS1843" i="1"/>
  <c r="AR1843" i="1"/>
  <c r="AT1842" i="1"/>
  <c r="AS1842" i="1"/>
  <c r="AT1841" i="1"/>
  <c r="AS1841" i="1"/>
  <c r="AR1841" i="1"/>
  <c r="AT1840" i="1"/>
  <c r="AS1840" i="1"/>
  <c r="AT1839" i="1"/>
  <c r="AS1839" i="1"/>
  <c r="AR1839" i="1"/>
  <c r="AT1838" i="1"/>
  <c r="AS1838" i="1"/>
  <c r="AR1838" i="1"/>
  <c r="AT1837" i="1"/>
  <c r="AS1837" i="1"/>
  <c r="AR1837" i="1"/>
  <c r="AT1836" i="1"/>
  <c r="AS1836" i="1"/>
  <c r="AR1836" i="1"/>
  <c r="AT1835" i="1"/>
  <c r="AS1835" i="1"/>
  <c r="AT1834" i="1"/>
  <c r="AS1834" i="1"/>
  <c r="AR1834" i="1"/>
  <c r="AT1833" i="1"/>
  <c r="AS1833" i="1"/>
  <c r="AT1832" i="1"/>
  <c r="AS1832" i="1"/>
  <c r="AR1832" i="1"/>
  <c r="AT1831" i="1"/>
  <c r="AS1831" i="1"/>
  <c r="AR1831" i="1"/>
  <c r="AT1830" i="1"/>
  <c r="AS1830" i="1"/>
  <c r="AR1830" i="1"/>
  <c r="AT1829" i="1"/>
  <c r="AS1829" i="1"/>
  <c r="AR1829" i="1"/>
  <c r="AT1828" i="1"/>
  <c r="AS1828" i="1"/>
  <c r="AR1828" i="1"/>
  <c r="AT1827" i="1"/>
  <c r="AS1827" i="1"/>
  <c r="AR1827" i="1"/>
  <c r="AT1826" i="1"/>
  <c r="AS1826" i="1"/>
  <c r="AR1826" i="1"/>
  <c r="AT1825" i="1"/>
  <c r="AS1825" i="1"/>
  <c r="AR1825" i="1"/>
  <c r="AT1824" i="1"/>
  <c r="AS1824" i="1"/>
  <c r="AR1824" i="1"/>
  <c r="AT1823" i="1"/>
  <c r="AS1823" i="1"/>
  <c r="AR1823" i="1"/>
  <c r="AT1822" i="1"/>
  <c r="AS1822" i="1"/>
  <c r="AT1821" i="1"/>
  <c r="AS1821" i="1"/>
  <c r="AR1821" i="1"/>
  <c r="AT1820" i="1"/>
  <c r="AS1820" i="1"/>
  <c r="AR1820" i="1"/>
  <c r="AT1819" i="1"/>
  <c r="AS1819" i="1"/>
  <c r="AR1819" i="1"/>
  <c r="AT1818" i="1"/>
  <c r="AS1818" i="1"/>
  <c r="AT1817" i="1"/>
  <c r="AS1817" i="1"/>
  <c r="AR1817" i="1"/>
  <c r="AT1816" i="1"/>
  <c r="AS1816" i="1"/>
  <c r="AR1816" i="1"/>
  <c r="AT1815" i="1"/>
  <c r="AS1815" i="1"/>
  <c r="AR1815" i="1"/>
  <c r="AT1814" i="1"/>
  <c r="AS1814" i="1"/>
  <c r="AR1814" i="1"/>
  <c r="AT1813" i="1"/>
  <c r="AS1813" i="1"/>
  <c r="AT1812" i="1"/>
  <c r="AS1812" i="1"/>
  <c r="AR1812" i="1"/>
  <c r="AT1811" i="1"/>
  <c r="AS1811" i="1"/>
  <c r="AR1811" i="1"/>
  <c r="AT1810" i="1"/>
  <c r="AS1810" i="1"/>
  <c r="AR1810" i="1"/>
  <c r="AT1809" i="1"/>
  <c r="AS1809" i="1"/>
  <c r="AR1809" i="1"/>
  <c r="AT1808" i="1"/>
  <c r="AS1808" i="1"/>
  <c r="AR1808" i="1"/>
  <c r="AT1807" i="1"/>
  <c r="AS1807" i="1"/>
  <c r="AR1807" i="1"/>
  <c r="AT1806" i="1"/>
  <c r="AS1806" i="1"/>
  <c r="AR1806" i="1"/>
  <c r="AT1805" i="1"/>
  <c r="AS1805" i="1"/>
  <c r="AR1805" i="1"/>
  <c r="AT1804" i="1"/>
  <c r="AS1804" i="1"/>
  <c r="AR1804" i="1"/>
  <c r="AT1803" i="1"/>
  <c r="AS1803" i="1"/>
  <c r="AR1803" i="1"/>
  <c r="AT1802" i="1"/>
  <c r="AS1802" i="1"/>
  <c r="AR1802" i="1"/>
  <c r="AT1801" i="1"/>
  <c r="AS1801" i="1"/>
  <c r="AR1801" i="1"/>
  <c r="AT1800" i="1"/>
  <c r="AS1800" i="1"/>
  <c r="AR1800" i="1"/>
  <c r="AT1799" i="1"/>
  <c r="AS1799" i="1"/>
  <c r="AR1799" i="1"/>
  <c r="AT1798" i="1"/>
  <c r="AS1798" i="1"/>
  <c r="AR1798" i="1"/>
  <c r="AT1797" i="1"/>
  <c r="AS1797" i="1"/>
  <c r="AR1797" i="1"/>
  <c r="AT1796" i="1"/>
  <c r="AS1796" i="1"/>
  <c r="AR1796" i="1"/>
  <c r="AT1795" i="1"/>
  <c r="AS1795" i="1"/>
  <c r="AR1795" i="1"/>
  <c r="AT1794" i="1"/>
  <c r="AS1794" i="1"/>
  <c r="AR1794" i="1"/>
  <c r="AT1793" i="1"/>
  <c r="AS1793" i="1"/>
  <c r="AR1793" i="1"/>
  <c r="AT1792" i="1"/>
  <c r="AS1792" i="1"/>
  <c r="AR1792" i="1"/>
  <c r="AT1791" i="1"/>
  <c r="AS1791" i="1"/>
  <c r="AR1791" i="1"/>
  <c r="AT1790" i="1"/>
  <c r="AS1790" i="1"/>
  <c r="AR1790" i="1"/>
  <c r="AT1789" i="1"/>
  <c r="AS1789" i="1"/>
  <c r="AR1789" i="1"/>
  <c r="AT1788" i="1"/>
  <c r="AS1788" i="1"/>
  <c r="AR1788" i="1"/>
  <c r="AT1787" i="1"/>
  <c r="AS1787" i="1"/>
  <c r="AR1787" i="1"/>
  <c r="AT1786" i="1"/>
  <c r="AS1786" i="1"/>
  <c r="AR1786" i="1"/>
  <c r="AT1785" i="1"/>
  <c r="AS1785" i="1"/>
  <c r="AR1785" i="1"/>
  <c r="AT1784" i="1"/>
  <c r="AS1784" i="1"/>
  <c r="AR1784" i="1"/>
  <c r="AT1783" i="1"/>
  <c r="AS1783" i="1"/>
  <c r="AR1783" i="1"/>
  <c r="AT1782" i="1"/>
  <c r="AS1782" i="1"/>
  <c r="AR1782" i="1"/>
  <c r="AT1781" i="1"/>
  <c r="AS1781" i="1"/>
  <c r="AR1781" i="1"/>
  <c r="AT1780" i="1"/>
  <c r="AS1780" i="1"/>
  <c r="AR1780" i="1"/>
  <c r="AT1779" i="1"/>
  <c r="AS1779" i="1"/>
  <c r="AR1779" i="1"/>
  <c r="AT1778" i="1"/>
  <c r="AS1778" i="1"/>
  <c r="AR1778" i="1"/>
  <c r="AT1777" i="1"/>
  <c r="AS1777" i="1"/>
  <c r="AR1777" i="1"/>
  <c r="AT1776" i="1"/>
  <c r="AS1776" i="1"/>
  <c r="AR1776" i="1"/>
  <c r="AT1775" i="1"/>
  <c r="AS1775" i="1"/>
  <c r="AR1775" i="1"/>
  <c r="AT1774" i="1"/>
  <c r="AS1774" i="1"/>
  <c r="AR1774" i="1"/>
  <c r="AT1773" i="1"/>
  <c r="AS1773" i="1"/>
  <c r="AR1773" i="1"/>
  <c r="AT1772" i="1"/>
  <c r="AS1772" i="1"/>
  <c r="AR1772" i="1"/>
  <c r="AT1771" i="1"/>
  <c r="AS1771" i="1"/>
  <c r="AR1771" i="1"/>
  <c r="AT1770" i="1"/>
  <c r="AS1770" i="1"/>
  <c r="AR1770" i="1"/>
  <c r="AT1769" i="1"/>
  <c r="AS1769" i="1"/>
  <c r="AR1769" i="1"/>
  <c r="AT1768" i="1"/>
  <c r="AS1768" i="1"/>
  <c r="AR1768" i="1"/>
  <c r="AT1767" i="1"/>
  <c r="AS1767" i="1"/>
  <c r="AR1767" i="1"/>
  <c r="AT1766" i="1"/>
  <c r="AS1766" i="1"/>
  <c r="AR1766" i="1"/>
  <c r="AT1765" i="1"/>
  <c r="AS1765" i="1"/>
  <c r="AR1765" i="1"/>
  <c r="AT1764" i="1"/>
  <c r="AS1764" i="1"/>
  <c r="AR1764" i="1"/>
  <c r="AT1763" i="1"/>
  <c r="AS1763" i="1"/>
  <c r="AR1763" i="1"/>
  <c r="AT1762" i="1"/>
  <c r="AS1762" i="1"/>
  <c r="AR1762" i="1"/>
  <c r="AT1761" i="1"/>
  <c r="AS1761" i="1"/>
  <c r="AR1761" i="1"/>
  <c r="AT1760" i="1"/>
  <c r="AS1760" i="1"/>
  <c r="AR1760" i="1"/>
  <c r="AT1759" i="1"/>
  <c r="AS1759" i="1"/>
  <c r="AR1759" i="1"/>
  <c r="AT1758" i="1"/>
  <c r="AS1758" i="1"/>
  <c r="AR1758" i="1"/>
  <c r="AT1757" i="1"/>
  <c r="AS1757" i="1"/>
  <c r="AR1757" i="1"/>
  <c r="AT1756" i="1"/>
  <c r="AS1756" i="1"/>
  <c r="AR1756" i="1"/>
  <c r="AT1755" i="1"/>
  <c r="AS1755" i="1"/>
  <c r="AR1755" i="1"/>
  <c r="AT1754" i="1"/>
  <c r="AS1754" i="1"/>
  <c r="AT1753" i="1"/>
  <c r="AS1753" i="1"/>
  <c r="AT1752" i="1"/>
  <c r="AS1752" i="1"/>
  <c r="AR1752" i="1"/>
  <c r="AT1751" i="1"/>
  <c r="AS1751" i="1"/>
  <c r="AR1751" i="1"/>
  <c r="AT1750" i="1"/>
  <c r="AS1750" i="1"/>
  <c r="AT1749" i="1"/>
  <c r="AS1749" i="1"/>
  <c r="AT1748" i="1"/>
  <c r="AS1748" i="1"/>
  <c r="AR1748" i="1"/>
  <c r="AT1747" i="1"/>
  <c r="AS1747" i="1"/>
  <c r="AT1746" i="1"/>
  <c r="AS1746" i="1"/>
  <c r="AR1746" i="1"/>
  <c r="AT1745" i="1"/>
  <c r="AS1745" i="1"/>
  <c r="AR1745" i="1"/>
  <c r="AT1744" i="1"/>
  <c r="AS1744" i="1"/>
  <c r="AT1743" i="1"/>
  <c r="AS1743" i="1"/>
  <c r="AT1742" i="1"/>
  <c r="AS1742" i="1"/>
  <c r="AR1742" i="1"/>
  <c r="AT1741" i="1"/>
  <c r="AS1741" i="1"/>
  <c r="AT1740" i="1"/>
  <c r="AS1740" i="1"/>
  <c r="AR1740" i="1"/>
  <c r="AT1739" i="1"/>
  <c r="AS1739" i="1"/>
  <c r="AR1739" i="1"/>
  <c r="AT1738" i="1"/>
  <c r="AS1738" i="1"/>
  <c r="AT1737" i="1"/>
  <c r="AS1737" i="1"/>
  <c r="AR1737" i="1"/>
  <c r="AT1736" i="1"/>
  <c r="AS1736" i="1"/>
  <c r="AT1735" i="1"/>
  <c r="AS1735" i="1"/>
  <c r="AR1735" i="1"/>
  <c r="AT1734" i="1"/>
  <c r="AS1734" i="1"/>
  <c r="AT1733" i="1"/>
  <c r="AS1733" i="1"/>
  <c r="AR1733" i="1"/>
  <c r="AT1732" i="1"/>
  <c r="AS1732" i="1"/>
  <c r="AR1732" i="1"/>
  <c r="AT1731" i="1"/>
  <c r="AS1731" i="1"/>
  <c r="AR1731" i="1"/>
  <c r="AT1730" i="1"/>
  <c r="AS1730" i="1"/>
  <c r="AT1729" i="1"/>
  <c r="AS1729" i="1"/>
  <c r="AT1728" i="1"/>
  <c r="AS1728" i="1"/>
  <c r="AT1727" i="1"/>
  <c r="AS1727" i="1"/>
  <c r="AT1726" i="1"/>
  <c r="AS1726" i="1"/>
  <c r="AT1725" i="1"/>
  <c r="AS1725" i="1"/>
  <c r="AT1724" i="1"/>
  <c r="AS1724" i="1"/>
  <c r="AT1723" i="1"/>
  <c r="AS1723" i="1"/>
  <c r="AT1722" i="1"/>
  <c r="AS1722" i="1"/>
  <c r="AT1721" i="1"/>
  <c r="AS1721" i="1"/>
  <c r="AR1721" i="1"/>
  <c r="AT1720" i="1"/>
  <c r="AS1720" i="1"/>
  <c r="AR1720" i="1"/>
  <c r="AT1719" i="1"/>
  <c r="AS1719" i="1"/>
  <c r="AR1719" i="1"/>
  <c r="AT1718" i="1"/>
  <c r="AS1718" i="1"/>
  <c r="AR1718" i="1"/>
  <c r="AT1717" i="1"/>
  <c r="AS1717" i="1"/>
  <c r="AR1717" i="1"/>
  <c r="AT1716" i="1"/>
  <c r="AS1716" i="1"/>
  <c r="AT1715" i="1"/>
  <c r="AS1715" i="1"/>
  <c r="AR1715" i="1"/>
  <c r="AT1714" i="1"/>
  <c r="AS1714" i="1"/>
  <c r="AT1713" i="1"/>
  <c r="AS1713" i="1"/>
  <c r="AT1712" i="1"/>
  <c r="AS1712" i="1"/>
  <c r="AR1712" i="1"/>
  <c r="AT1711" i="1"/>
  <c r="AS1711" i="1"/>
  <c r="AR1711" i="1"/>
  <c r="AT1710" i="1"/>
  <c r="AS1710" i="1"/>
  <c r="AT1709" i="1"/>
  <c r="AS1709" i="1"/>
  <c r="AR1709" i="1"/>
  <c r="AT1708" i="1"/>
  <c r="AS1708" i="1"/>
  <c r="AR1708" i="1"/>
  <c r="AT1707" i="1"/>
  <c r="AS1707" i="1"/>
  <c r="AR1707" i="1"/>
  <c r="AT1706" i="1"/>
  <c r="AS1706" i="1"/>
  <c r="AT1705" i="1"/>
  <c r="AS1705" i="1"/>
  <c r="AT1704" i="1"/>
  <c r="AS1704" i="1"/>
  <c r="AR1704" i="1"/>
  <c r="AT1703" i="1"/>
  <c r="AS1703" i="1"/>
  <c r="AR1703" i="1"/>
  <c r="AT1702" i="1"/>
  <c r="AS1702" i="1"/>
  <c r="AT1701" i="1"/>
  <c r="AS1701" i="1"/>
  <c r="AR1701" i="1"/>
  <c r="AT1700" i="1"/>
  <c r="AS1700" i="1"/>
  <c r="AR1700" i="1"/>
  <c r="AT1699" i="1"/>
  <c r="AS1699" i="1"/>
  <c r="AR1699" i="1"/>
  <c r="AT1698" i="1"/>
  <c r="AS1698" i="1"/>
  <c r="AT1697" i="1"/>
  <c r="AS1697" i="1"/>
  <c r="AT1696" i="1"/>
  <c r="AS1696" i="1"/>
  <c r="AR1696" i="1"/>
  <c r="AT1695" i="1"/>
  <c r="AS1695" i="1"/>
  <c r="AT1694" i="1"/>
  <c r="AS1694" i="1"/>
  <c r="AR1694" i="1"/>
  <c r="AT1693" i="1"/>
  <c r="AS1693" i="1"/>
  <c r="AR1693" i="1"/>
  <c r="AT1692" i="1"/>
  <c r="AS1692" i="1"/>
  <c r="AT1691" i="1"/>
  <c r="AS1691" i="1"/>
  <c r="AR1691" i="1"/>
  <c r="AT1690" i="1"/>
  <c r="AS1690" i="1"/>
  <c r="AT1689" i="1"/>
  <c r="AS1689" i="1"/>
  <c r="AT1688" i="1"/>
  <c r="AS1688" i="1"/>
  <c r="AR1688" i="1"/>
  <c r="AT1687" i="1"/>
  <c r="AS1687" i="1"/>
  <c r="AT1686" i="1"/>
  <c r="AS1686" i="1"/>
  <c r="AR1686" i="1"/>
  <c r="AT1685" i="1"/>
  <c r="AS1685" i="1"/>
  <c r="AT1684" i="1"/>
  <c r="AS1684" i="1"/>
  <c r="AT1683" i="1"/>
  <c r="AS1683" i="1"/>
  <c r="AR1683" i="1"/>
  <c r="AT1682" i="1"/>
  <c r="AS1682" i="1"/>
  <c r="AR1682" i="1"/>
  <c r="AT1681" i="1"/>
  <c r="AS1681" i="1"/>
  <c r="AT1680" i="1"/>
  <c r="AS1680" i="1"/>
  <c r="AT1679" i="1"/>
  <c r="AS1679" i="1"/>
  <c r="AT1678" i="1"/>
  <c r="AS1678" i="1"/>
  <c r="AR1678" i="1"/>
  <c r="AT1677" i="1"/>
  <c r="AS1677" i="1"/>
  <c r="AT1676" i="1"/>
  <c r="AS1676" i="1"/>
  <c r="AT1675" i="1"/>
  <c r="AS1675" i="1"/>
  <c r="AR1675" i="1"/>
  <c r="AT1674" i="1"/>
  <c r="AS1674" i="1"/>
  <c r="AT1673" i="1"/>
  <c r="AS1673" i="1"/>
  <c r="AT1672" i="1"/>
  <c r="AS1672" i="1"/>
  <c r="AR1672" i="1"/>
  <c r="AT1671" i="1"/>
  <c r="AS1671" i="1"/>
  <c r="AR1671" i="1"/>
  <c r="AT1670" i="1"/>
  <c r="AS1670" i="1"/>
  <c r="AT1669" i="1"/>
  <c r="AS1669" i="1"/>
  <c r="AR1669" i="1"/>
  <c r="AT1668" i="1"/>
  <c r="AS1668" i="1"/>
  <c r="AR1668" i="1"/>
  <c r="AT1667" i="1"/>
  <c r="AS1667" i="1"/>
  <c r="AR1667" i="1"/>
  <c r="AT1666" i="1"/>
  <c r="AS1666" i="1"/>
  <c r="AR1666" i="1"/>
  <c r="AT1665" i="1"/>
  <c r="AS1665" i="1"/>
  <c r="AR1665" i="1"/>
  <c r="AT1664" i="1"/>
  <c r="AS1664" i="1"/>
  <c r="AT1663" i="1"/>
  <c r="AS1663" i="1"/>
  <c r="AR1663" i="1"/>
  <c r="AT1662" i="1"/>
  <c r="AS1662" i="1"/>
  <c r="AT1661" i="1"/>
  <c r="AS1661" i="1"/>
  <c r="AT1660" i="1"/>
  <c r="AS1660" i="1"/>
  <c r="AR1660" i="1"/>
  <c r="AT1659" i="1"/>
  <c r="AS1659" i="1"/>
  <c r="AR1659" i="1"/>
  <c r="AT1658" i="1"/>
  <c r="AS1658" i="1"/>
  <c r="AR1658" i="1"/>
  <c r="AT1657" i="1"/>
  <c r="AS1657" i="1"/>
  <c r="AR1657" i="1"/>
  <c r="AT1656" i="1"/>
  <c r="AS1656" i="1"/>
  <c r="AR1656" i="1"/>
  <c r="AT1655" i="1"/>
  <c r="AS1655" i="1"/>
  <c r="AR1655" i="1"/>
  <c r="AT1654" i="1"/>
  <c r="AS1654" i="1"/>
  <c r="AR1654" i="1"/>
  <c r="AT1653" i="1"/>
  <c r="AS1653" i="1"/>
  <c r="AT1652" i="1"/>
  <c r="AS1652" i="1"/>
  <c r="AR1652" i="1"/>
  <c r="AT1651" i="1"/>
  <c r="AS1651" i="1"/>
  <c r="AR1651" i="1"/>
  <c r="AT1650" i="1"/>
  <c r="AS1650" i="1"/>
  <c r="AT1649" i="1"/>
  <c r="AS1649" i="1"/>
  <c r="AR1649" i="1"/>
  <c r="AT1648" i="1"/>
  <c r="AS1648" i="1"/>
  <c r="AR1648" i="1"/>
  <c r="AT1647" i="1"/>
  <c r="AS1647" i="1"/>
  <c r="AT1646" i="1"/>
  <c r="AS1646" i="1"/>
  <c r="AT1645" i="1"/>
  <c r="AS1645" i="1"/>
  <c r="AR1645" i="1"/>
  <c r="AT1644" i="1"/>
  <c r="AS1644" i="1"/>
  <c r="AT1643" i="1"/>
  <c r="AS1643" i="1"/>
  <c r="AR1643" i="1"/>
  <c r="AT1642" i="1"/>
  <c r="AS1642" i="1"/>
  <c r="AT1641" i="1"/>
  <c r="AS1641" i="1"/>
  <c r="AT1640" i="1"/>
  <c r="AS1640" i="1"/>
  <c r="AR1640" i="1"/>
  <c r="AT1639" i="1"/>
  <c r="AS1639" i="1"/>
  <c r="AT1638" i="1"/>
  <c r="AS1638" i="1"/>
  <c r="AT1637" i="1"/>
  <c r="AS1637" i="1"/>
  <c r="AR1637" i="1"/>
  <c r="AT1636" i="1"/>
  <c r="AS1636" i="1"/>
  <c r="AR1636" i="1"/>
  <c r="AT1635" i="1"/>
  <c r="AS1635" i="1"/>
  <c r="AT1634" i="1"/>
  <c r="AS1634" i="1"/>
  <c r="AR1634" i="1"/>
  <c r="AT1633" i="1"/>
  <c r="AS1633" i="1"/>
  <c r="AR1633" i="1"/>
  <c r="AT1632" i="1"/>
  <c r="AS1632" i="1"/>
  <c r="AR1632" i="1"/>
  <c r="AT1631" i="1"/>
  <c r="AS1631" i="1"/>
  <c r="AT1630" i="1"/>
  <c r="AS1630" i="1"/>
  <c r="AT1629" i="1"/>
  <c r="AS1629" i="1"/>
  <c r="AT1628" i="1"/>
  <c r="AS1628" i="1"/>
  <c r="AR1628" i="1"/>
  <c r="AT1627" i="1"/>
  <c r="AS1627" i="1"/>
  <c r="AR1627" i="1"/>
  <c r="AT1626" i="1"/>
  <c r="AS1626" i="1"/>
  <c r="AT1625" i="1"/>
  <c r="AS1625" i="1"/>
  <c r="AR1625" i="1"/>
  <c r="AT1624" i="1"/>
  <c r="AS1624" i="1"/>
  <c r="AR1624" i="1"/>
  <c r="AT1623" i="1"/>
  <c r="AS1623" i="1"/>
  <c r="AT1622" i="1"/>
  <c r="AS1622" i="1"/>
  <c r="AR1622" i="1"/>
  <c r="AT1621" i="1"/>
  <c r="AS1621" i="1"/>
  <c r="AR1621" i="1"/>
  <c r="AT1620" i="1"/>
  <c r="AS1620" i="1"/>
  <c r="AR1620" i="1"/>
  <c r="AT1619" i="1"/>
  <c r="AS1619" i="1"/>
  <c r="AT1618" i="1"/>
  <c r="AS1618" i="1"/>
  <c r="AT1617" i="1"/>
  <c r="AS1617" i="1"/>
  <c r="AR1617" i="1"/>
  <c r="AT1616" i="1"/>
  <c r="AS1616" i="1"/>
  <c r="AR1616" i="1"/>
  <c r="AT1615" i="1"/>
  <c r="AS1615" i="1"/>
  <c r="AR1615" i="1"/>
  <c r="AT1614" i="1"/>
  <c r="AS1614" i="1"/>
  <c r="AR1614" i="1"/>
  <c r="AT1613" i="1"/>
  <c r="AS1613" i="1"/>
  <c r="AR1613" i="1"/>
  <c r="AT1612" i="1"/>
  <c r="AS1612" i="1"/>
  <c r="AR1612" i="1"/>
  <c r="AT1611" i="1"/>
  <c r="AS1611" i="1"/>
  <c r="AR1611" i="1"/>
  <c r="AT1610" i="1"/>
  <c r="AS1610" i="1"/>
  <c r="AR1610" i="1"/>
  <c r="AT1609" i="1"/>
  <c r="AS1609" i="1"/>
  <c r="AT1608" i="1"/>
  <c r="AS1608" i="1"/>
  <c r="AR1608" i="1"/>
  <c r="AT1607" i="1"/>
  <c r="AS1607" i="1"/>
  <c r="AR1607" i="1"/>
  <c r="AT1606" i="1"/>
  <c r="AS1606" i="1"/>
  <c r="AR1606" i="1"/>
  <c r="AT1605" i="1"/>
  <c r="AS1605" i="1"/>
  <c r="AR1605" i="1"/>
  <c r="AT1604" i="1"/>
  <c r="AS1604" i="1"/>
  <c r="AT1603" i="1"/>
  <c r="AS1603" i="1"/>
  <c r="AT1602" i="1"/>
  <c r="AS1602" i="1"/>
  <c r="AT1601" i="1"/>
  <c r="AS1601" i="1"/>
  <c r="AT1600" i="1"/>
  <c r="AS1600" i="1"/>
  <c r="AR1600" i="1"/>
  <c r="AT1599" i="1"/>
  <c r="AS1599" i="1"/>
  <c r="AR1599" i="1"/>
  <c r="AT1598" i="1"/>
  <c r="AS1598" i="1"/>
  <c r="AR1598" i="1"/>
  <c r="AT1597" i="1"/>
  <c r="AS1597" i="1"/>
  <c r="AT1596" i="1"/>
  <c r="AS1596" i="1"/>
  <c r="AR1596" i="1"/>
  <c r="AT1595" i="1"/>
  <c r="AS1595" i="1"/>
  <c r="AR1595" i="1"/>
  <c r="AT1594" i="1"/>
  <c r="AS1594" i="1"/>
  <c r="AR1594" i="1"/>
  <c r="AT1593" i="1"/>
  <c r="AS1593" i="1"/>
  <c r="AR1593" i="1"/>
  <c r="AT1592" i="1"/>
  <c r="AS1592" i="1"/>
  <c r="AR1592" i="1"/>
  <c r="AT1591" i="1"/>
  <c r="AS1591" i="1"/>
  <c r="AR1591" i="1"/>
  <c r="AT1590" i="1"/>
  <c r="AS1590" i="1"/>
  <c r="AR1590" i="1"/>
  <c r="AT1589" i="1"/>
  <c r="AS1589" i="1"/>
  <c r="AT1588" i="1"/>
  <c r="AS1588" i="1"/>
  <c r="AR1588" i="1"/>
  <c r="AT1587" i="1"/>
  <c r="AS1587" i="1"/>
  <c r="AR1587" i="1"/>
  <c r="AT1586" i="1"/>
  <c r="AS1586" i="1"/>
  <c r="AR1586" i="1"/>
  <c r="AT1585" i="1"/>
  <c r="AS1585" i="1"/>
  <c r="AR1585" i="1"/>
  <c r="AT1584" i="1"/>
  <c r="AS1584" i="1"/>
  <c r="AT1583" i="1"/>
  <c r="AS1583" i="1"/>
  <c r="AR1583" i="1"/>
  <c r="AT1582" i="1"/>
  <c r="AS1582" i="1"/>
  <c r="AR1582" i="1"/>
  <c r="AT1581" i="1"/>
  <c r="AS1581" i="1"/>
  <c r="AR1581" i="1"/>
  <c r="AT1580" i="1"/>
  <c r="AS1580" i="1"/>
  <c r="AR1580" i="1"/>
  <c r="AT1579" i="1"/>
  <c r="AS1579" i="1"/>
  <c r="AT1578" i="1"/>
  <c r="AS1578" i="1"/>
  <c r="AR1578" i="1"/>
  <c r="AT1577" i="1"/>
  <c r="AS1577" i="1"/>
  <c r="AT1576" i="1"/>
  <c r="AS1576" i="1"/>
  <c r="AT1575" i="1"/>
  <c r="AS1575" i="1"/>
  <c r="AR1575" i="1"/>
  <c r="AT1574" i="1"/>
  <c r="AS1574" i="1"/>
  <c r="AR1574" i="1"/>
  <c r="AT1573" i="1"/>
  <c r="AS1573" i="1"/>
  <c r="AR1573" i="1"/>
  <c r="AT1572" i="1"/>
  <c r="AS1572" i="1"/>
  <c r="AT1571" i="1"/>
  <c r="AS1571" i="1"/>
  <c r="AT1570" i="1"/>
  <c r="AS1570" i="1"/>
  <c r="AT1569" i="1"/>
  <c r="AS1569" i="1"/>
  <c r="AT1568" i="1"/>
  <c r="AS1568" i="1"/>
  <c r="AR1568" i="1"/>
  <c r="AT1567" i="1"/>
  <c r="AS1567" i="1"/>
  <c r="AT1566" i="1"/>
  <c r="AS1566" i="1"/>
  <c r="AT1565" i="1"/>
  <c r="AS1565" i="1"/>
  <c r="AR1565" i="1"/>
  <c r="AT1564" i="1"/>
  <c r="AS1564" i="1"/>
  <c r="AR1564" i="1"/>
  <c r="AT1563" i="1"/>
  <c r="AS1563" i="1"/>
  <c r="AR1563" i="1"/>
  <c r="AT1562" i="1"/>
  <c r="AS1562" i="1"/>
  <c r="AR1562" i="1"/>
  <c r="AT1561" i="1"/>
  <c r="AS1561" i="1"/>
  <c r="AT1560" i="1"/>
  <c r="AS1560" i="1"/>
  <c r="AR1560" i="1"/>
  <c r="AT1559" i="1"/>
  <c r="AS1559" i="1"/>
  <c r="AR1559" i="1"/>
  <c r="AT1558" i="1"/>
  <c r="AS1558" i="1"/>
  <c r="AT1557" i="1"/>
  <c r="AS1557" i="1"/>
  <c r="AR1557" i="1"/>
  <c r="AT1556" i="1"/>
  <c r="AS1556" i="1"/>
  <c r="AR1556" i="1"/>
  <c r="AT1555" i="1"/>
  <c r="AS1555" i="1"/>
  <c r="AT1554" i="1"/>
  <c r="AS1554" i="1"/>
  <c r="AR1554" i="1"/>
  <c r="AT1553" i="1"/>
  <c r="AS1553" i="1"/>
  <c r="AR1553" i="1"/>
  <c r="AT1552" i="1"/>
  <c r="AS1552" i="1"/>
  <c r="AR1552" i="1"/>
  <c r="AT1551" i="1"/>
  <c r="AS1551" i="1"/>
  <c r="AT1550" i="1"/>
  <c r="AS1550" i="1"/>
  <c r="AR1550" i="1"/>
  <c r="AT1549" i="1"/>
  <c r="AS1549" i="1"/>
  <c r="AT1548" i="1"/>
  <c r="AS1548" i="1"/>
  <c r="AR1548" i="1"/>
  <c r="AT1547" i="1"/>
  <c r="AS1547" i="1"/>
  <c r="AT1546" i="1"/>
  <c r="AS1546" i="1"/>
  <c r="AT1545" i="1"/>
  <c r="AS1545" i="1"/>
  <c r="AR1545" i="1"/>
  <c r="AT1544" i="1"/>
  <c r="AS1544" i="1"/>
  <c r="AT1543" i="1"/>
  <c r="AS1543" i="1"/>
  <c r="AR1543" i="1"/>
  <c r="AT1542" i="1"/>
  <c r="AS1542" i="1"/>
  <c r="AT1541" i="1"/>
  <c r="AS1541" i="1"/>
  <c r="AT1540" i="1"/>
  <c r="AS1540" i="1"/>
  <c r="AT1539" i="1"/>
  <c r="AS1539" i="1"/>
  <c r="AR1539" i="1"/>
  <c r="AT1538" i="1"/>
  <c r="AS1538" i="1"/>
  <c r="AR1538" i="1"/>
  <c r="AT1537" i="1"/>
  <c r="AS1537" i="1"/>
  <c r="AT1536" i="1"/>
  <c r="AS1536" i="1"/>
  <c r="AR1536" i="1"/>
  <c r="AT1535" i="1"/>
  <c r="AS1535" i="1"/>
  <c r="AR1535" i="1"/>
  <c r="AT1534" i="1"/>
  <c r="AS1534" i="1"/>
  <c r="AT1533" i="1"/>
  <c r="AS1533" i="1"/>
  <c r="AR1533" i="1"/>
  <c r="AT1532" i="1"/>
  <c r="AS1532" i="1"/>
  <c r="AT1531" i="1"/>
  <c r="AS1531" i="1"/>
  <c r="AT1530" i="1"/>
  <c r="AS1530" i="1"/>
  <c r="AR1530" i="1"/>
  <c r="AT1529" i="1"/>
  <c r="AS1529" i="1"/>
  <c r="AR1529" i="1"/>
  <c r="AT1528" i="1"/>
  <c r="AS1528" i="1"/>
  <c r="AT1527" i="1"/>
  <c r="AS1527" i="1"/>
  <c r="AT1526" i="1"/>
  <c r="AS1526" i="1"/>
  <c r="AT1525" i="1"/>
  <c r="AS1525" i="1"/>
  <c r="AT1524" i="1"/>
  <c r="AS1524" i="1"/>
  <c r="AT1523" i="1"/>
  <c r="AS1523" i="1"/>
  <c r="AT1522" i="1"/>
  <c r="AS1522" i="1"/>
  <c r="AR1522" i="1"/>
  <c r="AT1521" i="1"/>
  <c r="AS1521" i="1"/>
  <c r="AT1520" i="1"/>
  <c r="AS1520" i="1"/>
  <c r="AT1519" i="1"/>
  <c r="AS1519" i="1"/>
  <c r="AR1519" i="1"/>
  <c r="AT1518" i="1"/>
  <c r="AS1518" i="1"/>
  <c r="AT1517" i="1"/>
  <c r="AS1517" i="1"/>
  <c r="AR1517" i="1"/>
  <c r="AT1516" i="1"/>
  <c r="AS1516" i="1"/>
  <c r="AR1516" i="1"/>
  <c r="AT1515" i="1"/>
  <c r="AS1515" i="1"/>
  <c r="AT1514" i="1"/>
  <c r="AS1514" i="1"/>
  <c r="AR1514" i="1"/>
  <c r="AT1513" i="1"/>
  <c r="AS1513" i="1"/>
  <c r="AR1513" i="1"/>
  <c r="AT1512" i="1"/>
  <c r="AS1512" i="1"/>
  <c r="AR1512" i="1"/>
  <c r="AT1511" i="1"/>
  <c r="AS1511" i="1"/>
  <c r="AT1510" i="1"/>
  <c r="AS1510" i="1"/>
  <c r="AR1510" i="1"/>
  <c r="AT1509" i="1"/>
  <c r="AS1509" i="1"/>
  <c r="AT1508" i="1"/>
  <c r="AS1508" i="1"/>
  <c r="AR1508" i="1"/>
  <c r="AT1507" i="1"/>
  <c r="AS1507" i="1"/>
  <c r="AR1507" i="1"/>
  <c r="AT1506" i="1"/>
  <c r="AS1506" i="1"/>
  <c r="AT1505" i="1"/>
  <c r="AS1505" i="1"/>
  <c r="AT1504" i="1"/>
  <c r="AS1504" i="1"/>
  <c r="AT1503" i="1"/>
  <c r="AS1503" i="1"/>
  <c r="AR1503" i="1"/>
  <c r="AT1502" i="1"/>
  <c r="AS1502" i="1"/>
  <c r="AR1502" i="1"/>
  <c r="AT1501" i="1"/>
  <c r="AS1501" i="1"/>
  <c r="AT1500" i="1"/>
  <c r="AS1500" i="1"/>
  <c r="AR1500" i="1"/>
  <c r="AT1499" i="1"/>
  <c r="AS1499" i="1"/>
  <c r="AR1499" i="1"/>
  <c r="AT1498" i="1"/>
  <c r="AS1498" i="1"/>
  <c r="AT1497" i="1"/>
  <c r="AS1497" i="1"/>
  <c r="AR1497" i="1"/>
  <c r="AT1496" i="1"/>
  <c r="AS1496" i="1"/>
  <c r="AT1495" i="1"/>
  <c r="AS1495" i="1"/>
  <c r="AR1495" i="1"/>
  <c r="AT1494" i="1"/>
  <c r="AS1494" i="1"/>
  <c r="AR1494" i="1"/>
  <c r="AT1493" i="1"/>
  <c r="AS1493" i="1"/>
  <c r="AR1493" i="1"/>
  <c r="AT1492" i="1"/>
  <c r="AS1492" i="1"/>
  <c r="AT1491" i="1"/>
  <c r="AS1491" i="1"/>
  <c r="AR1491" i="1"/>
  <c r="AT1490" i="1"/>
  <c r="AS1490" i="1"/>
  <c r="AR1490" i="1"/>
  <c r="AT1489" i="1"/>
  <c r="AS1489" i="1"/>
  <c r="AT1488" i="1"/>
  <c r="AS1488" i="1"/>
  <c r="AR1488" i="1"/>
  <c r="AT1487" i="1"/>
  <c r="AS1487" i="1"/>
  <c r="AR1487" i="1"/>
  <c r="AT1486" i="1"/>
  <c r="AS1486" i="1"/>
  <c r="AR1486" i="1"/>
  <c r="AT1485" i="1"/>
  <c r="AS1485" i="1"/>
  <c r="AR1485" i="1"/>
  <c r="AT1484" i="1"/>
  <c r="AS1484" i="1"/>
  <c r="AR1484" i="1"/>
  <c r="AT1483" i="1"/>
  <c r="AS1483" i="1"/>
  <c r="AT1482" i="1"/>
  <c r="AS1482" i="1"/>
  <c r="AR1482" i="1"/>
  <c r="AT1481" i="1"/>
  <c r="AS1481" i="1"/>
  <c r="AR1481" i="1"/>
  <c r="AT1480" i="1"/>
  <c r="AS1480" i="1"/>
  <c r="AT1479" i="1"/>
  <c r="AS1479" i="1"/>
  <c r="AR1479" i="1"/>
  <c r="AT1478" i="1"/>
  <c r="AS1478" i="1"/>
  <c r="AR1478" i="1"/>
  <c r="AT1477" i="1"/>
  <c r="AS1477" i="1"/>
  <c r="AR1477" i="1"/>
  <c r="AT1476" i="1"/>
  <c r="AS1476" i="1"/>
  <c r="AR1476" i="1"/>
  <c r="AT1475" i="1"/>
  <c r="AS1475" i="1"/>
  <c r="AR1475" i="1"/>
  <c r="AT1474" i="1"/>
  <c r="AS1474" i="1"/>
  <c r="AR1474" i="1"/>
  <c r="AT1473" i="1"/>
  <c r="AS1473" i="1"/>
  <c r="AR1473" i="1"/>
  <c r="AT1472" i="1"/>
  <c r="AS1472" i="1"/>
  <c r="AR1472" i="1"/>
  <c r="AT1471" i="1"/>
  <c r="AS1471" i="1"/>
  <c r="AR1471" i="1"/>
  <c r="AT1470" i="1"/>
  <c r="AS1470" i="1"/>
  <c r="AR1470" i="1"/>
  <c r="AT1469" i="1"/>
  <c r="AS1469" i="1"/>
  <c r="AR1469" i="1"/>
  <c r="AT1468" i="1"/>
  <c r="AS1468" i="1"/>
  <c r="AR1468" i="1"/>
  <c r="AT1467" i="1"/>
  <c r="AS1467" i="1"/>
  <c r="AT1466" i="1"/>
  <c r="AS1466" i="1"/>
  <c r="AR1466" i="1"/>
  <c r="AT1465" i="1"/>
  <c r="AS1465" i="1"/>
  <c r="AT1464" i="1"/>
  <c r="AS1464" i="1"/>
  <c r="AT1463" i="1"/>
  <c r="AS1463" i="1"/>
  <c r="AR1463" i="1"/>
  <c r="AT1462" i="1"/>
  <c r="AS1462" i="1"/>
  <c r="AR1462" i="1"/>
  <c r="AT1461" i="1"/>
  <c r="AS1461" i="1"/>
  <c r="AR1461" i="1"/>
  <c r="AT1460" i="1"/>
  <c r="AS1460" i="1"/>
  <c r="AR1460" i="1"/>
  <c r="AT1459" i="1"/>
  <c r="AS1459" i="1"/>
  <c r="AR1459" i="1"/>
  <c r="AT1458" i="1"/>
  <c r="AS1458" i="1"/>
  <c r="AR1458" i="1"/>
  <c r="AT1457" i="1"/>
  <c r="AS1457" i="1"/>
  <c r="AR1457" i="1"/>
  <c r="AT1456" i="1"/>
  <c r="AS1456" i="1"/>
  <c r="AR1456" i="1"/>
  <c r="AT1455" i="1"/>
  <c r="AS1455" i="1"/>
  <c r="AR1455" i="1"/>
  <c r="AT1454" i="1"/>
  <c r="AS1454" i="1"/>
  <c r="AR1454" i="1"/>
  <c r="AT1453" i="1"/>
  <c r="AS1453" i="1"/>
  <c r="AR1453" i="1"/>
  <c r="AT1452" i="1"/>
  <c r="AS1452" i="1"/>
  <c r="AR1452" i="1"/>
  <c r="AT1451" i="1"/>
  <c r="AS1451" i="1"/>
  <c r="AT1450" i="1"/>
  <c r="AS1450" i="1"/>
  <c r="AR1450" i="1"/>
  <c r="AT1449" i="1"/>
  <c r="AS1449" i="1"/>
  <c r="AT1448" i="1"/>
  <c r="AS1448" i="1"/>
  <c r="AT1447" i="1"/>
  <c r="AS1447" i="1"/>
  <c r="AT1446" i="1"/>
  <c r="AS1446" i="1"/>
  <c r="AT1445" i="1"/>
  <c r="AS1445" i="1"/>
  <c r="AT1444" i="1"/>
  <c r="AS1444" i="1"/>
  <c r="AR1444" i="1"/>
  <c r="AT1443" i="1"/>
  <c r="AS1443" i="1"/>
  <c r="AR1443" i="1"/>
  <c r="AT1442" i="1"/>
  <c r="AS1442" i="1"/>
  <c r="AT1441" i="1"/>
  <c r="AS1441" i="1"/>
  <c r="AR1441" i="1"/>
  <c r="AT1440" i="1"/>
  <c r="AS1440" i="1"/>
  <c r="AR1440" i="1"/>
  <c r="AT1439" i="1"/>
  <c r="AS1439" i="1"/>
  <c r="AR1439" i="1"/>
  <c r="AT1438" i="1"/>
  <c r="AS1438" i="1"/>
  <c r="AR1438" i="1"/>
  <c r="AT1437" i="1"/>
  <c r="AS1437" i="1"/>
  <c r="AR1437" i="1"/>
  <c r="AT1436" i="1"/>
  <c r="AS1436" i="1"/>
  <c r="AR1436" i="1"/>
  <c r="AT1435" i="1"/>
  <c r="AS1435" i="1"/>
  <c r="AR1435" i="1"/>
  <c r="AT1434" i="1"/>
  <c r="AS1434" i="1"/>
  <c r="AR1434" i="1"/>
  <c r="AT1433" i="1"/>
  <c r="AS1433" i="1"/>
  <c r="AR1433" i="1"/>
  <c r="AT1432" i="1"/>
  <c r="AS1432" i="1"/>
  <c r="AR1432" i="1"/>
  <c r="AT1431" i="1"/>
  <c r="AS1431" i="1"/>
  <c r="AR1431" i="1"/>
  <c r="AT1430" i="1"/>
  <c r="AS1430" i="1"/>
  <c r="AR1430" i="1"/>
  <c r="AT1429" i="1"/>
  <c r="AS1429" i="1"/>
  <c r="AT1428" i="1"/>
  <c r="AS1428" i="1"/>
  <c r="AR1428" i="1"/>
  <c r="AT1427" i="1"/>
  <c r="AS1427" i="1"/>
  <c r="AR1427" i="1"/>
  <c r="AT1426" i="1"/>
  <c r="AS1426" i="1"/>
  <c r="AR1426" i="1"/>
  <c r="AT1425" i="1"/>
  <c r="AS1425" i="1"/>
  <c r="AR1425" i="1"/>
  <c r="AT1424" i="1"/>
  <c r="AS1424" i="1"/>
  <c r="AR1424" i="1"/>
  <c r="AT1423" i="1"/>
  <c r="AS1423" i="1"/>
  <c r="AR1423" i="1"/>
  <c r="AT1422" i="1"/>
  <c r="AS1422" i="1"/>
  <c r="AR1422" i="1"/>
  <c r="AT1421" i="1"/>
  <c r="AS1421" i="1"/>
  <c r="AT1420" i="1"/>
  <c r="AS1420" i="1"/>
  <c r="AR1420" i="1"/>
  <c r="AT1419" i="1"/>
  <c r="AS1419" i="1"/>
  <c r="AR1419" i="1"/>
  <c r="AT1418" i="1"/>
  <c r="AS1418" i="1"/>
  <c r="AR1418" i="1"/>
  <c r="AT1417" i="1"/>
  <c r="AS1417" i="1"/>
  <c r="AR1417" i="1"/>
  <c r="AT1416" i="1"/>
  <c r="AS1416" i="1"/>
  <c r="AR1416" i="1"/>
  <c r="AT1415" i="1"/>
  <c r="AS1415" i="1"/>
  <c r="AR1415" i="1"/>
  <c r="AT1414" i="1"/>
  <c r="AS1414" i="1"/>
  <c r="AR1414" i="1"/>
  <c r="AT1413" i="1"/>
  <c r="AS1413" i="1"/>
  <c r="AT1412" i="1"/>
  <c r="AS1412" i="1"/>
  <c r="AT1411" i="1"/>
  <c r="AS1411" i="1"/>
  <c r="AR1411" i="1"/>
  <c r="AT1410" i="1"/>
  <c r="AS1410" i="1"/>
  <c r="AR1410" i="1"/>
  <c r="AT1409" i="1"/>
  <c r="AS1409" i="1"/>
  <c r="AR1409" i="1"/>
  <c r="AT1408" i="1"/>
  <c r="AS1408" i="1"/>
  <c r="AT1407" i="1"/>
  <c r="AS1407" i="1"/>
  <c r="AR1407" i="1"/>
  <c r="AT1406" i="1"/>
  <c r="AS1406" i="1"/>
  <c r="AR1406" i="1"/>
  <c r="AT1405" i="1"/>
  <c r="AS1405" i="1"/>
  <c r="AR1405" i="1"/>
  <c r="AT1404" i="1"/>
  <c r="AS1404" i="1"/>
  <c r="AR1404" i="1"/>
  <c r="AT1403" i="1"/>
  <c r="AS1403" i="1"/>
  <c r="AR1403" i="1"/>
  <c r="AT1402" i="1"/>
  <c r="AS1402" i="1"/>
  <c r="AR1402" i="1"/>
  <c r="AT1401" i="1"/>
  <c r="AS1401" i="1"/>
  <c r="AR1401" i="1"/>
  <c r="AT1400" i="1"/>
  <c r="AS1400" i="1"/>
  <c r="AR1400" i="1"/>
  <c r="AT1399" i="1"/>
  <c r="AS1399" i="1"/>
  <c r="AR1399" i="1"/>
  <c r="AT1398" i="1"/>
  <c r="AS1398" i="1"/>
  <c r="AR1398" i="1"/>
  <c r="AT1397" i="1"/>
  <c r="AS1397" i="1"/>
  <c r="AT1396" i="1"/>
  <c r="AS1396" i="1"/>
  <c r="AR1396" i="1"/>
  <c r="AT1395" i="1"/>
  <c r="AS1395" i="1"/>
  <c r="AR1395" i="1"/>
  <c r="AT1394" i="1"/>
  <c r="AS1394" i="1"/>
  <c r="AR1394" i="1"/>
  <c r="AT1393" i="1"/>
  <c r="AS1393" i="1"/>
  <c r="AR1393" i="1"/>
  <c r="AT1392" i="1"/>
  <c r="AS1392" i="1"/>
  <c r="AR1392" i="1"/>
  <c r="AT1391" i="1"/>
  <c r="AS1391" i="1"/>
  <c r="AR1391" i="1"/>
  <c r="AT1390" i="1"/>
  <c r="AS1390" i="1"/>
  <c r="AT1389" i="1"/>
  <c r="AS1389" i="1"/>
  <c r="AR1389" i="1"/>
  <c r="AT1388" i="1"/>
  <c r="AS1388" i="1"/>
  <c r="AR1388" i="1"/>
  <c r="AT1387" i="1"/>
  <c r="AS1387" i="1"/>
  <c r="AR1387" i="1"/>
  <c r="AT1386" i="1"/>
  <c r="AS1386" i="1"/>
  <c r="AR1386" i="1"/>
  <c r="AT1385" i="1"/>
  <c r="AS1385" i="1"/>
  <c r="AT1384" i="1"/>
  <c r="AS1384" i="1"/>
  <c r="AT1383" i="1"/>
  <c r="AS1383" i="1"/>
  <c r="AR1383" i="1"/>
  <c r="AT1382" i="1"/>
  <c r="AS1382" i="1"/>
  <c r="AR1382" i="1"/>
  <c r="AT1381" i="1"/>
  <c r="AS1381" i="1"/>
  <c r="AT1380" i="1"/>
  <c r="AS1380" i="1"/>
  <c r="AR1380" i="1"/>
  <c r="AT1379" i="1"/>
  <c r="AS1379" i="1"/>
  <c r="AR1379" i="1"/>
  <c r="AT1378" i="1"/>
  <c r="AS1378" i="1"/>
  <c r="AR1378" i="1"/>
  <c r="AT1377" i="1"/>
  <c r="AS1377" i="1"/>
  <c r="AR1377" i="1"/>
  <c r="AT1376" i="1"/>
  <c r="AS1376" i="1"/>
  <c r="AT1375" i="1"/>
  <c r="AS1375" i="1"/>
  <c r="AR1375" i="1"/>
  <c r="AT1374" i="1"/>
  <c r="AS1374" i="1"/>
  <c r="AR1374" i="1"/>
  <c r="AT1373" i="1"/>
  <c r="AS1373" i="1"/>
  <c r="AT1372" i="1"/>
  <c r="AS1372" i="1"/>
  <c r="AT1371" i="1"/>
  <c r="AS1371" i="1"/>
  <c r="AR1371" i="1"/>
  <c r="AT1370" i="1"/>
  <c r="AS1370" i="1"/>
  <c r="AR1370" i="1"/>
  <c r="AT1369" i="1"/>
  <c r="AS1369" i="1"/>
  <c r="AR1369" i="1"/>
  <c r="AT1368" i="1"/>
  <c r="AS1368" i="1"/>
  <c r="AR1368" i="1"/>
  <c r="AT1367" i="1"/>
  <c r="AS1367" i="1"/>
  <c r="AT1366" i="1"/>
  <c r="AS1366" i="1"/>
  <c r="AR1366" i="1"/>
  <c r="AT1365" i="1"/>
  <c r="AS1365" i="1"/>
  <c r="AR1365" i="1"/>
  <c r="AT1364" i="1"/>
  <c r="AS1364" i="1"/>
  <c r="AT1363" i="1"/>
  <c r="AS1363" i="1"/>
  <c r="AR1363" i="1"/>
  <c r="AT1362" i="1"/>
  <c r="AS1362" i="1"/>
  <c r="AR1362" i="1"/>
  <c r="AT1361" i="1"/>
  <c r="AS1361" i="1"/>
  <c r="AR1361" i="1"/>
  <c r="AT1360" i="1"/>
  <c r="AS1360" i="1"/>
  <c r="AT1359" i="1"/>
  <c r="AS1359" i="1"/>
  <c r="AR1359" i="1"/>
  <c r="AT1358" i="1"/>
  <c r="AS1358" i="1"/>
  <c r="AR1358" i="1"/>
  <c r="AT1357" i="1"/>
  <c r="AS1357" i="1"/>
  <c r="AR1357" i="1"/>
  <c r="AT1356" i="1"/>
  <c r="AS1356" i="1"/>
  <c r="AR1356" i="1"/>
  <c r="AT1355" i="1"/>
  <c r="AS1355" i="1"/>
  <c r="AT1354" i="1"/>
  <c r="AS1354" i="1"/>
  <c r="AT1353" i="1"/>
  <c r="AS1353" i="1"/>
  <c r="AR1353" i="1"/>
  <c r="AT1352" i="1"/>
  <c r="AS1352" i="1"/>
  <c r="AR1352" i="1"/>
  <c r="AT1351" i="1"/>
  <c r="AS1351" i="1"/>
  <c r="AT1350" i="1"/>
  <c r="AS1350" i="1"/>
  <c r="AR1350" i="1"/>
  <c r="AT1349" i="1"/>
  <c r="AS1349" i="1"/>
  <c r="AT1348" i="1"/>
  <c r="AS1348" i="1"/>
  <c r="AR1348" i="1"/>
  <c r="AT1347" i="1"/>
  <c r="AS1347" i="1"/>
  <c r="AT1346" i="1"/>
  <c r="AS1346" i="1"/>
  <c r="AR1346" i="1"/>
  <c r="AT1345" i="1"/>
  <c r="AS1345" i="1"/>
  <c r="AT1344" i="1"/>
  <c r="AS1344" i="1"/>
  <c r="AT1343" i="1"/>
  <c r="AS1343" i="1"/>
  <c r="AT1342" i="1"/>
  <c r="AS1342" i="1"/>
  <c r="AT1341" i="1"/>
  <c r="AS1341" i="1"/>
  <c r="AT1340" i="1"/>
  <c r="AS1340" i="1"/>
  <c r="AR1340" i="1"/>
  <c r="AT1339" i="1"/>
  <c r="AS1339" i="1"/>
  <c r="AR1339" i="1"/>
  <c r="AT1338" i="1"/>
  <c r="AS1338" i="1"/>
  <c r="AR1338" i="1"/>
  <c r="AT1337" i="1"/>
  <c r="AS1337" i="1"/>
  <c r="AT1336" i="1"/>
  <c r="AS1336" i="1"/>
  <c r="AT1335" i="1"/>
  <c r="AS1335" i="1"/>
  <c r="AT1334" i="1"/>
  <c r="AS1334" i="1"/>
  <c r="AT1333" i="1"/>
  <c r="AS1333" i="1"/>
  <c r="AT1332" i="1"/>
  <c r="AS1332" i="1"/>
  <c r="AR1332" i="1"/>
  <c r="AT1331" i="1"/>
  <c r="AS1331" i="1"/>
  <c r="AT1330" i="1"/>
  <c r="AS1330" i="1"/>
  <c r="AT1329" i="1"/>
  <c r="AS1329" i="1"/>
  <c r="AT1328" i="1"/>
  <c r="AS1328" i="1"/>
  <c r="AR1328" i="1"/>
  <c r="AT1327" i="1"/>
  <c r="AS1327" i="1"/>
  <c r="AT1326" i="1"/>
  <c r="AS1326" i="1"/>
  <c r="AR1326" i="1"/>
  <c r="AT1325" i="1"/>
  <c r="AS1325" i="1"/>
  <c r="AR1325" i="1"/>
  <c r="AT1324" i="1"/>
  <c r="AS1324" i="1"/>
  <c r="AR1324" i="1"/>
  <c r="AT1323" i="1"/>
  <c r="AS1323" i="1"/>
  <c r="AR1323" i="1"/>
  <c r="AT1322" i="1"/>
  <c r="AS1322" i="1"/>
  <c r="AR1322" i="1"/>
  <c r="AT1321" i="1"/>
  <c r="AS1321" i="1"/>
  <c r="AT1320" i="1"/>
  <c r="AS1320" i="1"/>
  <c r="AT1319" i="1"/>
  <c r="AS1319" i="1"/>
  <c r="AR1319" i="1"/>
  <c r="AT1318" i="1"/>
  <c r="AS1318" i="1"/>
  <c r="AT1317" i="1"/>
  <c r="AS1317" i="1"/>
  <c r="AR1317" i="1"/>
  <c r="AT1316" i="1"/>
  <c r="AS1316" i="1"/>
  <c r="AT1315" i="1"/>
  <c r="AS1315" i="1"/>
  <c r="AT1314" i="1"/>
  <c r="AS1314" i="1"/>
  <c r="AR1314" i="1"/>
  <c r="AT1313" i="1"/>
  <c r="AS1313" i="1"/>
  <c r="AR1313" i="1"/>
  <c r="AT1312" i="1"/>
  <c r="AS1312" i="1"/>
  <c r="AR1312" i="1"/>
  <c r="AT1311" i="1"/>
  <c r="AS1311" i="1"/>
  <c r="AT1310" i="1"/>
  <c r="AS1310" i="1"/>
  <c r="AR1310" i="1"/>
  <c r="AT1309" i="1"/>
  <c r="AS1309" i="1"/>
  <c r="AR1309" i="1"/>
  <c r="AT1308" i="1"/>
  <c r="AS1308" i="1"/>
  <c r="AR1308" i="1"/>
  <c r="AT1307" i="1"/>
  <c r="AS1307" i="1"/>
  <c r="AR1307" i="1"/>
  <c r="AT1306" i="1"/>
  <c r="AS1306" i="1"/>
  <c r="AR1306" i="1"/>
  <c r="AT1305" i="1"/>
  <c r="AS1305" i="1"/>
  <c r="AR1305" i="1"/>
  <c r="AT1304" i="1"/>
  <c r="AS1304" i="1"/>
  <c r="AR1304" i="1"/>
  <c r="AT1303" i="1"/>
  <c r="AS1303" i="1"/>
  <c r="AR1303" i="1"/>
  <c r="AT1302" i="1"/>
  <c r="AS1302" i="1"/>
  <c r="AR1302" i="1"/>
  <c r="AT1301" i="1"/>
  <c r="AS1301" i="1"/>
  <c r="AR1301" i="1"/>
  <c r="AT1300" i="1"/>
  <c r="AS1300" i="1"/>
  <c r="AR1300" i="1"/>
  <c r="AT1299" i="1"/>
  <c r="AS1299" i="1"/>
  <c r="AR1299" i="1"/>
  <c r="AT1298" i="1"/>
  <c r="AS1298" i="1"/>
  <c r="AR1298" i="1"/>
  <c r="AT1297" i="1"/>
  <c r="AS1297" i="1"/>
  <c r="AR1297" i="1"/>
  <c r="AT1296" i="1"/>
  <c r="AS1296" i="1"/>
  <c r="AT1295" i="1"/>
  <c r="AS1295" i="1"/>
  <c r="AT1294" i="1"/>
  <c r="AS1294" i="1"/>
  <c r="AT1293" i="1"/>
  <c r="AS1293" i="1"/>
  <c r="AT1292" i="1"/>
  <c r="AS1292" i="1"/>
  <c r="AT1291" i="1"/>
  <c r="AS1291" i="1"/>
  <c r="AR1291" i="1"/>
  <c r="AT1290" i="1"/>
  <c r="AS1290" i="1"/>
  <c r="AR1290" i="1"/>
  <c r="AT1289" i="1"/>
  <c r="AS1289" i="1"/>
  <c r="AR1289" i="1"/>
  <c r="AT1288" i="1"/>
  <c r="AS1288" i="1"/>
  <c r="AR1288" i="1"/>
  <c r="AT1287" i="1"/>
  <c r="AS1287" i="1"/>
  <c r="AR1287" i="1"/>
  <c r="AT1286" i="1"/>
  <c r="AS1286" i="1"/>
  <c r="AT1285" i="1"/>
  <c r="AS1285" i="1"/>
  <c r="AR1285" i="1"/>
  <c r="AT1284" i="1"/>
  <c r="AS1284" i="1"/>
  <c r="AT1283" i="1"/>
  <c r="AS1283" i="1"/>
  <c r="AR1283" i="1"/>
  <c r="AT1282" i="1"/>
  <c r="AS1282" i="1"/>
  <c r="AR1282" i="1"/>
  <c r="AT1281" i="1"/>
  <c r="AS1281" i="1"/>
  <c r="AR1281" i="1"/>
  <c r="AT1280" i="1"/>
  <c r="AS1280" i="1"/>
  <c r="AR1280" i="1"/>
  <c r="AT1279" i="1"/>
  <c r="AS1279" i="1"/>
  <c r="AR1279" i="1"/>
  <c r="AT1278" i="1"/>
  <c r="AS1278" i="1"/>
  <c r="AT1277" i="1"/>
  <c r="AS1277" i="1"/>
  <c r="AT1276" i="1"/>
  <c r="AS1276" i="1"/>
  <c r="AT1275" i="1"/>
  <c r="AS1275" i="1"/>
  <c r="AT1274" i="1"/>
  <c r="AS1274" i="1"/>
  <c r="AR1274" i="1"/>
  <c r="AT1273" i="1"/>
  <c r="AS1273" i="1"/>
  <c r="AT1272" i="1"/>
  <c r="AS1272" i="1"/>
  <c r="AT1271" i="1"/>
  <c r="AS1271" i="1"/>
  <c r="AR1271" i="1"/>
  <c r="AT1270" i="1"/>
  <c r="AS1270" i="1"/>
  <c r="AT1269" i="1"/>
  <c r="AS1269" i="1"/>
  <c r="AR1269" i="1"/>
  <c r="AT1268" i="1"/>
  <c r="AS1268" i="1"/>
  <c r="AR1268" i="1"/>
  <c r="AT1267" i="1"/>
  <c r="AS1267" i="1"/>
  <c r="AR1267" i="1"/>
  <c r="AT1266" i="1"/>
  <c r="AS1266" i="1"/>
  <c r="AR1266" i="1"/>
  <c r="AT1265" i="1"/>
  <c r="AS1265" i="1"/>
  <c r="AR1265" i="1"/>
  <c r="AT1264" i="1"/>
  <c r="AS1264" i="1"/>
  <c r="AR1264" i="1"/>
  <c r="AT1263" i="1"/>
  <c r="AS1263" i="1"/>
  <c r="AR1263" i="1"/>
  <c r="AT1262" i="1"/>
  <c r="AS1262" i="1"/>
  <c r="AR1262" i="1"/>
  <c r="AT1261" i="1"/>
  <c r="AS1261" i="1"/>
  <c r="AR1261" i="1"/>
  <c r="AT1260" i="1"/>
  <c r="AS1260" i="1"/>
  <c r="AT1259" i="1"/>
  <c r="AS1259" i="1"/>
  <c r="AR1259" i="1"/>
  <c r="AT1258" i="1"/>
  <c r="AS1258" i="1"/>
  <c r="AR1258" i="1"/>
  <c r="AT1257" i="1"/>
  <c r="AS1257" i="1"/>
  <c r="AT1256" i="1"/>
  <c r="AS1256" i="1"/>
  <c r="AT1255" i="1"/>
  <c r="AS1255" i="1"/>
  <c r="AR1255" i="1"/>
  <c r="AT1254" i="1"/>
  <c r="AS1254" i="1"/>
  <c r="AR1254" i="1"/>
  <c r="AT1253" i="1"/>
  <c r="AS1253" i="1"/>
  <c r="AR1253" i="1"/>
  <c r="AT1252" i="1"/>
  <c r="AS1252" i="1"/>
  <c r="AR1252" i="1"/>
  <c r="AT1251" i="1"/>
  <c r="AS1251" i="1"/>
  <c r="AT1250" i="1"/>
  <c r="AS1250" i="1"/>
  <c r="AR1250" i="1"/>
  <c r="AT1249" i="1"/>
  <c r="AS1249" i="1"/>
  <c r="AR1249" i="1"/>
  <c r="AT1248" i="1"/>
  <c r="AS1248" i="1"/>
  <c r="AR1248" i="1"/>
  <c r="AT1247" i="1"/>
  <c r="AS1247" i="1"/>
  <c r="AR1247" i="1"/>
  <c r="AT1246" i="1"/>
  <c r="AS1246" i="1"/>
  <c r="AR1246" i="1"/>
  <c r="AT1245" i="1"/>
  <c r="AS1245" i="1"/>
  <c r="AT1244" i="1"/>
  <c r="AS1244" i="1"/>
  <c r="AT1243" i="1"/>
  <c r="AS1243" i="1"/>
  <c r="AT1242" i="1"/>
  <c r="AS1242" i="1"/>
  <c r="AT1241" i="1"/>
  <c r="AS1241" i="1"/>
  <c r="AR1241" i="1"/>
  <c r="AT1240" i="1"/>
  <c r="AS1240" i="1"/>
  <c r="AR1240" i="1"/>
  <c r="AT1239" i="1"/>
  <c r="AS1239" i="1"/>
  <c r="AR1239" i="1"/>
  <c r="AT1238" i="1"/>
  <c r="AS1238" i="1"/>
  <c r="AR1238" i="1"/>
  <c r="AT1237" i="1"/>
  <c r="AS1237" i="1"/>
  <c r="AR1237" i="1"/>
  <c r="AT1236" i="1"/>
  <c r="AS1236" i="1"/>
  <c r="AT1235" i="1"/>
  <c r="AS1235" i="1"/>
  <c r="AT1234" i="1"/>
  <c r="AS1234" i="1"/>
  <c r="AR1234" i="1"/>
  <c r="AT1233" i="1"/>
  <c r="AS1233" i="1"/>
  <c r="AT1232" i="1"/>
  <c r="AS1232" i="1"/>
  <c r="AT1231" i="1"/>
  <c r="AS1231" i="1"/>
  <c r="AR1231" i="1"/>
  <c r="AT1230" i="1"/>
  <c r="AS1230" i="1"/>
  <c r="AR1230" i="1"/>
  <c r="AT1229" i="1"/>
  <c r="AS1229" i="1"/>
  <c r="AT1228" i="1"/>
  <c r="AS1228" i="1"/>
  <c r="AR1228" i="1"/>
  <c r="AT1227" i="1"/>
  <c r="AS1227" i="1"/>
  <c r="AR1227" i="1"/>
  <c r="AT1226" i="1"/>
  <c r="AS1226" i="1"/>
  <c r="AR1226" i="1"/>
  <c r="AT1225" i="1"/>
  <c r="AS1225" i="1"/>
  <c r="AT1224" i="1"/>
  <c r="AS1224" i="1"/>
  <c r="AR1224" i="1"/>
  <c r="AT1223" i="1"/>
  <c r="AS1223" i="1"/>
  <c r="AR1223" i="1"/>
  <c r="AT1222" i="1"/>
  <c r="AS1222" i="1"/>
  <c r="AT1221" i="1"/>
  <c r="AS1221" i="1"/>
  <c r="AT1220" i="1"/>
  <c r="AS1220" i="1"/>
  <c r="AT1219" i="1"/>
  <c r="AS1219" i="1"/>
  <c r="AR1219" i="1"/>
  <c r="AT1218" i="1"/>
  <c r="AS1218" i="1"/>
  <c r="AT1217" i="1"/>
  <c r="AS1217" i="1"/>
  <c r="AT1216" i="1"/>
  <c r="AS1216" i="1"/>
  <c r="AR1216" i="1"/>
  <c r="AT1215" i="1"/>
  <c r="AS1215" i="1"/>
  <c r="AR1215" i="1"/>
  <c r="AT1214" i="1"/>
  <c r="AS1214" i="1"/>
  <c r="AT1213" i="1"/>
  <c r="AS1213" i="1"/>
  <c r="AT1212" i="1"/>
  <c r="AS1212" i="1"/>
  <c r="AR1212" i="1"/>
  <c r="AT1211" i="1"/>
  <c r="AS1211" i="1"/>
  <c r="AR1211" i="1"/>
  <c r="AT1210" i="1"/>
  <c r="AS1210" i="1"/>
  <c r="AR1210" i="1"/>
  <c r="AT1209" i="1"/>
  <c r="AS1209" i="1"/>
  <c r="AR1209" i="1"/>
  <c r="AT1208" i="1"/>
  <c r="AS1208" i="1"/>
  <c r="AR1208" i="1"/>
  <c r="AT1207" i="1"/>
  <c r="AS1207" i="1"/>
  <c r="AT1206" i="1"/>
  <c r="AS1206" i="1"/>
  <c r="AT1205" i="1"/>
  <c r="AS1205" i="1"/>
  <c r="AR1205" i="1"/>
  <c r="AT1204" i="1"/>
  <c r="AS1204" i="1"/>
  <c r="AT1203" i="1"/>
  <c r="AS1203" i="1"/>
  <c r="AR1203" i="1"/>
  <c r="AT1202" i="1"/>
  <c r="AS1202" i="1"/>
  <c r="AT1201" i="1"/>
  <c r="AS1201" i="1"/>
  <c r="AR1201" i="1"/>
  <c r="AT1200" i="1"/>
  <c r="AS1200" i="1"/>
  <c r="AT1199" i="1"/>
  <c r="AS1199" i="1"/>
  <c r="AT1198" i="1"/>
  <c r="AS1198" i="1"/>
  <c r="AR1198" i="1"/>
  <c r="AT1197" i="1"/>
  <c r="AS1197" i="1"/>
  <c r="AR1197" i="1"/>
  <c r="AT1196" i="1"/>
  <c r="AS1196" i="1"/>
  <c r="AT1195" i="1"/>
  <c r="AS1195" i="1"/>
  <c r="AR1195" i="1"/>
  <c r="AT1194" i="1"/>
  <c r="AS1194" i="1"/>
  <c r="AT1193" i="1"/>
  <c r="AS1193" i="1"/>
  <c r="AR1193" i="1"/>
  <c r="AT1192" i="1"/>
  <c r="AS1192" i="1"/>
  <c r="AR1192" i="1"/>
  <c r="AT1191" i="1"/>
  <c r="AS1191" i="1"/>
  <c r="AR1191" i="1"/>
  <c r="AT1190" i="1"/>
  <c r="AS1190" i="1"/>
  <c r="AR1190" i="1"/>
  <c r="AT1189" i="1"/>
  <c r="AS1189" i="1"/>
  <c r="AR1189" i="1"/>
  <c r="AT1188" i="1"/>
  <c r="AS1188" i="1"/>
  <c r="AT1187" i="1"/>
  <c r="AS1187" i="1"/>
  <c r="AR1187" i="1"/>
  <c r="AT1186" i="1"/>
  <c r="AS1186" i="1"/>
  <c r="AR1186" i="1"/>
  <c r="AT1185" i="1"/>
  <c r="AS1185" i="1"/>
  <c r="AR1185" i="1"/>
  <c r="AT1184" i="1"/>
  <c r="AS1184" i="1"/>
  <c r="AR1184" i="1"/>
  <c r="AT1183" i="1"/>
  <c r="AS1183" i="1"/>
  <c r="AR1183" i="1"/>
  <c r="AT1182" i="1"/>
  <c r="AS1182" i="1"/>
  <c r="AR1182" i="1"/>
  <c r="AT1181" i="1"/>
  <c r="AS1181" i="1"/>
  <c r="AR1181" i="1"/>
  <c r="AT1180" i="1"/>
  <c r="AS1180" i="1"/>
  <c r="AR1180" i="1"/>
  <c r="AT1179" i="1"/>
  <c r="AS1179" i="1"/>
  <c r="AR1179" i="1"/>
  <c r="AT1178" i="1"/>
  <c r="AS1178" i="1"/>
  <c r="AR1178" i="1"/>
  <c r="AT1177" i="1"/>
  <c r="AS1177" i="1"/>
  <c r="AR1177" i="1"/>
  <c r="AT1176" i="1"/>
  <c r="AS1176" i="1"/>
  <c r="AR1176" i="1"/>
  <c r="AT1175" i="1"/>
  <c r="AS1175" i="1"/>
  <c r="AR1175" i="1"/>
  <c r="AT1174" i="1"/>
  <c r="AS1174" i="1"/>
  <c r="AR1174" i="1"/>
  <c r="AT1173" i="1"/>
  <c r="AS1173" i="1"/>
  <c r="AT1172" i="1"/>
  <c r="AS1172" i="1"/>
  <c r="AT1171" i="1"/>
  <c r="AS1171" i="1"/>
  <c r="AR1171" i="1"/>
  <c r="AT1170" i="1"/>
  <c r="AS1170" i="1"/>
  <c r="AT1169" i="1"/>
  <c r="AS1169" i="1"/>
  <c r="AR1169" i="1"/>
  <c r="AT1168" i="1"/>
  <c r="AS1168" i="1"/>
  <c r="AT1167" i="1"/>
  <c r="AS1167" i="1"/>
  <c r="AR1167" i="1"/>
  <c r="AT1166" i="1"/>
  <c r="AS1166" i="1"/>
  <c r="AT1165" i="1"/>
  <c r="AS1165" i="1"/>
  <c r="AR1165" i="1"/>
  <c r="AT1164" i="1"/>
  <c r="AS1164" i="1"/>
  <c r="AR1164" i="1"/>
  <c r="AT1163" i="1"/>
  <c r="AS1163" i="1"/>
  <c r="AR1163" i="1"/>
  <c r="AT1162" i="1"/>
  <c r="AS1162" i="1"/>
  <c r="AT1161" i="1"/>
  <c r="AS1161" i="1"/>
  <c r="AR1161" i="1"/>
  <c r="AT1160" i="1"/>
  <c r="AS1160" i="1"/>
  <c r="AT1159" i="1"/>
  <c r="AS1159" i="1"/>
  <c r="AR1159" i="1"/>
  <c r="AT1158" i="1"/>
  <c r="AS1158" i="1"/>
  <c r="AT1157" i="1"/>
  <c r="AS1157" i="1"/>
  <c r="AT1156" i="1"/>
  <c r="AS1156" i="1"/>
  <c r="AR1156" i="1"/>
  <c r="AT1155" i="1"/>
  <c r="AS1155" i="1"/>
  <c r="AR1155" i="1"/>
  <c r="AT1154" i="1"/>
  <c r="AS1154" i="1"/>
  <c r="AT1153" i="1"/>
  <c r="AS1153" i="1"/>
  <c r="AR1153" i="1"/>
  <c r="AT1152" i="1"/>
  <c r="AS1152" i="1"/>
  <c r="AT1151" i="1"/>
  <c r="AS1151" i="1"/>
  <c r="AR1151" i="1"/>
  <c r="AT1150" i="1"/>
  <c r="AS1150" i="1"/>
  <c r="AT1149" i="1"/>
  <c r="AS1149" i="1"/>
  <c r="AT1148" i="1"/>
  <c r="AS1148" i="1"/>
  <c r="AR1148" i="1"/>
  <c r="AT1147" i="1"/>
  <c r="AS1147" i="1"/>
  <c r="AR1147" i="1"/>
  <c r="AT1146" i="1"/>
  <c r="AS1146" i="1"/>
  <c r="AR1146" i="1"/>
  <c r="AT1145" i="1"/>
  <c r="AS1145" i="1"/>
  <c r="AR1145" i="1"/>
  <c r="AT1144" i="1"/>
  <c r="AS1144" i="1"/>
  <c r="AR1144" i="1"/>
  <c r="AT1143" i="1"/>
  <c r="AS1143" i="1"/>
  <c r="AR1143" i="1"/>
  <c r="AT1142" i="1"/>
  <c r="AS1142" i="1"/>
  <c r="AR1142" i="1"/>
  <c r="AT1141" i="1"/>
  <c r="AS1141" i="1"/>
  <c r="AT1140" i="1"/>
  <c r="AS1140" i="1"/>
  <c r="AR1140" i="1"/>
  <c r="AT1139" i="1"/>
  <c r="AS1139" i="1"/>
  <c r="AT1138" i="1"/>
  <c r="AS1138" i="1"/>
  <c r="AR1138" i="1"/>
  <c r="AT1137" i="1"/>
  <c r="AS1137" i="1"/>
  <c r="AR1137" i="1"/>
  <c r="AT1136" i="1"/>
  <c r="AS1136" i="1"/>
  <c r="AT1135" i="1"/>
  <c r="AS1135" i="1"/>
  <c r="AR1135" i="1"/>
  <c r="AT1134" i="1"/>
  <c r="AS1134" i="1"/>
  <c r="AT1133" i="1"/>
  <c r="AS1133" i="1"/>
  <c r="AR1133" i="1"/>
  <c r="AT1132" i="1"/>
  <c r="AS1132" i="1"/>
  <c r="AT1131" i="1"/>
  <c r="AS1131" i="1"/>
  <c r="AT1130" i="1"/>
  <c r="AS1130" i="1"/>
  <c r="AR1130" i="1"/>
  <c r="AT1129" i="1"/>
  <c r="AS1129" i="1"/>
  <c r="AR1129" i="1"/>
  <c r="AT1128" i="1"/>
  <c r="AS1128" i="1"/>
  <c r="AR1128" i="1"/>
  <c r="AT1127" i="1"/>
  <c r="AS1127" i="1"/>
  <c r="AT1126" i="1"/>
  <c r="AS1126" i="1"/>
  <c r="AT1125" i="1"/>
  <c r="AS1125" i="1"/>
  <c r="AT1124" i="1"/>
  <c r="AS1124" i="1"/>
  <c r="AT1123" i="1"/>
  <c r="AS1123" i="1"/>
  <c r="AR1123" i="1"/>
  <c r="AT1122" i="1"/>
  <c r="AS1122" i="1"/>
  <c r="AT1121" i="1"/>
  <c r="AS1121" i="1"/>
  <c r="AR1121" i="1"/>
  <c r="AT1120" i="1"/>
  <c r="AS1120" i="1"/>
  <c r="AT1119" i="1"/>
  <c r="AS1119" i="1"/>
  <c r="AR1119" i="1"/>
  <c r="AT1118" i="1"/>
  <c r="AS1118" i="1"/>
  <c r="AT1117" i="1"/>
  <c r="AS1117" i="1"/>
  <c r="AR1117" i="1"/>
  <c r="AT1116" i="1"/>
  <c r="AS1116" i="1"/>
  <c r="AT1115" i="1"/>
  <c r="AS1115" i="1"/>
  <c r="AR1115" i="1"/>
  <c r="AT1114" i="1"/>
  <c r="AS1114" i="1"/>
  <c r="AR1114" i="1"/>
  <c r="AT1113" i="1"/>
  <c r="AS1113" i="1"/>
  <c r="AR1113" i="1"/>
  <c r="AT1112" i="1"/>
  <c r="AS1112" i="1"/>
  <c r="AR1112" i="1"/>
  <c r="AT1111" i="1"/>
  <c r="AS1111" i="1"/>
  <c r="AR1111" i="1"/>
  <c r="AT1110" i="1"/>
  <c r="AS1110" i="1"/>
  <c r="AR1110" i="1"/>
  <c r="AT1109" i="1"/>
  <c r="AS1109" i="1"/>
  <c r="AT1108" i="1"/>
  <c r="AS1108" i="1"/>
  <c r="AT1107" i="1"/>
  <c r="AS1107" i="1"/>
  <c r="AR1107" i="1"/>
  <c r="AT1106" i="1"/>
  <c r="AS1106" i="1"/>
  <c r="AR1106" i="1"/>
  <c r="AT1105" i="1"/>
  <c r="AS1105" i="1"/>
  <c r="AR1105" i="1"/>
  <c r="AT1104" i="1"/>
  <c r="AS1104" i="1"/>
  <c r="AR1104" i="1"/>
  <c r="AT1103" i="1"/>
  <c r="AS1103" i="1"/>
  <c r="AT1102" i="1"/>
  <c r="AS1102" i="1"/>
  <c r="AR1102" i="1"/>
  <c r="AT1101" i="1"/>
  <c r="AS1101" i="1"/>
  <c r="AR1101" i="1"/>
  <c r="AT1100" i="1"/>
  <c r="AS1100" i="1"/>
  <c r="AR1100" i="1"/>
  <c r="AT1099" i="1"/>
  <c r="AS1099" i="1"/>
  <c r="AR1099" i="1"/>
  <c r="AT1098" i="1"/>
  <c r="AS1098" i="1"/>
  <c r="AR1098" i="1"/>
  <c r="AT1097" i="1"/>
  <c r="AS1097" i="1"/>
  <c r="AR1097" i="1"/>
  <c r="AT1096" i="1"/>
  <c r="AS1096" i="1"/>
  <c r="AT1095" i="1"/>
  <c r="AS1095" i="1"/>
  <c r="AT1094" i="1"/>
  <c r="AS1094" i="1"/>
  <c r="AR1094" i="1"/>
  <c r="AT1093" i="1"/>
  <c r="AS1093" i="1"/>
  <c r="AR1093" i="1"/>
  <c r="AT1092" i="1"/>
  <c r="AS1092" i="1"/>
  <c r="AT1091" i="1"/>
  <c r="AS1091" i="1"/>
  <c r="AR1091" i="1"/>
  <c r="AT1090" i="1"/>
  <c r="AS1090" i="1"/>
  <c r="AT1089" i="1"/>
  <c r="AS1089" i="1"/>
  <c r="AR1089" i="1"/>
  <c r="AT1088" i="1"/>
  <c r="AS1088" i="1"/>
  <c r="AR1088" i="1"/>
  <c r="AT1087" i="1"/>
  <c r="AS1087" i="1"/>
  <c r="AR1087" i="1"/>
  <c r="AT1086" i="1"/>
  <c r="AS1086" i="1"/>
  <c r="AT1085" i="1"/>
  <c r="AS1085" i="1"/>
  <c r="AT1084" i="1"/>
  <c r="AS1084" i="1"/>
  <c r="AR1084" i="1"/>
  <c r="AT1083" i="1"/>
  <c r="AS1083" i="1"/>
  <c r="AR1083" i="1"/>
  <c r="AT1082" i="1"/>
  <c r="AS1082" i="1"/>
  <c r="AR1082" i="1"/>
  <c r="AT1081" i="1"/>
  <c r="AS1081" i="1"/>
  <c r="AT1080" i="1"/>
  <c r="AS1080" i="1"/>
  <c r="AR1080" i="1"/>
  <c r="AT1079" i="1"/>
  <c r="AS1079" i="1"/>
  <c r="AR1079" i="1"/>
  <c r="AT1078" i="1"/>
  <c r="AS1078" i="1"/>
  <c r="AR1078" i="1"/>
  <c r="AT1077" i="1"/>
  <c r="AS1077" i="1"/>
  <c r="AT1076" i="1"/>
  <c r="AS1076" i="1"/>
  <c r="AR1076" i="1"/>
  <c r="AT1075" i="1"/>
  <c r="AS1075" i="1"/>
  <c r="AT1074" i="1"/>
  <c r="AS1074" i="1"/>
  <c r="AT1073" i="1"/>
  <c r="AS1073" i="1"/>
  <c r="AT1072" i="1"/>
  <c r="AS1072" i="1"/>
  <c r="AR1072" i="1"/>
  <c r="AT1071" i="1"/>
  <c r="AS1071" i="1"/>
  <c r="AR1071" i="1"/>
  <c r="AT1070" i="1"/>
  <c r="AS1070" i="1"/>
  <c r="AR1070" i="1"/>
  <c r="AT1069" i="1"/>
  <c r="AS1069" i="1"/>
  <c r="AR1069" i="1"/>
  <c r="AT1068" i="1"/>
  <c r="AS1068" i="1"/>
  <c r="AT1067" i="1"/>
  <c r="AS1067" i="1"/>
  <c r="AR1067" i="1"/>
  <c r="AT1066" i="1"/>
  <c r="AS1066" i="1"/>
  <c r="AR1066" i="1"/>
  <c r="AT1065" i="1"/>
  <c r="AS1065" i="1"/>
  <c r="AR1065" i="1"/>
  <c r="AT1064" i="1"/>
  <c r="AS1064" i="1"/>
  <c r="AR1064" i="1"/>
  <c r="AT1063" i="1"/>
  <c r="AS1063" i="1"/>
  <c r="AT1062" i="1"/>
  <c r="AS1062" i="1"/>
  <c r="AR1062" i="1"/>
  <c r="AT1061" i="1"/>
  <c r="AS1061" i="1"/>
  <c r="AR1061" i="1"/>
  <c r="AT1060" i="1"/>
  <c r="AS1060" i="1"/>
  <c r="AR1060" i="1"/>
  <c r="AT1059" i="1"/>
  <c r="AS1059" i="1"/>
  <c r="AT1058" i="1"/>
  <c r="AS1058" i="1"/>
  <c r="AT1057" i="1"/>
  <c r="AS1057" i="1"/>
  <c r="AR1057" i="1"/>
  <c r="AT1056" i="1"/>
  <c r="AS1056" i="1"/>
  <c r="AR1056" i="1"/>
  <c r="AT1055" i="1"/>
  <c r="AS1055" i="1"/>
  <c r="AR1055" i="1"/>
  <c r="AT1054" i="1"/>
  <c r="AS1054" i="1"/>
  <c r="AR1054" i="1"/>
  <c r="AT1053" i="1"/>
  <c r="AS1053" i="1"/>
  <c r="AR1053" i="1"/>
  <c r="AT1052" i="1"/>
  <c r="AS1052" i="1"/>
  <c r="AT1051" i="1"/>
  <c r="AS1051" i="1"/>
  <c r="AR1051" i="1"/>
  <c r="AT1050" i="1"/>
  <c r="AS1050" i="1"/>
  <c r="AR1050" i="1"/>
  <c r="AT1049" i="1"/>
  <c r="AS1049" i="1"/>
  <c r="AT1048" i="1"/>
  <c r="AS1048" i="1"/>
  <c r="AR1048" i="1"/>
  <c r="AT1047" i="1"/>
  <c r="AS1047" i="1"/>
  <c r="AR1047" i="1"/>
  <c r="AT1046" i="1"/>
  <c r="AS1046" i="1"/>
  <c r="AR1046" i="1"/>
  <c r="AT1045" i="1"/>
  <c r="AS1045" i="1"/>
  <c r="AR1045" i="1"/>
  <c r="AT1044" i="1"/>
  <c r="AS1044" i="1"/>
  <c r="AR1044" i="1"/>
  <c r="AT1043" i="1"/>
  <c r="AS1043" i="1"/>
  <c r="AR1043" i="1"/>
  <c r="AT1042" i="1"/>
  <c r="AS1042" i="1"/>
  <c r="AT1041" i="1"/>
  <c r="AS1041" i="1"/>
  <c r="AT1040" i="1"/>
  <c r="AS1040" i="1"/>
  <c r="AT1039" i="1"/>
  <c r="AS1039" i="1"/>
  <c r="AT1038" i="1"/>
  <c r="AS1038" i="1"/>
  <c r="AT1037" i="1"/>
  <c r="AS1037" i="1"/>
  <c r="AR1037" i="1"/>
  <c r="AT1036" i="1"/>
  <c r="AS1036" i="1"/>
  <c r="AR1036" i="1"/>
  <c r="AT1035" i="1"/>
  <c r="AS1035" i="1"/>
  <c r="AR1035" i="1"/>
  <c r="AT1034" i="1"/>
  <c r="AS1034" i="1"/>
  <c r="AT1033" i="1"/>
  <c r="AS1033" i="1"/>
  <c r="AR1033" i="1"/>
  <c r="AT1032" i="1"/>
  <c r="AS1032" i="1"/>
  <c r="AT1031" i="1"/>
  <c r="AS1031" i="1"/>
  <c r="AT1030" i="1"/>
  <c r="AS1030" i="1"/>
  <c r="AT1029" i="1"/>
  <c r="AS1029" i="1"/>
  <c r="AT1028" i="1"/>
  <c r="AS1028" i="1"/>
  <c r="AR1028" i="1"/>
  <c r="AT1027" i="1"/>
  <c r="AS1027" i="1"/>
  <c r="AT1026" i="1"/>
  <c r="AS1026" i="1"/>
  <c r="AR1026" i="1"/>
  <c r="AT1025" i="1"/>
  <c r="AS1025" i="1"/>
  <c r="AR1025" i="1"/>
  <c r="AT1024" i="1"/>
  <c r="AS1024" i="1"/>
  <c r="AR1024" i="1"/>
  <c r="AT1023" i="1"/>
  <c r="AS1023" i="1"/>
  <c r="AR1023" i="1"/>
  <c r="AT1022" i="1"/>
  <c r="AS1022" i="1"/>
  <c r="AT1021" i="1"/>
  <c r="AS1021" i="1"/>
  <c r="AT1020" i="1"/>
  <c r="AS1020" i="1"/>
  <c r="AR1020" i="1"/>
  <c r="AT1019" i="1"/>
  <c r="AS1019" i="1"/>
  <c r="AR1019" i="1"/>
  <c r="AT1018" i="1"/>
  <c r="AS1018" i="1"/>
  <c r="AR1018" i="1"/>
  <c r="AT1017" i="1"/>
  <c r="AS1017" i="1"/>
  <c r="AR1017" i="1"/>
  <c r="AT1016" i="1"/>
  <c r="AS1016" i="1"/>
  <c r="AT1015" i="1"/>
  <c r="AS1015" i="1"/>
  <c r="AR1015" i="1"/>
  <c r="AT1014" i="1"/>
  <c r="AS1014" i="1"/>
  <c r="AT1013" i="1"/>
  <c r="AS1013" i="1"/>
  <c r="AR1013" i="1"/>
  <c r="AT1012" i="1"/>
  <c r="AS1012" i="1"/>
  <c r="AR1012" i="1"/>
  <c r="AT1011" i="1"/>
  <c r="AS1011" i="1"/>
  <c r="AT1010" i="1"/>
  <c r="AS1010" i="1"/>
  <c r="AR1010" i="1"/>
  <c r="AT1009" i="1"/>
  <c r="AS1009" i="1"/>
  <c r="AT1008" i="1"/>
  <c r="AS1008" i="1"/>
  <c r="AT1007" i="1"/>
  <c r="AS1007" i="1"/>
  <c r="AR1007" i="1"/>
  <c r="AT1006" i="1"/>
  <c r="AS1006" i="1"/>
  <c r="AT1005" i="1"/>
  <c r="AS1005" i="1"/>
  <c r="AT1004" i="1"/>
  <c r="AS1004" i="1"/>
  <c r="AR1004" i="1"/>
  <c r="AT1003" i="1"/>
  <c r="AS1003" i="1"/>
  <c r="AR1003" i="1"/>
  <c r="AT1002" i="1"/>
  <c r="AS1002" i="1"/>
  <c r="AR1002" i="1"/>
  <c r="AT1001" i="1"/>
  <c r="AS1001" i="1"/>
  <c r="AR1001" i="1"/>
  <c r="AT1000" i="1"/>
  <c r="AS1000" i="1"/>
  <c r="AT999" i="1"/>
  <c r="AS999" i="1"/>
  <c r="AT998" i="1"/>
  <c r="AS998" i="1"/>
  <c r="AR998" i="1"/>
  <c r="AT997" i="1"/>
  <c r="AS997" i="1"/>
  <c r="AT996" i="1"/>
  <c r="AS996" i="1"/>
  <c r="AR996" i="1"/>
  <c r="AT995" i="1"/>
  <c r="AS995" i="1"/>
  <c r="AT994" i="1"/>
  <c r="AS994" i="1"/>
  <c r="AR994" i="1"/>
  <c r="AT993" i="1"/>
  <c r="AS993" i="1"/>
  <c r="AT992" i="1"/>
  <c r="AS992" i="1"/>
  <c r="AR992" i="1"/>
  <c r="AT991" i="1"/>
  <c r="AS991" i="1"/>
  <c r="AT990" i="1"/>
  <c r="AS990" i="1"/>
  <c r="AT989" i="1"/>
  <c r="AS989" i="1"/>
  <c r="AR989" i="1"/>
  <c r="AT988" i="1"/>
  <c r="AS988" i="1"/>
  <c r="AT987" i="1"/>
  <c r="AS987" i="1"/>
  <c r="AR987" i="1"/>
  <c r="AT986" i="1"/>
  <c r="AS986" i="1"/>
  <c r="AR986" i="1"/>
  <c r="AT985" i="1"/>
  <c r="AS985" i="1"/>
  <c r="AR985" i="1"/>
  <c r="AT984" i="1"/>
  <c r="AS984" i="1"/>
  <c r="AT983" i="1"/>
  <c r="AS983" i="1"/>
  <c r="AT982" i="1"/>
  <c r="AS982" i="1"/>
  <c r="AT981" i="1"/>
  <c r="AS981" i="1"/>
  <c r="AR981" i="1"/>
  <c r="AT980" i="1"/>
  <c r="AS980" i="1"/>
  <c r="AR980" i="1"/>
  <c r="AT979" i="1"/>
  <c r="AS979" i="1"/>
  <c r="AT978" i="1"/>
  <c r="AS978" i="1"/>
  <c r="AR978" i="1"/>
  <c r="AT977" i="1"/>
  <c r="AS977" i="1"/>
  <c r="AT976" i="1"/>
  <c r="AS976" i="1"/>
  <c r="AR976" i="1"/>
  <c r="AT975" i="1"/>
  <c r="AS975" i="1"/>
  <c r="AR975" i="1"/>
  <c r="AT974" i="1"/>
  <c r="AS974" i="1"/>
  <c r="AT973" i="1"/>
  <c r="AS973" i="1"/>
  <c r="AT972" i="1"/>
  <c r="AS972" i="1"/>
  <c r="AR972" i="1"/>
  <c r="AT971" i="1"/>
  <c r="AS971" i="1"/>
  <c r="AR971" i="1"/>
  <c r="AT970" i="1"/>
  <c r="AS970" i="1"/>
  <c r="AT969" i="1"/>
  <c r="AS969" i="1"/>
  <c r="AR969" i="1"/>
  <c r="AT968" i="1"/>
  <c r="AS968" i="1"/>
  <c r="AR968" i="1"/>
  <c r="AT967" i="1"/>
  <c r="AS967" i="1"/>
  <c r="AR967" i="1"/>
  <c r="AT966" i="1"/>
  <c r="AS966" i="1"/>
  <c r="AT965" i="1"/>
  <c r="AS965" i="1"/>
  <c r="AR965" i="1"/>
  <c r="AT964" i="1"/>
  <c r="AS964" i="1"/>
  <c r="AT963" i="1"/>
  <c r="AS963" i="1"/>
  <c r="AR963" i="1"/>
  <c r="AT962" i="1"/>
  <c r="AS962" i="1"/>
  <c r="AT961" i="1"/>
  <c r="AS961" i="1"/>
  <c r="AT960" i="1"/>
  <c r="AS960" i="1"/>
  <c r="AR960" i="1"/>
  <c r="AT959" i="1"/>
  <c r="AS959" i="1"/>
  <c r="AT958" i="1"/>
  <c r="AS958" i="1"/>
  <c r="AR958" i="1"/>
  <c r="AT957" i="1"/>
  <c r="AS957" i="1"/>
  <c r="AR957" i="1"/>
  <c r="AT956" i="1"/>
  <c r="AS956" i="1"/>
  <c r="AT955" i="1"/>
  <c r="AS955" i="1"/>
  <c r="AR955" i="1"/>
  <c r="AT954" i="1"/>
  <c r="AS954" i="1"/>
  <c r="AR954" i="1"/>
  <c r="AT953" i="1"/>
  <c r="AS953" i="1"/>
  <c r="AT952" i="1"/>
  <c r="AS952" i="1"/>
  <c r="AT951" i="1"/>
  <c r="AS951" i="1"/>
  <c r="AT950" i="1"/>
  <c r="AS950" i="1"/>
  <c r="AR950" i="1"/>
  <c r="AT949" i="1"/>
  <c r="AS949" i="1"/>
  <c r="AT948" i="1"/>
  <c r="AS948" i="1"/>
  <c r="AR948" i="1"/>
  <c r="AT947" i="1"/>
  <c r="AS947" i="1"/>
  <c r="AT946" i="1"/>
  <c r="AS946" i="1"/>
  <c r="AT945" i="1"/>
  <c r="AS945" i="1"/>
  <c r="AT944" i="1"/>
  <c r="AS944" i="1"/>
  <c r="AT943" i="1"/>
  <c r="AS943" i="1"/>
  <c r="AR943" i="1"/>
  <c r="AT942" i="1"/>
  <c r="AS942" i="1"/>
  <c r="AR942" i="1"/>
  <c r="AT941" i="1"/>
  <c r="AS941" i="1"/>
  <c r="AT940" i="1"/>
  <c r="AS940" i="1"/>
  <c r="AT939" i="1"/>
  <c r="AS939" i="1"/>
  <c r="AR939" i="1"/>
  <c r="AT938" i="1"/>
  <c r="AS938" i="1"/>
  <c r="AT937" i="1"/>
  <c r="AS937" i="1"/>
  <c r="AT936" i="1"/>
  <c r="AS936" i="1"/>
  <c r="AR936" i="1"/>
  <c r="AT935" i="1"/>
  <c r="AS935" i="1"/>
  <c r="AR935" i="1"/>
  <c r="AT934" i="1"/>
  <c r="AS934" i="1"/>
  <c r="AT933" i="1"/>
  <c r="AS933" i="1"/>
  <c r="AR933" i="1"/>
  <c r="AT932" i="1"/>
  <c r="AS932" i="1"/>
  <c r="AR932" i="1"/>
  <c r="AT931" i="1"/>
  <c r="AS931" i="1"/>
  <c r="AR931" i="1"/>
  <c r="AT930" i="1"/>
  <c r="AS930" i="1"/>
  <c r="AR930" i="1"/>
  <c r="AT929" i="1"/>
  <c r="AS929" i="1"/>
  <c r="AR929" i="1"/>
  <c r="AT928" i="1"/>
  <c r="AS928" i="1"/>
  <c r="AR928" i="1"/>
  <c r="AT927" i="1"/>
  <c r="AS927" i="1"/>
  <c r="AR927" i="1"/>
  <c r="AT926" i="1"/>
  <c r="AS926" i="1"/>
  <c r="AR926" i="1"/>
  <c r="AT925" i="1"/>
  <c r="AS925" i="1"/>
  <c r="AR925" i="1"/>
  <c r="AT924" i="1"/>
  <c r="AS924" i="1"/>
  <c r="AT923" i="1"/>
  <c r="AS923" i="1"/>
  <c r="AR923" i="1"/>
  <c r="AT922" i="1"/>
  <c r="AS922" i="1"/>
  <c r="AR922" i="1"/>
  <c r="AT921" i="1"/>
  <c r="AS921" i="1"/>
  <c r="AT920" i="1"/>
  <c r="AS920" i="1"/>
  <c r="AT919" i="1"/>
  <c r="AS919" i="1"/>
  <c r="AT918" i="1"/>
  <c r="AS918" i="1"/>
  <c r="AR918" i="1"/>
  <c r="AT917" i="1"/>
  <c r="AS917" i="1"/>
  <c r="AT916" i="1"/>
  <c r="AS916" i="1"/>
  <c r="AR916" i="1"/>
  <c r="AT915" i="1"/>
  <c r="AS915" i="1"/>
  <c r="AT914" i="1"/>
  <c r="AS914" i="1"/>
  <c r="AR914" i="1"/>
  <c r="AT913" i="1"/>
  <c r="AS913" i="1"/>
  <c r="AT912" i="1"/>
  <c r="AS912" i="1"/>
  <c r="AT911" i="1"/>
  <c r="AS911" i="1"/>
  <c r="AR911" i="1"/>
  <c r="AT910" i="1"/>
  <c r="AS910" i="1"/>
  <c r="AT909" i="1"/>
  <c r="AS909" i="1"/>
  <c r="AT908" i="1"/>
  <c r="AS908" i="1"/>
  <c r="AR908" i="1"/>
  <c r="AT907" i="1"/>
  <c r="AS907" i="1"/>
  <c r="AR907" i="1"/>
  <c r="AT906" i="1"/>
  <c r="AS906" i="1"/>
  <c r="AT905" i="1"/>
  <c r="AS905" i="1"/>
  <c r="AR905" i="1"/>
  <c r="AT904" i="1"/>
  <c r="AS904" i="1"/>
  <c r="AR904" i="1"/>
  <c r="AT903" i="1"/>
  <c r="AS903" i="1"/>
  <c r="AR903" i="1"/>
  <c r="AT902" i="1"/>
  <c r="AS902" i="1"/>
  <c r="AT901" i="1"/>
  <c r="AS901" i="1"/>
  <c r="AR901" i="1"/>
  <c r="AT900" i="1"/>
  <c r="AS900" i="1"/>
  <c r="AR900" i="1"/>
  <c r="AT899" i="1"/>
  <c r="AS899" i="1"/>
  <c r="AT898" i="1"/>
  <c r="AS898" i="1"/>
  <c r="AT897" i="1"/>
  <c r="AS897" i="1"/>
  <c r="AT896" i="1"/>
  <c r="AS896" i="1"/>
  <c r="AT895" i="1"/>
  <c r="AS895" i="1"/>
  <c r="AR895" i="1"/>
  <c r="AT894" i="1"/>
  <c r="AS894" i="1"/>
  <c r="AT893" i="1"/>
  <c r="AS893" i="1"/>
  <c r="AR893" i="1"/>
  <c r="AT892" i="1"/>
  <c r="AS892" i="1"/>
  <c r="AR892" i="1"/>
  <c r="AT891" i="1"/>
  <c r="AS891" i="1"/>
  <c r="AR891" i="1"/>
  <c r="AT890" i="1"/>
  <c r="AS890" i="1"/>
  <c r="AT889" i="1"/>
  <c r="AS889" i="1"/>
  <c r="AT888" i="1"/>
  <c r="AS888" i="1"/>
  <c r="AR888" i="1"/>
  <c r="AT887" i="1"/>
  <c r="AS887" i="1"/>
  <c r="AT886" i="1"/>
  <c r="AS886" i="1"/>
  <c r="AT885" i="1"/>
  <c r="AS885" i="1"/>
  <c r="AR885" i="1"/>
  <c r="AT884" i="1"/>
  <c r="AS884" i="1"/>
  <c r="AT883" i="1"/>
  <c r="AS883" i="1"/>
  <c r="AT882" i="1"/>
  <c r="AS882" i="1"/>
  <c r="AT881" i="1"/>
  <c r="AS881" i="1"/>
  <c r="AR881" i="1"/>
  <c r="AT880" i="1"/>
  <c r="AS880" i="1"/>
  <c r="AT879" i="1"/>
  <c r="AS879" i="1"/>
  <c r="AR879" i="1"/>
  <c r="AT878" i="1"/>
  <c r="AS878" i="1"/>
  <c r="AR878" i="1"/>
  <c r="AT877" i="1"/>
  <c r="AS877" i="1"/>
  <c r="AR877" i="1"/>
  <c r="AT876" i="1"/>
  <c r="AS876" i="1"/>
  <c r="AR876" i="1"/>
  <c r="AT875" i="1"/>
  <c r="AS875" i="1"/>
  <c r="AR875" i="1"/>
  <c r="AT874" i="1"/>
  <c r="AS874" i="1"/>
  <c r="AT873" i="1"/>
  <c r="AS873" i="1"/>
  <c r="AT872" i="1"/>
  <c r="AS872" i="1"/>
  <c r="AR872" i="1"/>
  <c r="AT871" i="1"/>
  <c r="AS871" i="1"/>
  <c r="AR871" i="1"/>
  <c r="AT870" i="1"/>
  <c r="AS870" i="1"/>
  <c r="AR870" i="1"/>
  <c r="AT869" i="1"/>
  <c r="AS869" i="1"/>
  <c r="AR869" i="1"/>
  <c r="AT868" i="1"/>
  <c r="AS868" i="1"/>
  <c r="AT867" i="1"/>
  <c r="AS867" i="1"/>
  <c r="AR867" i="1"/>
  <c r="AT866" i="1"/>
  <c r="AS866" i="1"/>
  <c r="AT865" i="1"/>
  <c r="AS865" i="1"/>
  <c r="AT864" i="1"/>
  <c r="AS864" i="1"/>
  <c r="AT863" i="1"/>
  <c r="AS863" i="1"/>
  <c r="AR863" i="1"/>
  <c r="AT862" i="1"/>
  <c r="AS862" i="1"/>
  <c r="AT861" i="1"/>
  <c r="AS861" i="1"/>
  <c r="AR861" i="1"/>
  <c r="AT860" i="1"/>
  <c r="AS860" i="1"/>
  <c r="AR860" i="1"/>
  <c r="AT859" i="1"/>
  <c r="AS859" i="1"/>
  <c r="AR859" i="1"/>
  <c r="AT858" i="1"/>
  <c r="AS858" i="1"/>
  <c r="AT857" i="1"/>
  <c r="AS857" i="1"/>
  <c r="AR857" i="1"/>
  <c r="AT856" i="1"/>
  <c r="AS856" i="1"/>
  <c r="AT855" i="1"/>
  <c r="AS855" i="1"/>
  <c r="AT854" i="1"/>
  <c r="AS854" i="1"/>
  <c r="AT853" i="1"/>
  <c r="AS853" i="1"/>
  <c r="AT852" i="1"/>
  <c r="AS852" i="1"/>
  <c r="AT851" i="1"/>
  <c r="AS851" i="1"/>
  <c r="AR851" i="1"/>
  <c r="AT850" i="1"/>
  <c r="AS850" i="1"/>
  <c r="AR850" i="1"/>
  <c r="AT849" i="1"/>
  <c r="AS849" i="1"/>
  <c r="AR849" i="1"/>
  <c r="AT848" i="1"/>
  <c r="AS848" i="1"/>
  <c r="AR848" i="1"/>
  <c r="AT847" i="1"/>
  <c r="AS847" i="1"/>
  <c r="AR847" i="1"/>
  <c r="AT846" i="1"/>
  <c r="AS846" i="1"/>
  <c r="AR846" i="1"/>
  <c r="AT845" i="1"/>
  <c r="AS845" i="1"/>
  <c r="AT844" i="1"/>
  <c r="AS844" i="1"/>
  <c r="AR844" i="1"/>
  <c r="AT843" i="1"/>
  <c r="AS843" i="1"/>
  <c r="AR843" i="1"/>
  <c r="AT842" i="1"/>
  <c r="AS842" i="1"/>
  <c r="AR842" i="1"/>
  <c r="AT841" i="1"/>
  <c r="AS841" i="1"/>
  <c r="AT840" i="1"/>
  <c r="AS840" i="1"/>
  <c r="AR840" i="1"/>
  <c r="AT839" i="1"/>
  <c r="AS839" i="1"/>
  <c r="AT838" i="1"/>
  <c r="AS838" i="1"/>
  <c r="AR838" i="1"/>
  <c r="AT837" i="1"/>
  <c r="AS837" i="1"/>
  <c r="AT836" i="1"/>
  <c r="AS836" i="1"/>
  <c r="AT835" i="1"/>
  <c r="AS835" i="1"/>
  <c r="AR835" i="1"/>
  <c r="AT834" i="1"/>
  <c r="AS834" i="1"/>
  <c r="AR834" i="1"/>
  <c r="AT833" i="1"/>
  <c r="AS833" i="1"/>
  <c r="AR833" i="1"/>
  <c r="AT832" i="1"/>
  <c r="AS832" i="1"/>
  <c r="AR832" i="1"/>
  <c r="AT831" i="1"/>
  <c r="AS831" i="1"/>
  <c r="AT830" i="1"/>
  <c r="AS830" i="1"/>
  <c r="AT829" i="1"/>
  <c r="AS829" i="1"/>
  <c r="AT828" i="1"/>
  <c r="AS828" i="1"/>
  <c r="AR828" i="1"/>
  <c r="AT827" i="1"/>
  <c r="AS827" i="1"/>
  <c r="AT826" i="1"/>
  <c r="AS826" i="1"/>
  <c r="AT825" i="1"/>
  <c r="AS825" i="1"/>
  <c r="AR825" i="1"/>
  <c r="AT824" i="1"/>
  <c r="AS824" i="1"/>
  <c r="AR824" i="1"/>
  <c r="AT823" i="1"/>
  <c r="AS823" i="1"/>
  <c r="AR823" i="1"/>
  <c r="AT822" i="1"/>
  <c r="AS822" i="1"/>
  <c r="AR822" i="1"/>
  <c r="AT821" i="1"/>
  <c r="AS821" i="1"/>
  <c r="AR821" i="1"/>
  <c r="AT820" i="1"/>
  <c r="AS820" i="1"/>
  <c r="AR820" i="1"/>
  <c r="AT819" i="1"/>
  <c r="AS819" i="1"/>
  <c r="AT818" i="1"/>
  <c r="AS818" i="1"/>
  <c r="AR818" i="1"/>
  <c r="AT817" i="1"/>
  <c r="AS817" i="1"/>
  <c r="AT816" i="1"/>
  <c r="AS816" i="1"/>
  <c r="AT815" i="1"/>
  <c r="AS815" i="1"/>
  <c r="AT814" i="1"/>
  <c r="AS814" i="1"/>
  <c r="AR814" i="1"/>
  <c r="AT813" i="1"/>
  <c r="AS813" i="1"/>
  <c r="AR813" i="1"/>
  <c r="AT812" i="1"/>
  <c r="AS812" i="1"/>
  <c r="AT811" i="1"/>
  <c r="AS811" i="1"/>
  <c r="AR811" i="1"/>
  <c r="AT810" i="1"/>
  <c r="AS810" i="1"/>
  <c r="AR810" i="1"/>
  <c r="AT809" i="1"/>
  <c r="AS809" i="1"/>
  <c r="AT808" i="1"/>
  <c r="AS808" i="1"/>
  <c r="AT807" i="1"/>
  <c r="AS807" i="1"/>
  <c r="AR807" i="1"/>
  <c r="AT806" i="1"/>
  <c r="AS806" i="1"/>
  <c r="AR806" i="1"/>
  <c r="AT805" i="1"/>
  <c r="AS805" i="1"/>
  <c r="AR805" i="1"/>
  <c r="AT804" i="1"/>
  <c r="AS804" i="1"/>
  <c r="AT803" i="1"/>
  <c r="AS803" i="1"/>
  <c r="AT802" i="1"/>
  <c r="AS802" i="1"/>
  <c r="AT801" i="1"/>
  <c r="AS801" i="1"/>
  <c r="AR801" i="1"/>
  <c r="AT800" i="1"/>
  <c r="AS800" i="1"/>
  <c r="AR800" i="1"/>
  <c r="AT799" i="1"/>
  <c r="AS799" i="1"/>
  <c r="AR799" i="1"/>
  <c r="AT798" i="1"/>
  <c r="AS798" i="1"/>
  <c r="AR798" i="1"/>
  <c r="AT797" i="1"/>
  <c r="AS797" i="1"/>
  <c r="AT796" i="1"/>
  <c r="AS796" i="1"/>
  <c r="AT795" i="1"/>
  <c r="AS795" i="1"/>
  <c r="AR795" i="1"/>
  <c r="AT794" i="1"/>
  <c r="AS794" i="1"/>
  <c r="AT793" i="1"/>
  <c r="AS793" i="1"/>
  <c r="AT792" i="1"/>
  <c r="AS792" i="1"/>
  <c r="AR792" i="1"/>
  <c r="AT791" i="1"/>
  <c r="AS791" i="1"/>
  <c r="AR791" i="1"/>
  <c r="AT790" i="1"/>
  <c r="AS790" i="1"/>
  <c r="AR790" i="1"/>
  <c r="AT789" i="1"/>
  <c r="AS789" i="1"/>
  <c r="AR789" i="1"/>
  <c r="AT788" i="1"/>
  <c r="AS788" i="1"/>
  <c r="AR788" i="1"/>
  <c r="AT787" i="1"/>
  <c r="AS787" i="1"/>
  <c r="AT786" i="1"/>
  <c r="AS786" i="1"/>
  <c r="AR786" i="1"/>
  <c r="AT785" i="1"/>
  <c r="AS785" i="1"/>
  <c r="AT784" i="1"/>
  <c r="AS784" i="1"/>
  <c r="AR784" i="1"/>
  <c r="AT783" i="1"/>
  <c r="AS783" i="1"/>
  <c r="AR783" i="1"/>
  <c r="AT782" i="1"/>
  <c r="AS782" i="1"/>
  <c r="AR782" i="1"/>
  <c r="AT781" i="1"/>
  <c r="AS781" i="1"/>
  <c r="AT780" i="1"/>
  <c r="AS780" i="1"/>
  <c r="AT779" i="1"/>
  <c r="AS779" i="1"/>
  <c r="AT778" i="1"/>
  <c r="AS778" i="1"/>
  <c r="AT777" i="1"/>
  <c r="AS777" i="1"/>
  <c r="AT776" i="1"/>
  <c r="AS776" i="1"/>
  <c r="AR776" i="1"/>
  <c r="AT775" i="1"/>
  <c r="AS775" i="1"/>
  <c r="AT774" i="1"/>
  <c r="AS774" i="1"/>
  <c r="AT773" i="1"/>
  <c r="AS773" i="1"/>
  <c r="AT772" i="1"/>
  <c r="AS772" i="1"/>
  <c r="AT771" i="1"/>
  <c r="AS771" i="1"/>
  <c r="AR771" i="1"/>
  <c r="AT770" i="1"/>
  <c r="AS770" i="1"/>
  <c r="AT769" i="1"/>
  <c r="AS769" i="1"/>
  <c r="AT768" i="1"/>
  <c r="AS768" i="1"/>
  <c r="AT767" i="1"/>
  <c r="AS767" i="1"/>
  <c r="AT766" i="1"/>
  <c r="AS766" i="1"/>
  <c r="AR766" i="1"/>
  <c r="AT765" i="1"/>
  <c r="AS765" i="1"/>
  <c r="AT764" i="1"/>
  <c r="AS764" i="1"/>
  <c r="AT763" i="1"/>
  <c r="AS763" i="1"/>
  <c r="AR763" i="1"/>
  <c r="AT762" i="1"/>
  <c r="AS762" i="1"/>
  <c r="AR762" i="1"/>
  <c r="AT761" i="1"/>
  <c r="AS761" i="1"/>
  <c r="AR761" i="1"/>
  <c r="AT760" i="1"/>
  <c r="AS760" i="1"/>
  <c r="AT759" i="1"/>
  <c r="AS759" i="1"/>
  <c r="AT758" i="1"/>
  <c r="AS758" i="1"/>
  <c r="AT757" i="1"/>
  <c r="AS757" i="1"/>
  <c r="AR757" i="1"/>
  <c r="AT756" i="1"/>
  <c r="AS756" i="1"/>
  <c r="AT755" i="1"/>
  <c r="AS755" i="1"/>
  <c r="AT754" i="1"/>
  <c r="AS754" i="1"/>
  <c r="AR754" i="1"/>
  <c r="AT753" i="1"/>
  <c r="AS753" i="1"/>
  <c r="AT752" i="1"/>
  <c r="AS752" i="1"/>
  <c r="AR752" i="1"/>
  <c r="AT751" i="1"/>
  <c r="AS751" i="1"/>
  <c r="AT750" i="1"/>
  <c r="AS750" i="1"/>
  <c r="AR750" i="1"/>
  <c r="AT749" i="1"/>
  <c r="AS749" i="1"/>
  <c r="AT748" i="1"/>
  <c r="AS748" i="1"/>
  <c r="AT747" i="1"/>
  <c r="AS747" i="1"/>
  <c r="AT746" i="1"/>
  <c r="AS746" i="1"/>
  <c r="AR746" i="1"/>
  <c r="AT745" i="1"/>
  <c r="AS745" i="1"/>
  <c r="AR745" i="1"/>
  <c r="AT744" i="1"/>
  <c r="AS744" i="1"/>
  <c r="AT743" i="1"/>
  <c r="AS743" i="1"/>
  <c r="AT742" i="1"/>
  <c r="AS742" i="1"/>
  <c r="AT741" i="1"/>
  <c r="AS741" i="1"/>
  <c r="AT740" i="1"/>
  <c r="AS740" i="1"/>
  <c r="AT739" i="1"/>
  <c r="AS739" i="1"/>
  <c r="AR739" i="1"/>
  <c r="AT738" i="1"/>
  <c r="AS738" i="1"/>
  <c r="AT737" i="1"/>
  <c r="AS737" i="1"/>
  <c r="AR737" i="1"/>
  <c r="AT736" i="1"/>
  <c r="AS736" i="1"/>
  <c r="AT735" i="1"/>
  <c r="AS735" i="1"/>
  <c r="AT734" i="1"/>
  <c r="AS734" i="1"/>
  <c r="AT733" i="1"/>
  <c r="AS733" i="1"/>
  <c r="AT732" i="1"/>
  <c r="AS732" i="1"/>
  <c r="AT731" i="1"/>
  <c r="AS731" i="1"/>
  <c r="AR731" i="1"/>
  <c r="AT730" i="1"/>
  <c r="AS730" i="1"/>
  <c r="AT729" i="1"/>
  <c r="AS729" i="1"/>
  <c r="AR729" i="1"/>
  <c r="AT728" i="1"/>
  <c r="AS728" i="1"/>
  <c r="AR728" i="1"/>
  <c r="AT727" i="1"/>
  <c r="AS727" i="1"/>
  <c r="AT726" i="1"/>
  <c r="AS726" i="1"/>
  <c r="AT725" i="1"/>
  <c r="AS725" i="1"/>
  <c r="AT724" i="1"/>
  <c r="AS724" i="1"/>
  <c r="AT723" i="1"/>
  <c r="AS723" i="1"/>
  <c r="AT722" i="1"/>
  <c r="AS722" i="1"/>
  <c r="AR722" i="1"/>
  <c r="AT721" i="1"/>
  <c r="AS721" i="1"/>
  <c r="AR721" i="1"/>
  <c r="AT720" i="1"/>
  <c r="AS720" i="1"/>
  <c r="AT719" i="1"/>
  <c r="AS719" i="1"/>
  <c r="AT718" i="1"/>
  <c r="AS718" i="1"/>
  <c r="AT717" i="1"/>
  <c r="AS717" i="1"/>
  <c r="AT716" i="1"/>
  <c r="AS716" i="1"/>
  <c r="AT715" i="1"/>
  <c r="AS715" i="1"/>
  <c r="AT714" i="1"/>
  <c r="AS714" i="1"/>
  <c r="AR714" i="1"/>
  <c r="AT713" i="1"/>
  <c r="AS713" i="1"/>
  <c r="AT712" i="1"/>
  <c r="AS712" i="1"/>
  <c r="AR712" i="1"/>
  <c r="AT711" i="1"/>
  <c r="AS711" i="1"/>
  <c r="AR711" i="1"/>
  <c r="AT710" i="1"/>
  <c r="AS710" i="1"/>
  <c r="AR710" i="1"/>
  <c r="AT709" i="1"/>
  <c r="AS709" i="1"/>
  <c r="AR709" i="1"/>
  <c r="AT708" i="1"/>
  <c r="AS708" i="1"/>
  <c r="AT707" i="1"/>
  <c r="AS707" i="1"/>
  <c r="AR707" i="1"/>
  <c r="AT706" i="1"/>
  <c r="AS706" i="1"/>
  <c r="AR706" i="1"/>
  <c r="AT705" i="1"/>
  <c r="AS705" i="1"/>
  <c r="AR705" i="1"/>
  <c r="AT704" i="1"/>
  <c r="AS704" i="1"/>
  <c r="AR704" i="1"/>
  <c r="AT703" i="1"/>
  <c r="AS703" i="1"/>
  <c r="AR703" i="1"/>
  <c r="AT702" i="1"/>
  <c r="AS702" i="1"/>
  <c r="AR702" i="1"/>
  <c r="AT701" i="1"/>
  <c r="AS701" i="1"/>
  <c r="AR701" i="1"/>
  <c r="AT700" i="1"/>
  <c r="AS700" i="1"/>
  <c r="AT699" i="1"/>
  <c r="AS699" i="1"/>
  <c r="AR699" i="1"/>
  <c r="AT698" i="1"/>
  <c r="AS698" i="1"/>
  <c r="AT697" i="1"/>
  <c r="AS697" i="1"/>
  <c r="AR697" i="1"/>
  <c r="AT696" i="1"/>
  <c r="AS696" i="1"/>
  <c r="AR696" i="1"/>
  <c r="AT695" i="1"/>
  <c r="AS695" i="1"/>
  <c r="AR695" i="1"/>
  <c r="AT694" i="1"/>
  <c r="AS694" i="1"/>
  <c r="AR694" i="1"/>
  <c r="AT693" i="1"/>
  <c r="AS693" i="1"/>
  <c r="AT692" i="1"/>
  <c r="AS692" i="1"/>
  <c r="AT691" i="1"/>
  <c r="AS691" i="1"/>
  <c r="AR691" i="1"/>
  <c r="AT690" i="1"/>
  <c r="AS690" i="1"/>
  <c r="AT689" i="1"/>
  <c r="AS689" i="1"/>
  <c r="AR689" i="1"/>
  <c r="AT688" i="1"/>
  <c r="AS688" i="1"/>
  <c r="AR688" i="1"/>
  <c r="AT687" i="1"/>
  <c r="AS687" i="1"/>
  <c r="AT686" i="1"/>
  <c r="AS686" i="1"/>
  <c r="AR686" i="1"/>
  <c r="AT685" i="1"/>
  <c r="AS685" i="1"/>
  <c r="AT684" i="1"/>
  <c r="AS684" i="1"/>
  <c r="AT683" i="1"/>
  <c r="AS683" i="1"/>
  <c r="AR683" i="1"/>
  <c r="AT682" i="1"/>
  <c r="AS682" i="1"/>
  <c r="AR682" i="1"/>
  <c r="AT681" i="1"/>
  <c r="AS681" i="1"/>
  <c r="AR681" i="1"/>
  <c r="AT680" i="1"/>
  <c r="AS680" i="1"/>
  <c r="AR680" i="1"/>
  <c r="AT679" i="1"/>
  <c r="AS679" i="1"/>
  <c r="AT678" i="1"/>
  <c r="AS678" i="1"/>
  <c r="AR678" i="1"/>
  <c r="AT677" i="1"/>
  <c r="AS677" i="1"/>
  <c r="AT676" i="1"/>
  <c r="AS676" i="1"/>
  <c r="AR676" i="1"/>
  <c r="AT675" i="1"/>
  <c r="AS675" i="1"/>
  <c r="AT674" i="1"/>
  <c r="AS674" i="1"/>
  <c r="AR674" i="1"/>
  <c r="AT673" i="1"/>
  <c r="AS673" i="1"/>
  <c r="AR673" i="1"/>
  <c r="AT672" i="1"/>
  <c r="AS672" i="1"/>
  <c r="AR672" i="1"/>
  <c r="AT671" i="1"/>
  <c r="AS671" i="1"/>
  <c r="AR671" i="1"/>
  <c r="AT670" i="1"/>
  <c r="AS670" i="1"/>
  <c r="AT669" i="1"/>
  <c r="AS669" i="1"/>
  <c r="AR669" i="1"/>
  <c r="AT668" i="1"/>
  <c r="AS668" i="1"/>
  <c r="AT667" i="1"/>
  <c r="AS667" i="1"/>
  <c r="AT666" i="1"/>
  <c r="AS666" i="1"/>
  <c r="AR666" i="1"/>
  <c r="AT665" i="1"/>
  <c r="AS665" i="1"/>
  <c r="AT664" i="1"/>
  <c r="AS664" i="1"/>
  <c r="AT663" i="1"/>
  <c r="AS663" i="1"/>
  <c r="AT662" i="1"/>
  <c r="AS662" i="1"/>
  <c r="AR662" i="1"/>
  <c r="AT661" i="1"/>
  <c r="AS661" i="1"/>
  <c r="AT660" i="1"/>
  <c r="AS660" i="1"/>
  <c r="AT659" i="1"/>
  <c r="AS659" i="1"/>
  <c r="AT658" i="1"/>
  <c r="AS658" i="1"/>
  <c r="AR658" i="1"/>
  <c r="AT657" i="1"/>
  <c r="AS657" i="1"/>
  <c r="AR657" i="1"/>
  <c r="AT656" i="1"/>
  <c r="AS656" i="1"/>
  <c r="AT655" i="1"/>
  <c r="AS655" i="1"/>
  <c r="AT654" i="1"/>
  <c r="AS654" i="1"/>
  <c r="AR654" i="1"/>
  <c r="AT653" i="1"/>
  <c r="AS653" i="1"/>
  <c r="AT652" i="1"/>
  <c r="AS652" i="1"/>
  <c r="AR652" i="1"/>
  <c r="AT651" i="1"/>
  <c r="AS651" i="1"/>
  <c r="AT650" i="1"/>
  <c r="AS650" i="1"/>
  <c r="AR650" i="1"/>
  <c r="AT649" i="1"/>
  <c r="AS649" i="1"/>
  <c r="AR649" i="1"/>
  <c r="AT648" i="1"/>
  <c r="AS648" i="1"/>
  <c r="AR648" i="1"/>
  <c r="AT647" i="1"/>
  <c r="AS647" i="1"/>
  <c r="AR647" i="1"/>
  <c r="AT646" i="1"/>
  <c r="AS646" i="1"/>
  <c r="AR646" i="1"/>
  <c r="AT645" i="1"/>
  <c r="AS645" i="1"/>
  <c r="AT644" i="1"/>
  <c r="AS644" i="1"/>
  <c r="AT643" i="1"/>
  <c r="AS643" i="1"/>
  <c r="AR643" i="1"/>
  <c r="AT642" i="1"/>
  <c r="AS642" i="1"/>
  <c r="AT641" i="1"/>
  <c r="AS641" i="1"/>
  <c r="AR641" i="1"/>
  <c r="AT640" i="1"/>
  <c r="AS640" i="1"/>
  <c r="AR640" i="1"/>
  <c r="AT639" i="1"/>
  <c r="AS639" i="1"/>
  <c r="AT638" i="1"/>
  <c r="AS638" i="1"/>
  <c r="AR638" i="1"/>
  <c r="AT637" i="1"/>
  <c r="AS637" i="1"/>
  <c r="AR637" i="1"/>
  <c r="AT636" i="1"/>
  <c r="AS636" i="1"/>
  <c r="AR636" i="1"/>
  <c r="AT635" i="1"/>
  <c r="AS635" i="1"/>
  <c r="AR635" i="1"/>
  <c r="AT634" i="1"/>
  <c r="AS634" i="1"/>
  <c r="AT633" i="1"/>
  <c r="AS633" i="1"/>
  <c r="AT632" i="1"/>
  <c r="AS632" i="1"/>
  <c r="AT631" i="1"/>
  <c r="AS631" i="1"/>
  <c r="AT630" i="1"/>
  <c r="AS630" i="1"/>
  <c r="AR630" i="1"/>
  <c r="AT629" i="1"/>
  <c r="AS629" i="1"/>
  <c r="AR629" i="1"/>
  <c r="AT628" i="1"/>
  <c r="AS628" i="1"/>
  <c r="AR628" i="1"/>
  <c r="AT627" i="1"/>
  <c r="AS627" i="1"/>
  <c r="AT626" i="1"/>
  <c r="AS626" i="1"/>
  <c r="AR626" i="1"/>
  <c r="AT625" i="1"/>
  <c r="AS625" i="1"/>
  <c r="AT624" i="1"/>
  <c r="AS624" i="1"/>
  <c r="AT623" i="1"/>
  <c r="AS623" i="1"/>
  <c r="AR623" i="1"/>
  <c r="AT622" i="1"/>
  <c r="AS622" i="1"/>
  <c r="AR622" i="1"/>
  <c r="AT621" i="1"/>
  <c r="AS621" i="1"/>
  <c r="AR621" i="1"/>
  <c r="AT620" i="1"/>
  <c r="AS620" i="1"/>
  <c r="AR620" i="1"/>
  <c r="AT619" i="1"/>
  <c r="AS619" i="1"/>
  <c r="AR619" i="1"/>
  <c r="AT618" i="1"/>
  <c r="AS618" i="1"/>
  <c r="AR618" i="1"/>
  <c r="AT617" i="1"/>
  <c r="AS617" i="1"/>
  <c r="AR617" i="1"/>
  <c r="AT616" i="1"/>
  <c r="AS616" i="1"/>
  <c r="AR616" i="1"/>
  <c r="AT615" i="1"/>
  <c r="AS615" i="1"/>
  <c r="AT614" i="1"/>
  <c r="AS614" i="1"/>
  <c r="AT613" i="1"/>
  <c r="AS613" i="1"/>
  <c r="AR613" i="1"/>
  <c r="AT612" i="1"/>
  <c r="AS612" i="1"/>
  <c r="AT611" i="1"/>
  <c r="AS611" i="1"/>
  <c r="AT610" i="1"/>
  <c r="AS610" i="1"/>
  <c r="AR610" i="1"/>
  <c r="AT609" i="1"/>
  <c r="AS609" i="1"/>
  <c r="AR609" i="1"/>
  <c r="AT608" i="1"/>
  <c r="AS608" i="1"/>
  <c r="AT607" i="1"/>
  <c r="AS607" i="1"/>
  <c r="AT606" i="1"/>
  <c r="AS606" i="1"/>
  <c r="AR606" i="1"/>
  <c r="AT605" i="1"/>
  <c r="AS605" i="1"/>
  <c r="AR605" i="1"/>
  <c r="AT604" i="1"/>
  <c r="AS604" i="1"/>
  <c r="AR604" i="1"/>
  <c r="AT603" i="1"/>
  <c r="AS603" i="1"/>
  <c r="AR603" i="1"/>
  <c r="AT602" i="1"/>
  <c r="AS602" i="1"/>
  <c r="AT601" i="1"/>
  <c r="AS601" i="1"/>
  <c r="AR601" i="1"/>
  <c r="AT600" i="1"/>
  <c r="AS600" i="1"/>
  <c r="AT599" i="1"/>
  <c r="AS599" i="1"/>
  <c r="AR599" i="1"/>
  <c r="AT598" i="1"/>
  <c r="AS598" i="1"/>
  <c r="AR598" i="1"/>
  <c r="AT597" i="1"/>
  <c r="AS597" i="1"/>
  <c r="AR597" i="1"/>
  <c r="AT596" i="1"/>
  <c r="AS596" i="1"/>
  <c r="AR596" i="1"/>
  <c r="AT595" i="1"/>
  <c r="AS595" i="1"/>
  <c r="AT594" i="1"/>
  <c r="AS594" i="1"/>
  <c r="AT593" i="1"/>
  <c r="AS593" i="1"/>
  <c r="AR593" i="1"/>
  <c r="AT592" i="1"/>
  <c r="AS592" i="1"/>
  <c r="AT591" i="1"/>
  <c r="AS591" i="1"/>
  <c r="AT590" i="1"/>
  <c r="AS590" i="1"/>
  <c r="AR590" i="1"/>
  <c r="AT589" i="1"/>
  <c r="AS589" i="1"/>
  <c r="AR589" i="1"/>
  <c r="AT588" i="1"/>
  <c r="AS588" i="1"/>
  <c r="AR588" i="1"/>
  <c r="AT587" i="1"/>
  <c r="AS587" i="1"/>
  <c r="AR587" i="1"/>
  <c r="AT586" i="1"/>
  <c r="AS586" i="1"/>
  <c r="AT585" i="1"/>
  <c r="AS585" i="1"/>
  <c r="AR585" i="1"/>
  <c r="AT584" i="1"/>
  <c r="AS584" i="1"/>
  <c r="AR584" i="1"/>
  <c r="AT583" i="1"/>
  <c r="AS583" i="1"/>
  <c r="AT582" i="1"/>
  <c r="AS582" i="1"/>
  <c r="AT581" i="1"/>
  <c r="AS581" i="1"/>
  <c r="AR581" i="1"/>
  <c r="AT580" i="1"/>
  <c r="AS580" i="1"/>
  <c r="AT579" i="1"/>
  <c r="AS579" i="1"/>
  <c r="AT578" i="1"/>
  <c r="AS578" i="1"/>
  <c r="AT577" i="1"/>
  <c r="AS577" i="1"/>
  <c r="AT576" i="1"/>
  <c r="AS576" i="1"/>
  <c r="AT575" i="1"/>
  <c r="AS575" i="1"/>
  <c r="AR575" i="1"/>
  <c r="AT574" i="1"/>
  <c r="AS574" i="1"/>
  <c r="AT573" i="1"/>
  <c r="AS573" i="1"/>
  <c r="AR573" i="1"/>
  <c r="AT572" i="1"/>
  <c r="AS572" i="1"/>
  <c r="AT571" i="1"/>
  <c r="AS571" i="1"/>
  <c r="AT570" i="1"/>
  <c r="AS570" i="1"/>
  <c r="AT569" i="1"/>
  <c r="AS569" i="1"/>
  <c r="AR569" i="1"/>
  <c r="AT568" i="1"/>
  <c r="AS568" i="1"/>
  <c r="AT567" i="1"/>
  <c r="AS567" i="1"/>
  <c r="AR567" i="1"/>
  <c r="AT566" i="1"/>
  <c r="AS566" i="1"/>
  <c r="AT565" i="1"/>
  <c r="AS565" i="1"/>
  <c r="AR565" i="1"/>
  <c r="AT564" i="1"/>
  <c r="AS564" i="1"/>
  <c r="AT563" i="1"/>
  <c r="AS563" i="1"/>
  <c r="AT562" i="1"/>
  <c r="AS562" i="1"/>
  <c r="AR562" i="1"/>
  <c r="AT561" i="1"/>
  <c r="AS561" i="1"/>
  <c r="AT560" i="1"/>
  <c r="AS560" i="1"/>
  <c r="AR560" i="1"/>
  <c r="AT559" i="1"/>
  <c r="AS559" i="1"/>
  <c r="AR559" i="1"/>
  <c r="AT558" i="1"/>
  <c r="AS558" i="1"/>
  <c r="AT557" i="1"/>
  <c r="AS557" i="1"/>
  <c r="AR557" i="1"/>
  <c r="AT556" i="1"/>
  <c r="AS556" i="1"/>
  <c r="AR556" i="1"/>
  <c r="AT555" i="1"/>
  <c r="AS555" i="1"/>
  <c r="AT554" i="1"/>
  <c r="AS554" i="1"/>
  <c r="AR554" i="1"/>
  <c r="AT553" i="1"/>
  <c r="AS553" i="1"/>
  <c r="AR553" i="1"/>
  <c r="AT552" i="1"/>
  <c r="AS552" i="1"/>
  <c r="AR552" i="1"/>
  <c r="AT551" i="1"/>
  <c r="AS551" i="1"/>
  <c r="AR551" i="1"/>
  <c r="AT550" i="1"/>
  <c r="AS550" i="1"/>
  <c r="AR550" i="1"/>
  <c r="AT549" i="1"/>
  <c r="AS549" i="1"/>
  <c r="AR549" i="1"/>
  <c r="AT548" i="1"/>
  <c r="AS548" i="1"/>
  <c r="AT547" i="1"/>
  <c r="AS547" i="1"/>
  <c r="AR547" i="1"/>
  <c r="AT546" i="1"/>
  <c r="AS546" i="1"/>
  <c r="AT545" i="1"/>
  <c r="AS545" i="1"/>
  <c r="AR545" i="1"/>
  <c r="AT544" i="1"/>
  <c r="AS544" i="1"/>
  <c r="AR544" i="1"/>
  <c r="AT543" i="1"/>
  <c r="AS543" i="1"/>
  <c r="AR543" i="1"/>
  <c r="AT542" i="1"/>
  <c r="AS542" i="1"/>
  <c r="AT541" i="1"/>
  <c r="AS541" i="1"/>
  <c r="AT540" i="1"/>
  <c r="AS540" i="1"/>
  <c r="AT539" i="1"/>
  <c r="AS539" i="1"/>
  <c r="AT538" i="1"/>
  <c r="AS538" i="1"/>
  <c r="AT537" i="1"/>
  <c r="AS537" i="1"/>
  <c r="AT536" i="1"/>
  <c r="AS536" i="1"/>
  <c r="AT535" i="1"/>
  <c r="AS535" i="1"/>
  <c r="AT534" i="1"/>
  <c r="AS534" i="1"/>
  <c r="AT533" i="1"/>
  <c r="AS533" i="1"/>
  <c r="AT532" i="1"/>
  <c r="AS532" i="1"/>
  <c r="AR532" i="1"/>
  <c r="AT531" i="1"/>
  <c r="AS531" i="1"/>
  <c r="AR531" i="1"/>
  <c r="AT530" i="1"/>
  <c r="AS530" i="1"/>
  <c r="AT529" i="1"/>
  <c r="AS529" i="1"/>
  <c r="AR529" i="1"/>
  <c r="AT528" i="1"/>
  <c r="AS528" i="1"/>
  <c r="AT527" i="1"/>
  <c r="AS527" i="1"/>
  <c r="AR527" i="1"/>
  <c r="AT526" i="1"/>
  <c r="AS526" i="1"/>
  <c r="AT525" i="1"/>
  <c r="AS525" i="1"/>
  <c r="AR525" i="1"/>
  <c r="AT524" i="1"/>
  <c r="AS524" i="1"/>
  <c r="AT523" i="1"/>
  <c r="AS523" i="1"/>
  <c r="AR523" i="1"/>
  <c r="AT522" i="1"/>
  <c r="AS522" i="1"/>
  <c r="AT521" i="1"/>
  <c r="AS521" i="1"/>
  <c r="AT520" i="1"/>
  <c r="AS520" i="1"/>
  <c r="AT519" i="1"/>
  <c r="AS519" i="1"/>
  <c r="AT518" i="1"/>
  <c r="AS518" i="1"/>
  <c r="AR518" i="1"/>
  <c r="AT517" i="1"/>
  <c r="AS517" i="1"/>
  <c r="AT516" i="1"/>
  <c r="AS516" i="1"/>
  <c r="AT515" i="1"/>
  <c r="AS515" i="1"/>
  <c r="AT514" i="1"/>
  <c r="AS514" i="1"/>
  <c r="AT513" i="1"/>
  <c r="AS513" i="1"/>
  <c r="AT512" i="1"/>
  <c r="AS512" i="1"/>
  <c r="AT511" i="1"/>
  <c r="AS511" i="1"/>
  <c r="AT510" i="1"/>
  <c r="AS510" i="1"/>
  <c r="AT509" i="1"/>
  <c r="AS509" i="1"/>
  <c r="AR509" i="1"/>
  <c r="AT508" i="1"/>
  <c r="AS508" i="1"/>
  <c r="AR508" i="1"/>
  <c r="AT507" i="1"/>
  <c r="AS507" i="1"/>
  <c r="AT506" i="1"/>
  <c r="AS506" i="1"/>
  <c r="AT505" i="1"/>
  <c r="AS505" i="1"/>
  <c r="AR505" i="1"/>
  <c r="AT504" i="1"/>
  <c r="AS504" i="1"/>
  <c r="AT503" i="1"/>
  <c r="AS503" i="1"/>
  <c r="AT502" i="1"/>
  <c r="AS502" i="1"/>
  <c r="AT501" i="1"/>
  <c r="AS501" i="1"/>
  <c r="AT500" i="1"/>
  <c r="AS500" i="1"/>
  <c r="AT499" i="1"/>
  <c r="AS499" i="1"/>
  <c r="AT498" i="1"/>
  <c r="AS498" i="1"/>
  <c r="AR498" i="1"/>
  <c r="AT497" i="1"/>
  <c r="AS497" i="1"/>
  <c r="AT496" i="1"/>
  <c r="AS496" i="1"/>
  <c r="AT495" i="1"/>
  <c r="AS495" i="1"/>
  <c r="AR495" i="1"/>
  <c r="AT494" i="1"/>
  <c r="AS494" i="1"/>
  <c r="AR494" i="1"/>
  <c r="AT493" i="1"/>
  <c r="AS493" i="1"/>
  <c r="AR493" i="1"/>
  <c r="AT492" i="1"/>
  <c r="AS492" i="1"/>
  <c r="AT491" i="1"/>
  <c r="AS491" i="1"/>
  <c r="AR491" i="1"/>
  <c r="AT490" i="1"/>
  <c r="AS490" i="1"/>
  <c r="AR490" i="1"/>
  <c r="AT489" i="1"/>
  <c r="AS489" i="1"/>
  <c r="AR489" i="1"/>
  <c r="AT488" i="1"/>
  <c r="AS488" i="1"/>
  <c r="AR488" i="1"/>
  <c r="AT487" i="1"/>
  <c r="AS487" i="1"/>
  <c r="AR487" i="1"/>
  <c r="AT486" i="1"/>
  <c r="AS486" i="1"/>
  <c r="AT485" i="1"/>
  <c r="AS485" i="1"/>
  <c r="AR485" i="1"/>
  <c r="AT484" i="1"/>
  <c r="AS484" i="1"/>
  <c r="AR484" i="1"/>
  <c r="AT483" i="1"/>
  <c r="AS483" i="1"/>
  <c r="AR483" i="1"/>
  <c r="AT482" i="1"/>
  <c r="AS482" i="1"/>
  <c r="AR482" i="1"/>
  <c r="AT481" i="1"/>
  <c r="AS481" i="1"/>
  <c r="AR481" i="1"/>
  <c r="AT480" i="1"/>
  <c r="AS480" i="1"/>
  <c r="AT479" i="1"/>
  <c r="AS479" i="1"/>
  <c r="AT478" i="1"/>
  <c r="AS478" i="1"/>
  <c r="AT477" i="1"/>
  <c r="AS477" i="1"/>
  <c r="AT476" i="1"/>
  <c r="AS476" i="1"/>
  <c r="AT475" i="1"/>
  <c r="AS475" i="1"/>
  <c r="AT474" i="1"/>
  <c r="AS474" i="1"/>
  <c r="AT473" i="1"/>
  <c r="AS473" i="1"/>
  <c r="AT472" i="1"/>
  <c r="AS472" i="1"/>
  <c r="AT471" i="1"/>
  <c r="AS471" i="1"/>
  <c r="AR471" i="1"/>
  <c r="AT470" i="1"/>
  <c r="AS470" i="1"/>
  <c r="AR470" i="1"/>
  <c r="AT469" i="1"/>
  <c r="AS469" i="1"/>
  <c r="AT468" i="1"/>
  <c r="AS468" i="1"/>
  <c r="AT467" i="1"/>
  <c r="AS467" i="1"/>
  <c r="AT466" i="1"/>
  <c r="AS466" i="1"/>
  <c r="AR466" i="1"/>
  <c r="AT465" i="1"/>
  <c r="AS465" i="1"/>
  <c r="AT464" i="1"/>
  <c r="AS464" i="1"/>
  <c r="AT463" i="1"/>
  <c r="AS463" i="1"/>
  <c r="AR463" i="1"/>
  <c r="AT462" i="1"/>
  <c r="AS462" i="1"/>
  <c r="AR462" i="1"/>
  <c r="AT461" i="1"/>
  <c r="AS461" i="1"/>
  <c r="AR461" i="1"/>
  <c r="AT460" i="1"/>
  <c r="AS460" i="1"/>
  <c r="AR460" i="1"/>
  <c r="AT459" i="1"/>
  <c r="AS459" i="1"/>
  <c r="AT458" i="1"/>
  <c r="AS458" i="1"/>
  <c r="AT457" i="1"/>
  <c r="AS457" i="1"/>
  <c r="AR457" i="1"/>
  <c r="AT456" i="1"/>
  <c r="AS456" i="1"/>
  <c r="AR456" i="1"/>
  <c r="AT455" i="1"/>
  <c r="AS455" i="1"/>
  <c r="AR455" i="1"/>
  <c r="AT454" i="1"/>
  <c r="AS454" i="1"/>
  <c r="AR454" i="1"/>
  <c r="AT453" i="1"/>
  <c r="AS453" i="1"/>
  <c r="AT452" i="1"/>
  <c r="AS452" i="1"/>
  <c r="AT451" i="1"/>
  <c r="AS451" i="1"/>
  <c r="AR451" i="1"/>
  <c r="AT450" i="1"/>
  <c r="AS450" i="1"/>
  <c r="AR450" i="1"/>
  <c r="AT449" i="1"/>
  <c r="AS449" i="1"/>
  <c r="AT448" i="1"/>
  <c r="AS448" i="1"/>
  <c r="AT447" i="1"/>
  <c r="AS447" i="1"/>
  <c r="AR447" i="1"/>
  <c r="AT446" i="1"/>
  <c r="AS446" i="1"/>
  <c r="AR446" i="1"/>
  <c r="AT445" i="1"/>
  <c r="AS445" i="1"/>
  <c r="AT444" i="1"/>
  <c r="AS444" i="1"/>
  <c r="AR444" i="1"/>
  <c r="AT443" i="1"/>
  <c r="AS443" i="1"/>
  <c r="AT442" i="1"/>
  <c r="AS442" i="1"/>
  <c r="AR442" i="1"/>
  <c r="AT441" i="1"/>
  <c r="AS441" i="1"/>
  <c r="AR441" i="1"/>
  <c r="AT440" i="1"/>
  <c r="AS440" i="1"/>
  <c r="AR440" i="1"/>
  <c r="AT439" i="1"/>
  <c r="AS439" i="1"/>
  <c r="AR439" i="1"/>
  <c r="AT438" i="1"/>
  <c r="AS438" i="1"/>
  <c r="AR438" i="1"/>
  <c r="AT437" i="1"/>
  <c r="AS437" i="1"/>
  <c r="AR437" i="1"/>
  <c r="AT436" i="1"/>
  <c r="AS436" i="1"/>
  <c r="AR436" i="1"/>
  <c r="AT435" i="1"/>
  <c r="AS435" i="1"/>
  <c r="AR435" i="1"/>
  <c r="AT434" i="1"/>
  <c r="AS434" i="1"/>
  <c r="AT433" i="1"/>
  <c r="AS433" i="1"/>
  <c r="AR433" i="1"/>
  <c r="AT432" i="1"/>
  <c r="AS432" i="1"/>
  <c r="AR432" i="1"/>
  <c r="AT431" i="1"/>
  <c r="AS431" i="1"/>
  <c r="AR431" i="1"/>
  <c r="AT430" i="1"/>
  <c r="AS430" i="1"/>
  <c r="AR430" i="1"/>
  <c r="AT429" i="1"/>
  <c r="AS429" i="1"/>
  <c r="AT428" i="1"/>
  <c r="AS428" i="1"/>
  <c r="AR428" i="1"/>
  <c r="AT427" i="1"/>
  <c r="AS427" i="1"/>
  <c r="AT426" i="1"/>
  <c r="AS426" i="1"/>
  <c r="AR426" i="1"/>
  <c r="AT425" i="1"/>
  <c r="AS425" i="1"/>
  <c r="AT424" i="1"/>
  <c r="AS424" i="1"/>
  <c r="AR424" i="1"/>
  <c r="AT423" i="1"/>
  <c r="AS423" i="1"/>
  <c r="AT422" i="1"/>
  <c r="AS422" i="1"/>
  <c r="AR422" i="1"/>
  <c r="AT421" i="1"/>
  <c r="AS421" i="1"/>
  <c r="AR421" i="1"/>
  <c r="AT420" i="1"/>
  <c r="AS420" i="1"/>
  <c r="AT419" i="1"/>
  <c r="AS419" i="1"/>
  <c r="AT418" i="1"/>
  <c r="AS418" i="1"/>
  <c r="AT417" i="1"/>
  <c r="AS417" i="1"/>
  <c r="AR417" i="1"/>
  <c r="AT416" i="1"/>
  <c r="AS416" i="1"/>
  <c r="AR416" i="1"/>
  <c r="AT415" i="1"/>
  <c r="AS415" i="1"/>
  <c r="AR415" i="1"/>
  <c r="AT414" i="1"/>
  <c r="AS414" i="1"/>
  <c r="AT413" i="1"/>
  <c r="AS413" i="1"/>
  <c r="AT412" i="1"/>
  <c r="AS412" i="1"/>
  <c r="AR412" i="1"/>
  <c r="AT411" i="1"/>
  <c r="AS411" i="1"/>
  <c r="AR411" i="1"/>
  <c r="AT410" i="1"/>
  <c r="AS410" i="1"/>
  <c r="AT409" i="1"/>
  <c r="AS409" i="1"/>
  <c r="AR409" i="1"/>
  <c r="AT408" i="1"/>
  <c r="AS408" i="1"/>
  <c r="AT407" i="1"/>
  <c r="AS407" i="1"/>
  <c r="AR407" i="1"/>
  <c r="AT406" i="1"/>
  <c r="AS406" i="1"/>
  <c r="AT405" i="1"/>
  <c r="AS405" i="1"/>
  <c r="AT404" i="1"/>
  <c r="AS404" i="1"/>
  <c r="AT403" i="1"/>
  <c r="AS403" i="1"/>
  <c r="AR403" i="1"/>
  <c r="AT402" i="1"/>
  <c r="AS402" i="1"/>
  <c r="AR402" i="1"/>
  <c r="AT401" i="1"/>
  <c r="AS401" i="1"/>
  <c r="AR401" i="1"/>
  <c r="AT400" i="1"/>
  <c r="AS400" i="1"/>
  <c r="AT399" i="1"/>
  <c r="AS399" i="1"/>
  <c r="AT398" i="1"/>
  <c r="AS398" i="1"/>
  <c r="AT397" i="1"/>
  <c r="AS397" i="1"/>
  <c r="AR397" i="1"/>
  <c r="AT396" i="1"/>
  <c r="AS396" i="1"/>
  <c r="AR396" i="1"/>
  <c r="AT395" i="1"/>
  <c r="AS395" i="1"/>
  <c r="AR395" i="1"/>
  <c r="AT394" i="1"/>
  <c r="AS394" i="1"/>
  <c r="AR394" i="1"/>
  <c r="AT393" i="1"/>
  <c r="AS393" i="1"/>
  <c r="AT392" i="1"/>
  <c r="AS392" i="1"/>
  <c r="AR392" i="1"/>
  <c r="AT391" i="1"/>
  <c r="AS391" i="1"/>
  <c r="AT390" i="1"/>
  <c r="AS390" i="1"/>
  <c r="AT389" i="1"/>
  <c r="AS389" i="1"/>
  <c r="AR389" i="1"/>
  <c r="AT388" i="1"/>
  <c r="AS388" i="1"/>
  <c r="AT387" i="1"/>
  <c r="AS387" i="1"/>
  <c r="AR387" i="1"/>
  <c r="AT386" i="1"/>
  <c r="AS386" i="1"/>
  <c r="AT385" i="1"/>
  <c r="AS385" i="1"/>
  <c r="AR385" i="1"/>
  <c r="AT384" i="1"/>
  <c r="AS384" i="1"/>
  <c r="AR384" i="1"/>
  <c r="AT383" i="1"/>
  <c r="AS383" i="1"/>
  <c r="AT382" i="1"/>
  <c r="AS382" i="1"/>
  <c r="AT381" i="1"/>
  <c r="AS381" i="1"/>
  <c r="AR381" i="1"/>
  <c r="AT380" i="1"/>
  <c r="AS380" i="1"/>
  <c r="AR380" i="1"/>
  <c r="AT379" i="1"/>
  <c r="AS379" i="1"/>
  <c r="AR379" i="1"/>
  <c r="AT378" i="1"/>
  <c r="AS378" i="1"/>
  <c r="AR378" i="1"/>
  <c r="AT377" i="1"/>
  <c r="AS377" i="1"/>
  <c r="AR377" i="1"/>
  <c r="AT376" i="1"/>
  <c r="AS376" i="1"/>
  <c r="AR376" i="1"/>
  <c r="AT375" i="1"/>
  <c r="AS375" i="1"/>
  <c r="AR375" i="1"/>
  <c r="AT374" i="1"/>
  <c r="AS374" i="1"/>
  <c r="AR374" i="1"/>
  <c r="AT373" i="1"/>
  <c r="AS373" i="1"/>
  <c r="AR373" i="1"/>
  <c r="AT372" i="1"/>
  <c r="AS372" i="1"/>
  <c r="AR372" i="1"/>
  <c r="AT371" i="1"/>
  <c r="AS371" i="1"/>
  <c r="AT370" i="1"/>
  <c r="AS370" i="1"/>
  <c r="AR370" i="1"/>
  <c r="AT369" i="1"/>
  <c r="AS369" i="1"/>
  <c r="AT368" i="1"/>
  <c r="AS368" i="1"/>
  <c r="AR368" i="1"/>
  <c r="AT367" i="1"/>
  <c r="AS367" i="1"/>
  <c r="AT366" i="1"/>
  <c r="AS366" i="1"/>
  <c r="AT365" i="1"/>
  <c r="AS365" i="1"/>
  <c r="AR365" i="1"/>
  <c r="AT364" i="1"/>
  <c r="AS364" i="1"/>
  <c r="AT363" i="1"/>
  <c r="AS363" i="1"/>
  <c r="AR363" i="1"/>
  <c r="AT362" i="1"/>
  <c r="AS362" i="1"/>
  <c r="AT361" i="1"/>
  <c r="AS361" i="1"/>
  <c r="AR361" i="1"/>
  <c r="AT360" i="1"/>
  <c r="AS360" i="1"/>
  <c r="AR360" i="1"/>
  <c r="AT359" i="1"/>
  <c r="AS359" i="1"/>
  <c r="AR359" i="1"/>
  <c r="AT358" i="1"/>
  <c r="AS358" i="1"/>
  <c r="AR358" i="1"/>
  <c r="AT357" i="1"/>
  <c r="AS357" i="1"/>
  <c r="AR357" i="1"/>
  <c r="AT356" i="1"/>
  <c r="AS356" i="1"/>
  <c r="AR356" i="1"/>
  <c r="AT355" i="1"/>
  <c r="AS355" i="1"/>
  <c r="AR355" i="1"/>
  <c r="AT354" i="1"/>
  <c r="AS354" i="1"/>
  <c r="AT353" i="1"/>
  <c r="AS353" i="1"/>
  <c r="AT352" i="1"/>
  <c r="AS352" i="1"/>
  <c r="AR352" i="1"/>
  <c r="AT351" i="1"/>
  <c r="AS351" i="1"/>
  <c r="AT350" i="1"/>
  <c r="AS350" i="1"/>
  <c r="AR350" i="1"/>
  <c r="AT349" i="1"/>
  <c r="AS349" i="1"/>
  <c r="AT348" i="1"/>
  <c r="AS348" i="1"/>
  <c r="AT347" i="1"/>
  <c r="AS347" i="1"/>
  <c r="AT346" i="1"/>
  <c r="AS346" i="1"/>
  <c r="AT345" i="1"/>
  <c r="AS345" i="1"/>
  <c r="AR345" i="1"/>
  <c r="AT344" i="1"/>
  <c r="AS344" i="1"/>
  <c r="AR344" i="1"/>
  <c r="AT343" i="1"/>
  <c r="AS343" i="1"/>
  <c r="AT342" i="1"/>
  <c r="AS342" i="1"/>
  <c r="AR342" i="1"/>
  <c r="AT341" i="1"/>
  <c r="AS341" i="1"/>
  <c r="AT340" i="1"/>
  <c r="AS340" i="1"/>
  <c r="AT339" i="1"/>
  <c r="AS339" i="1"/>
  <c r="AR339" i="1"/>
  <c r="AT338" i="1"/>
  <c r="AS338" i="1"/>
  <c r="AR338" i="1"/>
  <c r="AT337" i="1"/>
  <c r="AS337" i="1"/>
  <c r="AT336" i="1"/>
  <c r="AS336" i="1"/>
  <c r="AR336" i="1"/>
  <c r="AT335" i="1"/>
  <c r="AS335" i="1"/>
  <c r="AT334" i="1"/>
  <c r="AS334" i="1"/>
  <c r="AT333" i="1"/>
  <c r="AS333" i="1"/>
  <c r="AR333" i="1"/>
  <c r="AT332" i="1"/>
  <c r="AS332" i="1"/>
  <c r="AR332" i="1"/>
  <c r="AT331" i="1"/>
  <c r="AS331" i="1"/>
  <c r="AR331" i="1"/>
  <c r="AT330" i="1"/>
  <c r="AS330" i="1"/>
  <c r="AT329" i="1"/>
  <c r="AS329" i="1"/>
  <c r="AR329" i="1"/>
  <c r="AT328" i="1"/>
  <c r="AS328" i="1"/>
  <c r="AR328" i="1"/>
  <c r="AT327" i="1"/>
  <c r="AS327" i="1"/>
  <c r="AT326" i="1"/>
  <c r="AS326" i="1"/>
  <c r="AT325" i="1"/>
  <c r="AS325" i="1"/>
  <c r="AR325" i="1"/>
  <c r="AT324" i="1"/>
  <c r="AS324" i="1"/>
  <c r="AT323" i="1"/>
  <c r="AS323" i="1"/>
  <c r="AR323" i="1"/>
  <c r="AT322" i="1"/>
  <c r="AS322" i="1"/>
  <c r="AR322" i="1"/>
  <c r="AT321" i="1"/>
  <c r="AS321" i="1"/>
  <c r="AT320" i="1"/>
  <c r="AS320" i="1"/>
  <c r="AT319" i="1"/>
  <c r="AS319" i="1"/>
  <c r="AR319" i="1"/>
  <c r="AT318" i="1"/>
  <c r="AS318" i="1"/>
  <c r="AT317" i="1"/>
  <c r="AS317" i="1"/>
  <c r="AR317" i="1"/>
  <c r="AT316" i="1"/>
  <c r="AS316" i="1"/>
  <c r="AT315" i="1"/>
  <c r="AS315" i="1"/>
  <c r="AT314" i="1"/>
  <c r="AS314" i="1"/>
  <c r="AR314" i="1"/>
  <c r="AT313" i="1"/>
  <c r="AS313" i="1"/>
  <c r="AR313" i="1"/>
  <c r="AT312" i="1"/>
  <c r="AS312" i="1"/>
  <c r="AT311" i="1"/>
  <c r="AS311" i="1"/>
  <c r="AR311" i="1"/>
  <c r="AT310" i="1"/>
  <c r="AS310" i="1"/>
  <c r="AR310" i="1"/>
  <c r="AT309" i="1"/>
  <c r="AS309" i="1"/>
  <c r="AT308" i="1"/>
  <c r="AS308" i="1"/>
  <c r="AT307" i="1"/>
  <c r="AS307" i="1"/>
  <c r="AT306" i="1"/>
  <c r="AS306" i="1"/>
  <c r="AR306" i="1"/>
  <c r="AT305" i="1"/>
  <c r="AS305" i="1"/>
  <c r="AT304" i="1"/>
  <c r="AS304" i="1"/>
  <c r="AT303" i="1"/>
  <c r="AS303" i="1"/>
  <c r="AR303" i="1"/>
  <c r="AT302" i="1"/>
  <c r="AS302" i="1"/>
  <c r="AT301" i="1"/>
  <c r="AS301" i="1"/>
  <c r="AT300" i="1"/>
  <c r="AS300" i="1"/>
  <c r="AT299" i="1"/>
  <c r="AS299" i="1"/>
  <c r="AR299" i="1"/>
  <c r="AT298" i="1"/>
  <c r="AS298" i="1"/>
  <c r="AT297" i="1"/>
  <c r="AS297" i="1"/>
  <c r="AR297" i="1"/>
  <c r="AT296" i="1"/>
  <c r="AS296" i="1"/>
  <c r="AR296" i="1"/>
  <c r="AT295" i="1"/>
  <c r="AS295" i="1"/>
  <c r="AR295" i="1"/>
  <c r="AT294" i="1"/>
  <c r="AS294" i="1"/>
  <c r="AR294" i="1"/>
  <c r="AT293" i="1"/>
  <c r="AS293" i="1"/>
  <c r="AT292" i="1"/>
  <c r="AS292" i="1"/>
  <c r="AT291" i="1"/>
  <c r="AS291" i="1"/>
  <c r="AT290" i="1"/>
  <c r="AS290" i="1"/>
  <c r="AT289" i="1"/>
  <c r="AS289" i="1"/>
  <c r="AT288" i="1"/>
  <c r="AS288" i="1"/>
  <c r="AR288" i="1"/>
  <c r="AT287" i="1"/>
  <c r="AS287" i="1"/>
  <c r="AT286" i="1"/>
  <c r="AS286" i="1"/>
  <c r="AR286" i="1"/>
  <c r="AT285" i="1"/>
  <c r="AS285" i="1"/>
  <c r="AT284" i="1"/>
  <c r="AS284" i="1"/>
  <c r="AR284" i="1"/>
  <c r="AT283" i="1"/>
  <c r="AS283" i="1"/>
  <c r="AR283" i="1"/>
  <c r="AT282" i="1"/>
  <c r="AS282" i="1"/>
  <c r="AT281" i="1"/>
  <c r="AS281" i="1"/>
  <c r="AT280" i="1"/>
  <c r="AS280" i="1"/>
  <c r="AR280" i="1"/>
  <c r="AT279" i="1"/>
  <c r="AS279" i="1"/>
  <c r="AR279" i="1"/>
  <c r="AT278" i="1"/>
  <c r="AS278" i="1"/>
  <c r="AT277" i="1"/>
  <c r="AS277" i="1"/>
  <c r="AT276" i="1"/>
  <c r="AS276" i="1"/>
  <c r="AT275" i="1"/>
  <c r="AS275" i="1"/>
  <c r="AT274" i="1"/>
  <c r="AS274" i="1"/>
  <c r="AR274" i="1"/>
  <c r="AT273" i="1"/>
  <c r="AS273" i="1"/>
  <c r="AT272" i="1"/>
  <c r="AS272" i="1"/>
  <c r="AR272" i="1"/>
  <c r="AT271" i="1"/>
  <c r="AS271" i="1"/>
  <c r="AR271" i="1"/>
  <c r="AT270" i="1"/>
  <c r="AS270" i="1"/>
  <c r="AT269" i="1"/>
  <c r="AS269" i="1"/>
  <c r="AR269" i="1"/>
  <c r="AT268" i="1"/>
  <c r="AS268" i="1"/>
  <c r="AT267" i="1"/>
  <c r="AS267" i="1"/>
  <c r="AT266" i="1"/>
  <c r="AS266" i="1"/>
  <c r="AR266" i="1"/>
  <c r="AT265" i="1"/>
  <c r="AS265" i="1"/>
  <c r="AR265" i="1"/>
  <c r="AT264" i="1"/>
  <c r="AS264" i="1"/>
  <c r="AR264" i="1"/>
  <c r="AT263" i="1"/>
  <c r="AS263" i="1"/>
  <c r="AR263" i="1"/>
  <c r="AT262" i="1"/>
  <c r="AS262" i="1"/>
  <c r="AT261" i="1"/>
  <c r="AS261" i="1"/>
  <c r="AT260" i="1"/>
  <c r="AS260" i="1"/>
  <c r="AR260" i="1"/>
  <c r="AT259" i="1"/>
  <c r="AS259" i="1"/>
  <c r="AR259" i="1"/>
  <c r="AT258" i="1"/>
  <c r="AS258" i="1"/>
  <c r="AT257" i="1"/>
  <c r="AS257" i="1"/>
  <c r="AR257" i="1"/>
  <c r="AT256" i="1"/>
  <c r="AS256" i="1"/>
  <c r="AT255" i="1"/>
  <c r="AS255" i="1"/>
  <c r="AR255" i="1"/>
  <c r="AT254" i="1"/>
  <c r="AS254" i="1"/>
  <c r="AR254" i="1"/>
  <c r="AT253" i="1"/>
  <c r="AS253" i="1"/>
  <c r="AR253" i="1"/>
  <c r="AT252" i="1"/>
  <c r="AS252" i="1"/>
  <c r="AR252" i="1"/>
  <c r="AT251" i="1"/>
  <c r="AS251" i="1"/>
  <c r="AR251" i="1"/>
  <c r="AT250" i="1"/>
  <c r="AS250" i="1"/>
  <c r="AT249" i="1"/>
  <c r="AS249" i="1"/>
  <c r="AT248" i="1"/>
  <c r="AS248" i="1"/>
  <c r="AR248" i="1"/>
  <c r="AT247" i="1"/>
  <c r="AS247" i="1"/>
  <c r="AT246" i="1"/>
  <c r="AS246" i="1"/>
  <c r="AR246" i="1"/>
  <c r="AT245" i="1"/>
  <c r="AS245" i="1"/>
  <c r="AR245" i="1"/>
  <c r="AT244" i="1"/>
  <c r="AS244" i="1"/>
  <c r="AT243" i="1"/>
  <c r="AS243" i="1"/>
  <c r="AR243" i="1"/>
  <c r="AT242" i="1"/>
  <c r="AS242" i="1"/>
  <c r="AR242" i="1"/>
  <c r="AT241" i="1"/>
  <c r="AS241" i="1"/>
  <c r="AR241" i="1"/>
  <c r="AT240" i="1"/>
  <c r="AS240" i="1"/>
  <c r="AT239" i="1"/>
  <c r="AS239" i="1"/>
  <c r="AT238" i="1"/>
  <c r="AS238" i="1"/>
  <c r="AT237" i="1"/>
  <c r="AS237" i="1"/>
  <c r="AT236" i="1"/>
  <c r="AS236" i="1"/>
  <c r="AR236" i="1"/>
  <c r="AT235" i="1"/>
  <c r="AS235" i="1"/>
  <c r="AR235" i="1"/>
  <c r="AT234" i="1"/>
  <c r="AS234" i="1"/>
  <c r="AR234" i="1"/>
  <c r="AT233" i="1"/>
  <c r="AS233" i="1"/>
  <c r="AR233" i="1"/>
  <c r="AT232" i="1"/>
  <c r="AS232" i="1"/>
  <c r="AR232" i="1"/>
  <c r="AT231" i="1"/>
  <c r="AS231" i="1"/>
  <c r="AR231" i="1"/>
  <c r="AT230" i="1"/>
  <c r="AS230" i="1"/>
  <c r="AR230" i="1"/>
  <c r="AT229" i="1"/>
  <c r="AS229" i="1"/>
  <c r="AR229" i="1"/>
  <c r="AT228" i="1"/>
  <c r="AS228" i="1"/>
  <c r="AT227" i="1"/>
  <c r="AS227" i="1"/>
  <c r="AT226" i="1"/>
  <c r="AS226" i="1"/>
  <c r="AR226" i="1"/>
  <c r="AT225" i="1"/>
  <c r="AS225" i="1"/>
  <c r="AR225" i="1"/>
  <c r="AT224" i="1"/>
  <c r="AS224" i="1"/>
  <c r="AT223" i="1"/>
  <c r="AS223" i="1"/>
  <c r="AT222" i="1"/>
  <c r="AS222" i="1"/>
  <c r="AR222" i="1"/>
  <c r="AT221" i="1"/>
  <c r="AS221" i="1"/>
  <c r="AR221" i="1"/>
  <c r="AT220" i="1"/>
  <c r="AS220" i="1"/>
  <c r="AR220" i="1"/>
  <c r="AT219" i="1"/>
  <c r="AS219" i="1"/>
  <c r="AR219" i="1"/>
  <c r="AT218" i="1"/>
  <c r="AS218" i="1"/>
  <c r="AR218" i="1"/>
  <c r="AT217" i="1"/>
  <c r="AS217" i="1"/>
  <c r="AR217" i="1"/>
  <c r="AT216" i="1"/>
  <c r="AS216" i="1"/>
  <c r="AR216" i="1"/>
  <c r="AT215" i="1"/>
  <c r="AS215" i="1"/>
  <c r="AR215" i="1"/>
  <c r="AT214" i="1"/>
  <c r="AS214" i="1"/>
  <c r="AR214" i="1"/>
  <c r="AT213" i="1"/>
  <c r="AS213" i="1"/>
  <c r="AT212" i="1"/>
  <c r="AS212" i="1"/>
  <c r="AT211" i="1"/>
  <c r="AS211" i="1"/>
  <c r="AT210" i="1"/>
  <c r="AS210" i="1"/>
  <c r="AT209" i="1"/>
  <c r="AS209" i="1"/>
  <c r="AT208" i="1"/>
  <c r="AS208" i="1"/>
  <c r="AT207" i="1"/>
  <c r="AS207" i="1"/>
  <c r="AT206" i="1"/>
  <c r="AS206" i="1"/>
  <c r="AR206" i="1"/>
  <c r="AT205" i="1"/>
  <c r="AS205" i="1"/>
  <c r="AR205" i="1"/>
  <c r="AT204" i="1"/>
  <c r="AS204" i="1"/>
  <c r="AR204" i="1"/>
  <c r="AT203" i="1"/>
  <c r="AS203" i="1"/>
  <c r="AR203" i="1"/>
  <c r="AT202" i="1"/>
  <c r="AS202" i="1"/>
  <c r="AT201" i="1"/>
  <c r="AS201" i="1"/>
  <c r="AR201" i="1"/>
  <c r="AT200" i="1"/>
  <c r="AS200" i="1"/>
  <c r="AR200" i="1"/>
  <c r="AT199" i="1"/>
  <c r="AS199" i="1"/>
  <c r="AR199" i="1"/>
  <c r="AT198" i="1"/>
  <c r="AS198" i="1"/>
  <c r="AR198" i="1"/>
  <c r="AT197" i="1"/>
  <c r="AS197" i="1"/>
  <c r="AT196" i="1"/>
  <c r="AS196" i="1"/>
  <c r="AR196" i="1"/>
  <c r="AT195" i="1"/>
  <c r="AS195" i="1"/>
  <c r="AT194" i="1"/>
  <c r="AS194" i="1"/>
  <c r="AT193" i="1"/>
  <c r="AS193" i="1"/>
  <c r="AR193" i="1"/>
  <c r="AT192" i="1"/>
  <c r="AS192" i="1"/>
  <c r="AT191" i="1"/>
  <c r="AS191" i="1"/>
  <c r="AT190" i="1"/>
  <c r="AS190" i="1"/>
  <c r="AT189" i="1"/>
  <c r="AS189" i="1"/>
  <c r="AT188" i="1"/>
  <c r="AS188" i="1"/>
  <c r="AR188" i="1"/>
  <c r="AT187" i="1"/>
  <c r="AS187" i="1"/>
  <c r="AR187" i="1"/>
  <c r="AT186" i="1"/>
  <c r="AS186" i="1"/>
  <c r="AR186" i="1"/>
  <c r="AT185" i="1"/>
  <c r="AS185" i="1"/>
  <c r="AT184" i="1"/>
  <c r="AS184" i="1"/>
  <c r="AT183" i="1"/>
  <c r="AS183" i="1"/>
  <c r="AR183" i="1"/>
  <c r="AT182" i="1"/>
  <c r="AS182" i="1"/>
  <c r="AT181" i="1"/>
  <c r="AS181" i="1"/>
  <c r="AR181" i="1"/>
  <c r="AT180" i="1"/>
  <c r="AS180" i="1"/>
  <c r="AR180" i="1"/>
  <c r="AT179" i="1"/>
  <c r="AS179" i="1"/>
  <c r="AT178" i="1"/>
  <c r="AS178" i="1"/>
  <c r="AR178" i="1"/>
  <c r="AT177" i="1"/>
  <c r="AS177" i="1"/>
  <c r="AR177" i="1"/>
  <c r="AT176" i="1"/>
  <c r="AS176" i="1"/>
  <c r="AR176" i="1"/>
  <c r="AT175" i="1"/>
  <c r="AS175" i="1"/>
  <c r="AT174" i="1"/>
  <c r="AS174" i="1"/>
  <c r="AR174" i="1"/>
  <c r="AT173" i="1"/>
  <c r="AS173" i="1"/>
  <c r="AT172" i="1"/>
  <c r="AS172" i="1"/>
  <c r="AT171" i="1"/>
  <c r="AS171" i="1"/>
  <c r="AR171" i="1"/>
  <c r="AT170" i="1"/>
  <c r="AS170" i="1"/>
  <c r="AT169" i="1"/>
  <c r="AS169" i="1"/>
  <c r="AT168" i="1"/>
  <c r="AS168" i="1"/>
  <c r="AT167" i="1"/>
  <c r="AS167" i="1"/>
  <c r="AR167" i="1"/>
  <c r="AT166" i="1"/>
  <c r="AS166" i="1"/>
  <c r="AT165" i="1"/>
  <c r="AS165" i="1"/>
  <c r="AR165" i="1"/>
  <c r="AT164" i="1"/>
  <c r="AS164" i="1"/>
  <c r="AT163" i="1"/>
  <c r="AS163" i="1"/>
  <c r="AR163" i="1"/>
  <c r="AT162" i="1"/>
  <c r="AS162" i="1"/>
  <c r="AR162" i="1"/>
  <c r="AT161" i="1"/>
  <c r="AS161" i="1"/>
  <c r="AT160" i="1"/>
  <c r="AS160" i="1"/>
  <c r="AT159" i="1"/>
  <c r="AS159" i="1"/>
  <c r="AT158" i="1"/>
  <c r="AS158" i="1"/>
  <c r="AR158" i="1"/>
  <c r="AT157" i="1"/>
  <c r="AS157" i="1"/>
  <c r="AR157" i="1"/>
  <c r="AT156" i="1"/>
  <c r="AS156" i="1"/>
  <c r="AT155" i="1"/>
  <c r="AS155" i="1"/>
  <c r="AR155" i="1"/>
  <c r="AT154" i="1"/>
  <c r="AS154" i="1"/>
  <c r="AR154" i="1"/>
  <c r="AT153" i="1"/>
  <c r="AS153" i="1"/>
  <c r="AR153" i="1"/>
  <c r="AT152" i="1"/>
  <c r="AS152" i="1"/>
  <c r="AR152" i="1"/>
  <c r="AT151" i="1"/>
  <c r="AS151" i="1"/>
  <c r="AR151" i="1"/>
  <c r="AT150" i="1"/>
  <c r="AS150" i="1"/>
  <c r="AR150" i="1"/>
  <c r="AT149" i="1"/>
  <c r="AS149" i="1"/>
  <c r="AT148" i="1"/>
  <c r="AS148" i="1"/>
  <c r="AT147" i="1"/>
  <c r="AS147" i="1"/>
  <c r="AT146" i="1"/>
  <c r="AS146" i="1"/>
  <c r="AT145" i="1"/>
  <c r="AS145" i="1"/>
  <c r="AT144" i="1"/>
  <c r="AS144" i="1"/>
  <c r="AR144" i="1"/>
  <c r="AT143" i="1"/>
  <c r="AS143" i="1"/>
  <c r="AT142" i="1"/>
  <c r="AS142" i="1"/>
  <c r="AR142" i="1"/>
  <c r="AT141" i="1"/>
  <c r="AS141" i="1"/>
  <c r="AR141" i="1"/>
  <c r="AT140" i="1"/>
  <c r="AS140" i="1"/>
  <c r="AR140" i="1"/>
  <c r="AT139" i="1"/>
  <c r="AS139" i="1"/>
  <c r="AR139" i="1"/>
  <c r="AT138" i="1"/>
  <c r="AS138" i="1"/>
  <c r="AT137" i="1"/>
  <c r="AS137" i="1"/>
  <c r="AT136" i="1"/>
  <c r="AS136" i="1"/>
  <c r="AR136" i="1"/>
  <c r="AT135" i="1"/>
  <c r="AS135" i="1"/>
  <c r="AR135" i="1"/>
  <c r="AT134" i="1"/>
  <c r="AS134" i="1"/>
  <c r="AR134" i="1"/>
  <c r="AT133" i="1"/>
  <c r="AS133" i="1"/>
  <c r="AT132" i="1"/>
  <c r="AS132" i="1"/>
  <c r="AR132" i="1"/>
  <c r="AT131" i="1"/>
  <c r="AS131" i="1"/>
  <c r="AT130" i="1"/>
  <c r="AS130" i="1"/>
  <c r="AR130" i="1"/>
  <c r="AT129" i="1"/>
  <c r="AS129" i="1"/>
  <c r="AR129" i="1"/>
  <c r="AT128" i="1"/>
  <c r="AS128" i="1"/>
  <c r="AR128" i="1"/>
  <c r="AT127" i="1"/>
  <c r="AS127" i="1"/>
  <c r="AR127" i="1"/>
  <c r="AT126" i="1"/>
  <c r="AS126" i="1"/>
  <c r="AR126" i="1"/>
  <c r="AT125" i="1"/>
  <c r="AS125" i="1"/>
  <c r="AR125" i="1"/>
  <c r="AT124" i="1"/>
  <c r="AS124" i="1"/>
  <c r="AT123" i="1"/>
  <c r="AS123" i="1"/>
  <c r="AR123" i="1"/>
  <c r="AT122" i="1"/>
  <c r="AS122" i="1"/>
  <c r="AR122" i="1"/>
  <c r="AT121" i="1"/>
  <c r="AS121" i="1"/>
  <c r="AR121" i="1"/>
  <c r="AT120" i="1"/>
  <c r="AS120" i="1"/>
  <c r="AR120" i="1"/>
  <c r="AT119" i="1"/>
  <c r="AS119" i="1"/>
  <c r="AR119" i="1"/>
  <c r="AT118" i="1"/>
  <c r="AS118" i="1"/>
  <c r="AR118" i="1"/>
  <c r="AT117" i="1"/>
  <c r="AS117" i="1"/>
  <c r="AR117" i="1"/>
  <c r="AT116" i="1"/>
  <c r="AS116" i="1"/>
  <c r="AR116" i="1"/>
  <c r="AT115" i="1"/>
  <c r="AS115" i="1"/>
  <c r="AR115" i="1"/>
  <c r="AT114" i="1"/>
  <c r="AS114" i="1"/>
  <c r="AR114" i="1"/>
  <c r="AT113" i="1"/>
  <c r="AS113" i="1"/>
  <c r="AR113" i="1"/>
  <c r="AT112" i="1"/>
  <c r="AS112" i="1"/>
  <c r="AT111" i="1"/>
  <c r="AS111" i="1"/>
  <c r="AR111" i="1"/>
  <c r="AT110" i="1"/>
  <c r="AS110" i="1"/>
  <c r="AR110" i="1"/>
  <c r="AT109" i="1"/>
  <c r="AS109" i="1"/>
  <c r="AR109" i="1"/>
  <c r="AT108" i="1"/>
  <c r="AS108" i="1"/>
  <c r="AR108" i="1"/>
  <c r="AT107" i="1"/>
  <c r="AS107" i="1"/>
  <c r="AT106" i="1"/>
  <c r="AS106" i="1"/>
  <c r="AR106" i="1"/>
  <c r="AT105" i="1"/>
  <c r="AS105" i="1"/>
  <c r="AR105" i="1"/>
  <c r="AT104" i="1"/>
  <c r="AS104" i="1"/>
  <c r="AR104" i="1"/>
  <c r="AT103" i="1"/>
  <c r="AS103" i="1"/>
  <c r="AR103" i="1"/>
  <c r="AT102" i="1"/>
  <c r="AS102" i="1"/>
  <c r="AT101" i="1"/>
  <c r="AS101" i="1"/>
  <c r="AT100" i="1"/>
  <c r="AS100" i="1"/>
  <c r="AR100" i="1"/>
  <c r="AT99" i="1"/>
  <c r="AS99" i="1"/>
  <c r="AR99" i="1"/>
  <c r="AT98" i="1"/>
  <c r="AS98" i="1"/>
  <c r="AT97" i="1"/>
  <c r="AS97" i="1"/>
  <c r="AR97" i="1"/>
  <c r="AT96" i="1"/>
  <c r="AS96" i="1"/>
  <c r="AR96" i="1"/>
  <c r="AT95" i="1"/>
  <c r="AS95" i="1"/>
  <c r="AR95" i="1"/>
  <c r="AT94" i="1"/>
  <c r="AS94" i="1"/>
  <c r="AR94" i="1"/>
  <c r="AT93" i="1"/>
  <c r="AS93" i="1"/>
  <c r="AR93" i="1"/>
  <c r="AT92" i="1"/>
  <c r="AS92" i="1"/>
  <c r="AT91" i="1"/>
  <c r="AS91" i="1"/>
  <c r="AT90" i="1"/>
  <c r="AS90" i="1"/>
  <c r="AT89" i="1"/>
  <c r="AS89" i="1"/>
  <c r="AT88" i="1"/>
  <c r="AS88" i="1"/>
  <c r="AR88" i="1"/>
  <c r="AT87" i="1"/>
  <c r="AS87" i="1"/>
  <c r="AR87" i="1"/>
  <c r="AT86" i="1"/>
  <c r="AS86" i="1"/>
  <c r="AR86" i="1"/>
  <c r="AT85" i="1"/>
  <c r="AS85" i="1"/>
  <c r="AR85" i="1"/>
  <c r="AT84" i="1"/>
  <c r="AS84" i="1"/>
  <c r="AR84" i="1"/>
  <c r="AT83" i="1"/>
  <c r="AS83" i="1"/>
  <c r="AT82" i="1"/>
  <c r="AS82" i="1"/>
  <c r="AR82" i="1"/>
  <c r="AT81" i="1"/>
  <c r="AS81" i="1"/>
  <c r="AR81" i="1"/>
  <c r="AT80" i="1"/>
  <c r="AS80" i="1"/>
  <c r="AR80" i="1"/>
  <c r="AT79" i="1"/>
  <c r="AS79" i="1"/>
  <c r="AR79" i="1"/>
  <c r="AT78" i="1"/>
  <c r="AS78" i="1"/>
  <c r="AT77" i="1"/>
  <c r="AS77" i="1"/>
  <c r="AR77" i="1"/>
  <c r="AT76" i="1"/>
  <c r="AS76" i="1"/>
  <c r="AR76" i="1"/>
  <c r="AT75" i="1"/>
  <c r="AS75" i="1"/>
  <c r="AT74" i="1"/>
  <c r="AS74" i="1"/>
  <c r="AR74" i="1"/>
  <c r="AT73" i="1"/>
  <c r="AS73" i="1"/>
  <c r="AR73" i="1"/>
  <c r="AT72" i="1"/>
  <c r="AS72" i="1"/>
  <c r="AR72" i="1"/>
  <c r="AT71" i="1"/>
  <c r="AS71" i="1"/>
  <c r="AR71" i="1"/>
  <c r="AT70" i="1"/>
  <c r="AS70" i="1"/>
  <c r="AR70" i="1"/>
  <c r="AT69" i="1"/>
  <c r="AS69" i="1"/>
  <c r="AR69" i="1"/>
  <c r="AT68" i="1"/>
  <c r="AS68" i="1"/>
  <c r="AR68" i="1"/>
  <c r="AT67" i="1"/>
  <c r="AS67" i="1"/>
  <c r="AT66" i="1"/>
  <c r="AS66" i="1"/>
  <c r="AT65" i="1"/>
  <c r="AS65" i="1"/>
  <c r="AR65" i="1"/>
  <c r="AT64" i="1"/>
  <c r="AS64" i="1"/>
  <c r="AT63" i="1"/>
  <c r="AS63" i="1"/>
  <c r="AT62" i="1"/>
  <c r="AS62" i="1"/>
  <c r="AR62" i="1"/>
  <c r="AT61" i="1"/>
  <c r="AS61" i="1"/>
  <c r="AR61" i="1"/>
  <c r="AT60" i="1"/>
  <c r="AS60" i="1"/>
  <c r="AT59" i="1"/>
  <c r="AS59" i="1"/>
  <c r="AT58" i="1"/>
  <c r="AS58" i="1"/>
  <c r="AT57" i="1"/>
  <c r="AS57" i="1"/>
  <c r="AR57" i="1"/>
  <c r="AT56" i="1"/>
  <c r="AS56" i="1"/>
  <c r="AR56" i="1"/>
  <c r="AT55" i="1"/>
  <c r="AS55" i="1"/>
  <c r="AT54" i="1"/>
  <c r="AS54" i="1"/>
  <c r="AR54" i="1"/>
  <c r="AT53" i="1"/>
  <c r="AS53" i="1"/>
  <c r="AT52" i="1"/>
  <c r="AS52" i="1"/>
  <c r="AR52" i="1"/>
  <c r="AT51" i="1"/>
  <c r="AS51" i="1"/>
  <c r="AR51" i="1"/>
  <c r="AT50" i="1"/>
  <c r="AS50" i="1"/>
  <c r="AR50" i="1"/>
  <c r="AT49" i="1"/>
  <c r="AS49" i="1"/>
  <c r="AR49" i="1"/>
  <c r="AT48" i="1"/>
  <c r="AS48" i="1"/>
  <c r="AR48" i="1"/>
  <c r="AT47" i="1"/>
  <c r="AS47" i="1"/>
  <c r="AR47" i="1"/>
  <c r="AT46" i="1"/>
  <c r="AS46" i="1"/>
  <c r="AR46" i="1"/>
  <c r="AT45" i="1"/>
  <c r="AS45" i="1"/>
  <c r="AR45" i="1"/>
  <c r="AT44" i="1"/>
  <c r="AS44" i="1"/>
  <c r="AT43" i="1"/>
  <c r="AS43" i="1"/>
  <c r="AR43" i="1"/>
  <c r="AT42" i="1"/>
  <c r="AS42" i="1"/>
  <c r="AR42" i="1"/>
  <c r="AT41" i="1"/>
  <c r="AS41" i="1"/>
  <c r="AT40" i="1"/>
  <c r="AS40" i="1"/>
  <c r="AT39" i="1"/>
  <c r="AS39" i="1"/>
  <c r="AR39" i="1"/>
  <c r="AT38" i="1"/>
  <c r="AS38" i="1"/>
  <c r="AT37" i="1"/>
  <c r="AS37" i="1"/>
  <c r="AT36" i="1"/>
  <c r="AS36" i="1"/>
  <c r="AR36" i="1"/>
  <c r="AT35" i="1"/>
  <c r="AS35" i="1"/>
  <c r="AR35" i="1"/>
  <c r="AT34" i="1"/>
  <c r="AS34" i="1"/>
  <c r="AR34" i="1"/>
  <c r="AT33" i="1"/>
  <c r="AS33" i="1"/>
  <c r="AR33" i="1"/>
  <c r="AT32" i="1"/>
  <c r="AS32" i="1"/>
  <c r="AR32" i="1"/>
  <c r="AT31" i="1"/>
  <c r="AS31" i="1"/>
  <c r="AR31" i="1"/>
  <c r="AT30" i="1"/>
  <c r="AS30" i="1"/>
  <c r="AR30" i="1"/>
  <c r="AT29" i="1"/>
  <c r="AS29" i="1"/>
  <c r="AR29" i="1"/>
  <c r="AT28" i="1"/>
  <c r="AS28" i="1"/>
  <c r="AR28" i="1"/>
  <c r="AT27" i="1"/>
  <c r="AS27" i="1"/>
  <c r="AR27" i="1"/>
  <c r="AT26" i="1"/>
  <c r="AS26" i="1"/>
  <c r="AR26" i="1"/>
  <c r="AT25" i="1"/>
  <c r="AS25" i="1"/>
  <c r="AR25" i="1"/>
  <c r="AT24" i="1"/>
  <c r="AS24" i="1"/>
  <c r="AR24" i="1"/>
  <c r="AT23" i="1"/>
  <c r="AS23" i="1"/>
  <c r="AR23" i="1"/>
  <c r="AT22" i="1"/>
  <c r="AS22" i="1"/>
  <c r="AR22" i="1"/>
  <c r="AT21" i="1"/>
  <c r="AS21" i="1"/>
  <c r="AT20" i="1"/>
  <c r="AS20" i="1"/>
  <c r="AR20" i="1"/>
  <c r="AT19" i="1"/>
  <c r="AS19" i="1"/>
  <c r="AR19" i="1"/>
  <c r="AT18" i="1"/>
  <c r="AS18" i="1"/>
  <c r="AR18" i="1"/>
  <c r="AT17" i="1"/>
  <c r="AS17" i="1"/>
  <c r="AR17" i="1"/>
  <c r="AT16" i="1"/>
  <c r="AS16" i="1"/>
  <c r="AR16" i="1"/>
  <c r="AT15" i="1"/>
  <c r="AS15" i="1"/>
  <c r="AR15" i="1"/>
  <c r="AT14" i="1"/>
  <c r="AS14" i="1"/>
  <c r="AR14" i="1"/>
  <c r="AT13" i="1"/>
  <c r="AS13" i="1"/>
  <c r="AR13" i="1"/>
  <c r="AT12" i="1"/>
  <c r="AS12" i="1"/>
  <c r="AT11" i="1"/>
  <c r="AS11" i="1"/>
  <c r="AR11" i="1"/>
  <c r="AT10" i="1"/>
  <c r="AS10" i="1"/>
  <c r="AR10" i="1"/>
  <c r="AT9" i="1"/>
  <c r="AS9" i="1"/>
  <c r="AR9" i="1"/>
  <c r="AT8" i="1"/>
  <c r="AS8" i="1"/>
  <c r="AR8" i="1"/>
  <c r="AT7" i="1"/>
  <c r="AS7" i="1"/>
  <c r="AR7" i="1"/>
  <c r="AT6" i="1"/>
  <c r="AS6" i="1"/>
  <c r="AR6" i="1"/>
  <c r="AT5" i="1"/>
  <c r="AS5" i="1"/>
  <c r="AR5" i="1"/>
  <c r="AT4" i="1"/>
  <c r="AS4" i="1"/>
  <c r="AR4" i="1"/>
  <c r="AT3" i="1"/>
  <c r="AS3" i="1"/>
  <c r="AR3" i="1"/>
  <c r="AT2" i="1"/>
  <c r="AS2" i="1"/>
  <c r="AR2" i="1"/>
</calcChain>
</file>

<file path=xl/sharedStrings.xml><?xml version="1.0" encoding="utf-8"?>
<sst xmlns="http://schemas.openxmlformats.org/spreadsheetml/2006/main" count="83053" uniqueCount="33548">
  <si>
    <t>Display Call Number</t>
  </si>
  <si>
    <t>Display Call Number Normalized</t>
  </si>
  <si>
    <t>Title</t>
  </si>
  <si>
    <t>Enumeration</t>
  </si>
  <si>
    <t>Possible Multi-Volume Set</t>
  </si>
  <si>
    <t>Copy Number</t>
  </si>
  <si>
    <t>Possible Duplicate</t>
  </si>
  <si>
    <t>Multi-Edition Title</t>
  </si>
  <si>
    <t>Number of Related Ebooks</t>
  </si>
  <si>
    <t>Author</t>
  </si>
  <si>
    <t>Publisher</t>
  </si>
  <si>
    <t>Publication Year</t>
  </si>
  <si>
    <t>Edition</t>
  </si>
  <si>
    <t>Primary Language</t>
  </si>
  <si>
    <t>Place of Publication</t>
  </si>
  <si>
    <t>Series</t>
  </si>
  <si>
    <t>LC Subclass</t>
  </si>
  <si>
    <t>Recorded Uses - Item</t>
  </si>
  <si>
    <t>Recorded Uses - Title</t>
  </si>
  <si>
    <t>Last Charge Date - Item</t>
  </si>
  <si>
    <t>Last Charge Date - Title</t>
  </si>
  <si>
    <t>Last Add Date - Item</t>
  </si>
  <si>
    <t>Last Add Date - Title</t>
  </si>
  <si>
    <t>Global Holdings - Same Edition</t>
  </si>
  <si>
    <t>US Holdings - Same Edition</t>
  </si>
  <si>
    <t>US Holdings</t>
  </si>
  <si>
    <t>Nebraska Holdings - Same Edition</t>
  </si>
  <si>
    <t>Nebraska Holdings</t>
  </si>
  <si>
    <t>All Comparator Library Holdings - Same Edition</t>
  </si>
  <si>
    <t>All Comparator Library Holdings</t>
  </si>
  <si>
    <t>Affinity Libraries - Same Edition</t>
  </si>
  <si>
    <t>Affinity Libraries - Any Edition</t>
  </si>
  <si>
    <t>Big East - Same Edition</t>
  </si>
  <si>
    <t>Big East - Any Edition</t>
  </si>
  <si>
    <t>AJCU - Same Edition</t>
  </si>
  <si>
    <t>AJCU - Any Edition</t>
  </si>
  <si>
    <t>Nebraska Colleges &amp; Universities - Same Edition</t>
  </si>
  <si>
    <t>Nebraska Colleges &amp; Universities - Any Edition</t>
  </si>
  <si>
    <t>MALLCO - Same Edition</t>
  </si>
  <si>
    <t>MALLCO - Any Edition</t>
  </si>
  <si>
    <t>HathiTrust Public Domain</t>
  </si>
  <si>
    <t>HathiTrust In Copyright</t>
  </si>
  <si>
    <t>HathiTrust URL</t>
  </si>
  <si>
    <t>OPAC URL</t>
  </si>
  <si>
    <t>WorldCat URL</t>
  </si>
  <si>
    <t>OCLC Work ID</t>
  </si>
  <si>
    <t>WorldCat OCLC Number</t>
  </si>
  <si>
    <t>Bib Record Number</t>
  </si>
  <si>
    <t>Bib Control Number</t>
  </si>
  <si>
    <t>Item Control Number</t>
  </si>
  <si>
    <t>Item Type Code</t>
  </si>
  <si>
    <t>Item Status Code</t>
  </si>
  <si>
    <t>ISBN</t>
  </si>
  <si>
    <t>Barcode</t>
  </si>
  <si>
    <t>SCS Item ID</t>
  </si>
  <si>
    <t>DS1.5 .A7</t>
  </si>
  <si>
    <t>0                      DS 0001500A  7</t>
  </si>
  <si>
    <t>Asia and the Pacific in the 1970s; the roles of the United States, Australia, and New Zealand. Editor: Bruce Brown.</t>
  </si>
  <si>
    <t>No</t>
  </si>
  <si>
    <t>1</t>
  </si>
  <si>
    <t>0</t>
  </si>
  <si>
    <t>Canberra, Australian National University Press, 1971.</t>
  </si>
  <si>
    <t>1971</t>
  </si>
  <si>
    <t>eng</t>
  </si>
  <si>
    <t xml:space="preserve">at </t>
  </si>
  <si>
    <t xml:space="preserve">DS </t>
  </si>
  <si>
    <t>1998-04-20</t>
  </si>
  <si>
    <t>1997-02-20</t>
  </si>
  <si>
    <t>Yes</t>
  </si>
  <si>
    <t>422701670:eng</t>
  </si>
  <si>
    <t>214338</t>
  </si>
  <si>
    <t>991001275319702656</t>
  </si>
  <si>
    <t>2254821750002656</t>
  </si>
  <si>
    <t>BOOK</t>
  </si>
  <si>
    <t>9780708100875</t>
  </si>
  <si>
    <t>32285002466778</t>
  </si>
  <si>
    <t>893897667</t>
  </si>
  <si>
    <t>DS101 .Q63</t>
  </si>
  <si>
    <t>0                      DS 0101000Q  63</t>
  </si>
  <si>
    <t>Excavations at Tel Mevorakh, 1973-1976 / Ephraim Stern.</t>
  </si>
  <si>
    <t>V.9</t>
  </si>
  <si>
    <t>Stern, Ephraim, 1934-</t>
  </si>
  <si>
    <t>[Jerusalem] : Institute of Archaeology, Hebrew University of Jerusalem, 1978-</t>
  </si>
  <si>
    <t>1978</t>
  </si>
  <si>
    <t xml:space="preserve">is </t>
  </si>
  <si>
    <t>Qedem, monographs of the Institute of Archaeology ; 9, &lt;18 &gt;</t>
  </si>
  <si>
    <t>1998-04-29</t>
  </si>
  <si>
    <t>1997-07-11</t>
  </si>
  <si>
    <t>10076367757:eng</t>
  </si>
  <si>
    <t>4907531</t>
  </si>
  <si>
    <t>991004744929702656</t>
  </si>
  <si>
    <t>2258862330002656</t>
  </si>
  <si>
    <t>32285002881752</t>
  </si>
  <si>
    <t>893628350</t>
  </si>
  <si>
    <t>V.18</t>
  </si>
  <si>
    <t>32285002881760</t>
  </si>
  <si>
    <t>893625061</t>
  </si>
  <si>
    <t>Excavations at the City of David / Yigal Shiloh.</t>
  </si>
  <si>
    <t>V. 30</t>
  </si>
  <si>
    <t>Shiloh, Yigal, 1936 or 1937-1987.</t>
  </si>
  <si>
    <t>Jerusalem : Institute of Archaeology, Hebrew University of Jerusalem, 1984-</t>
  </si>
  <si>
    <t>1984</t>
  </si>
  <si>
    <t>Qedem, 0333-5844 ; 19, 30, 33, 35, 40-41</t>
  </si>
  <si>
    <t>2004-03-29</t>
  </si>
  <si>
    <t>3374386719:eng</t>
  </si>
  <si>
    <t>11685976</t>
  </si>
  <si>
    <t>991000576139702656</t>
  </si>
  <si>
    <t>2258377240002656</t>
  </si>
  <si>
    <t>32285002881810</t>
  </si>
  <si>
    <t>893620599</t>
  </si>
  <si>
    <t>V. 19</t>
  </si>
  <si>
    <t>2002-11-12</t>
  </si>
  <si>
    <t>1990-09-28</t>
  </si>
  <si>
    <t>32285000292739</t>
  </si>
  <si>
    <t>893608058</t>
  </si>
  <si>
    <t>V. 33</t>
  </si>
  <si>
    <t>32285002881828</t>
  </si>
  <si>
    <t>893608057</t>
  </si>
  <si>
    <t>V. 35</t>
  </si>
  <si>
    <t>2004-03-21</t>
  </si>
  <si>
    <t>32285002881836</t>
  </si>
  <si>
    <t>893608056</t>
  </si>
  <si>
    <t>V. 40</t>
  </si>
  <si>
    <t>2001-01-11</t>
  </si>
  <si>
    <t>32285004282850</t>
  </si>
  <si>
    <t>893620598</t>
  </si>
  <si>
    <t>2003-07-02</t>
  </si>
  <si>
    <t>280598-6001</t>
  </si>
  <si>
    <t>893620597</t>
  </si>
  <si>
    <t>V. 41</t>
  </si>
  <si>
    <t>32285004897954</t>
  </si>
  <si>
    <t>893595678</t>
  </si>
  <si>
    <t>DS101 .Q63 v.14</t>
  </si>
  <si>
    <t>0                      DS 0101000Q  63                                                      v.14</t>
  </si>
  <si>
    <t>Ancient ivories in the Middle East and adjacent countries / Richard D. Barnett.</t>
  </si>
  <si>
    <t>V. 14</t>
  </si>
  <si>
    <t>Barnett, Richard David, 1909-1986.</t>
  </si>
  <si>
    <t>Jerusalem : Institute of Archaeology, Hebrew University of Jerusalem, 1982.</t>
  </si>
  <si>
    <t>1982</t>
  </si>
  <si>
    <t>Qedem, 0333-5844 ; 14</t>
  </si>
  <si>
    <t>2004-04-21</t>
  </si>
  <si>
    <t>1993-06-02</t>
  </si>
  <si>
    <t>42745677:eng</t>
  </si>
  <si>
    <t>9032788</t>
  </si>
  <si>
    <t>991000115209702656</t>
  </si>
  <si>
    <t>2268407630002656</t>
  </si>
  <si>
    <t>32285001716454</t>
  </si>
  <si>
    <t>893871419</t>
  </si>
  <si>
    <t>DS101 .Q63 v.28</t>
  </si>
  <si>
    <t>0                      DS 0101000Q  63                                                      v.28</t>
  </si>
  <si>
    <t>The early Islamic monuments of al-Ḥaram al-Sharīf : an iconographic study / Myriam Rosen-Ayalon.</t>
  </si>
  <si>
    <t>V. 28</t>
  </si>
  <si>
    <t>Rosen-Ayalon, Myriam.</t>
  </si>
  <si>
    <t>Jerusalem, Israel : Institute of Archaeology, Hebrew University of Jerusalem, 1989.</t>
  </si>
  <si>
    <t>1989</t>
  </si>
  <si>
    <t>Qedem, 0333-5844 ; 28</t>
  </si>
  <si>
    <t>1999-11-17</t>
  </si>
  <si>
    <t>1999-04-26</t>
  </si>
  <si>
    <t>365308790:eng</t>
  </si>
  <si>
    <t>20253929</t>
  </si>
  <si>
    <t>991001552769702656</t>
  </si>
  <si>
    <t>2263587630002656</t>
  </si>
  <si>
    <t>32285003556106</t>
  </si>
  <si>
    <t>893690682</t>
  </si>
  <si>
    <t>DS101 .Q63 v.29</t>
  </si>
  <si>
    <t>0                      DS 0101000Q  63                                                      v.29</t>
  </si>
  <si>
    <t>Excavations in the south of the Temple Mount : the Ophel of Biblical Jerusalem / Eilat Mazar and Benjamin Mazar ; with appendices by Yonatan Nadelman ... [et al.].</t>
  </si>
  <si>
    <t>V. 29</t>
  </si>
  <si>
    <t>Mazar, Eilat.</t>
  </si>
  <si>
    <t>[Jerusalem, Israel] : Institute of Archaeology, the Hebrew University of Jerusalem, 1989.</t>
  </si>
  <si>
    <t>Qedem, 0333-5844 ; 29</t>
  </si>
  <si>
    <t>365322336:eng</t>
  </si>
  <si>
    <t>20984647</t>
  </si>
  <si>
    <t>991001636949702656</t>
  </si>
  <si>
    <t>2271277150002656</t>
  </si>
  <si>
    <t>32285002881794</t>
  </si>
  <si>
    <t>893244263</t>
  </si>
  <si>
    <t>DS101 .Q63 v.6</t>
  </si>
  <si>
    <t>0                      DS 0101000Q  63                                                      v.6</t>
  </si>
  <si>
    <t>The inscriptions of Wadi Haggag, Sinai / Avraham Negev.</t>
  </si>
  <si>
    <t>V. 6</t>
  </si>
  <si>
    <t>Negev, Avraham.</t>
  </si>
  <si>
    <t>Jerusalem : Institute of Archaeology, Hebrew University of Jerusalem : Israel Exploration Society [distributor], 1977.</t>
  </si>
  <si>
    <t>1977</t>
  </si>
  <si>
    <t>Publications of the Institute of Archaeology, the Hebrew University of Jerusalem</t>
  </si>
  <si>
    <t>2006-03-09</t>
  </si>
  <si>
    <t>10032526962:eng</t>
  </si>
  <si>
    <t>3590795</t>
  </si>
  <si>
    <t>991004469999702656</t>
  </si>
  <si>
    <t>2264098620002656</t>
  </si>
  <si>
    <t>32285003555983</t>
  </si>
  <si>
    <t>893247613</t>
  </si>
  <si>
    <t>DS102 .J45 1996</t>
  </si>
  <si>
    <t>0                      DS 0102000J  45          1996</t>
  </si>
  <si>
    <t>Jewish life and thought among Greeks and Romans : primary readings / edited and introduced by Louis H. Feldman and Meyer Reinhold.</t>
  </si>
  <si>
    <t>Minneapolis : Fortress Press, c1996.</t>
  </si>
  <si>
    <t>1996</t>
  </si>
  <si>
    <t>mnu</t>
  </si>
  <si>
    <t>2004-12-16</t>
  </si>
  <si>
    <t>1997-09-04</t>
  </si>
  <si>
    <t>802686177:eng</t>
  </si>
  <si>
    <t>34894341</t>
  </si>
  <si>
    <t>991002667719702656</t>
  </si>
  <si>
    <t>2269270830002656</t>
  </si>
  <si>
    <t>9780800629267</t>
  </si>
  <si>
    <t>32285003003281</t>
  </si>
  <si>
    <t>893415495</t>
  </si>
  <si>
    <t>DS102 .K57 1978</t>
  </si>
  <si>
    <t>0                      DS 0102000K  57          1978</t>
  </si>
  <si>
    <t>Letters of Jews through the ages : from Biblical times to the middle of the eighteenth century / with an introd., biographical notes and historical comments by Franz Kobler. --</t>
  </si>
  <si>
    <t>V.2</t>
  </si>
  <si>
    <t>Kobler, Franz, 1882-1965.</t>
  </si>
  <si>
    <t>New York : East and West Library, 1978, c1952.</t>
  </si>
  <si>
    <t>Paperback ed. --</t>
  </si>
  <si>
    <t>nyu</t>
  </si>
  <si>
    <t>2007-08-14</t>
  </si>
  <si>
    <t>2010-04-23</t>
  </si>
  <si>
    <t>836706032:eng</t>
  </si>
  <si>
    <t>11235229</t>
  </si>
  <si>
    <t>991004672889702656</t>
  </si>
  <si>
    <t>2268983150002656</t>
  </si>
  <si>
    <t>32285000292465</t>
  </si>
  <si>
    <t>893513537</t>
  </si>
  <si>
    <t>V.1</t>
  </si>
  <si>
    <t>32285000292457</t>
  </si>
  <si>
    <t>893500838</t>
  </si>
  <si>
    <t>DS102.4 .F5 1960</t>
  </si>
  <si>
    <t>0                      DS 0102400F  5           1960</t>
  </si>
  <si>
    <t>The Jews: their history, culture, and religion.</t>
  </si>
  <si>
    <t>Finkelstein, Louis, 1895-1991 editor.</t>
  </si>
  <si>
    <t>New York, Harper [1960]</t>
  </si>
  <si>
    <t>1960</t>
  </si>
  <si>
    <t>3d ed.</t>
  </si>
  <si>
    <t>2000-09-09</t>
  </si>
  <si>
    <t>2000-09-12</t>
  </si>
  <si>
    <t>1997-02-25</t>
  </si>
  <si>
    <t>350721705:eng</t>
  </si>
  <si>
    <t>398070</t>
  </si>
  <si>
    <t>991002679689702656</t>
  </si>
  <si>
    <t>2257289940002656</t>
  </si>
  <si>
    <t>32285002460623</t>
  </si>
  <si>
    <t>893622589</t>
  </si>
  <si>
    <t>32285002460631</t>
  </si>
  <si>
    <t>893610137</t>
  </si>
  <si>
    <t>DS102.4 .J3</t>
  </si>
  <si>
    <t>0                      DS 0102400J  3</t>
  </si>
  <si>
    <t>Jewish heritage reader. Selected, with introd., by Morris Adler. Lily Edelman, editor.</t>
  </si>
  <si>
    <t>Jewish heritage.</t>
  </si>
  <si>
    <t>New York, Taplinger Pub. Co. [1965]</t>
  </si>
  <si>
    <t>1965</t>
  </si>
  <si>
    <t>2000-09-26</t>
  </si>
  <si>
    <t>1806463786:eng</t>
  </si>
  <si>
    <t>269722</t>
  </si>
  <si>
    <t>991002129759702656</t>
  </si>
  <si>
    <t>2267519950002656</t>
  </si>
  <si>
    <t>32285002460649</t>
  </si>
  <si>
    <t>893697386</t>
  </si>
  <si>
    <t>DS102.4 .S24</t>
  </si>
  <si>
    <t>0                      DS 0102400S  24</t>
  </si>
  <si>
    <t>Salo Wittmayer Baron jubilee volume on the occasion of his eightieth birthday / [Saul Lieberman, editor, Arthur Hyman, associate editor].</t>
  </si>
  <si>
    <t>Jerusalem : American Academy for Jewish Research ; New York : distributed by Columbia University Press, 1974 [i.e. 1975]</t>
  </si>
  <si>
    <t>1975</t>
  </si>
  <si>
    <t>1992-02-12</t>
  </si>
  <si>
    <t>1996-01-18</t>
  </si>
  <si>
    <t>2008-07-01</t>
  </si>
  <si>
    <t>2334930:eng</t>
  </si>
  <si>
    <t>1466317</t>
  </si>
  <si>
    <t>991003769139702656</t>
  </si>
  <si>
    <t>2258393180002656</t>
  </si>
  <si>
    <t>32285000292507</t>
  </si>
  <si>
    <t>893435419</t>
  </si>
  <si>
    <t>V. 3</t>
  </si>
  <si>
    <t>32285005447627</t>
  </si>
  <si>
    <t>893441709</t>
  </si>
  <si>
    <t>32285000292515</t>
  </si>
  <si>
    <t>893429191</t>
  </si>
  <si>
    <t>DS102.8 .J6</t>
  </si>
  <si>
    <t>0                      DS 0102800J  6</t>
  </si>
  <si>
    <t>The Jewish encyclopedia; a descriptive record of the history, religion, literature, and customs of the Jewish people from the earliest times to the present day; prepared ... under the direction of ... Cyrus Adler [and others] Isidore Singer ... managing editor ...</t>
  </si>
  <si>
    <t>V.3</t>
  </si>
  <si>
    <t>New York, London, Funk &amp; Wagnalls Company, 1901-06.</t>
  </si>
  <si>
    <t>1901</t>
  </si>
  <si>
    <t>2006-01-25</t>
  </si>
  <si>
    <t>879922079:eng</t>
  </si>
  <si>
    <t>269638</t>
  </si>
  <si>
    <t>991003473169702656</t>
  </si>
  <si>
    <t>2256390550002656</t>
  </si>
  <si>
    <t>32285002460680</t>
  </si>
  <si>
    <t>893598607</t>
  </si>
  <si>
    <t>V.11</t>
  </si>
  <si>
    <t>32285002460763</t>
  </si>
  <si>
    <t>893611073</t>
  </si>
  <si>
    <t>32285002460664</t>
  </si>
  <si>
    <t>893623514</t>
  </si>
  <si>
    <t>V.7</t>
  </si>
  <si>
    <t>32285002460722</t>
  </si>
  <si>
    <t>893592548</t>
  </si>
  <si>
    <t>V.4</t>
  </si>
  <si>
    <t>32285002460698</t>
  </si>
  <si>
    <t>893611074</t>
  </si>
  <si>
    <t>V.12</t>
  </si>
  <si>
    <t>32285002460771</t>
  </si>
  <si>
    <t>893598608</t>
  </si>
  <si>
    <t>32285002460672</t>
  </si>
  <si>
    <t>893592550</t>
  </si>
  <si>
    <t>V.8</t>
  </si>
  <si>
    <t>1997-08-04</t>
  </si>
  <si>
    <t>32285002460730</t>
  </si>
  <si>
    <t>893592547</t>
  </si>
  <si>
    <t>V.5</t>
  </si>
  <si>
    <t>32285002460706</t>
  </si>
  <si>
    <t>893592546</t>
  </si>
  <si>
    <t>V.10</t>
  </si>
  <si>
    <t>32285002460755</t>
  </si>
  <si>
    <t>893623513</t>
  </si>
  <si>
    <t>32285002460748</t>
  </si>
  <si>
    <t>893611075</t>
  </si>
  <si>
    <t>V.6</t>
  </si>
  <si>
    <t>32285002460714</t>
  </si>
  <si>
    <t>893592549</t>
  </si>
  <si>
    <t>DS102.9 .F4 1959a</t>
  </si>
  <si>
    <t>0                      DS 0102900F  4           1959a</t>
  </si>
  <si>
    <t>World Jewry today.</t>
  </si>
  <si>
    <t>Federbusch, Simon, 1892-1969.</t>
  </si>
  <si>
    <t>New York, T. Yoseloff [1959]</t>
  </si>
  <si>
    <t>1959</t>
  </si>
  <si>
    <t>2002-03-24</t>
  </si>
  <si>
    <t>1544689:eng</t>
  </si>
  <si>
    <t>397619</t>
  </si>
  <si>
    <t>991002678269702656</t>
  </si>
  <si>
    <t>2261655220002656</t>
  </si>
  <si>
    <t>32285002460789</t>
  </si>
  <si>
    <t>893716769</t>
  </si>
  <si>
    <t>DS102.95 .C85 2002</t>
  </si>
  <si>
    <t>0                      DS 0102950C  85          2002</t>
  </si>
  <si>
    <t>Cultures of the Jews : a new history / edited with an introduction by David Biale.</t>
  </si>
  <si>
    <t>New York : Schocken Books, 2002</t>
  </si>
  <si>
    <t>2002</t>
  </si>
  <si>
    <t>1st ed.</t>
  </si>
  <si>
    <t>2009-10-27</t>
  </si>
  <si>
    <t>2002-11-04</t>
  </si>
  <si>
    <t>793896940:eng</t>
  </si>
  <si>
    <t>49226067</t>
  </si>
  <si>
    <t>991003922109702656</t>
  </si>
  <si>
    <t>2262540360002656</t>
  </si>
  <si>
    <t>9780805241310</t>
  </si>
  <si>
    <t>32285004659610</t>
  </si>
  <si>
    <t>893888106</t>
  </si>
  <si>
    <t>DS102.95 .W65 1987</t>
  </si>
  <si>
    <t>0                      DS 0102950W  65          1987</t>
  </si>
  <si>
    <t>Israel : polity, society, economy, 1882-1986 : an introductory handbook / Michael Wolffsohn ; translated by Douglas Bokovoy.</t>
  </si>
  <si>
    <t>Wolffsohn, Michael.</t>
  </si>
  <si>
    <t>Atlantic Highlands, NJ : Humanities Press International, 1987.</t>
  </si>
  <si>
    <t>1987</t>
  </si>
  <si>
    <t>nju</t>
  </si>
  <si>
    <t>1995-04-10</t>
  </si>
  <si>
    <t>5481505:eng</t>
  </si>
  <si>
    <t>15485690</t>
  </si>
  <si>
    <t>991001026249702656</t>
  </si>
  <si>
    <t>2272187520002656</t>
  </si>
  <si>
    <t>9780391035713</t>
  </si>
  <si>
    <t>32285000292556</t>
  </si>
  <si>
    <t>893791097</t>
  </si>
  <si>
    <t>DS103 .H57 1976</t>
  </si>
  <si>
    <t>0                      DS 0103000H  57          1976</t>
  </si>
  <si>
    <t>Guide to the Holy Land / Eugene Hoade.</t>
  </si>
  <si>
    <t>Hoade, Eugene.</t>
  </si>
  <si>
    <t>Jerusalem : Franciscan Printing Press, [1976].</t>
  </si>
  <si>
    <t>1976</t>
  </si>
  <si>
    <t>8th ed.</t>
  </si>
  <si>
    <t>1993-03-02</t>
  </si>
  <si>
    <t>1769126:eng</t>
  </si>
  <si>
    <t>3432577</t>
  </si>
  <si>
    <t>991004432929702656</t>
  </si>
  <si>
    <t>2265367950002656</t>
  </si>
  <si>
    <t>32285000292564</t>
  </si>
  <si>
    <t>893247578</t>
  </si>
  <si>
    <t>DS103 .H63 1999</t>
  </si>
  <si>
    <t>0                      DS 0103000H  63          1999</t>
  </si>
  <si>
    <t>A guide to the lands of the Bible / Leslie J. Hoppe.</t>
  </si>
  <si>
    <t>Hoppe, Leslie J.</t>
  </si>
  <si>
    <t>Collegeville, Minn. : Liturgical Press, c1999.</t>
  </si>
  <si>
    <t>1999</t>
  </si>
  <si>
    <t>2005-09-26</t>
  </si>
  <si>
    <t>1999-10-07</t>
  </si>
  <si>
    <t>41501348:eng</t>
  </si>
  <si>
    <t>39655275</t>
  </si>
  <si>
    <t>991002963749702656</t>
  </si>
  <si>
    <t>2265377880002656</t>
  </si>
  <si>
    <t>9780814658864</t>
  </si>
  <si>
    <t>32285003593976</t>
  </si>
  <si>
    <t>893616825</t>
  </si>
  <si>
    <t>DS103 .K47 1985</t>
  </si>
  <si>
    <t>0                      DS 0103000K  47          1985</t>
  </si>
  <si>
    <t>Treasures of the Holy Land : a visit to the places of Christian origins / Veselin and Lydia W. Kesich ; illustrations by June Magaziner.</t>
  </si>
  <si>
    <t>Kesich, Veselin, 1921-2012.</t>
  </si>
  <si>
    <t>New York : St. Vladimir's Seminary Press, 1985.</t>
  </si>
  <si>
    <t>1985</t>
  </si>
  <si>
    <t>2000-04-29</t>
  </si>
  <si>
    <t>143958847:eng</t>
  </si>
  <si>
    <t>12419368</t>
  </si>
  <si>
    <t>991000683669702656</t>
  </si>
  <si>
    <t>2262105180002656</t>
  </si>
  <si>
    <t>9780881410457</t>
  </si>
  <si>
    <t>32285000292572</t>
  </si>
  <si>
    <t>893425940</t>
  </si>
  <si>
    <t>DS103 .K53 1987</t>
  </si>
  <si>
    <t>0                      DS 0103000K  53          1987</t>
  </si>
  <si>
    <t>A New Testament guide to the Holy Land / John J. Kilgallen.</t>
  </si>
  <si>
    <t>Kilgallen, John J.</t>
  </si>
  <si>
    <t>Chicago, Ill. : Loyola University Press, c1987.</t>
  </si>
  <si>
    <t>ilu</t>
  </si>
  <si>
    <t>2004-08-31</t>
  </si>
  <si>
    <t>629990:eng</t>
  </si>
  <si>
    <t>15519303</t>
  </si>
  <si>
    <t>991001031819702656</t>
  </si>
  <si>
    <t>2265171460002656</t>
  </si>
  <si>
    <t>9780829405439</t>
  </si>
  <si>
    <t>32285000292580</t>
  </si>
  <si>
    <t>893426264</t>
  </si>
  <si>
    <t>DS103 .K53 1998</t>
  </si>
  <si>
    <t>0                      DS 0103000K  53          1998</t>
  </si>
  <si>
    <t>Chicago, Ill. : Jesuit Way, c1998.</t>
  </si>
  <si>
    <t>1998</t>
  </si>
  <si>
    <t>2nd ed.</t>
  </si>
  <si>
    <t>2001-08-07</t>
  </si>
  <si>
    <t>38130547</t>
  </si>
  <si>
    <t>991003592579702656</t>
  </si>
  <si>
    <t>2262259870002656</t>
  </si>
  <si>
    <t>9780829410419</t>
  </si>
  <si>
    <t>32285004376041</t>
  </si>
  <si>
    <t>893793777</t>
  </si>
  <si>
    <t>DS103 .M54 1982</t>
  </si>
  <si>
    <t>0                      DS 0103000M  54          1982</t>
  </si>
  <si>
    <t>Introducing the Holy Land : a guidebook for first-time visitors / by J. Maxwell Miller.</t>
  </si>
  <si>
    <t>Miller, J. Maxwell (James Maxwell), 1937-</t>
  </si>
  <si>
    <t>Macon, Ga. : Mercer University Press, c1982.</t>
  </si>
  <si>
    <t>gau</t>
  </si>
  <si>
    <t>1993-03-31</t>
  </si>
  <si>
    <t>836627013:eng</t>
  </si>
  <si>
    <t>8785650</t>
  </si>
  <si>
    <t>991000071979702656</t>
  </si>
  <si>
    <t>2266925610002656</t>
  </si>
  <si>
    <t>9780865540347</t>
  </si>
  <si>
    <t>32285001499507</t>
  </si>
  <si>
    <t>893708071</t>
  </si>
  <si>
    <t>DS103 .P451 1996</t>
  </si>
  <si>
    <t>0                      DS 0103000P  451         1996</t>
  </si>
  <si>
    <t>Pilgrims &amp; travelers to the Holy Land / Bryan F. Le Beau, Menachem Mor, editors.</t>
  </si>
  <si>
    <t>Philip M. and Ethel Klutznick Chair in Jewish Civilization. Symposium (7th : 1994 : Creighton University)</t>
  </si>
  <si>
    <t>Omaha, Neb. : Creighton University Press, c1996.</t>
  </si>
  <si>
    <t>nbu</t>
  </si>
  <si>
    <t>Studies in Jewish civilization ; 7</t>
  </si>
  <si>
    <t>2000-02-27</t>
  </si>
  <si>
    <t>1996-08-22</t>
  </si>
  <si>
    <t>1067876:eng</t>
  </si>
  <si>
    <t>34598647</t>
  </si>
  <si>
    <t>991002643729702656</t>
  </si>
  <si>
    <t>2268671240002656</t>
  </si>
  <si>
    <t>9781881871156</t>
  </si>
  <si>
    <t>32285002197803</t>
  </si>
  <si>
    <t>893434108</t>
  </si>
  <si>
    <t>DS103.5 .A9 1976</t>
  </si>
  <si>
    <t>0                      DS 0103500A  9           1976</t>
  </si>
  <si>
    <t>Gazetteer of Roman Palestine / Michael Avi-Yonah.</t>
  </si>
  <si>
    <t>Avi-Yonah, Michael, 1904-1974.</t>
  </si>
  <si>
    <t>[Jerusalem] : Institute of Archaeology, Hebrew University of Jerusalem, 1976.</t>
  </si>
  <si>
    <t>Qedem ; 5</t>
  </si>
  <si>
    <t>1992-07-27</t>
  </si>
  <si>
    <t>13582483:eng</t>
  </si>
  <si>
    <t>4002993</t>
  </si>
  <si>
    <t>991004561539702656</t>
  </si>
  <si>
    <t>2268096320002656</t>
  </si>
  <si>
    <t>32285000292598</t>
  </si>
  <si>
    <t>893722497</t>
  </si>
  <si>
    <t>DS103.5 .T3 1994</t>
  </si>
  <si>
    <t>0                      DS 0103500T  3           1994</t>
  </si>
  <si>
    <t>Tabula Imperii Romani Iudaea-Palestina: Eretz Israel in the Hellenistic, Roman and Byzantine Periods ; maps and gazetteer / Yoram Tsafrir, Leah di Segni and Judith Green ; with contributions by Israel Roll and Tsvika Tsuk</t>
  </si>
  <si>
    <t>Jerusalem: The Israel Academy of Sciences and Humanities, 1994</t>
  </si>
  <si>
    <t>1994</t>
  </si>
  <si>
    <t>Publications of the Israel Academy of Sciences and Humanities. Section of Humanities</t>
  </si>
  <si>
    <t>1996-02-08</t>
  </si>
  <si>
    <t>1996-01-24</t>
  </si>
  <si>
    <t>39865675:eng</t>
  </si>
  <si>
    <t>35015373</t>
  </si>
  <si>
    <t>991002359299702656</t>
  </si>
  <si>
    <t>2265226350002656</t>
  </si>
  <si>
    <t>9789652081070</t>
  </si>
  <si>
    <t>32285002125820</t>
  </si>
  <si>
    <t>893892459</t>
  </si>
  <si>
    <t>DS104.3 .B349 1987</t>
  </si>
  <si>
    <t>0                      DS 0104300B  349         1987</t>
  </si>
  <si>
    <t>Basic biblical geography / Denis Baly.</t>
  </si>
  <si>
    <t>Baly, Denis.</t>
  </si>
  <si>
    <t>Philadelphia : Fortress Press, c1987.</t>
  </si>
  <si>
    <t>pau</t>
  </si>
  <si>
    <t>2005-04-25</t>
  </si>
  <si>
    <t>7679415:eng</t>
  </si>
  <si>
    <t>13642660</t>
  </si>
  <si>
    <t>991000853889702656</t>
  </si>
  <si>
    <t>2271841760002656</t>
  </si>
  <si>
    <t>9780800619220</t>
  </si>
  <si>
    <t>32285000292606</t>
  </si>
  <si>
    <t>893690097</t>
  </si>
  <si>
    <t>DS105 .P74</t>
  </si>
  <si>
    <t>0                      DS 0105000P  74</t>
  </si>
  <si>
    <t>Friar Felix at large : a fifteenth-century pilgrimage to the Holy Land.</t>
  </si>
  <si>
    <t>Prescott, H. F. M. (Hilda Frances Margaret), 1896-1972.</t>
  </si>
  <si>
    <t>New Haven : Yale University Press, 1950.</t>
  </si>
  <si>
    <t>1950</t>
  </si>
  <si>
    <t>ctu</t>
  </si>
  <si>
    <t>2000-04-24</t>
  </si>
  <si>
    <t>1991-09-17</t>
  </si>
  <si>
    <t>282947305:eng</t>
  </si>
  <si>
    <t>1356764</t>
  </si>
  <si>
    <t>991005358899702656</t>
  </si>
  <si>
    <t>2271864990002656</t>
  </si>
  <si>
    <t>32285000756626</t>
  </si>
  <si>
    <t>893501811</t>
  </si>
  <si>
    <t>DS105 .T4713 1986</t>
  </si>
  <si>
    <t>0                      DS 0105000T  4713        1986</t>
  </si>
  <si>
    <t>Guide to the Holy Land / Theoderich ; translated by Aubrey Stewart ; with new introduction, notes and bibliography by Ronald G. Musto.</t>
  </si>
  <si>
    <t>Theodericus, of Würzburg, active 1172.</t>
  </si>
  <si>
    <t>New York : Italica Press, c1986.</t>
  </si>
  <si>
    <t>1986</t>
  </si>
  <si>
    <t>2010-01-19</t>
  </si>
  <si>
    <t>9566209191:eng</t>
  </si>
  <si>
    <t>14931178</t>
  </si>
  <si>
    <t>991005350599702656</t>
  </si>
  <si>
    <t>2257080520002656</t>
  </si>
  <si>
    <t>9780934977036</t>
  </si>
  <si>
    <t>32285005558423</t>
  </si>
  <si>
    <t>893248766</t>
  </si>
  <si>
    <t>DS107.4 .H62 1969</t>
  </si>
  <si>
    <t>0                      DS 0107400H  62          1969</t>
  </si>
  <si>
    <t>Holy places : Jewish, Christian, and Muslim monuments in the Holy Land / [by] Christopher Hollis and Ronald Brownrigg.</t>
  </si>
  <si>
    <t>Hollis, Christopher, 1902-1977.</t>
  </si>
  <si>
    <t>New York : Praeger, [1969]</t>
  </si>
  <si>
    <t>1969</t>
  </si>
  <si>
    <t>2002-11-14</t>
  </si>
  <si>
    <t>1997-02-27</t>
  </si>
  <si>
    <t>1146657:eng</t>
  </si>
  <si>
    <t>24444</t>
  </si>
  <si>
    <t>991000060329702656</t>
  </si>
  <si>
    <t>2266723110002656</t>
  </si>
  <si>
    <t>32285002463023</t>
  </si>
  <si>
    <t>893437965</t>
  </si>
  <si>
    <t>DS107.4 .K7 1990</t>
  </si>
  <si>
    <t>0                      DS 0107400K  7           1990</t>
  </si>
  <si>
    <t>Auf den Spuren Jesu / Gerhard Kroll.</t>
  </si>
  <si>
    <t>Kroll, Gerhard.</t>
  </si>
  <si>
    <t>Leipzig : St. Benno-Verlag, 1990.</t>
  </si>
  <si>
    <t>1990</t>
  </si>
  <si>
    <t>11. Aufl.</t>
  </si>
  <si>
    <t>ger</t>
  </si>
  <si>
    <t xml:space="preserve">gw </t>
  </si>
  <si>
    <t>2004-10-08</t>
  </si>
  <si>
    <t>2000-09-19</t>
  </si>
  <si>
    <t>3825915:ger</t>
  </si>
  <si>
    <t>28812923</t>
  </si>
  <si>
    <t>991003292389702656</t>
  </si>
  <si>
    <t>2254946000002656</t>
  </si>
  <si>
    <t>9783746200507</t>
  </si>
  <si>
    <t>32285003773081</t>
  </si>
  <si>
    <t>893524644</t>
  </si>
  <si>
    <t>DS108.5 .E6</t>
  </si>
  <si>
    <t>0                      DS 0108500E  6</t>
  </si>
  <si>
    <t>A camera crusade through the Holy Land, by Dwight L. Elmendorf. One hundred illustrations from photographs by the author.</t>
  </si>
  <si>
    <t>Elmendorf, Dwight L. (Dwight Lathrop), 1859-1929.</t>
  </si>
  <si>
    <t>New York, C. Scribner's Sons, 1912.</t>
  </si>
  <si>
    <t>1912</t>
  </si>
  <si>
    <t xml:space="preserve">xx </t>
  </si>
  <si>
    <t>1997-03-17</t>
  </si>
  <si>
    <t>2024590:eng</t>
  </si>
  <si>
    <t>1070826</t>
  </si>
  <si>
    <t>991003514279702656</t>
  </si>
  <si>
    <t>2255918640002656</t>
  </si>
  <si>
    <t>32285002460946</t>
  </si>
  <si>
    <t>893330366</t>
  </si>
  <si>
    <t>DS108.5 .G24 1982</t>
  </si>
  <si>
    <t>0                      DS 0108500G  24          1982</t>
  </si>
  <si>
    <t>The glory of the Holy Land / Shlomo S. Gafni, A. van der Heyden.</t>
  </si>
  <si>
    <t>Gafni, Shlomo S., 1932-</t>
  </si>
  <si>
    <t>Cambridge [Cambridgeshire] ; New York : Cambridge University Press, c1982.</t>
  </si>
  <si>
    <t>enk</t>
  </si>
  <si>
    <t>1990-08-16</t>
  </si>
  <si>
    <t>10227160557:eng</t>
  </si>
  <si>
    <t>7875583</t>
  </si>
  <si>
    <t>991005171849702656</t>
  </si>
  <si>
    <t>2268287300002656</t>
  </si>
  <si>
    <t>9780521246125</t>
  </si>
  <si>
    <t>32285000274828</t>
  </si>
  <si>
    <t>893870645</t>
  </si>
  <si>
    <t>DS108.5 .K5</t>
  </si>
  <si>
    <t>0                      DS 0108500K  5</t>
  </si>
  <si>
    <t>The Catholic shrines of the Holy Land / by Paschal Kinsel and Leonard Henry; with photos. by Alfred Wagg.</t>
  </si>
  <si>
    <t>Kinsel, Paschal.</t>
  </si>
  <si>
    <t>New York : Farrar, Straus, and Young, [1951]</t>
  </si>
  <si>
    <t>1951</t>
  </si>
  <si>
    <t>2000-05-11</t>
  </si>
  <si>
    <t>1991-10-07</t>
  </si>
  <si>
    <t>1780083:eng</t>
  </si>
  <si>
    <t>736333</t>
  </si>
  <si>
    <t>991005356669702656</t>
  </si>
  <si>
    <t>2254831730002656</t>
  </si>
  <si>
    <t>32285000772219</t>
  </si>
  <si>
    <t>893236705</t>
  </si>
  <si>
    <t>DS108.9 .A6</t>
  </si>
  <si>
    <t>0                      DS 0108900A  6</t>
  </si>
  <si>
    <t>The archaeology of Palestine.</t>
  </si>
  <si>
    <t>Albright, William Foxwell, 1891-1971.</t>
  </si>
  <si>
    <t>Harmondsworth, Middlesex, Penguin Books [1949]</t>
  </si>
  <si>
    <t>1949</t>
  </si>
  <si>
    <t>Pelican books ; A199</t>
  </si>
  <si>
    <t>1998-02-10</t>
  </si>
  <si>
    <t>1732320:eng</t>
  </si>
  <si>
    <t>851400</t>
  </si>
  <si>
    <t>991003323039702656</t>
  </si>
  <si>
    <t>2265765650002656</t>
  </si>
  <si>
    <t>32285002460961</t>
  </si>
  <si>
    <t>893809938</t>
  </si>
  <si>
    <t>DS108.9 .B78 1983</t>
  </si>
  <si>
    <t>0                      DS 0108900B  78          1983</t>
  </si>
  <si>
    <t>Jesus and Paul : places they knew / by F.F. Bruce.</t>
  </si>
  <si>
    <t>Bruce, F. F. (Frederick Fyvie), 1910-1990.</t>
  </si>
  <si>
    <t>Nashville : T. Nelson Publishers, 1983.</t>
  </si>
  <si>
    <t>1983</t>
  </si>
  <si>
    <t>tnu</t>
  </si>
  <si>
    <t>325045550:eng</t>
  </si>
  <si>
    <t>10697135</t>
  </si>
  <si>
    <t>991000409539702656</t>
  </si>
  <si>
    <t>2270481540002656</t>
  </si>
  <si>
    <t>9780840752819</t>
  </si>
  <si>
    <t>32285000274836</t>
  </si>
  <si>
    <t>893796614</t>
  </si>
  <si>
    <t>DS108.9 .L3 1990</t>
  </si>
  <si>
    <t>0                      DS 0108900L  3           1990</t>
  </si>
  <si>
    <t>The Land that became Israel : studies in historical geography / edited by Ruth Kark ; [translated from the Hebrew by Michael Gordon].</t>
  </si>
  <si>
    <t>New Haven : Yale University Press ; Jerusalem : Magnes Press, Hebrew University, 1990.</t>
  </si>
  <si>
    <t>1997-02-04</t>
  </si>
  <si>
    <t>1990-10-13</t>
  </si>
  <si>
    <t>836876734:eng</t>
  </si>
  <si>
    <t>21287153</t>
  </si>
  <si>
    <t>991001714109702656</t>
  </si>
  <si>
    <t>2267759550002656</t>
  </si>
  <si>
    <t>9780300047189</t>
  </si>
  <si>
    <t>32285000310374</t>
  </si>
  <si>
    <t>893590576</t>
  </si>
  <si>
    <t>DS108.9 .O35 1991</t>
  </si>
  <si>
    <t>0                      DS 0108900O  35          1991</t>
  </si>
  <si>
    <t>Where Jesus walked : the land and culture of New Testament times / D. Kelly Ogden.</t>
  </si>
  <si>
    <t>Ogden, D. Kelly (Daniel Kelly), 1947-</t>
  </si>
  <si>
    <t>Salt Lake City, Utah : Deseret Book Co., c1991.</t>
  </si>
  <si>
    <t>1991</t>
  </si>
  <si>
    <t>utu</t>
  </si>
  <si>
    <t>2002-01-21</t>
  </si>
  <si>
    <t>1992-09-09</t>
  </si>
  <si>
    <t>9826919251:eng</t>
  </si>
  <si>
    <t>23254526</t>
  </si>
  <si>
    <t>991001853979702656</t>
  </si>
  <si>
    <t>2268766560002656</t>
  </si>
  <si>
    <t>9780875795300</t>
  </si>
  <si>
    <t>32285001286714</t>
  </si>
  <si>
    <t>893879242</t>
  </si>
  <si>
    <t>DS109 .A45 1994</t>
  </si>
  <si>
    <t>0                      DS 0109000A  45          1994</t>
  </si>
  <si>
    <t>Ancient Jerusalem revealed / edited by Hillel Geva ; [English version, Joseph Shadur].</t>
  </si>
  <si>
    <t>[Israel] : Israel Exploration Society, 1994.</t>
  </si>
  <si>
    <t>1151453683:eng</t>
  </si>
  <si>
    <t>31408640</t>
  </si>
  <si>
    <t>991002412469702656</t>
  </si>
  <si>
    <t>2267552320002656</t>
  </si>
  <si>
    <t>9789652210210</t>
  </si>
  <si>
    <t>32285002119328</t>
  </si>
  <si>
    <t>893786105</t>
  </si>
  <si>
    <t>DS109 .A74813 1983</t>
  </si>
  <si>
    <t>0                      DS 0109000A  74813       1983</t>
  </si>
  <si>
    <t>Discovering Jerusalem / by Nahman Avigad.</t>
  </si>
  <si>
    <t>Avigad, Nahman.</t>
  </si>
  <si>
    <t>Nashville : T. Nelson, [1983]</t>
  </si>
  <si>
    <t>2000-02-10</t>
  </si>
  <si>
    <t>4922255:eng</t>
  </si>
  <si>
    <t>9828514</t>
  </si>
  <si>
    <t>991000264969702656</t>
  </si>
  <si>
    <t>2269428520002656</t>
  </si>
  <si>
    <t>9780840752994</t>
  </si>
  <si>
    <t>32285000292663</t>
  </si>
  <si>
    <t>893701980</t>
  </si>
  <si>
    <t>DS109 .A95 1996, v...</t>
  </si>
  <si>
    <t>0                      DS 0109000A  95          1996                                        v...</t>
  </si>
  <si>
    <t>Jerusalem / Graeme Auld, Margreet Steiner.</t>
  </si>
  <si>
    <t>V. 1</t>
  </si>
  <si>
    <t>Auld, A. Graeme.</t>
  </si>
  <si>
    <t>Macon, Ga., USA : Mercer University Press, c1996-</t>
  </si>
  <si>
    <t>Cities of the Biblical World</t>
  </si>
  <si>
    <t>1997-10-21</t>
  </si>
  <si>
    <t>3943792013:eng</t>
  </si>
  <si>
    <t>35842717</t>
  </si>
  <si>
    <t>991002732489702656</t>
  </si>
  <si>
    <t>2268630480002656</t>
  </si>
  <si>
    <t>9780865545205</t>
  </si>
  <si>
    <t>32285003257150</t>
  </si>
  <si>
    <t>893530386</t>
  </si>
  <si>
    <t>DS109 .F74 1987</t>
  </si>
  <si>
    <t>0                      DS 0109000F  74          1987</t>
  </si>
  <si>
    <t>The beauty of Jerusalem and the holy places of the Gospels / G.S.P. Freeman-Grenville ; [illustrated by P. Giggle].</t>
  </si>
  <si>
    <t>Freeman-Grenville, G. S. P. (Greville Stewart Parker)</t>
  </si>
  <si>
    <t>New York : Continuum, 1987.</t>
  </si>
  <si>
    <t>1998-02-03</t>
  </si>
  <si>
    <t>223684112:eng</t>
  </si>
  <si>
    <t>15367128</t>
  </si>
  <si>
    <t>991001021449702656</t>
  </si>
  <si>
    <t>2260429310002656</t>
  </si>
  <si>
    <t>9780826403988</t>
  </si>
  <si>
    <t>32285000292671</t>
  </si>
  <si>
    <t>893683948</t>
  </si>
  <si>
    <t>DS109 .J44</t>
  </si>
  <si>
    <t>0                      DS 0109000J  44</t>
  </si>
  <si>
    <t>Jerusalem revealed : archaeology in the Holy City, 1968-1974 / editor, Y. Yadin, associate editor, E. Stern ; English translation and abridgement by R. Grafman.</t>
  </si>
  <si>
    <t>Jerusalem : Israel Exploration Society, 1975.</t>
  </si>
  <si>
    <t>793871675:eng</t>
  </si>
  <si>
    <t>1551923</t>
  </si>
  <si>
    <t>991003818619702656</t>
  </si>
  <si>
    <t>2265811030002656</t>
  </si>
  <si>
    <t>32285002460987</t>
  </si>
  <si>
    <t>893617806</t>
  </si>
  <si>
    <t>DS109 .J713 1958</t>
  </si>
  <si>
    <t>0                      DS 0109000J  713         1958</t>
  </si>
  <si>
    <t>Jerusalem. Translated by Charlotte Haldane.</t>
  </si>
  <si>
    <t>Join-Lambert, Michel.</t>
  </si>
  <si>
    <t>New York, F. Ungar Pub. Co. [c1958]</t>
  </si>
  <si>
    <t>1958</t>
  </si>
  <si>
    <t>Ancient cities and temples</t>
  </si>
  <si>
    <t>1996-08-02</t>
  </si>
  <si>
    <t>259251:eng</t>
  </si>
  <si>
    <t>2938802</t>
  </si>
  <si>
    <t>991004289589702656</t>
  </si>
  <si>
    <t>2261188320002656</t>
  </si>
  <si>
    <t>32285002209632</t>
  </si>
  <si>
    <t>893423623</t>
  </si>
  <si>
    <t>DS109 .K4</t>
  </si>
  <si>
    <t>0                      DS 0109000K  4</t>
  </si>
  <si>
    <t>Jerusalem; excavating 3000 years of history by Kathleen M. Kenyon.</t>
  </si>
  <si>
    <t>Kenyon, Kathleen M., 1906-1978.</t>
  </si>
  <si>
    <t>New York, McGraw-Hill [c1967]</t>
  </si>
  <si>
    <t>1967</t>
  </si>
  <si>
    <t>New aspects of archaeology</t>
  </si>
  <si>
    <t>2009-11-25</t>
  </si>
  <si>
    <t>2120946:eng</t>
  </si>
  <si>
    <t>1175670</t>
  </si>
  <si>
    <t>991003595959702656</t>
  </si>
  <si>
    <t>2271900210002656</t>
  </si>
  <si>
    <t>32285002461001</t>
  </si>
  <si>
    <t>893868602</t>
  </si>
  <si>
    <t>DS109 .M2</t>
  </si>
  <si>
    <t>0                      DS 0109000M  2</t>
  </si>
  <si>
    <t>Jerusalem, city of Jesus : an exploration of the traditions, writings, and remains of the Holy City from the time of Christ / text by Richard M. Mackowski ; photography by Garo Nalbandian.</t>
  </si>
  <si>
    <t>Mackowski, Richard M., 1929-</t>
  </si>
  <si>
    <t>Grand Rapids, Mich. : W. B. Eerdmans Pub. Co., c1980.</t>
  </si>
  <si>
    <t>1980</t>
  </si>
  <si>
    <t>miu</t>
  </si>
  <si>
    <t>1996-06-13</t>
  </si>
  <si>
    <t>180816152:eng</t>
  </si>
  <si>
    <t>5831287</t>
  </si>
  <si>
    <t>991004884839702656</t>
  </si>
  <si>
    <t>2263188250002656</t>
  </si>
  <si>
    <t>9780802835260</t>
  </si>
  <si>
    <t>32285000292689</t>
  </si>
  <si>
    <t>893532894</t>
  </si>
  <si>
    <t>DS109 .M3413 1971</t>
  </si>
  <si>
    <t>0                      DS 0109000M  3413        1971</t>
  </si>
  <si>
    <t>The excavations in the Old City of Jerusalem near the Temple Mount; preliminary report of the second and third seasons, 1969-1970, by B. Mazar. The Omayyad structures near the Temple Mount, by M. Ben-Dov.</t>
  </si>
  <si>
    <t>Mazar, Benjamin, 1906-1995.</t>
  </si>
  <si>
    <t>Jerusalem, Institute of Archaeology, Hebrew University, 1971.</t>
  </si>
  <si>
    <t>2008-01-17</t>
  </si>
  <si>
    <t>3857556356:eng</t>
  </si>
  <si>
    <t>621243</t>
  </si>
  <si>
    <t>991003064609702656</t>
  </si>
  <si>
    <t>2256513460002656</t>
  </si>
  <si>
    <t>32285002461019</t>
  </si>
  <si>
    <t>893434615</t>
  </si>
  <si>
    <t>DS109 .T55 1976</t>
  </si>
  <si>
    <t>0                      DS 0109000T  55          1976</t>
  </si>
  <si>
    <t>Jerusalem / by Colin Thubron and the editors of Time-Life Books ; photographs by Jay Maisel.</t>
  </si>
  <si>
    <t>Thubron, Colin, 1939-</t>
  </si>
  <si>
    <t>Amsterdam : Time-Life Books, c1976.</t>
  </si>
  <si>
    <t xml:space="preserve">ne </t>
  </si>
  <si>
    <t>The Great cities</t>
  </si>
  <si>
    <t>2008-06-11</t>
  </si>
  <si>
    <t>467392:eng</t>
  </si>
  <si>
    <t>2295439</t>
  </si>
  <si>
    <t>991005233969702656</t>
  </si>
  <si>
    <t>2264658560002656</t>
  </si>
  <si>
    <t>32285005444806</t>
  </si>
  <si>
    <t>893353779</t>
  </si>
  <si>
    <t>DS109.15 .E46 1995</t>
  </si>
  <si>
    <t>0                      DS 0109150E  46          1995</t>
  </si>
  <si>
    <t>Jerusalem, battlegrounds of memory / Amos Elon.</t>
  </si>
  <si>
    <t>Elon, Amos.</t>
  </si>
  <si>
    <t>New York : Kodansha International, 1995.</t>
  </si>
  <si>
    <t>1995</t>
  </si>
  <si>
    <t>Kodansha globe</t>
  </si>
  <si>
    <t>2010-12-09</t>
  </si>
  <si>
    <t>3901850973:eng</t>
  </si>
  <si>
    <t>32664949</t>
  </si>
  <si>
    <t>991000393669702656</t>
  </si>
  <si>
    <t>2265655380002656</t>
  </si>
  <si>
    <t>9781568360997</t>
  </si>
  <si>
    <t>32285005650279</t>
  </si>
  <si>
    <t>893620437</t>
  </si>
  <si>
    <t>DS109.15 .G66 2008</t>
  </si>
  <si>
    <t>0                      DS 0109150G  66          2008</t>
  </si>
  <si>
    <t>Jerusalem : city of longing / Simon Goldhill.</t>
  </si>
  <si>
    <t>Goldhill, Simon.</t>
  </si>
  <si>
    <t>Cambridge, Mass. : Belknap Press of Harvard University Press, 2008.</t>
  </si>
  <si>
    <t>2008</t>
  </si>
  <si>
    <t>mau</t>
  </si>
  <si>
    <t>2010-04-07</t>
  </si>
  <si>
    <t>2009-04-29</t>
  </si>
  <si>
    <t>801793287:eng</t>
  </si>
  <si>
    <t>179801166</t>
  </si>
  <si>
    <t>991005311169702656</t>
  </si>
  <si>
    <t>2256998190002656</t>
  </si>
  <si>
    <t>9780674028661</t>
  </si>
  <si>
    <t>32285005519946</t>
  </si>
  <si>
    <t>893443745</t>
  </si>
  <si>
    <t>DS109.2 .A953 1976</t>
  </si>
  <si>
    <t>0                      DS 0109200A  953         1976</t>
  </si>
  <si>
    <t>Jerusalem the Holy / Michael Avi-Yonah ; photography, Werner Braun.</t>
  </si>
  <si>
    <t>New York : Schocken Books, 1976, [c1973]</t>
  </si>
  <si>
    <t>2196781:eng</t>
  </si>
  <si>
    <t>2082704</t>
  </si>
  <si>
    <t>991004005139702656</t>
  </si>
  <si>
    <t>2259570610002656</t>
  </si>
  <si>
    <t>9780805236040</t>
  </si>
  <si>
    <t>32285002461035</t>
  </si>
  <si>
    <t>893512676</t>
  </si>
  <si>
    <t>DS109.2 .U74 1971</t>
  </si>
  <si>
    <t>0                      DS 0109200U  74          1971</t>
  </si>
  <si>
    <t>Jerusalem, song of songs / Jill and Leon Uris.</t>
  </si>
  <si>
    <t>Uris, Jill, 1947-</t>
  </si>
  <si>
    <t>Garden City, N.Y. : Doubleday, 1981.</t>
  </si>
  <si>
    <t>1981</t>
  </si>
  <si>
    <t>4907547:eng</t>
  </si>
  <si>
    <t>6863077</t>
  </si>
  <si>
    <t>991005048819702656</t>
  </si>
  <si>
    <t>2271831350002656</t>
  </si>
  <si>
    <t>9780385148634</t>
  </si>
  <si>
    <t>32285000292721</t>
  </si>
  <si>
    <t>893443318</t>
  </si>
  <si>
    <t>DS109.25 .U8413 1993</t>
  </si>
  <si>
    <t>0                      DS 0109250U  8413        1993</t>
  </si>
  <si>
    <t>The village of Silwan : the necropolis from the period of the Judean kingdom / David Ussishkin ; [English translation, Inna Pommerantz].</t>
  </si>
  <si>
    <t>Ussishkin, David.</t>
  </si>
  <si>
    <t>Jerusalem : Israel Exploration Society : Yad Izhak Ben-Zvi, 1993.</t>
  </si>
  <si>
    <t>1993</t>
  </si>
  <si>
    <t>2003-11-26</t>
  </si>
  <si>
    <t>1997-07-01</t>
  </si>
  <si>
    <t>31005908:eng</t>
  </si>
  <si>
    <t>28810281</t>
  </si>
  <si>
    <t>991002235349702656</t>
  </si>
  <si>
    <t>2257133670002656</t>
  </si>
  <si>
    <t>9789652210180</t>
  </si>
  <si>
    <t>32285002754728</t>
  </si>
  <si>
    <t>893445044</t>
  </si>
  <si>
    <t>DS109.28 .B4613 1985</t>
  </si>
  <si>
    <t>0                      DS 0109280B  4613        1985</t>
  </si>
  <si>
    <t>In the shadow of the Temple : the discovery of ancient Jerusalem / Meir Ben-Dov ; translated from the Hebrew by Ina Friedman.</t>
  </si>
  <si>
    <t>Ben-Dov, M.</t>
  </si>
  <si>
    <t>New York : Harper &amp; Row, c1985.</t>
  </si>
  <si>
    <t>1st U.S. ed.</t>
  </si>
  <si>
    <t>2008-11-13</t>
  </si>
  <si>
    <t>4234133:eng</t>
  </si>
  <si>
    <t>11650373</t>
  </si>
  <si>
    <t>991000570979702656</t>
  </si>
  <si>
    <t>2269771010002656</t>
  </si>
  <si>
    <t>9780060153625</t>
  </si>
  <si>
    <t>32285000274851</t>
  </si>
  <si>
    <t>893689820</t>
  </si>
  <si>
    <t>DS109.3 .P313</t>
  </si>
  <si>
    <t>0                      DS 0109300P  313</t>
  </si>
  <si>
    <t>The Temple of Jerusalem. [Translated by B. E. Hooke.]</t>
  </si>
  <si>
    <t>Parrot, André, 1901-1980.</t>
  </si>
  <si>
    <t>New York, Philosophical Library [1955]</t>
  </si>
  <si>
    <t>1955</t>
  </si>
  <si>
    <t>Studies in biblical archaeology ; no. 5</t>
  </si>
  <si>
    <t>1997-06-24</t>
  </si>
  <si>
    <t>422756923:eng</t>
  </si>
  <si>
    <t>681991</t>
  </si>
  <si>
    <t>991003140419702656</t>
  </si>
  <si>
    <t>2266547210002656</t>
  </si>
  <si>
    <t>32285002831138</t>
  </si>
  <si>
    <t>893422214</t>
  </si>
  <si>
    <t>DS109.3 .S84 2006</t>
  </si>
  <si>
    <t>0                      DS 0109300S  84          2006</t>
  </si>
  <si>
    <t>Temples, tithes, and taxes : the temple and the economic life of ancient Israel / Marty E. Stevens.</t>
  </si>
  <si>
    <t>Stevens, Marty E., 1953-</t>
  </si>
  <si>
    <t>Peabody, Mass. : Hendrickson Publishers, c2006.</t>
  </si>
  <si>
    <t>2006</t>
  </si>
  <si>
    <t>2007-04-10</t>
  </si>
  <si>
    <t>51760689:eng</t>
  </si>
  <si>
    <t>68416829</t>
  </si>
  <si>
    <t>991005070499702656</t>
  </si>
  <si>
    <t>2255520800002656</t>
  </si>
  <si>
    <t>9781565639348</t>
  </si>
  <si>
    <t>32285005286017</t>
  </si>
  <si>
    <t>893248304</t>
  </si>
  <si>
    <t>DS109.3 .T46 1991</t>
  </si>
  <si>
    <t>0                      DS 0109300T  46          1991</t>
  </si>
  <si>
    <t>Templum Amicitiae : essays on the second temple presented to Ernst Bammel / edited by William Horbury.</t>
  </si>
  <si>
    <t>Sheffield : JSOT Press, 1991.</t>
  </si>
  <si>
    <t>Journal for the study of the New Testament. Supplement series ; v. 48</t>
  </si>
  <si>
    <t>2002-02-21</t>
  </si>
  <si>
    <t>1995-05-08</t>
  </si>
  <si>
    <t>808785395:eng</t>
  </si>
  <si>
    <t>22706797</t>
  </si>
  <si>
    <t>991001805949702656</t>
  </si>
  <si>
    <t>2259680140002656</t>
  </si>
  <si>
    <t>9781850752738</t>
  </si>
  <si>
    <t>32285002038510</t>
  </si>
  <si>
    <t>893590661</t>
  </si>
  <si>
    <t>DS109.4 .B53 1999</t>
  </si>
  <si>
    <t>0                      DS 0109400B  53          1999</t>
  </si>
  <si>
    <t>The tomb of Christ / Martin Biddle.</t>
  </si>
  <si>
    <t>Biddle, Martin.</t>
  </si>
  <si>
    <t>Stroud, Gloucestershire : Sutton Pub., 1999.</t>
  </si>
  <si>
    <t>2008-05-20</t>
  </si>
  <si>
    <t>2725910:eng</t>
  </si>
  <si>
    <t>41244452</t>
  </si>
  <si>
    <t>991005223539702656</t>
  </si>
  <si>
    <t>2261529670002656</t>
  </si>
  <si>
    <t>9780750919265</t>
  </si>
  <si>
    <t>32285005409742</t>
  </si>
  <si>
    <t>893607032</t>
  </si>
  <si>
    <t>DS109.4 .C64 2008</t>
  </si>
  <si>
    <t>0                      DS 0109400C  64          2008</t>
  </si>
  <si>
    <t>Saving the Holy Sepulchre : how rival Christians came together to rescue their holiest shrine / Raymond Cohen.</t>
  </si>
  <si>
    <t>Cohen, Raymond, 1947-</t>
  </si>
  <si>
    <t>Oxford ; New York : Oxford University Press, 2008.</t>
  </si>
  <si>
    <t>2008-10-14</t>
  </si>
  <si>
    <t>865850298:eng</t>
  </si>
  <si>
    <t>167495331</t>
  </si>
  <si>
    <t>991005268259702656</t>
  </si>
  <si>
    <t>2257854010002656</t>
  </si>
  <si>
    <t>9780195189667</t>
  </si>
  <si>
    <t>32285005463772</t>
  </si>
  <si>
    <t>893533469</t>
  </si>
  <si>
    <t>DS109.8.J45 J49 2000</t>
  </si>
  <si>
    <t>0                      DS 0109800J  45                 J  49          2000</t>
  </si>
  <si>
    <t>Jewish Quarter excavations in the Old City of Jerusalem : conducted by Nahman Avigad, 1969-1982 / editor, Hillel Geva.</t>
  </si>
  <si>
    <t>Jerusalem : Israel Exploration Society : Institute of Archaeology, Hebrew University of Jerusalem, 2000-</t>
  </si>
  <si>
    <t>2000</t>
  </si>
  <si>
    <t>2007-03-25</t>
  </si>
  <si>
    <t>2002-03-27</t>
  </si>
  <si>
    <t>3768564586:eng</t>
  </si>
  <si>
    <t>45346108</t>
  </si>
  <si>
    <t>991003648829702656</t>
  </si>
  <si>
    <t>2262639890002656</t>
  </si>
  <si>
    <t>9789652210401</t>
  </si>
  <si>
    <t>32285004475512</t>
  </si>
  <si>
    <t>893435241</t>
  </si>
  <si>
    <t>DS109.8.M36 E34 1998</t>
  </si>
  <si>
    <t>0                      DS 0109800M  36                 E  34          1998</t>
  </si>
  <si>
    <t>The Rephaim Valley project : villages, terraces and stone mounds : excavations at Mana*hat, Jerusalem, 1987-1989 / Gershon Edelstein, Ianir Milevski, Sara Aurant ; with contributions by Haim Gitler ... [et al.].</t>
  </si>
  <si>
    <t>Edelstein, Gershon.</t>
  </si>
  <si>
    <t>Jerusalem : Israel Antiquities Authority, 1998.</t>
  </si>
  <si>
    <t>IAA reports ; no. 3</t>
  </si>
  <si>
    <t>2008-11-20</t>
  </si>
  <si>
    <t>2002-02-25</t>
  </si>
  <si>
    <t>26509799:eng</t>
  </si>
  <si>
    <t>41454390</t>
  </si>
  <si>
    <t>991003648799702656</t>
  </si>
  <si>
    <t>2266258410002656</t>
  </si>
  <si>
    <t>9789654060318</t>
  </si>
  <si>
    <t>32285004456876</t>
  </si>
  <si>
    <t>893429034</t>
  </si>
  <si>
    <t>DS109.8.M57 H64 2000</t>
  </si>
  <si>
    <t>0                      DS 0109800M  57                 H  64          2000</t>
  </si>
  <si>
    <t>House of windows : portraits from a Jerusalem neighborhood / Adina Hoffman.</t>
  </si>
  <si>
    <t>Hoffman, Adina.</t>
  </si>
  <si>
    <t>South Royalton, Vt. : Steerforth Press, c2000.</t>
  </si>
  <si>
    <t>vtu</t>
  </si>
  <si>
    <t>2010-07-27</t>
  </si>
  <si>
    <t>2000-12-05</t>
  </si>
  <si>
    <t>57319:eng</t>
  </si>
  <si>
    <t>43903686</t>
  </si>
  <si>
    <t>991003320549702656</t>
  </si>
  <si>
    <t>2258223200002656</t>
  </si>
  <si>
    <t>9781586420017</t>
  </si>
  <si>
    <t>32285004269782</t>
  </si>
  <si>
    <t>893428678</t>
  </si>
  <si>
    <t>DS109.8.R6 D85</t>
  </si>
  <si>
    <t>0                      DS 0109800R  6                  D  85</t>
  </si>
  <si>
    <t>The noble sanctuary; portrait of a Holy Place in Arab Jerusalem, with acknowledgement to Al-Haram al-Sharif by Aref al-Aref.</t>
  </si>
  <si>
    <t>Duncan, Alastair, 1942-</t>
  </si>
  <si>
    <t>London, Longmans [1972]</t>
  </si>
  <si>
    <t>1972</t>
  </si>
  <si>
    <t>2008-04-21</t>
  </si>
  <si>
    <t>1589781:eng</t>
  </si>
  <si>
    <t>495634</t>
  </si>
  <si>
    <t>991002865799702656</t>
  </si>
  <si>
    <t>2256772260002656</t>
  </si>
  <si>
    <t>9780582780293</t>
  </si>
  <si>
    <t>32285002461068</t>
  </si>
  <si>
    <t>893251716</t>
  </si>
  <si>
    <t>DS109.9 .J459 1990</t>
  </si>
  <si>
    <t>0                      DS 0109900J  459         1990</t>
  </si>
  <si>
    <t>Jerusalem in history / edited by K.J. Asali.</t>
  </si>
  <si>
    <t>Brooklyn, N.Y. : Olive Branch Press, 1990.</t>
  </si>
  <si>
    <t>1st American ed.</t>
  </si>
  <si>
    <t>1999-11-01</t>
  </si>
  <si>
    <t>1991-12-30</t>
  </si>
  <si>
    <t>55231250:eng</t>
  </si>
  <si>
    <t>19971463</t>
  </si>
  <si>
    <t>991001519679702656</t>
  </si>
  <si>
    <t>2260828500002656</t>
  </si>
  <si>
    <t>9780940793446</t>
  </si>
  <si>
    <t>32285000862291</t>
  </si>
  <si>
    <t>893503466</t>
  </si>
  <si>
    <t>DS109.9 .P7</t>
  </si>
  <si>
    <t>0                      DS 0109900P  7</t>
  </si>
  <si>
    <t>Wanderings: Chaim Potok's History of the Jews / by Chaim Potok. --</t>
  </si>
  <si>
    <t>Potok, Chaim.</t>
  </si>
  <si>
    <t>New York : Knopf, 1978.</t>
  </si>
  <si>
    <t>1994-11-20</t>
  </si>
  <si>
    <t>462694:eng</t>
  </si>
  <si>
    <t>4003760</t>
  </si>
  <si>
    <t>991004640779702656</t>
  </si>
  <si>
    <t>2269744730002656</t>
  </si>
  <si>
    <t>32285000292762</t>
  </si>
  <si>
    <t>893526342</t>
  </si>
  <si>
    <t>DS109.9 .S485 1995</t>
  </si>
  <si>
    <t>0                      DS 0109900S  485         1995</t>
  </si>
  <si>
    <t>Jerusalem : an archaeological biography / by Hershel Shanks.</t>
  </si>
  <si>
    <t>Shanks, Hershel.</t>
  </si>
  <si>
    <t>New York : Random House, 1995.</t>
  </si>
  <si>
    <t>1996-09-24</t>
  </si>
  <si>
    <t>476698920:eng</t>
  </si>
  <si>
    <t>32778599</t>
  </si>
  <si>
    <t>991002519409702656</t>
  </si>
  <si>
    <t>2260206740002656</t>
  </si>
  <si>
    <t>9780679445265</t>
  </si>
  <si>
    <t>32285002319209</t>
  </si>
  <si>
    <t>893867326</t>
  </si>
  <si>
    <t>DS109.912 .J413 1969</t>
  </si>
  <si>
    <t>0                      DS 0109912J  413         1969</t>
  </si>
  <si>
    <t>Jerusalem in the time of Jesus : an investigation into economic and social conditions during the New Testament period / [Translated by F. H. and C. H. Cave]</t>
  </si>
  <si>
    <t>Jeremias, Joachim, 1900-1979.</t>
  </si>
  <si>
    <t>Philadelphia : Fortress Press, [1969]</t>
  </si>
  <si>
    <t>1999-12-08</t>
  </si>
  <si>
    <t>1990-06-08</t>
  </si>
  <si>
    <t>1102581866:eng</t>
  </si>
  <si>
    <t>32436</t>
  </si>
  <si>
    <t>991000082969702656</t>
  </si>
  <si>
    <t>2258340020002656</t>
  </si>
  <si>
    <t>32285000177096</t>
  </si>
  <si>
    <t>893425397</t>
  </si>
  <si>
    <t>DS109.93 .J49 1997</t>
  </si>
  <si>
    <t>0                      DS 0109930J  49          1997</t>
  </si>
  <si>
    <t>Jerusalem today : what future for the peace process? / edited by Ghada Karmi ; with a contribution by Edward Said.</t>
  </si>
  <si>
    <t>Reading : Ithaca Press, 1997.</t>
  </si>
  <si>
    <t>1997</t>
  </si>
  <si>
    <t>2010-04-16</t>
  </si>
  <si>
    <t>2001-03-27</t>
  </si>
  <si>
    <t>801642322:eng</t>
  </si>
  <si>
    <t>39722369</t>
  </si>
  <si>
    <t>991003480249702656</t>
  </si>
  <si>
    <t>2272169270002656</t>
  </si>
  <si>
    <t>9780863722264</t>
  </si>
  <si>
    <t>32285004307475</t>
  </si>
  <si>
    <t>893717697</t>
  </si>
  <si>
    <t>DS109.94 .F75 1996</t>
  </si>
  <si>
    <t>0                      DS 0109940F  75          1996</t>
  </si>
  <si>
    <t>To rule Jerusalem / Roger Friedland, Richard Hecht.</t>
  </si>
  <si>
    <t>Friedland, Roger.</t>
  </si>
  <si>
    <t>New York : Cambridge University Press, 1996.</t>
  </si>
  <si>
    <t>Cambridge cultural social studies</t>
  </si>
  <si>
    <t>2000-03-17</t>
  </si>
  <si>
    <t>1996-11-15</t>
  </si>
  <si>
    <t>9593547193:eng</t>
  </si>
  <si>
    <t>33101120</t>
  </si>
  <si>
    <t>991002547239702656</t>
  </si>
  <si>
    <t>2272486700002656</t>
  </si>
  <si>
    <t>9780521440462</t>
  </si>
  <si>
    <t>32285002373628</t>
  </si>
  <si>
    <t>893498246</t>
  </si>
  <si>
    <t>DS109.95 .P75 2001</t>
  </si>
  <si>
    <t>0                      DS 0109950P  75          2001</t>
  </si>
  <si>
    <t>Unholy war / Randall Price.</t>
  </si>
  <si>
    <t>Price, Randall, 1951-</t>
  </si>
  <si>
    <t>Eugene, OR : Harvest House Publishers, c2001.</t>
  </si>
  <si>
    <t>2001</t>
  </si>
  <si>
    <t>oru</t>
  </si>
  <si>
    <t>2006-09-08</t>
  </si>
  <si>
    <t>2002-01-29</t>
  </si>
  <si>
    <t>9216842:eng</t>
  </si>
  <si>
    <t>47916042</t>
  </si>
  <si>
    <t>991003684299702656</t>
  </si>
  <si>
    <t>2268008530002656</t>
  </si>
  <si>
    <t>9780736908238</t>
  </si>
  <si>
    <t>32285004451059</t>
  </si>
  <si>
    <t>893318255</t>
  </si>
  <si>
    <t>DS110.5 .G55</t>
  </si>
  <si>
    <t>0                      DS 0110500G  55</t>
  </si>
  <si>
    <t>Deities and dolphins : the story of the Nabataeans.</t>
  </si>
  <si>
    <t>Glueck, Nelson, 1900-1972.</t>
  </si>
  <si>
    <t>New York, Farrar, Straus and Giroux [1965]</t>
  </si>
  <si>
    <t>2008-03-05</t>
  </si>
  <si>
    <t>1997-03-04</t>
  </si>
  <si>
    <t>1463716:eng</t>
  </si>
  <si>
    <t>338175</t>
  </si>
  <si>
    <t>991002403859702656</t>
  </si>
  <si>
    <t>2257043130002656</t>
  </si>
  <si>
    <t>32285002463049</t>
  </si>
  <si>
    <t>893597422</t>
  </si>
  <si>
    <t>DS110.5 .H63 1995</t>
  </si>
  <si>
    <t>0                      DS 0110500H  63          1995</t>
  </si>
  <si>
    <t>Mount Sinai / Joseph J. Hobbs.</t>
  </si>
  <si>
    <t>Hobbs, Joseph J. (Joseph John), 1956-</t>
  </si>
  <si>
    <t>Austin, TX : University of Texas Press, c1995.</t>
  </si>
  <si>
    <t>txu</t>
  </si>
  <si>
    <t>1995-11-16</t>
  </si>
  <si>
    <t>1995-05-24</t>
  </si>
  <si>
    <t>32761026:eng</t>
  </si>
  <si>
    <t>31012301</t>
  </si>
  <si>
    <t>991002387179702656</t>
  </si>
  <si>
    <t>2272569640002656</t>
  </si>
  <si>
    <t>9780292730915</t>
  </si>
  <si>
    <t>32285002047016</t>
  </si>
  <si>
    <t>893879852</t>
  </si>
  <si>
    <t>DS110.A685 A58 1978, v...</t>
  </si>
  <si>
    <t>0                      DS 0110000A  685                A  58          1978                  v...</t>
  </si>
  <si>
    <t>Early Arad : the Chalcolitic settlement and early bronze city / by Ruth Amiran ... [et al.], with contributions by Pirhiya Beck ... [et al.].</t>
  </si>
  <si>
    <t>Amiran, Ruth.</t>
  </si>
  <si>
    <t>Jerusalem : Israel Exploration Society, 1978-</t>
  </si>
  <si>
    <t>Judean Desert studies</t>
  </si>
  <si>
    <t>1999-12-15</t>
  </si>
  <si>
    <t>2486054318:eng</t>
  </si>
  <si>
    <t>4790540</t>
  </si>
  <si>
    <t>991004719059702656</t>
  </si>
  <si>
    <t>2271865720002656</t>
  </si>
  <si>
    <t>32285003634119</t>
  </si>
  <si>
    <t>893417939</t>
  </si>
  <si>
    <t>2009-09-04</t>
  </si>
  <si>
    <t>1997-10-16</t>
  </si>
  <si>
    <t>32285003255436</t>
  </si>
  <si>
    <t>893417940</t>
  </si>
  <si>
    <t>32285003255428</t>
  </si>
  <si>
    <t>893417938</t>
  </si>
  <si>
    <t>DS110.B35 B38 1973</t>
  </si>
  <si>
    <t>0                      DS 0110000B  35                 B  38          1973</t>
  </si>
  <si>
    <t>Beer-sheba I : exavations at Tel Beer-sheba, 1969-1971 seasons / edited by Yohanan Aharoni.</t>
  </si>
  <si>
    <t>Tel Aviv : Tel Aviv University, Institute of Archaeology, c1973.</t>
  </si>
  <si>
    <t>1973</t>
  </si>
  <si>
    <t>Publications of the Institute of Archaeology ; no. 2</t>
  </si>
  <si>
    <t>2004-02-17</t>
  </si>
  <si>
    <t>5609075396:eng</t>
  </si>
  <si>
    <t>14438197</t>
  </si>
  <si>
    <t>991000942929702656</t>
  </si>
  <si>
    <t>2258479310002656</t>
  </si>
  <si>
    <t>32285002754769</t>
  </si>
  <si>
    <t>893784667</t>
  </si>
  <si>
    <t>DS110.B35 H47 1984</t>
  </si>
  <si>
    <t>0                      DS 0110000B  35                 H  47          1984</t>
  </si>
  <si>
    <t>Beer-Sheba II : the early Iron Age settlements / by Zee̓v Herzog ; with participation of Fredric R. Brandfon and Anson F. Rainey ; contributions by Raphael Giveon ... [et al.].</t>
  </si>
  <si>
    <t>Herzog, Zeʼev.</t>
  </si>
  <si>
    <t>Tel Aviv : Tel Aviv University, Institute of Archaeology : Ramot Pub. Co., 1984.</t>
  </si>
  <si>
    <t>Publications of the Institute of Archaeology ; no. 7</t>
  </si>
  <si>
    <t>324988178:eng</t>
  </si>
  <si>
    <t>12981413</t>
  </si>
  <si>
    <t>991000764759702656</t>
  </si>
  <si>
    <t>2266477450002656</t>
  </si>
  <si>
    <t>32285002754744</t>
  </si>
  <si>
    <t>893255711</t>
  </si>
  <si>
    <t>DS110.B3926 A955 2008</t>
  </si>
  <si>
    <t>0                      DS 0110000B  3926               A  955         2008</t>
  </si>
  <si>
    <t>The necropolis of Bet Guvrin-Eleutheropolis / Gideon Avni, Uzi Dahari and Amos Kloner ; with contributions by Jodi Magness, Talila Michaeli and Tamar Winter.</t>
  </si>
  <si>
    <t>Avni, Gideon.</t>
  </si>
  <si>
    <t>Jerusalem : Israel Antiquities Authority, 2008.</t>
  </si>
  <si>
    <t>IAA reports ; no. 36</t>
  </si>
  <si>
    <t>2010-01-18</t>
  </si>
  <si>
    <t>195500785:eng</t>
  </si>
  <si>
    <t>318339324</t>
  </si>
  <si>
    <t>991005351919702656</t>
  </si>
  <si>
    <t>2270205000002656</t>
  </si>
  <si>
    <t>9789654062145</t>
  </si>
  <si>
    <t>32285005557987</t>
  </si>
  <si>
    <t>893613559</t>
  </si>
  <si>
    <t>DS110.B476 B48 1995, v...</t>
  </si>
  <si>
    <t>0                      DS 0110000B  476                B  48          1995                  v...</t>
  </si>
  <si>
    <t>Bethsaida Excavations Project reports &amp; contextual studies.</t>
  </si>
  <si>
    <t>Kirksville, Mo. : Thomas Jefferson University Press, 1995-</t>
  </si>
  <si>
    <t>mou</t>
  </si>
  <si>
    <t>2010-12-20</t>
  </si>
  <si>
    <t>1996-12-11</t>
  </si>
  <si>
    <t>3373341878:eng</t>
  </si>
  <si>
    <t>31604560</t>
  </si>
  <si>
    <t>991002422279702656</t>
  </si>
  <si>
    <t>2270958540002656</t>
  </si>
  <si>
    <t>9780943549309</t>
  </si>
  <si>
    <t>32285002392263</t>
  </si>
  <si>
    <t>893341410</t>
  </si>
  <si>
    <t>DS110.C15 L63 1976</t>
  </si>
  <si>
    <t>0                      DS 0110000C  15                 L  63          1976</t>
  </si>
  <si>
    <t>A visit to Capharnaum / Stanislao Loffreda.</t>
  </si>
  <si>
    <t>Loffreda, Stanislao, 1932-</t>
  </si>
  <si>
    <t>Jerusalem : Franciscan Printing Press, 1976 [reprinted 1982]</t>
  </si>
  <si>
    <t>The Holy places of Palestine.</t>
  </si>
  <si>
    <t>2007-08-09</t>
  </si>
  <si>
    <t>1689164:eng</t>
  </si>
  <si>
    <t>12896089</t>
  </si>
  <si>
    <t>991000748709702656</t>
  </si>
  <si>
    <t>2265553090002656</t>
  </si>
  <si>
    <t>32285000292796</t>
  </si>
  <si>
    <t>893871973</t>
  </si>
  <si>
    <t>DS110.C15 S26</t>
  </si>
  <si>
    <t>0                      DS 0110000C  15                 S  26</t>
  </si>
  <si>
    <t>Capernaum (Kfar-Nachum); history and legacy, art and architecture [by] Baruch Sapir [and] Dov Neeman. Foreword by Yigael Yadin.</t>
  </si>
  <si>
    <t>Sapir, Baruch.</t>
  </si>
  <si>
    <t>Their The historical sites library: The Northern Israel series, v. 9</t>
  </si>
  <si>
    <t>1648967:eng</t>
  </si>
  <si>
    <t>661563</t>
  </si>
  <si>
    <t>991003115859702656</t>
  </si>
  <si>
    <t>2268821880002656</t>
  </si>
  <si>
    <t>32285000292804</t>
  </si>
  <si>
    <t>893323776</t>
  </si>
  <si>
    <t>DS110.D38 K73 1997</t>
  </si>
  <si>
    <t>0                      DS 0110000D  38                 K  73          1997</t>
  </si>
  <si>
    <t>The dead sea : myth, history, and politics / Barbara Kreiger ; foreword by Noel Perrin.</t>
  </si>
  <si>
    <t>Kreiger, Barbara.</t>
  </si>
  <si>
    <t>Hanover, NH : Published by the University Press of New England [for] Brandeis University Press, c1997.</t>
  </si>
  <si>
    <t>nhu</t>
  </si>
  <si>
    <t>2010-11-01</t>
  </si>
  <si>
    <t>1997-04-03</t>
  </si>
  <si>
    <t>1151857667:eng</t>
  </si>
  <si>
    <t>35593457</t>
  </si>
  <si>
    <t>991002713549702656</t>
  </si>
  <si>
    <t>2271989080002656</t>
  </si>
  <si>
    <t>9780874517880</t>
  </si>
  <si>
    <t>32285002478708</t>
  </si>
  <si>
    <t>893498462</t>
  </si>
  <si>
    <t>DS110.D67 S7413 1994</t>
  </si>
  <si>
    <t>0                      DS 0110000D  67                 S  7413        1994</t>
  </si>
  <si>
    <t>Dor, ruler of the seas : twelve years of excavations at the Israelite-Phoenician harbor town on the Carmel Coast / Ephraim Stern ; [English version, Joseph Shadur]</t>
  </si>
  <si>
    <t>Jerusalem : Israel Exploration Society, 1994.</t>
  </si>
  <si>
    <t>2007-07-19</t>
  </si>
  <si>
    <t>33560550:eng</t>
  </si>
  <si>
    <t>31196704</t>
  </si>
  <si>
    <t>991002400019702656</t>
  </si>
  <si>
    <t>2262413810002656</t>
  </si>
  <si>
    <t>32285002754678</t>
  </si>
  <si>
    <t>893529932</t>
  </si>
  <si>
    <t>DS110.E58 G67 1995</t>
  </si>
  <si>
    <t>0                      DS 0110000E  58                 G  67          1995</t>
  </si>
  <si>
    <t>Excavations at 'En Besor / by Ram Gophna with participation of Dan Gazit ; contributions by Amnon Ben-Tor ... [et al.].</t>
  </si>
  <si>
    <t>Gophna, R. (Ram)</t>
  </si>
  <si>
    <t>Tel Aviv : Ramot Pub. House, Tel Aviv University ; Jerusalem : Distributed by Israel Exploration Society, 1995.</t>
  </si>
  <si>
    <t>2006-02-13</t>
  </si>
  <si>
    <t>1998-12-14</t>
  </si>
  <si>
    <t>41180476:eng</t>
  </si>
  <si>
    <t>34649946</t>
  </si>
  <si>
    <t>991002648049702656</t>
  </si>
  <si>
    <t>2270036900002656</t>
  </si>
  <si>
    <t>9789652742032</t>
  </si>
  <si>
    <t>32285003506119</t>
  </si>
  <si>
    <t>893352440</t>
  </si>
  <si>
    <t>DS110.G2 B67 1985</t>
  </si>
  <si>
    <t>0                      DS 0110000G  2                  B  67          1985</t>
  </si>
  <si>
    <t>Galiläa : als Lebensraum und Wirkungsfeld Jesu : eine zeitgeschichtliche und theologische Untersuchung / Willibald Bösen.</t>
  </si>
  <si>
    <t>Bösen, Willibald.</t>
  </si>
  <si>
    <t>Freiburg im Breisgau : Herder, c1985.</t>
  </si>
  <si>
    <t>Biblisches Sachbuch</t>
  </si>
  <si>
    <t>1996-02-21</t>
  </si>
  <si>
    <t>1990-04-17</t>
  </si>
  <si>
    <t>8907168485:ger</t>
  </si>
  <si>
    <t>15630285</t>
  </si>
  <si>
    <t>991001047809702656</t>
  </si>
  <si>
    <t>2263070790002656</t>
  </si>
  <si>
    <t>9783451203206</t>
  </si>
  <si>
    <t>32285000103308</t>
  </si>
  <si>
    <t>893432553</t>
  </si>
  <si>
    <t>DS110.G2 F73</t>
  </si>
  <si>
    <t>0                      DS 0110000G  2                  F  73</t>
  </si>
  <si>
    <t>Galilee, from Alexander the Great to Hadrian, 323 B.C.E. to 135 C.E. : a study of second Temple Judaism / by Seán Freyne.</t>
  </si>
  <si>
    <t>Freyne, Seán.</t>
  </si>
  <si>
    <t>Wilmington, Del. : M. Glazier ; Notre Dame : University of Notre Dame Press, 1980.</t>
  </si>
  <si>
    <t>University of Notre Dame. Center for the Study of Judaism and Christianity in Antiquity ; no. 5</t>
  </si>
  <si>
    <t>2006-04-29</t>
  </si>
  <si>
    <t>502918356:eng</t>
  </si>
  <si>
    <t>6333957</t>
  </si>
  <si>
    <t>991004966249702656</t>
  </si>
  <si>
    <t>2267160920002656</t>
  </si>
  <si>
    <t>9780268010027</t>
  </si>
  <si>
    <t>32285000292812</t>
  </si>
  <si>
    <t>893412146</t>
  </si>
  <si>
    <t>DS110.G2 G38 1999</t>
  </si>
  <si>
    <t>0                      DS 0110000G  2                  G  38          1999</t>
  </si>
  <si>
    <t>Galilee through the centuries : confluence of cultures / edited by Eric M. Meyers.</t>
  </si>
  <si>
    <t>Winona Lake, Ind. : Eisenbrauns, 1999.</t>
  </si>
  <si>
    <t>inu</t>
  </si>
  <si>
    <t>Duke Judaic studies series ; v. 1</t>
  </si>
  <si>
    <t>2010-09-29</t>
  </si>
  <si>
    <t>2001-03-13</t>
  </si>
  <si>
    <t>815027973:eng</t>
  </si>
  <si>
    <t>41039931</t>
  </si>
  <si>
    <t>991003363099702656</t>
  </si>
  <si>
    <t>2260354450002656</t>
  </si>
  <si>
    <t>9781575060408</t>
  </si>
  <si>
    <t>32285004305016</t>
  </si>
  <si>
    <t>893887414</t>
  </si>
  <si>
    <t>DS110.G2 G66 1983</t>
  </si>
  <si>
    <t>0                      DS 0110000G  2                  G  66          1983</t>
  </si>
  <si>
    <t>State and society in Roman Galilee, A.D. 132-212 / Martin Goodman.</t>
  </si>
  <si>
    <t>Goodman, Martin, 1953-</t>
  </si>
  <si>
    <t>Totowa, NJ : Rowman &amp; Allanheld, 1983.</t>
  </si>
  <si>
    <t>2007-03-29</t>
  </si>
  <si>
    <t>1992-05-20</t>
  </si>
  <si>
    <t>512864:eng</t>
  </si>
  <si>
    <t>9083701</t>
  </si>
  <si>
    <t>991005400199702656</t>
  </si>
  <si>
    <t>2256570760002656</t>
  </si>
  <si>
    <t>9780865980891</t>
  </si>
  <si>
    <t>32285001112647</t>
  </si>
  <si>
    <t>893443956</t>
  </si>
  <si>
    <t>DS110.G2 H619 1996</t>
  </si>
  <si>
    <t>0                      DS 0110000G  2                  H  619         1996</t>
  </si>
  <si>
    <t>Archaeology, history, and society in Galilee : the social context of Jesus and the rabbis / Richard A. Horsley.</t>
  </si>
  <si>
    <t>Horsley, Richard A.</t>
  </si>
  <si>
    <t>Valley Forge, Pa : Trinity Press International, c1996.</t>
  </si>
  <si>
    <t>1997-03-18</t>
  </si>
  <si>
    <t>311628456:eng</t>
  </si>
  <si>
    <t>35360851</t>
  </si>
  <si>
    <t>991005424799702656</t>
  </si>
  <si>
    <t>2266817360002656</t>
  </si>
  <si>
    <t>9781563381829</t>
  </si>
  <si>
    <t>32285002443876</t>
  </si>
  <si>
    <t>893339076</t>
  </si>
  <si>
    <t>DS110.G3 H3713 2000</t>
  </si>
  <si>
    <t>0                      DS 0110000G  3                  H  3713        2000</t>
  </si>
  <si>
    <t>Drinking the sea at Gaza : days and nights in a land under siege / Amira Hass ; translated by Elana Wesley and Maxine Kaufman-Lacusta.</t>
  </si>
  <si>
    <t>Hass, Amira.</t>
  </si>
  <si>
    <t>New York : Holt, 2000, c1999.</t>
  </si>
  <si>
    <t>1st Owl Books ed.</t>
  </si>
  <si>
    <t>2004-04-24</t>
  </si>
  <si>
    <t>2000-08-10</t>
  </si>
  <si>
    <t>143609414:eng</t>
  </si>
  <si>
    <t>44653006</t>
  </si>
  <si>
    <t>991003257359702656</t>
  </si>
  <si>
    <t>2268037230002656</t>
  </si>
  <si>
    <t>9780805057409</t>
  </si>
  <si>
    <t>32285003689287</t>
  </si>
  <si>
    <t>893610866</t>
  </si>
  <si>
    <t>DS110.G5 D48</t>
  </si>
  <si>
    <t>0                      DS 0110000G  5                  D  48</t>
  </si>
  <si>
    <t>Gezer I: preliminary report of the 1964-66 seasons [by] William G. Dever, H. Darrell Lance [and] G. Ernest Wright. With a contribution by Aaron Shaffer.</t>
  </si>
  <si>
    <t>Dever, William G.</t>
  </si>
  <si>
    <t>[Jerusalem, Hebrew Union College Biblical and Archaeological School, 1970]</t>
  </si>
  <si>
    <t>1970</t>
  </si>
  <si>
    <t>Annual of the Hebrew Union College Biblical and Archaeological School in Jerusalem, v. 1</t>
  </si>
  <si>
    <t>2007-02-05</t>
  </si>
  <si>
    <t>1520404:eng</t>
  </si>
  <si>
    <t>389342</t>
  </si>
  <si>
    <t>991002656499702656</t>
  </si>
  <si>
    <t>2256650020002656</t>
  </si>
  <si>
    <t>32285002461126</t>
  </si>
  <si>
    <t>893773868</t>
  </si>
  <si>
    <t>DS110.G5 D49 1986</t>
  </si>
  <si>
    <t>0                      DS 0110000G  5                  D  49          1986</t>
  </si>
  <si>
    <t>Gezer IV : the 1969-71 seasons in field VI, the "acropolis" / editor and principal author, William G. Dever, with the assistance of H. Darrell Lance ; contributions by Reuben G. Bullard ... [et al.] ; appendices by Baruch Brandl ... [et al.].</t>
  </si>
  <si>
    <t>Jerusalem : Nelson Glueck School of Biblical Archaeology, 1986.</t>
  </si>
  <si>
    <t>Annual of the Nelson Glueck School of Biblical Archaeology ; v. 4</t>
  </si>
  <si>
    <t>1997-07-22</t>
  </si>
  <si>
    <t>376732:eng</t>
  </si>
  <si>
    <t>18051029</t>
  </si>
  <si>
    <t>991001298069702656</t>
  </si>
  <si>
    <t>2268007680002656</t>
  </si>
  <si>
    <t>9780878203048</t>
  </si>
  <si>
    <t>32285002883568</t>
  </si>
  <si>
    <t>893444652</t>
  </si>
  <si>
    <t>32285002883550</t>
  </si>
  <si>
    <t>893414150</t>
  </si>
  <si>
    <t>DS110.G5 G48</t>
  </si>
  <si>
    <t>0                      DS 0110000G  5                  G  48</t>
  </si>
  <si>
    <t>Gezer II : report of the 1967-70 seasons in fields I and II / authors, William G. Dever ... [et al.] ; editor, William G. Dever ; with contributions by A. Eran ... [et al.].</t>
  </si>
  <si>
    <t>Jerusalem : Hebrew Union College/Nelson Glueck School of Biblical Archaeology, 1974.</t>
  </si>
  <si>
    <t>1974</t>
  </si>
  <si>
    <t>Annual of the Hebrew Union College/Nelson Glueck School of Biblical Archaeology ; v. 2</t>
  </si>
  <si>
    <t>2403447:eng</t>
  </si>
  <si>
    <t>1531295</t>
  </si>
  <si>
    <t>991003807079702656</t>
  </si>
  <si>
    <t>2271838510002656</t>
  </si>
  <si>
    <t>9780878203024</t>
  </si>
  <si>
    <t>32285002461134</t>
  </si>
  <si>
    <t>893506015</t>
  </si>
  <si>
    <t>DS110.G5 S4 1988</t>
  </si>
  <si>
    <t>0                      DS 0110000G  5                  S  4           1988</t>
  </si>
  <si>
    <t>Gezer V : the field I caves / by Joe D. Seger ; with contributions by Alan Bieber ... [et al.] ; edited by Joe D. Seger and H. Darrell Lance.</t>
  </si>
  <si>
    <t>Seger, Joe D.</t>
  </si>
  <si>
    <t>Jerusalem : Nelson Glueck School of Biblical Archaeology, 1988.</t>
  </si>
  <si>
    <t>1988</t>
  </si>
  <si>
    <t>Annual of the Nelson Glueck School of Biblical Archaeology ; v. 5</t>
  </si>
  <si>
    <t>1997-07-10</t>
  </si>
  <si>
    <t>3953371533:eng</t>
  </si>
  <si>
    <t>20572723</t>
  </si>
  <si>
    <t>991001590769702656</t>
  </si>
  <si>
    <t>2259096140002656</t>
  </si>
  <si>
    <t>9780878203055</t>
  </si>
  <si>
    <t>32285002881448</t>
  </si>
  <si>
    <t>893715530</t>
  </si>
  <si>
    <t>DS110.H29 D68 1983</t>
  </si>
  <si>
    <t>0                      DS 0110000H  29                 D  68          1983</t>
  </si>
  <si>
    <t>Hammath Tiberias / Moshe Dothan.</t>
  </si>
  <si>
    <t>V. 2</t>
  </si>
  <si>
    <t>Dothan, M. (Moshe)</t>
  </si>
  <si>
    <t>Jerusalem : Israel Exploration Society, 1983-2000.</t>
  </si>
  <si>
    <t>Ancient synagogues studies</t>
  </si>
  <si>
    <t>2008-09-24</t>
  </si>
  <si>
    <t>2003-11-05</t>
  </si>
  <si>
    <t>3859074982:eng</t>
  </si>
  <si>
    <t>10753056</t>
  </si>
  <si>
    <t>991004170019702656</t>
  </si>
  <si>
    <t>2265486020002656</t>
  </si>
  <si>
    <t>9789652210036</t>
  </si>
  <si>
    <t>32285004794417</t>
  </si>
  <si>
    <t>893429739</t>
  </si>
  <si>
    <t>DS110.H39 B46 1987</t>
  </si>
  <si>
    <t>0                      DS 0110000H  39                 B  46          1987</t>
  </si>
  <si>
    <t>Tell Qiri, a village in the Jezreel Valley : report of the archaeological excavations, 1975-1977 : archaeological investigations in the Valley of Jezreel : the Yoqneʻam Regional Project / Amnon Ben-Tor &amp; Y. Portugali ; Miriam Avissar, Uri Baruch &amp; Melvin Hunt.</t>
  </si>
  <si>
    <t>V.24</t>
  </si>
  <si>
    <t>Ben-Tor, Amnon.</t>
  </si>
  <si>
    <t>Jerusalem, Israel : Institute of Archaeology, Hebrew University of Jerusalem, 1987.</t>
  </si>
  <si>
    <t>1998-03-05</t>
  </si>
  <si>
    <t>5609553220:eng</t>
  </si>
  <si>
    <t>17824562</t>
  </si>
  <si>
    <t>991001267719702656</t>
  </si>
  <si>
    <t>2262118730002656</t>
  </si>
  <si>
    <t>32285002881786</t>
  </si>
  <si>
    <t>893237990</t>
  </si>
  <si>
    <t>DS110.L3 A37</t>
  </si>
  <si>
    <t>0                      DS 0110000L  3                  A  37</t>
  </si>
  <si>
    <t>Investigations at Lachish : the sanctuary and the residency (Lachish V) / by Yohanan Aharoni, with contributions by M. Elath ... [et al.].</t>
  </si>
  <si>
    <t>Aharoni, Yohanan, 1919-1976.</t>
  </si>
  <si>
    <t>Tel Aviv : Gateway Publishers, 1975.</t>
  </si>
  <si>
    <t>Publications of the Institute of Archaeology, Tel Aviv University ; no. 4</t>
  </si>
  <si>
    <t>2006-11-26</t>
  </si>
  <si>
    <t>367529324:eng</t>
  </si>
  <si>
    <t>2074775</t>
  </si>
  <si>
    <t>991004002479702656</t>
  </si>
  <si>
    <t>2261963930002656</t>
  </si>
  <si>
    <t>9780914594024</t>
  </si>
  <si>
    <t>32285000292853</t>
  </si>
  <si>
    <t>893423263</t>
  </si>
  <si>
    <t>DS110.M4 D38 1986</t>
  </si>
  <si>
    <t>0                      DS 0110000M  4                  D  38          1986</t>
  </si>
  <si>
    <t>Megiddo / Graham I. Davies.</t>
  </si>
  <si>
    <t>Davies, Graham I.</t>
  </si>
  <si>
    <t>Cambridge : Lutterworth ; Grand Rapids, Mich. : Eerdmans, 1986.</t>
  </si>
  <si>
    <t>2009-11-11</t>
  </si>
  <si>
    <t>8344095:eng</t>
  </si>
  <si>
    <t>14711488</t>
  </si>
  <si>
    <t>991000954569702656</t>
  </si>
  <si>
    <t>2269221790002656</t>
  </si>
  <si>
    <t>9780802802477</t>
  </si>
  <si>
    <t>32285004467568</t>
  </si>
  <si>
    <t>893432469</t>
  </si>
  <si>
    <t>DS110.N2 W7</t>
  </si>
  <si>
    <t>0                      DS 0110000N  2                  W  7</t>
  </si>
  <si>
    <t>Shechem : the biography of a Biblical city / [by] G. Ernest Wright.</t>
  </si>
  <si>
    <t>Wright, G. Ernest (George Ernest), 1909-1974.</t>
  </si>
  <si>
    <t>New York : McGraw-Hill, [1965, c1964]</t>
  </si>
  <si>
    <t>[1st ed.]</t>
  </si>
  <si>
    <t>The Norton lectures of the Southern Baptist Theological Seminary, 1963</t>
  </si>
  <si>
    <t>2009-09-27</t>
  </si>
  <si>
    <t>1992-05-15</t>
  </si>
  <si>
    <t>1881324:eng</t>
  </si>
  <si>
    <t>1414976</t>
  </si>
  <si>
    <t>991003745029702656</t>
  </si>
  <si>
    <t>2260823180002656</t>
  </si>
  <si>
    <t>32285001110849</t>
  </si>
  <si>
    <t>893422895</t>
  </si>
  <si>
    <t>DS110.N4 A93 1987</t>
  </si>
  <si>
    <t>0                      DS 0110000N  4                  A  93          1987</t>
  </si>
  <si>
    <t>The Lord rose up from Seir : studies in the history and traditions of the Negev and southern Judah / Lars Eric Axelsson ; [translated by Frederick H. Cryer].</t>
  </si>
  <si>
    <t>Axelsson, Lars Eric.</t>
  </si>
  <si>
    <t>Stockholm : Almquist &amp; Wiksell International, 1987.</t>
  </si>
  <si>
    <t xml:space="preserve">sw </t>
  </si>
  <si>
    <t>Coniectanea biblica. Old Testament series ; 25</t>
  </si>
  <si>
    <t>2002-10-10</t>
  </si>
  <si>
    <t>807934589:eng</t>
  </si>
  <si>
    <t>15607667</t>
  </si>
  <si>
    <t>991001044679702656</t>
  </si>
  <si>
    <t>2269385100002656</t>
  </si>
  <si>
    <t>9789122008767</t>
  </si>
  <si>
    <t>32285000292879</t>
  </si>
  <si>
    <t>893772253</t>
  </si>
  <si>
    <t>DS110.N4 G5 1968</t>
  </si>
  <si>
    <t>0                      DS 0110000N  4                  G  5           1968</t>
  </si>
  <si>
    <t>Rivers in the desert : a history of the Negev / Nelson Glueck.</t>
  </si>
  <si>
    <t>New York : Norton, 1968.</t>
  </si>
  <si>
    <t>1968</t>
  </si>
  <si>
    <t>2004-01-31</t>
  </si>
  <si>
    <t>1994-06-22</t>
  </si>
  <si>
    <t>5534212170:eng</t>
  </si>
  <si>
    <t>2606012</t>
  </si>
  <si>
    <t>991004181569702656</t>
  </si>
  <si>
    <t>2270584950002656</t>
  </si>
  <si>
    <t>32285001929529</t>
  </si>
  <si>
    <t>893500226</t>
  </si>
  <si>
    <t>DS110.Q32 M32 1980</t>
  </si>
  <si>
    <t>0                      DS 0110000Q  32                 M  32          1980</t>
  </si>
  <si>
    <t>Excavations at Tell Qasile / Amihai Mazar.</t>
  </si>
  <si>
    <t>V. 20</t>
  </si>
  <si>
    <t>Mazar, Amihay, 1942-</t>
  </si>
  <si>
    <t>[Jerusalem, Israel] : Institute of Archaeology, Hebrew University of Jerusalem : Orders to be sent to the Israel Exploration Society, 1980-1985.</t>
  </si>
  <si>
    <t>Qedem, 0333-5844 ; 12, 20</t>
  </si>
  <si>
    <t>2006-10-19</t>
  </si>
  <si>
    <t>2009-12-15</t>
  </si>
  <si>
    <t>43147272:eng</t>
  </si>
  <si>
    <t>9824563</t>
  </si>
  <si>
    <t>991000261609702656</t>
  </si>
  <si>
    <t>2267125520002656</t>
  </si>
  <si>
    <t>32285002881737</t>
  </si>
  <si>
    <t>893521541</t>
  </si>
  <si>
    <t>V. 12</t>
  </si>
  <si>
    <t>32285002881729</t>
  </si>
  <si>
    <t>893515148</t>
  </si>
  <si>
    <t>DS110.S3 P313 1958a</t>
  </si>
  <si>
    <t>0                      DS 0110000S  3                  P  313         1958a</t>
  </si>
  <si>
    <t>Samaria, the capital of the kingdom of Israel. [Translated by S. H. Hooke.</t>
  </si>
  <si>
    <t>London, SCM Press [1958]</t>
  </si>
  <si>
    <t>1st English ed.]</t>
  </si>
  <si>
    <t>Studies in biblical archaeology ; no. 7</t>
  </si>
  <si>
    <t>2009-09-13</t>
  </si>
  <si>
    <t>189997286:eng</t>
  </si>
  <si>
    <t>432804</t>
  </si>
  <si>
    <t>991002765189702656</t>
  </si>
  <si>
    <t>2272585220002656</t>
  </si>
  <si>
    <t>32285002461183</t>
  </si>
  <si>
    <t>893698240</t>
  </si>
  <si>
    <t>DS110.S3 T37 1992, v...</t>
  </si>
  <si>
    <t>0                      DS 0110000S  3                  T  37          1992                  v...</t>
  </si>
  <si>
    <t>The archaeology of Israelite Samaria / by Ron E. Tappy.</t>
  </si>
  <si>
    <t>Tappy, Ron E.</t>
  </si>
  <si>
    <t>Atlanta, Ga. : Scholars Press, c1992-</t>
  </si>
  <si>
    <t>1992</t>
  </si>
  <si>
    <t>Harvard Semitic studies ; no. 44</t>
  </si>
  <si>
    <t>1997-05-27</t>
  </si>
  <si>
    <t>3003852518:eng</t>
  </si>
  <si>
    <t>26633786</t>
  </si>
  <si>
    <t>991002077389702656</t>
  </si>
  <si>
    <t>2256722430002656</t>
  </si>
  <si>
    <t>9781555407704</t>
  </si>
  <si>
    <t>32285002611662</t>
  </si>
  <si>
    <t>893873066</t>
  </si>
  <si>
    <t>DS110.S43 M494 1992</t>
  </si>
  <si>
    <t>0                      DS 0110000S  43                 M  494         1992</t>
  </si>
  <si>
    <t>Sepphoris / by Eric M. Meyers, Ehud Netzer, Carol L. Meyers.</t>
  </si>
  <si>
    <t>Meyers, Eric M.</t>
  </si>
  <si>
    <t>Winona Lake, Ind. : Eisenbrauns ; [s.l.] : Joint Sepphoris Project, c1992.</t>
  </si>
  <si>
    <t>2003-09-05</t>
  </si>
  <si>
    <t>1992-09-30</t>
  </si>
  <si>
    <t>28696233:eng</t>
  </si>
  <si>
    <t>26207821</t>
  </si>
  <si>
    <t>991002051859702656</t>
  </si>
  <si>
    <t>2265468320002656</t>
  </si>
  <si>
    <t>9780960268696</t>
  </si>
  <si>
    <t>32285001315182</t>
  </si>
  <si>
    <t>893328630</t>
  </si>
  <si>
    <t>DS110.S43 N4513 1994</t>
  </si>
  <si>
    <t>0                      DS 0110000S  43                 N  4513        1994</t>
  </si>
  <si>
    <t>Zippori / Ehud Netzer, Zeev Weiss ; [English translation: Llani Davis].</t>
  </si>
  <si>
    <t>Netzer, Ehud.</t>
  </si>
  <si>
    <t>1997-02-07</t>
  </si>
  <si>
    <t>10349931891:eng</t>
  </si>
  <si>
    <t>31966594</t>
  </si>
  <si>
    <t>991002450339702656</t>
  </si>
  <si>
    <t>2264477450002656</t>
  </si>
  <si>
    <t>32285002414869</t>
  </si>
  <si>
    <t>893886294</t>
  </si>
  <si>
    <t>DS110.S554 J6</t>
  </si>
  <si>
    <t>0                      DS 0110000S  554                J  6</t>
  </si>
  <si>
    <t>Ancient synagogue excavations at Khirbet Shemaʻ, Upper Galilee, Israel, 1970-1972 / Eric M. Meyers, director of the expedition, A. Thomas Kraabel, James F. Strange, associate director[s] of the expedition ; drawings by John F. Thompson ; with contributions by Reuben G. Bullard ... [et al.].</t>
  </si>
  <si>
    <t>Joint Expedition to Khirbet Shemaʻ (1970-1972)</t>
  </si>
  <si>
    <t>Durham, N.C. : Published for the American Schools of Oriental Research by Duke University Press, 1976.</t>
  </si>
  <si>
    <t>ncu</t>
  </si>
  <si>
    <t>The annual of the American Schools of Oriental Research ; v. 42</t>
  </si>
  <si>
    <t>351871234:eng</t>
  </si>
  <si>
    <t>3294445</t>
  </si>
  <si>
    <t>991004399529702656</t>
  </si>
  <si>
    <t>2257120070002656</t>
  </si>
  <si>
    <t>9780822303770</t>
  </si>
  <si>
    <t>32285000292895</t>
  </si>
  <si>
    <t>893331544</t>
  </si>
  <si>
    <t>DS110.S67 K86 1990</t>
  </si>
  <si>
    <t>0                      DS 0110000S  67                 K  86          1990</t>
  </si>
  <si>
    <t>Their promised land : Arab versus Jew in history's cauldron : one valley in the Jerusalem hills / Marcia Kunstel and Joseph Albright.</t>
  </si>
  <si>
    <t>Kunstel, Marcia.</t>
  </si>
  <si>
    <t>New York : Crown, c1990.</t>
  </si>
  <si>
    <t>1995-01-25</t>
  </si>
  <si>
    <t>1992-05-08</t>
  </si>
  <si>
    <t>3901134420:eng</t>
  </si>
  <si>
    <t>20827252</t>
  </si>
  <si>
    <t>991001623709702656</t>
  </si>
  <si>
    <t>2261304230002656</t>
  </si>
  <si>
    <t>9780517572313</t>
  </si>
  <si>
    <t>32285001065837</t>
  </si>
  <si>
    <t>893715543</t>
  </si>
  <si>
    <t>DS110.T16 L64 1978</t>
  </si>
  <si>
    <t>0                      DS 0110000T  16                 L  64          1978</t>
  </si>
  <si>
    <t>The sanctuaries of Tabgha / Stanislao Loffreda ; translated by Claire Fennell.</t>
  </si>
  <si>
    <t>Jerusalem : Franciscan Printing Press, [1978], 1981 printing.</t>
  </si>
  <si>
    <t>2d ed.</t>
  </si>
  <si>
    <t>Holy places of Palestine</t>
  </si>
  <si>
    <t>2005-02-20</t>
  </si>
  <si>
    <t>3943697506:eng</t>
  </si>
  <si>
    <t>6128519</t>
  </si>
  <si>
    <t>991004933939702656</t>
  </si>
  <si>
    <t>2256123140002656</t>
  </si>
  <si>
    <t>32285000292903</t>
  </si>
  <si>
    <t>893694521</t>
  </si>
  <si>
    <t>DS110.T62 W33 1995</t>
  </si>
  <si>
    <t>0                      DS 0110000T  62                 W  33          1995</t>
  </si>
  <si>
    <t>The Sea of Galilee boat : an extraordinary 2000-year-old discovery / Shelley Wachsmann.</t>
  </si>
  <si>
    <t>Wachsmann, Shelley.</t>
  </si>
  <si>
    <t>New York : Plenum Press, c1995.</t>
  </si>
  <si>
    <t>1995-12-27</t>
  </si>
  <si>
    <t>34455492:eng</t>
  </si>
  <si>
    <t>32087320</t>
  </si>
  <si>
    <t>991002462239702656</t>
  </si>
  <si>
    <t>2271106470002656</t>
  </si>
  <si>
    <t>9780306449505</t>
  </si>
  <si>
    <t>32285002112794</t>
  </si>
  <si>
    <t>893262300</t>
  </si>
  <si>
    <t>DS110.T63 K45 1995</t>
  </si>
  <si>
    <t>0                      DS 0110000T  63                 K  45          1995</t>
  </si>
  <si>
    <t>Timnah : a biblical city in the Sorek Valley / George L. Kelm and Amihai Mazar.</t>
  </si>
  <si>
    <t>Kelm, George L., 1931-</t>
  </si>
  <si>
    <t>Winona Lake, IN : Eisenbrauns, 1995.</t>
  </si>
  <si>
    <t>1998-04-01</t>
  </si>
  <si>
    <t>1997-04-23</t>
  </si>
  <si>
    <t>890299721:eng</t>
  </si>
  <si>
    <t>32821121</t>
  </si>
  <si>
    <t>991002524269702656</t>
  </si>
  <si>
    <t>2263297460002656</t>
  </si>
  <si>
    <t>9780931464973</t>
  </si>
  <si>
    <t>32285002540317</t>
  </si>
  <si>
    <t>893804706</t>
  </si>
  <si>
    <t>DS110.W47 B67 2002</t>
  </si>
  <si>
    <t>0                      DS 0110000W  47                 B  67          2002</t>
  </si>
  <si>
    <t>Crossing the green line between the West Bank and Israel / Avram S. Bornstein.</t>
  </si>
  <si>
    <t>Bornstein, Avram S.</t>
  </si>
  <si>
    <t>Philadelphia, Pa. : University of Pennsylvania Press, c2002.</t>
  </si>
  <si>
    <t>2002-04-10</t>
  </si>
  <si>
    <t>2002-03-18</t>
  </si>
  <si>
    <t>7777743:eng</t>
  </si>
  <si>
    <t>47716421</t>
  </si>
  <si>
    <t>991003742089702656</t>
  </si>
  <si>
    <t>2272373780002656</t>
  </si>
  <si>
    <t>9780812217933</t>
  </si>
  <si>
    <t>32285004461876</t>
  </si>
  <si>
    <t>893435379</t>
  </si>
  <si>
    <t>DS110.W47 H55 1991</t>
  </si>
  <si>
    <t>0                      DS 0110000W  47                 H  55          1991</t>
  </si>
  <si>
    <t>Behind the Intifada : labor and women's movements in the occupied territories / Joost R. Hiltermann.</t>
  </si>
  <si>
    <t>Hiltermann, Joost R.</t>
  </si>
  <si>
    <t>Princeton, N.J. : Princeton University Press, c1991.</t>
  </si>
  <si>
    <t>2000-10-16</t>
  </si>
  <si>
    <t>1992-05-26</t>
  </si>
  <si>
    <t>335066533:eng</t>
  </si>
  <si>
    <t>23654259</t>
  </si>
  <si>
    <t>991001874399702656</t>
  </si>
  <si>
    <t>2264727110002656</t>
  </si>
  <si>
    <t>9780691078694</t>
  </si>
  <si>
    <t>32285001116499</t>
  </si>
  <si>
    <t>893797882</t>
  </si>
  <si>
    <t>DS110.W47 N493 1991</t>
  </si>
  <si>
    <t>0                      DS 0110000W  47                 N  493         1991</t>
  </si>
  <si>
    <t>Population, settlement and conflict : Israel and the West Bank / David Newman.</t>
  </si>
  <si>
    <t>Newman, David, 1956-</t>
  </si>
  <si>
    <t>Cambridge ; New York : Cambridge University Press, 1991.</t>
  </si>
  <si>
    <t>Update</t>
  </si>
  <si>
    <t>1994-04-24</t>
  </si>
  <si>
    <t>1991-11-04</t>
  </si>
  <si>
    <t>309140786:eng</t>
  </si>
  <si>
    <t>22709553</t>
  </si>
  <si>
    <t>991001807039702656</t>
  </si>
  <si>
    <t>2270483680002656</t>
  </si>
  <si>
    <t>9780521408042</t>
  </si>
  <si>
    <t>32285000729011</t>
  </si>
  <si>
    <t>893791727</t>
  </si>
  <si>
    <t>DS110.W47 T73 1992</t>
  </si>
  <si>
    <t>0                      DS 0110000W  47                 T  73          1992</t>
  </si>
  <si>
    <t>Transition to Palestinian self-government : practical steps toward Israeli-Palestinian peace : report of a study group of the Middle East Program Committee on International Security Studies, American Academy of Arts and Sciences / Ann Mosely Lesch, principal author.</t>
  </si>
  <si>
    <t>Cambridge : the Academy ; Bloomington : Indiana University Press, c1992.</t>
  </si>
  <si>
    <t>2003-04-15</t>
  </si>
  <si>
    <t>1993-12-28</t>
  </si>
  <si>
    <t>329134:eng</t>
  </si>
  <si>
    <t>27768444</t>
  </si>
  <si>
    <t>991002154059702656</t>
  </si>
  <si>
    <t>2267812290002656</t>
  </si>
  <si>
    <t>9780253207944</t>
  </si>
  <si>
    <t>32285001817849</t>
  </si>
  <si>
    <t>893408753</t>
  </si>
  <si>
    <t>DS111 .A7</t>
  </si>
  <si>
    <t>0                      DS 0111000A  7</t>
  </si>
  <si>
    <t>Archaeological discoveries in the Holy Land.</t>
  </si>
  <si>
    <t>Archaeological Institute of America.</t>
  </si>
  <si>
    <t>New York, Crowell [1967]</t>
  </si>
  <si>
    <t>2007-02-03</t>
  </si>
  <si>
    <t>1401849:eng</t>
  </si>
  <si>
    <t>321364</t>
  </si>
  <si>
    <t>991002327949702656</t>
  </si>
  <si>
    <t>2255955920002656</t>
  </si>
  <si>
    <t>32285002461241</t>
  </si>
  <si>
    <t>893804479</t>
  </si>
  <si>
    <t>DS111 .F7</t>
  </si>
  <si>
    <t>0                      DS 0111000F  7</t>
  </si>
  <si>
    <t>A primer of Old Testament archaeology, by H. J. Franken and C. A. Franken-Battershill.</t>
  </si>
  <si>
    <t>Franken, H. J. (Hendricus Jacobus), 1917-2005.</t>
  </si>
  <si>
    <t>Leiden, E.J. Brill, 1963.</t>
  </si>
  <si>
    <t>1963</t>
  </si>
  <si>
    <t>2001-10-09</t>
  </si>
  <si>
    <t>146819530:eng</t>
  </si>
  <si>
    <t>344560</t>
  </si>
  <si>
    <t>991002425199702656</t>
  </si>
  <si>
    <t>2269941360002656</t>
  </si>
  <si>
    <t>32285002461258</t>
  </si>
  <si>
    <t>893445156</t>
  </si>
  <si>
    <t>DS111 .G57 1970</t>
  </si>
  <si>
    <t>0                      DS 0111000G  57          1970</t>
  </si>
  <si>
    <t>The other side of the Jordan, by Nelson Glueck.</t>
  </si>
  <si>
    <t>New Haven, Conn., American Schools of Oriental Research, 1940.</t>
  </si>
  <si>
    <t>1940</t>
  </si>
  <si>
    <t>2002-10-28</t>
  </si>
  <si>
    <t>1478696:eng</t>
  </si>
  <si>
    <t>932203</t>
  </si>
  <si>
    <t>991003393789702656</t>
  </si>
  <si>
    <t>2272359550002656</t>
  </si>
  <si>
    <t>32285002461266</t>
  </si>
  <si>
    <t>893324047</t>
  </si>
  <si>
    <t>DS111 .G65 1988</t>
  </si>
  <si>
    <t>0                      DS 0111000G  65          1988</t>
  </si>
  <si>
    <t>Jewish symbols in the Greco-Roman period / Erwin R. Goodenough.</t>
  </si>
  <si>
    <t>Goodenough, Erwin Ramsdell, 1893-1965.</t>
  </si>
  <si>
    <t>Princeton, NJ : Princeton University Press, c1988.</t>
  </si>
  <si>
    <t>Abridged ed. / edited, with a foreword, by Jacob Neusner.</t>
  </si>
  <si>
    <t>Bollingen series</t>
  </si>
  <si>
    <t>2007-04-09</t>
  </si>
  <si>
    <t>8841752437:eng</t>
  </si>
  <si>
    <t>17618692</t>
  </si>
  <si>
    <t>991001240379702656</t>
  </si>
  <si>
    <t>2256381380002656</t>
  </si>
  <si>
    <t>9780691099675</t>
  </si>
  <si>
    <t>32285000293034</t>
  </si>
  <si>
    <t>893866078</t>
  </si>
  <si>
    <t>DS111 .K45 1968</t>
  </si>
  <si>
    <t>0                      DS 0111000K  45          1968</t>
  </si>
  <si>
    <t>The excavation of Bethel (1934-1960) / William F. Albright, director 1934; James L. Kelso, director 1954, 1957, 1960. (Joint Expedition of the Pittsburgh Theological Seminary and the American School of Oriental Research in Jerusalem) [by] James L. Kelso, with chapters by William F. Albright [and others]</t>
  </si>
  <si>
    <t>Cambridge : American Schools of Oriental Research with the aid of the Jane Dows Nies Publication Fund, 1968.</t>
  </si>
  <si>
    <t>American Schools of Oriental Research. Annual, 39</t>
  </si>
  <si>
    <t>2002-12-05</t>
  </si>
  <si>
    <t>1997-05-20</t>
  </si>
  <si>
    <t>5218136401:eng</t>
  </si>
  <si>
    <t>1141498</t>
  </si>
  <si>
    <t>991003567749702656</t>
  </si>
  <si>
    <t>2264938030002656</t>
  </si>
  <si>
    <t>32285002609757</t>
  </si>
  <si>
    <t>893262811</t>
  </si>
  <si>
    <t>DS111 .N56 1968</t>
  </si>
  <si>
    <t>0                      DS 0111000N  56          1968</t>
  </si>
  <si>
    <t>The 1957 excavation at Beth-zur / conducted by McCormick Theological Seminary and the American School of Oriental Research in Jerusalem, by Ovid R. Sellers [and others]</t>
  </si>
  <si>
    <t>Cambridge, Mass. : American Schools of Oriental Research, 1968.</t>
  </si>
  <si>
    <t>The Annual of the American Schools of Oriental Research, v. 38</t>
  </si>
  <si>
    <t>1245118:eng</t>
  </si>
  <si>
    <t>122528</t>
  </si>
  <si>
    <t>991000683139702656</t>
  </si>
  <si>
    <t>2260929630002656</t>
  </si>
  <si>
    <t>32285002609740</t>
  </si>
  <si>
    <t>893425939</t>
  </si>
  <si>
    <t>DS111 .P469</t>
  </si>
  <si>
    <t>0                      DS 0111000P  469</t>
  </si>
  <si>
    <t>Syria-Palestine I : from the origins to the bronze age / Jean Perrot ; translated from the French by James Hogarth.</t>
  </si>
  <si>
    <t>Perrot, Jean.</t>
  </si>
  <si>
    <t>Geneva : Nagel, c1979.</t>
  </si>
  <si>
    <t>1979</t>
  </si>
  <si>
    <t xml:space="preserve">sz </t>
  </si>
  <si>
    <t>Archaeologia mundi</t>
  </si>
  <si>
    <t>2007-03-13</t>
  </si>
  <si>
    <t>3374134606:eng</t>
  </si>
  <si>
    <t>5398690</t>
  </si>
  <si>
    <t>991004830049702656</t>
  </si>
  <si>
    <t>2270390370002656</t>
  </si>
  <si>
    <t>9782826307167</t>
  </si>
  <si>
    <t>32285000293067</t>
  </si>
  <si>
    <t>893694387</t>
  </si>
  <si>
    <t>DS111 .P4691</t>
  </si>
  <si>
    <t>0                      DS 0111000P  4691</t>
  </si>
  <si>
    <t>Syria-Palestine II : from the middle bronze age to the end of the classical world (2200 B.C.-324 A.D.) / Aharon Kempinski, Michael Avi-Yonah.</t>
  </si>
  <si>
    <t>Kempinski, Aharon.</t>
  </si>
  <si>
    <t>2009-11-23</t>
  </si>
  <si>
    <t>2866012315:eng</t>
  </si>
  <si>
    <t>5398638</t>
  </si>
  <si>
    <t>991004830029702656</t>
  </si>
  <si>
    <t>2270389310002656</t>
  </si>
  <si>
    <t>9782826306948</t>
  </si>
  <si>
    <t>32285000293075</t>
  </si>
  <si>
    <t>893235968</t>
  </si>
  <si>
    <t>DS111 .P47 1978</t>
  </si>
  <si>
    <t>0                      DS 0111000P  47          1978</t>
  </si>
  <si>
    <t>Historical sites in Israel / by Moshe Pearlman and Yaacov Yannai ; foreword by Yigael Yadin. --</t>
  </si>
  <si>
    <t>Pearlman, Moshe, 1911-1986.</t>
  </si>
  <si>
    <t>Secaucus, N.J. : Chartwell Books, 1978, c1977.</t>
  </si>
  <si>
    <t>Rev. and enl. ed. --</t>
  </si>
  <si>
    <t>2009-11-17</t>
  </si>
  <si>
    <t>139829861:eng</t>
  </si>
  <si>
    <t>4300988</t>
  </si>
  <si>
    <t>991004621699702656</t>
  </si>
  <si>
    <t>2264684830002656</t>
  </si>
  <si>
    <t>9780890091975</t>
  </si>
  <si>
    <t>32285000293083</t>
  </si>
  <si>
    <t>893700449</t>
  </si>
  <si>
    <t>DS111 .R42</t>
  </si>
  <si>
    <t>0                      DS 0111000R  42</t>
  </si>
  <si>
    <t>Ancient Hebrew arts.</t>
  </si>
  <si>
    <t>Reifenberg, Adolf, 1899-1953.</t>
  </si>
  <si>
    <t>New York, Schocken Books [1950]</t>
  </si>
  <si>
    <t>2005-10-12</t>
  </si>
  <si>
    <t>2404398:eng</t>
  </si>
  <si>
    <t>1609537</t>
  </si>
  <si>
    <t>991003837949702656</t>
  </si>
  <si>
    <t>2263726080002656</t>
  </si>
  <si>
    <t>32285002461316</t>
  </si>
  <si>
    <t>893435512</t>
  </si>
  <si>
    <t>DS111 .R43 1984</t>
  </si>
  <si>
    <t>0                      DS 0111000R  43          1984</t>
  </si>
  <si>
    <t>Recent archaeology in the land of Israel / edited by Hershel Shanks (English ed.) and Benjamin Mazar (Hebrew ed.) ; translated by Aryeh Finkelstein.</t>
  </si>
  <si>
    <t>Washington, D.C. : Biblical Archaeology Society ; Jerusalem : Israel Exploration Society, 1984, c1981.</t>
  </si>
  <si>
    <t>dcu</t>
  </si>
  <si>
    <t>150329473:eng</t>
  </si>
  <si>
    <t>10802842</t>
  </si>
  <si>
    <t>991000438969702656</t>
  </si>
  <si>
    <t>2267719380002656</t>
  </si>
  <si>
    <t>9780961308902</t>
  </si>
  <si>
    <t>32285000293091</t>
  </si>
  <si>
    <t>893595546</t>
  </si>
  <si>
    <t>DS111.1 .H37 2001</t>
  </si>
  <si>
    <t>0                      DS 0111100H  37          2001</t>
  </si>
  <si>
    <t>The Al-Ṣubayba (Nimrod) fortress : towers 11 and 9 / Moshe Hartal ; with contributions by Reuven Amitai and Adrian Boas.</t>
  </si>
  <si>
    <t>Hartal, Moshe.</t>
  </si>
  <si>
    <t>Jerusalem : Israel Antiquities Authority, 2001.</t>
  </si>
  <si>
    <t>IAA reports ; no. 11</t>
  </si>
  <si>
    <t>477694811:eng</t>
  </si>
  <si>
    <t>47114590</t>
  </si>
  <si>
    <t>991005351889702656</t>
  </si>
  <si>
    <t>2259588100002656</t>
  </si>
  <si>
    <t>9789654060363</t>
  </si>
  <si>
    <t>32285005558019</t>
  </si>
  <si>
    <t>893870927</t>
  </si>
  <si>
    <t>DS111.1 .H47 1997</t>
  </si>
  <si>
    <t>0                      DS 0111100H  47          1997</t>
  </si>
  <si>
    <t>Archaeology of the city : urban planning in ancient Israel and its social implications / by Zeʼev Herzog.</t>
  </si>
  <si>
    <t>Tel Aviv ; Emery and Claire Yass Archaeology Press, c1997.</t>
  </si>
  <si>
    <t>Monograph series of the Sonia and Marco Nadler Institute of Archaeology ; no. 13</t>
  </si>
  <si>
    <t>2001-01-03</t>
  </si>
  <si>
    <t>196107958:eng</t>
  </si>
  <si>
    <t>39724768</t>
  </si>
  <si>
    <t>991003317529702656</t>
  </si>
  <si>
    <t>2269491280002656</t>
  </si>
  <si>
    <t>9789654400060</t>
  </si>
  <si>
    <t>32285004279260</t>
  </si>
  <si>
    <t>893887353</t>
  </si>
  <si>
    <t>DS111.1 .H66 1991</t>
  </si>
  <si>
    <t>0                      DS 0111100H  66          1991</t>
  </si>
  <si>
    <t>Ancient Jewish epitaphs : an introductory survey of a millennium of Jewish funerary epigraphy (300 BCE-700 CE) / Pieter W. van der Horst.</t>
  </si>
  <si>
    <t>Horst, Pieter Willem van der.</t>
  </si>
  <si>
    <t>Kampen, the Netherlands : Kok Pharos Pub. House, c1991.</t>
  </si>
  <si>
    <t>Contributions to biblical exegesis and theology, 0926-6097 ; 2</t>
  </si>
  <si>
    <t>1994-11-01</t>
  </si>
  <si>
    <t>1994-10-21</t>
  </si>
  <si>
    <t>13574785:eng</t>
  </si>
  <si>
    <t>25512927</t>
  </si>
  <si>
    <t>991002007709702656</t>
  </si>
  <si>
    <t>2257516820002656</t>
  </si>
  <si>
    <t>9789024233076</t>
  </si>
  <si>
    <t>32285001949840</t>
  </si>
  <si>
    <t>893420849</t>
  </si>
  <si>
    <t>DS111.1 .K46 1972</t>
  </si>
  <si>
    <t>0                      DS 0111100K  46          1972</t>
  </si>
  <si>
    <t>Royal cities of the Old Testament [by] Kathleen Kenyon.</t>
  </si>
  <si>
    <t>New York, Schocken Books [1971, i.e. 1972, c1971]</t>
  </si>
  <si>
    <t>2004-04-13</t>
  </si>
  <si>
    <t>309522207:eng</t>
  </si>
  <si>
    <t>231001</t>
  </si>
  <si>
    <t>991001431229702656</t>
  </si>
  <si>
    <t>2270718300002656</t>
  </si>
  <si>
    <t>9780805234121</t>
  </si>
  <si>
    <t>32285002209673</t>
  </si>
  <si>
    <t>893891570</t>
  </si>
  <si>
    <t>DS111.1 .M66 1983</t>
  </si>
  <si>
    <t>0                      DS 0111100M  66          1983</t>
  </si>
  <si>
    <t>Excavation in Palestine / Roger Moorey.</t>
  </si>
  <si>
    <t>Moorey, P. R. S. (Peter Roger Stuart), 1937-</t>
  </si>
  <si>
    <t>Grand Rapids, Mich. : Eerdmans Pub. Co., 1983, c1981.</t>
  </si>
  <si>
    <t>2007-03-22</t>
  </si>
  <si>
    <t>1992-01-06</t>
  </si>
  <si>
    <t>32511599:eng</t>
  </si>
  <si>
    <t>9442004</t>
  </si>
  <si>
    <t>991000197259702656</t>
  </si>
  <si>
    <t>2264900750002656</t>
  </si>
  <si>
    <t>9780802810359</t>
  </si>
  <si>
    <t>32285000892629</t>
  </si>
  <si>
    <t>893877882</t>
  </si>
  <si>
    <t>DS111.2 .F69 2000</t>
  </si>
  <si>
    <t>0                      DS 0111200F  69          2000</t>
  </si>
  <si>
    <t>In the service of the king : officialdom in ancient Israel and Judah / Nili Sacher Fox.</t>
  </si>
  <si>
    <t>Fox, Nili Sacher.</t>
  </si>
  <si>
    <t>Cincinnati : Hebrew Union College Press ; Detroit : Distributed by Wayne State University Press, c2000.</t>
  </si>
  <si>
    <t>ohu</t>
  </si>
  <si>
    <t>Monographs of the Hebrew Union College ; no. 23</t>
  </si>
  <si>
    <t>2008-06-23</t>
  </si>
  <si>
    <t>2002-07-17</t>
  </si>
  <si>
    <t>197253364:eng</t>
  </si>
  <si>
    <t>42913826</t>
  </si>
  <si>
    <t>991003837319702656</t>
  </si>
  <si>
    <t>2255232710002656</t>
  </si>
  <si>
    <t>9780878204229</t>
  </si>
  <si>
    <t>32285004499025</t>
  </si>
  <si>
    <t>893531645</t>
  </si>
  <si>
    <t>DS111.2 .G68 2000</t>
  </si>
  <si>
    <t>0                      DS 0111200G  68          2000</t>
  </si>
  <si>
    <t>The politics of ancient Israel / Norman K. Gottwald.</t>
  </si>
  <si>
    <t>Gottwald, Norman K. (Norman Karol), 1926-</t>
  </si>
  <si>
    <t>Louisville, KY : Westminster John Knox Press, c2001.</t>
  </si>
  <si>
    <t>kyu</t>
  </si>
  <si>
    <t>2003-08-12</t>
  </si>
  <si>
    <t>2672446:eng</t>
  </si>
  <si>
    <t>44469096</t>
  </si>
  <si>
    <t>991004095909702656</t>
  </si>
  <si>
    <t>2271116470002656</t>
  </si>
  <si>
    <t>9780664219772</t>
  </si>
  <si>
    <t>32285004759121</t>
  </si>
  <si>
    <t>893618228</t>
  </si>
  <si>
    <t>DS111.2 .H4 1975</t>
  </si>
  <si>
    <t>0                      DS 0111200H  4           1975</t>
  </si>
  <si>
    <t>Solomon's new men : the emergence of ancient Israel as a national state / E. W. Heaton.</t>
  </si>
  <si>
    <t>Heaton, E. W. (Eric William), 1920-1996.</t>
  </si>
  <si>
    <t>New York : Pica Press : distributed by Universe Books, [1975] c1974.</t>
  </si>
  <si>
    <t>2002-04-01</t>
  </si>
  <si>
    <t>1992-01-14</t>
  </si>
  <si>
    <t>200630566:eng</t>
  </si>
  <si>
    <t>1237026</t>
  </si>
  <si>
    <t>991003640239702656</t>
  </si>
  <si>
    <t>2262551400002656</t>
  </si>
  <si>
    <t>9780876637142</t>
  </si>
  <si>
    <t>32285000913292</t>
  </si>
  <si>
    <t>893781221</t>
  </si>
  <si>
    <t>DS111.5 .F72 1999</t>
  </si>
  <si>
    <t>0                      DS 0111500F  72          1999</t>
  </si>
  <si>
    <t>Wine and oil production in antiquity in Israel and other Mediterranean countries / Rafael Frankel.</t>
  </si>
  <si>
    <t>Franḳel, Rafi.</t>
  </si>
  <si>
    <t>Sheffield, England : Sheffield Academic Press, c1999.</t>
  </si>
  <si>
    <t>JSOT/ASOR monograph series ; 10</t>
  </si>
  <si>
    <t>2007-03-30</t>
  </si>
  <si>
    <t>2004-01-06</t>
  </si>
  <si>
    <t>9585785042:eng</t>
  </si>
  <si>
    <t>41421387</t>
  </si>
  <si>
    <t>991004198949702656</t>
  </si>
  <si>
    <t>2269687710002656</t>
  </si>
  <si>
    <t>9781850755197</t>
  </si>
  <si>
    <t>32285004889316</t>
  </si>
  <si>
    <t>893618369</t>
  </si>
  <si>
    <t>DS111.7 .Z48 2001</t>
  </si>
  <si>
    <t>0                      DS 0111700Z  48          2001</t>
  </si>
  <si>
    <t>The religions of ancient Israel : a synthesis of parallactic approaches / Ziony Zevit.</t>
  </si>
  <si>
    <t>Zevit, Ziony.</t>
  </si>
  <si>
    <t>London ; New York : Continuum, 2001.</t>
  </si>
  <si>
    <t>2007-04-18</t>
  </si>
  <si>
    <t>2002-08-28</t>
  </si>
  <si>
    <t>815144631:eng</t>
  </si>
  <si>
    <t>43115066</t>
  </si>
  <si>
    <t>991003861739702656</t>
  </si>
  <si>
    <t>2260736070002656</t>
  </si>
  <si>
    <t>9780826447289</t>
  </si>
  <si>
    <t>32285004645502</t>
  </si>
  <si>
    <t>893416893</t>
  </si>
  <si>
    <t>DS112 .B77 2001</t>
  </si>
  <si>
    <t>0                      DS 0112000B  77          2001</t>
  </si>
  <si>
    <t>Bread, wine, walls and scrolls / Magen Broshi.</t>
  </si>
  <si>
    <t>Broshi, Magen.</t>
  </si>
  <si>
    <t>Sheffield : Sheffield Academic Press, 2001.</t>
  </si>
  <si>
    <t>Journal for the study of the Pseudepigrapha. Supplement series ; 36</t>
  </si>
  <si>
    <t>2003-08-28</t>
  </si>
  <si>
    <t>3081046:eng</t>
  </si>
  <si>
    <t>491978900</t>
  </si>
  <si>
    <t>991004098899702656</t>
  </si>
  <si>
    <t>2266309570002656</t>
  </si>
  <si>
    <t>9781841272016</t>
  </si>
  <si>
    <t>32285004780168</t>
  </si>
  <si>
    <t>893894552</t>
  </si>
  <si>
    <t>DS112 .D233</t>
  </si>
  <si>
    <t>0                      DS 0112000D  233</t>
  </si>
  <si>
    <t>Daily life in the time of Jesus. Translated by Patrick O'Brian.</t>
  </si>
  <si>
    <t>Daniel-Rops, Henri, 1901-1965.</t>
  </si>
  <si>
    <t>New York, Hawthorn Books [1962]</t>
  </si>
  <si>
    <t>1962</t>
  </si>
  <si>
    <t>1150936940:eng</t>
  </si>
  <si>
    <t>399995</t>
  </si>
  <si>
    <t>991002685829702656</t>
  </si>
  <si>
    <t>2257868640002656</t>
  </si>
  <si>
    <t>32285002461340</t>
  </si>
  <si>
    <t>893517605</t>
  </si>
  <si>
    <t>DS112 .D4 1974</t>
  </si>
  <si>
    <t>0                      DS 0112000D  4           1974</t>
  </si>
  <si>
    <t>Jesus's audience: the social and psychological environment in which He worked; prolegomena to a restatement of the teaching of Jesus. Lectures at Newquay, 1971 [by] J. Duncan M. Derrett. With a foreword by the Bishop of Truro.</t>
  </si>
  <si>
    <t>Derrett, J. Duncan M., 1922-2012.</t>
  </si>
  <si>
    <t>New York, Seabury Press [1974, c1973]</t>
  </si>
  <si>
    <t>850764247:eng</t>
  </si>
  <si>
    <t>790263</t>
  </si>
  <si>
    <t>991003264329702656</t>
  </si>
  <si>
    <t>2264058360002656</t>
  </si>
  <si>
    <t>9780816411481</t>
  </si>
  <si>
    <t>32285002461357</t>
  </si>
  <si>
    <t>893711206</t>
  </si>
  <si>
    <t>DS112 .F6</t>
  </si>
  <si>
    <t>0                      DS 0112000F  6</t>
  </si>
  <si>
    <t>Mœurs des Israélites et des Chrétiens.</t>
  </si>
  <si>
    <t>Fleury, Claude, 1640-1723.</t>
  </si>
  <si>
    <t>Paris : Mame, 1855.</t>
  </si>
  <si>
    <t>1855</t>
  </si>
  <si>
    <t>Nouvelle éd.</t>
  </si>
  <si>
    <t>fre</t>
  </si>
  <si>
    <t xml:space="preserve">fr </t>
  </si>
  <si>
    <t>Bibliothèque des écoles chrétiennes. 2e série</t>
  </si>
  <si>
    <t>2005-02-04</t>
  </si>
  <si>
    <t>1996-08-09</t>
  </si>
  <si>
    <t>2886184192:fre</t>
  </si>
  <si>
    <t>8384331</t>
  </si>
  <si>
    <t>991005236019702656</t>
  </si>
  <si>
    <t>2265259690002656</t>
  </si>
  <si>
    <t>32285002272549</t>
  </si>
  <si>
    <t>893870741</t>
  </si>
  <si>
    <t>DS112 .M333 1993</t>
  </si>
  <si>
    <t>0                      DS 0112000M  333         1993</t>
  </si>
  <si>
    <t>Social World of ancient Israel, 1250-587 BCE / Victor H. Matthews and Don. C. Benjamin.</t>
  </si>
  <si>
    <t>Matthews, Victor Harold.</t>
  </si>
  <si>
    <t>Peabody, Mass. : Hendrickson Publishers, c1993.</t>
  </si>
  <si>
    <t>2006-09-26</t>
  </si>
  <si>
    <t>1994-09-29</t>
  </si>
  <si>
    <t>31502501:eng</t>
  </si>
  <si>
    <t>28888160</t>
  </si>
  <si>
    <t>991002239209702656</t>
  </si>
  <si>
    <t>2264025630002656</t>
  </si>
  <si>
    <t>9780913573891</t>
  </si>
  <si>
    <t>32285001947703</t>
  </si>
  <si>
    <t>893328842</t>
  </si>
  <si>
    <t>DS112 .O913 1993</t>
  </si>
  <si>
    <t>0                      DS 0112000O  913         1993</t>
  </si>
  <si>
    <t>In the land of Israel / Amos Oz ; translated by Maurie Goldberg-Bartura.</t>
  </si>
  <si>
    <t>Oz, Amos, 1939-2018.</t>
  </si>
  <si>
    <t>San Diego : Harcourt Brace &amp; Company, c1993.</t>
  </si>
  <si>
    <t>1st Harvest ed.</t>
  </si>
  <si>
    <t>cau</t>
  </si>
  <si>
    <t>Harvest in translation</t>
  </si>
  <si>
    <t>2007-07-30</t>
  </si>
  <si>
    <t>2003-07-29</t>
  </si>
  <si>
    <t>3470131:eng</t>
  </si>
  <si>
    <t>29605444</t>
  </si>
  <si>
    <t>991004079819702656</t>
  </si>
  <si>
    <t>2264421600002656</t>
  </si>
  <si>
    <t>9780156481144</t>
  </si>
  <si>
    <t>32285004757463</t>
  </si>
  <si>
    <t>893500097</t>
  </si>
  <si>
    <t>DS112 .P29 1977</t>
  </si>
  <si>
    <t>0                      DS 0112000P  29          1977</t>
  </si>
  <si>
    <t>The Jewish mind / Raphael Patai.</t>
  </si>
  <si>
    <t>Patai, Raphael, 1910-1996.</t>
  </si>
  <si>
    <t>New York : Scribner, c1977.</t>
  </si>
  <si>
    <t>1995-08-29</t>
  </si>
  <si>
    <t>1994-05-17</t>
  </si>
  <si>
    <t>136779936:eng</t>
  </si>
  <si>
    <t>2968700</t>
  </si>
  <si>
    <t>991004302119702656</t>
  </si>
  <si>
    <t>2269044420002656</t>
  </si>
  <si>
    <t>9780684148786</t>
  </si>
  <si>
    <t>32285001864932</t>
  </si>
  <si>
    <t>893525918</t>
  </si>
  <si>
    <t>DS112 .R7 1980</t>
  </si>
  <si>
    <t>0                      DS 0112000R  7           1980</t>
  </si>
  <si>
    <t>Corporate personality in ancient Israel / by H. Wheeler Robinson.</t>
  </si>
  <si>
    <t>Robinson, H. Wheeler (Henry Wheeler), 1872-1945.</t>
  </si>
  <si>
    <t>Philadelphia : Fortress Press, 1980.</t>
  </si>
  <si>
    <t>Rev. ed.</t>
  </si>
  <si>
    <t>2007-06-06</t>
  </si>
  <si>
    <t>449145:eng</t>
  </si>
  <si>
    <t>5674276</t>
  </si>
  <si>
    <t>991004855659702656</t>
  </si>
  <si>
    <t>2256337280002656</t>
  </si>
  <si>
    <t>9780800613808</t>
  </si>
  <si>
    <t>32285000293331</t>
  </si>
  <si>
    <t>893319713</t>
  </si>
  <si>
    <t>DS112 .T48 1986</t>
  </si>
  <si>
    <t>0                      DS 0112000T  48          1986</t>
  </si>
  <si>
    <t>Handbook of life in Bible times / J.A. Thompson.</t>
  </si>
  <si>
    <t>Thompson, J. A. (John Arthur), 1913-2002.</t>
  </si>
  <si>
    <t>Leicester, England ; Downers Grove, Ill. : Inter-Varsity Press, 1986.</t>
  </si>
  <si>
    <t>1999-11-20</t>
  </si>
  <si>
    <t>1990-02-09</t>
  </si>
  <si>
    <t>7076589:eng</t>
  </si>
  <si>
    <t>13216340</t>
  </si>
  <si>
    <t>991000799049702656</t>
  </si>
  <si>
    <t>2263844210002656</t>
  </si>
  <si>
    <t>9780877849490</t>
  </si>
  <si>
    <t>32285000045137</t>
  </si>
  <si>
    <t>893243598</t>
  </si>
  <si>
    <t>DS112 .W66 1989</t>
  </si>
  <si>
    <t>0                      DS 0112000W  66          1989</t>
  </si>
  <si>
    <t>The World of ancient Israel : sociological, anthropological, and political perspectives : essays by members of the Society for Old Testament Study / edited by R.E. Clements.</t>
  </si>
  <si>
    <t>Cambridge [England] ; New York : Cambridge University Press, 1989.</t>
  </si>
  <si>
    <t>2003-04-24</t>
  </si>
  <si>
    <t>1990-12-07</t>
  </si>
  <si>
    <t>836764012:eng</t>
  </si>
  <si>
    <t>18948694</t>
  </si>
  <si>
    <t>991001415989702656</t>
  </si>
  <si>
    <t>2271905270002656</t>
  </si>
  <si>
    <t>9780521342438</t>
  </si>
  <si>
    <t>32285000359215</t>
  </si>
  <si>
    <t>893238112</t>
  </si>
  <si>
    <t>DS113 .A6</t>
  </si>
  <si>
    <t>0                      DS 0113000A  6</t>
  </si>
  <si>
    <t>Studies in nineteenth-century Jewish intellectual history / edited by Alexander Altmann.</t>
  </si>
  <si>
    <t>Altmann, Alexander, 1906-1987 editor.</t>
  </si>
  <si>
    <t>Cambridge : Harvard University Press, 1964.</t>
  </si>
  <si>
    <t>1964</t>
  </si>
  <si>
    <t>Philip W. Lown Institute of Advanced Judaic Studies, Brandeis University. Studies and texts, v. 2</t>
  </si>
  <si>
    <t>1992-04-14</t>
  </si>
  <si>
    <t>10627915933:eng</t>
  </si>
  <si>
    <t>3014564</t>
  </si>
  <si>
    <t>991004318279702656</t>
  </si>
  <si>
    <t>2270320650002656</t>
  </si>
  <si>
    <t>32285000293349</t>
  </si>
  <si>
    <t>893259586</t>
  </si>
  <si>
    <t>DS113 .R66</t>
  </si>
  <si>
    <t>0                      DS 0113000R  66</t>
  </si>
  <si>
    <t>The Jews in the Renaissance.</t>
  </si>
  <si>
    <t>Roth, Cecil, 1899-1970.</t>
  </si>
  <si>
    <t>Philadelphia, Jewish Publication Society of America, 1959.</t>
  </si>
  <si>
    <t>2009-04-03</t>
  </si>
  <si>
    <t>1624078:eng</t>
  </si>
  <si>
    <t>657486</t>
  </si>
  <si>
    <t>991003112109702656</t>
  </si>
  <si>
    <t>2259938570002656</t>
  </si>
  <si>
    <t>32285002461399</t>
  </si>
  <si>
    <t>893524422</t>
  </si>
  <si>
    <t>DS113.3 .E98 1997</t>
  </si>
  <si>
    <t>0                      DS 0113300E  98          1997</t>
  </si>
  <si>
    <t>Rubber bullets : power and conscience in modern Israel / by Yaron Ezrahi.</t>
  </si>
  <si>
    <t>Ezrahi, Yaron.</t>
  </si>
  <si>
    <t>New York : Farrar, Straus &amp; Giroux, 1997.</t>
  </si>
  <si>
    <t>1998-09-09</t>
  </si>
  <si>
    <t>1997-04-17</t>
  </si>
  <si>
    <t>555182:eng</t>
  </si>
  <si>
    <t>34590946</t>
  </si>
  <si>
    <t>991002642459702656</t>
  </si>
  <si>
    <t>2264128940002656</t>
  </si>
  <si>
    <t>9780374252793</t>
  </si>
  <si>
    <t>32285002498136</t>
  </si>
  <si>
    <t>893347737</t>
  </si>
  <si>
    <t>DS113.6 .K365 2006</t>
  </si>
  <si>
    <t>0                      DS 0113600K  365         2006</t>
  </si>
  <si>
    <t>The iron cage : the story of the Palestinian struggle for statehood / Rashid Khalidi.</t>
  </si>
  <si>
    <t>Khalidi, Rashid.</t>
  </si>
  <si>
    <t>Boston : Beacon Press, c2006.</t>
  </si>
  <si>
    <t>2008-04-22</t>
  </si>
  <si>
    <t>2006-11-06</t>
  </si>
  <si>
    <t>799428388:eng</t>
  </si>
  <si>
    <t>69021035</t>
  </si>
  <si>
    <t>991004954429702656</t>
  </si>
  <si>
    <t>2263951730002656</t>
  </si>
  <si>
    <t>9780807003084</t>
  </si>
  <si>
    <t>32285005235931</t>
  </si>
  <si>
    <t>893436954</t>
  </si>
  <si>
    <t>DS113.6 .L93 2007</t>
  </si>
  <si>
    <t>0                      DS 0113600L  93          2007</t>
  </si>
  <si>
    <t>Identity and religion in Palestine : the struggle between Islamism and secularism in the occupied territories / Loren D. Lybarger.</t>
  </si>
  <si>
    <t>Lybarger, Loren D., 1964-</t>
  </si>
  <si>
    <t>Princeton : Princeton University Press, c2007.</t>
  </si>
  <si>
    <t>2007</t>
  </si>
  <si>
    <t>Princeton studies in Muslim politics</t>
  </si>
  <si>
    <t>2007-10-25</t>
  </si>
  <si>
    <t>792533197:eng</t>
  </si>
  <si>
    <t>70061075</t>
  </si>
  <si>
    <t>991005130809702656</t>
  </si>
  <si>
    <t>2262975330002656</t>
  </si>
  <si>
    <t>9780691127293</t>
  </si>
  <si>
    <t>32285005361356</t>
  </si>
  <si>
    <t>893536402</t>
  </si>
  <si>
    <t>DS113.7 .G65 1991</t>
  </si>
  <si>
    <t>0                      DS 0113700G  65          1991</t>
  </si>
  <si>
    <t>Days of honey, days of onion : the story of a Palestinian family in Israel / Michael Gorkin.</t>
  </si>
  <si>
    <t>Gorkin, Michael.</t>
  </si>
  <si>
    <t>Boston : Beacon Press, c1991.</t>
  </si>
  <si>
    <t>1992-01-25</t>
  </si>
  <si>
    <t>25374277:eng</t>
  </si>
  <si>
    <t>23286540</t>
  </si>
  <si>
    <t>991001855269702656</t>
  </si>
  <si>
    <t>2269817180002656</t>
  </si>
  <si>
    <t>9780807069028</t>
  </si>
  <si>
    <t>32285000861939</t>
  </si>
  <si>
    <t>893791764</t>
  </si>
  <si>
    <t>DS113.7 .J36 2005</t>
  </si>
  <si>
    <t>0                      DS 0113700J  36          2005</t>
  </si>
  <si>
    <t>The Palestinian national movement : politics of contention, 1967-2005 / Amal Jamal.</t>
  </si>
  <si>
    <t>Jamal, Amal (Professor of political science)</t>
  </si>
  <si>
    <t>Bloomington : Indiana University Press, c2005.</t>
  </si>
  <si>
    <t>2005</t>
  </si>
  <si>
    <t>Indiana series in Middle East studies</t>
  </si>
  <si>
    <t>2006-09-25</t>
  </si>
  <si>
    <t>195980745:eng</t>
  </si>
  <si>
    <t>57005910</t>
  </si>
  <si>
    <t>991004911789702656</t>
  </si>
  <si>
    <t>2267429410002656</t>
  </si>
  <si>
    <t>9780253217738</t>
  </si>
  <si>
    <t>32285005225437</t>
  </si>
  <si>
    <t>893628410</t>
  </si>
  <si>
    <t>DS113.7 .J813</t>
  </si>
  <si>
    <t>0                      DS 0113700J  813</t>
  </si>
  <si>
    <t>The Arabs in Israel / Sabri Jiryis ; translated from the Arabic by Inea Bushnaq.</t>
  </si>
  <si>
    <t>Jiryis, Ṣabrī.</t>
  </si>
  <si>
    <t>New York : Monthly Review Press, c1976.</t>
  </si>
  <si>
    <t>2002-12-12</t>
  </si>
  <si>
    <t>1994-12-12</t>
  </si>
  <si>
    <t>18367280:eng</t>
  </si>
  <si>
    <t>2034677</t>
  </si>
  <si>
    <t>991003987039702656</t>
  </si>
  <si>
    <t>2270014800002656</t>
  </si>
  <si>
    <t>9780853453772</t>
  </si>
  <si>
    <t>32285001982007</t>
  </si>
  <si>
    <t>893900642</t>
  </si>
  <si>
    <t>DS113.7 .L28 1993</t>
  </si>
  <si>
    <t>0                      DS 0113700L  28          1993</t>
  </si>
  <si>
    <t>The Arab minority in Israel, 1967-1991 : political aspects / Jacob M. Landau.</t>
  </si>
  <si>
    <t>Landau, Jacob M.</t>
  </si>
  <si>
    <t>Oxford : Clarendon Press ; New York : Oxford University Press, 1993.</t>
  </si>
  <si>
    <t>2003-11-17</t>
  </si>
  <si>
    <t>1994-08-08</t>
  </si>
  <si>
    <t>28624615:eng</t>
  </si>
  <si>
    <t>26304417</t>
  </si>
  <si>
    <t>991002056819702656</t>
  </si>
  <si>
    <t>2271776540002656</t>
  </si>
  <si>
    <t>9780198277125</t>
  </si>
  <si>
    <t>32285001942050</t>
  </si>
  <si>
    <t>893420903</t>
  </si>
  <si>
    <t>DS113.7 .L3</t>
  </si>
  <si>
    <t>0                      DS 0113700L  3</t>
  </si>
  <si>
    <t>The Arabs in Israel : a political study / [by] Jacob M. Landau.</t>
  </si>
  <si>
    <t>London ; New York : published under the auspices of the Royal Institute of International Affairs [by] Oxford U.P., 1969.</t>
  </si>
  <si>
    <t>1998-02-27</t>
  </si>
  <si>
    <t>1136890:eng</t>
  </si>
  <si>
    <t>14164</t>
  </si>
  <si>
    <t>991000009859702656</t>
  </si>
  <si>
    <t>2265815090002656</t>
  </si>
  <si>
    <t>9780192149770</t>
  </si>
  <si>
    <t>32285001981991</t>
  </si>
  <si>
    <t>893320734</t>
  </si>
  <si>
    <t>DS113.7 .L87 1980</t>
  </si>
  <si>
    <t>0                      DS 0113700L  87          1980</t>
  </si>
  <si>
    <t>Arabs in the Jewish State ; Israel's control of a national minority / by Ian Lustick.</t>
  </si>
  <si>
    <t>Lustick, Ian, 1949-</t>
  </si>
  <si>
    <t>Austin : University of Texas Press, c1980.</t>
  </si>
  <si>
    <t>Modern Middle East series ; no. 6</t>
  </si>
  <si>
    <t>3901381223:eng</t>
  </si>
  <si>
    <t>5493481</t>
  </si>
  <si>
    <t>991004839339702656</t>
  </si>
  <si>
    <t>2262811410002656</t>
  </si>
  <si>
    <t>9780292703483</t>
  </si>
  <si>
    <t>32285000274885</t>
  </si>
  <si>
    <t>893412006</t>
  </si>
  <si>
    <t>DS113.7 .P35</t>
  </si>
  <si>
    <t>0                      DS 0113700P  35</t>
  </si>
  <si>
    <t>Palestinian society and politics / Joel S. Migdal ... [et al.].</t>
  </si>
  <si>
    <t>Princeton, N.J. : Princeton University Press, c1980.</t>
  </si>
  <si>
    <t>1992-03-24</t>
  </si>
  <si>
    <t>1990-04-02</t>
  </si>
  <si>
    <t>15075645:eng</t>
  </si>
  <si>
    <t>4883347</t>
  </si>
  <si>
    <t>991004740759702656</t>
  </si>
  <si>
    <t>2264102020002656</t>
  </si>
  <si>
    <t>9780691021935</t>
  </si>
  <si>
    <t>32285000107846</t>
  </si>
  <si>
    <t>893411893</t>
  </si>
  <si>
    <t>DS113.72 .D364 2003</t>
  </si>
  <si>
    <t>0                      DS 0113720D  364         2003</t>
  </si>
  <si>
    <t>The Druze in the Middle East : their faith, leadership, identity and status / Nissim Dana.</t>
  </si>
  <si>
    <t>Dana, Nissim, 1938-</t>
  </si>
  <si>
    <t>Brighton [England] ; Portland, Or. : Sussex Academic Press, 2003.</t>
  </si>
  <si>
    <t>2003</t>
  </si>
  <si>
    <t>2004-12-10</t>
  </si>
  <si>
    <t>2004-11-15</t>
  </si>
  <si>
    <t>826285:eng</t>
  </si>
  <si>
    <t>51728714</t>
  </si>
  <si>
    <t>991004394559702656</t>
  </si>
  <si>
    <t>2270259400002656</t>
  </si>
  <si>
    <t>9781903900369</t>
  </si>
  <si>
    <t>32285005010037</t>
  </si>
  <si>
    <t>893687681</t>
  </si>
  <si>
    <t>DS113.8.S4 S53 2010</t>
  </si>
  <si>
    <t>0                      DS 0113800S  4                  S  53          2010</t>
  </si>
  <si>
    <t>We look like the enemy : the hidden story of Israel's Jews from Arab lands / Rachel Shabi.</t>
  </si>
  <si>
    <t>Shabi, Rachel.</t>
  </si>
  <si>
    <t>New York : Walker &amp; Co., c2010.</t>
  </si>
  <si>
    <t>2010</t>
  </si>
  <si>
    <t>Pbk. ed.</t>
  </si>
  <si>
    <t>2010-12-10</t>
  </si>
  <si>
    <t>2010-11-18</t>
  </si>
  <si>
    <t>196123549:eng</t>
  </si>
  <si>
    <t>401152808</t>
  </si>
  <si>
    <t>991000222819702656</t>
  </si>
  <si>
    <t>2265961670002656</t>
  </si>
  <si>
    <t>9780802717665</t>
  </si>
  <si>
    <t>32285005606917</t>
  </si>
  <si>
    <t>893425538</t>
  </si>
  <si>
    <t>DS113.8.Y4 M33 2009</t>
  </si>
  <si>
    <t>0                      DS 0113800Y  4                  M  33          2009</t>
  </si>
  <si>
    <t>Israeli media and the framing of internal conflict : the Yemenite babies affair / Shoshana Madmoni-Gerber.</t>
  </si>
  <si>
    <t>Madmoni-Gerber, Shoshana.</t>
  </si>
  <si>
    <t>New York, NY : Palgrave Macmillan, 2009.</t>
  </si>
  <si>
    <t>2009</t>
  </si>
  <si>
    <t>2010-04-13</t>
  </si>
  <si>
    <t>797268007:eng</t>
  </si>
  <si>
    <t>276995492</t>
  </si>
  <si>
    <t>991005381249702656</t>
  </si>
  <si>
    <t>2264449080002656</t>
  </si>
  <si>
    <t>9780230613461</t>
  </si>
  <si>
    <t>32285005563787</t>
  </si>
  <si>
    <t>893443925</t>
  </si>
  <si>
    <t>DS115 .S63 1993b</t>
  </si>
  <si>
    <t>0                      DS 0115000S  63          1993b</t>
  </si>
  <si>
    <t>An introduction to the history of Israel and Judah / J. Alberto Soggin ; [translated by John Bowden].</t>
  </si>
  <si>
    <t>Soggin, J. Alberto.</t>
  </si>
  <si>
    <t>Valley Forge, PA : Trinity Press International, 1993.</t>
  </si>
  <si>
    <t>2nd, completely rev. and upd. ed. ; 1st U.S. ed.</t>
  </si>
  <si>
    <t>2864377453:eng</t>
  </si>
  <si>
    <t>29546023</t>
  </si>
  <si>
    <t>991002276399702656</t>
  </si>
  <si>
    <t>2271791800002656</t>
  </si>
  <si>
    <t>9781563380730</t>
  </si>
  <si>
    <t>32285001941896</t>
  </si>
  <si>
    <t>893792259</t>
  </si>
  <si>
    <t>DS115.2 .A58 1997</t>
  </si>
  <si>
    <t>0                      DS 0115200A  58          1997</t>
  </si>
  <si>
    <t>The journey home : Jewish women and the American century / Joyce Antler.</t>
  </si>
  <si>
    <t>Antler, Joyce.</t>
  </si>
  <si>
    <t>New York : Free Press, c1997.</t>
  </si>
  <si>
    <t>2000-04-05</t>
  </si>
  <si>
    <t>1997-09-25</t>
  </si>
  <si>
    <t>2288061245:eng</t>
  </si>
  <si>
    <t>35758137</t>
  </si>
  <si>
    <t>991002725959702656</t>
  </si>
  <si>
    <t>2260231780002656</t>
  </si>
  <si>
    <t>9780684834443</t>
  </si>
  <si>
    <t>32285003250783</t>
  </si>
  <si>
    <t>893239417</t>
  </si>
  <si>
    <t>DS115.2 .C45 1997</t>
  </si>
  <si>
    <t>0                      DS 0115200C  45          1997</t>
  </si>
  <si>
    <t>Celebrating the lives of Jewish women : patterns in a feminist sampler / Rachel Josefowitz Siegel, Ellen Cole, editors.</t>
  </si>
  <si>
    <t>New York : Harrington Park Press, c1997.</t>
  </si>
  <si>
    <t>Haworth innovations in feminist studies</t>
  </si>
  <si>
    <t>2003-11-11</t>
  </si>
  <si>
    <t>1998-12-08</t>
  </si>
  <si>
    <t>376085963:eng</t>
  </si>
  <si>
    <t>36755750</t>
  </si>
  <si>
    <t>991002797959702656</t>
  </si>
  <si>
    <t>2265812140002656</t>
  </si>
  <si>
    <t>9780789000866</t>
  </si>
  <si>
    <t>32285003494746</t>
  </si>
  <si>
    <t>893604046</t>
  </si>
  <si>
    <t>DS115.5 .C36 1997</t>
  </si>
  <si>
    <t>0                      DS 0115500C  36          1997</t>
  </si>
  <si>
    <t>Can a 'history of Israel' be written? / edited by Lester L. Grabbe.</t>
  </si>
  <si>
    <t>Sheffield, England : Sheffield Academic Press, c1997.</t>
  </si>
  <si>
    <t>European seminar in historical methodology ; 1</t>
  </si>
  <si>
    <t>2001-02-13</t>
  </si>
  <si>
    <t>1999-10-26</t>
  </si>
  <si>
    <t>5218482812:eng</t>
  </si>
  <si>
    <t>41278213</t>
  </si>
  <si>
    <t>991003023979702656</t>
  </si>
  <si>
    <t>2267656740002656</t>
  </si>
  <si>
    <t>9781850756699</t>
  </si>
  <si>
    <t>32285003613378</t>
  </si>
  <si>
    <t>893348256</t>
  </si>
  <si>
    <t>DS115.5 .D39 2003</t>
  </si>
  <si>
    <t>0                      DS 0115500D  39          2003</t>
  </si>
  <si>
    <t>Who were the early Israelites, and where did they come from? / William G. Dever.</t>
  </si>
  <si>
    <t>Grand Rapids, Mich. : William B. Eerdmans Pub. Co., c2003.</t>
  </si>
  <si>
    <t>2007-03-05</t>
  </si>
  <si>
    <t>2003-08-06</t>
  </si>
  <si>
    <t>781972:eng</t>
  </si>
  <si>
    <t>51216016</t>
  </si>
  <si>
    <t>991004095689702656</t>
  </si>
  <si>
    <t>2270235100002656</t>
  </si>
  <si>
    <t>9780802809759</t>
  </si>
  <si>
    <t>32285004758974</t>
  </si>
  <si>
    <t>893869276</t>
  </si>
  <si>
    <t>DS115.5 .W475 1996</t>
  </si>
  <si>
    <t>0                      DS 0115500W  475         1996</t>
  </si>
  <si>
    <t>The invention of ancient Israel : the silencing of Palestinian history / Keith W. Whitelam.</t>
  </si>
  <si>
    <t>Whitelam, Keith W.</t>
  </si>
  <si>
    <t>New York : Routledge, 1996, (1997 printing).</t>
  </si>
  <si>
    <t>1997-10-15</t>
  </si>
  <si>
    <t>836917395:eng</t>
  </si>
  <si>
    <t>32431464</t>
  </si>
  <si>
    <t>991002492929702656</t>
  </si>
  <si>
    <t>2257149590002656</t>
  </si>
  <si>
    <t>9780415107587</t>
  </si>
  <si>
    <t>32285003254470</t>
  </si>
  <si>
    <t>893804670</t>
  </si>
  <si>
    <t>DS115.5 .W48 1984</t>
  </si>
  <si>
    <t>0                      DS 0115500W  48          1984</t>
  </si>
  <si>
    <t>Jews and Christians : Graeco-Roman views / Molly Whittaker.</t>
  </si>
  <si>
    <t>Whittaker, Molly.</t>
  </si>
  <si>
    <t>Cambridge [Cambridgeshire] ; New York : Cambridge University Press, 1984.</t>
  </si>
  <si>
    <t>Cambridge commentaries on writings of the Jewish and Christian world, 200 BC to AD 200 ; v. 6</t>
  </si>
  <si>
    <t>2009-10-12</t>
  </si>
  <si>
    <t>836654811:eng</t>
  </si>
  <si>
    <t>10403853</t>
  </si>
  <si>
    <t>991000366949702656</t>
  </si>
  <si>
    <t>2267461400002656</t>
  </si>
  <si>
    <t>9780521285568</t>
  </si>
  <si>
    <t>32285000293364</t>
  </si>
  <si>
    <t>893339484</t>
  </si>
  <si>
    <t>DS115.9.E95 W3</t>
  </si>
  <si>
    <t>0                      DS 0115900E  95                 W  3</t>
  </si>
  <si>
    <t>Eupolemus; a study of Judaeo-Greek literature.</t>
  </si>
  <si>
    <t>Wacholder, Ben Zion.</t>
  </si>
  <si>
    <t>Cincinnati, Hebrew Union College-Jewish Institute of Religion, 1974 [i.e. 1975]</t>
  </si>
  <si>
    <t>Monographs of the Hebrew Union College ; no. 3</t>
  </si>
  <si>
    <t>1992-05-14</t>
  </si>
  <si>
    <t>815120873:eng</t>
  </si>
  <si>
    <t>1045990</t>
  </si>
  <si>
    <t>991003495399702656</t>
  </si>
  <si>
    <t>2268774010002656</t>
  </si>
  <si>
    <t>9780878204014</t>
  </si>
  <si>
    <t>32285001110138</t>
  </si>
  <si>
    <t>893252420</t>
  </si>
  <si>
    <t>DS116 .E41 1963</t>
  </si>
  <si>
    <t>0                      DS 0116000E  41          1963</t>
  </si>
  <si>
    <t>A concise history of Israel from the earliest times to the destruction of the temple in A. D. 70. [Translated by James Barr.</t>
  </si>
  <si>
    <t>Ehrlich, Ernst Ludwig.</t>
  </si>
  <si>
    <t>London] Darton, Longman &amp; Todd [1963, c1962]</t>
  </si>
  <si>
    <t>1999-01-19</t>
  </si>
  <si>
    <t>2556881455:eng</t>
  </si>
  <si>
    <t>11674035</t>
  </si>
  <si>
    <t>991004467659702656</t>
  </si>
  <si>
    <t>2262172220002656</t>
  </si>
  <si>
    <t>32285002461431</t>
  </si>
  <si>
    <t>893247609</t>
  </si>
  <si>
    <t>DS116 .J67 1981</t>
  </si>
  <si>
    <t>0                      DS 0116000J  67          1981</t>
  </si>
  <si>
    <t>Flavius Josèphe : un témoin juif de la Palestine au temps des Apôtres.</t>
  </si>
  <si>
    <t>Paris : Éditions du Cerf, 1981.</t>
  </si>
  <si>
    <t>Cahiers evangile, 0222-9706 ; 36</t>
  </si>
  <si>
    <t>2005-02-13</t>
  </si>
  <si>
    <t>5609024736:fre</t>
  </si>
  <si>
    <t>13449952</t>
  </si>
  <si>
    <t>991000830369702656</t>
  </si>
  <si>
    <t>2255938070002656</t>
  </si>
  <si>
    <t>32285000293372</t>
  </si>
  <si>
    <t>893614529</t>
  </si>
  <si>
    <t>DS117 .C26 1994</t>
  </si>
  <si>
    <t>0                      DS 0117000C  26          1994</t>
  </si>
  <si>
    <t>The sacred chain : the history of the Jews / Norman F. Cantor.</t>
  </si>
  <si>
    <t>Cantor, Norman F.</t>
  </si>
  <si>
    <t>New York, NY : HarperCollins, c1994.</t>
  </si>
  <si>
    <t>1996-04-11</t>
  </si>
  <si>
    <t>1995-01-09</t>
  </si>
  <si>
    <t>7028007:eng</t>
  </si>
  <si>
    <t>30624376</t>
  </si>
  <si>
    <t>991002352179702656</t>
  </si>
  <si>
    <t>2260222670002656</t>
  </si>
  <si>
    <t>9780060167462</t>
  </si>
  <si>
    <t>32285001991453</t>
  </si>
  <si>
    <t>893529862</t>
  </si>
  <si>
    <t>DS117 .C2813 1985</t>
  </si>
  <si>
    <t>0                      DS 0117000C  2813        1985</t>
  </si>
  <si>
    <t>The history of Israel and Judah in Old Testament times / by Francois Castel ; translated by Matthew J. O'Connell.</t>
  </si>
  <si>
    <t>Castel, François.</t>
  </si>
  <si>
    <t>New York : Paulist Press, c1985.</t>
  </si>
  <si>
    <t>1806305664:eng</t>
  </si>
  <si>
    <t>13038489</t>
  </si>
  <si>
    <t>991000772669702656</t>
  </si>
  <si>
    <t>2260830130002656</t>
  </si>
  <si>
    <t>9780809127016</t>
  </si>
  <si>
    <t>32285000293380</t>
  </si>
  <si>
    <t>893620775</t>
  </si>
  <si>
    <t>DS117 .F52</t>
  </si>
  <si>
    <t>0                      DS 0117000F  52</t>
  </si>
  <si>
    <t>Discovering Israel : an archaeological guide to the Holy Land / by Jack Finegan.</t>
  </si>
  <si>
    <t>Finegan, Jack, 1908-2000.</t>
  </si>
  <si>
    <t>Grand Rapids : Eerdmans, c1981.</t>
  </si>
  <si>
    <t>2002-11-23</t>
  </si>
  <si>
    <t>365434499:eng</t>
  </si>
  <si>
    <t>7170385</t>
  </si>
  <si>
    <t>991005079859702656</t>
  </si>
  <si>
    <t>2256632230002656</t>
  </si>
  <si>
    <t>9780802818690</t>
  </si>
  <si>
    <t>32285000107853</t>
  </si>
  <si>
    <t>893344611</t>
  </si>
  <si>
    <t>DS117 .F53 1988</t>
  </si>
  <si>
    <t>0                      DS 0117000F  53          1988</t>
  </si>
  <si>
    <t>David's social drama : a hologram of Israel's Early Iron Age / James W. Flanagan.</t>
  </si>
  <si>
    <t>Flanagan, James W.</t>
  </si>
  <si>
    <t>Sheffield : Almond, 1988.</t>
  </si>
  <si>
    <t>Journal for the study of the Old Testament. Supplement series, 0309-0787 ; 73</t>
  </si>
  <si>
    <t>1999-02-28</t>
  </si>
  <si>
    <t>5090468231:eng</t>
  </si>
  <si>
    <t>18815413</t>
  </si>
  <si>
    <t>991001399459702656</t>
  </si>
  <si>
    <t>2265570990002656</t>
  </si>
  <si>
    <t>9781850752028</t>
  </si>
  <si>
    <t>32285000102243</t>
  </si>
  <si>
    <t>893684294</t>
  </si>
  <si>
    <t>DS117 .I55 1997</t>
  </si>
  <si>
    <t>0                      DS 0117000I  55          1997</t>
  </si>
  <si>
    <t>The illustrated history of the Jewish people / edited by Nicholas De Lange ; with essays by Jane S. Gerber ... [et al.].</t>
  </si>
  <si>
    <t>New York : Harcourt Brace, c1997.</t>
  </si>
  <si>
    <t>2008-06-10</t>
  </si>
  <si>
    <t>57214963:eng</t>
  </si>
  <si>
    <t>37629838</t>
  </si>
  <si>
    <t>991005233609702656</t>
  </si>
  <si>
    <t>2258241090002656</t>
  </si>
  <si>
    <t>9780151003020</t>
  </si>
  <si>
    <t>32285005444707</t>
  </si>
  <si>
    <t>893607053</t>
  </si>
  <si>
    <t>DS117 .J43</t>
  </si>
  <si>
    <t>0                      DS 0117000J  43</t>
  </si>
  <si>
    <t>The Jewish world : history and culture of the Jewish people / edited by Elie Kedourie ; texts by Elie Kedourie ... [et al.].</t>
  </si>
  <si>
    <t>New York : H. N. Abrams, 1979.</t>
  </si>
  <si>
    <t>2000-02-14</t>
  </si>
  <si>
    <t>8868147036:eng</t>
  </si>
  <si>
    <t>4549408</t>
  </si>
  <si>
    <t>991004677379702656</t>
  </si>
  <si>
    <t>2272579810002656</t>
  </si>
  <si>
    <t>9780810911543</t>
  </si>
  <si>
    <t>32285000293406</t>
  </si>
  <si>
    <t>893700530</t>
  </si>
  <si>
    <t>DS117 .J54 1987</t>
  </si>
  <si>
    <t>0                      DS 0117000J  54          1987</t>
  </si>
  <si>
    <t>A history of the Jews / Paul Johnson.</t>
  </si>
  <si>
    <t>Johnson, Paul, 1928-</t>
  </si>
  <si>
    <t>New York : Harper &amp; Row, c1987.</t>
  </si>
  <si>
    <t>2001-03-02</t>
  </si>
  <si>
    <t>1151119366:eng</t>
  </si>
  <si>
    <t>15282826</t>
  </si>
  <si>
    <t>991001010669702656</t>
  </si>
  <si>
    <t>2266338800002656</t>
  </si>
  <si>
    <t>9780060156985</t>
  </si>
  <si>
    <t>32285000274919</t>
  </si>
  <si>
    <t>893778473</t>
  </si>
  <si>
    <t>DS117 .J56</t>
  </si>
  <si>
    <t>0                      DS 0117000J  56</t>
  </si>
  <si>
    <t>A history of Israel.</t>
  </si>
  <si>
    <t>Johnston, Leonard.</t>
  </si>
  <si>
    <t>New York : Sheed and Ward, [1964]</t>
  </si>
  <si>
    <t>2002-03-19</t>
  </si>
  <si>
    <t>1546372:eng</t>
  </si>
  <si>
    <t>398214</t>
  </si>
  <si>
    <t>991002680049702656</t>
  </si>
  <si>
    <t>2259605120002656</t>
  </si>
  <si>
    <t>32285001106144</t>
  </si>
  <si>
    <t>893773905</t>
  </si>
  <si>
    <t>DS117 .R512</t>
  </si>
  <si>
    <t>0                      DS 0117000R  512</t>
  </si>
  <si>
    <t>The history of Israel / translated by Clement Della Penta and Richard T. A. Murphy.</t>
  </si>
  <si>
    <t>Ricciotti, Giuseppe, 1890-1964.</t>
  </si>
  <si>
    <t>Milwaukee : Bruce, [1955]</t>
  </si>
  <si>
    <t>wiu</t>
  </si>
  <si>
    <t>2001-03-22</t>
  </si>
  <si>
    <t>3144577090:eng</t>
  </si>
  <si>
    <t>1615468</t>
  </si>
  <si>
    <t>991003840279702656</t>
  </si>
  <si>
    <t>2266399570002656</t>
  </si>
  <si>
    <t>32285002272556</t>
  </si>
  <si>
    <t>893337024</t>
  </si>
  <si>
    <t>32285002272564</t>
  </si>
  <si>
    <t>893318467</t>
  </si>
  <si>
    <t>DS117 .S45 1998</t>
  </si>
  <si>
    <t>0                      DS 0117000S  45          1998</t>
  </si>
  <si>
    <t>A short history of the Jewish people : from legendary times to modern statehood / Raymond P. Scheindlin.</t>
  </si>
  <si>
    <t>Scheindlin, Raymond P.</t>
  </si>
  <si>
    <t>New York : Macmillan, c1998.</t>
  </si>
  <si>
    <t>1999-01-05</t>
  </si>
  <si>
    <t>3769612193:eng</t>
  </si>
  <si>
    <t>38216614</t>
  </si>
  <si>
    <t>991002899369702656</t>
  </si>
  <si>
    <t>2255709840002656</t>
  </si>
  <si>
    <t>9780028625867</t>
  </si>
  <si>
    <t>32285003509261</t>
  </si>
  <si>
    <t>893227413</t>
  </si>
  <si>
    <t>DS117 .S6413 1985</t>
  </si>
  <si>
    <t>0                      DS 0117000S  6413        1985</t>
  </si>
  <si>
    <t>A history of ancient Israel / J. Alberto Soggin ; with two appendixes by Diethelm Conrad and Haim Tadmor ; [translated by John Bowden from the Italian].</t>
  </si>
  <si>
    <t>Philadelphia : Westminster Press, 1985, c1984.</t>
  </si>
  <si>
    <t>2006-10-25</t>
  </si>
  <si>
    <t>1989-12-07</t>
  </si>
  <si>
    <t>4202265705:eng</t>
  </si>
  <si>
    <t>11519144</t>
  </si>
  <si>
    <t>991000547359702656</t>
  </si>
  <si>
    <t>2267304980002656</t>
  </si>
  <si>
    <t>9780664212582</t>
  </si>
  <si>
    <t>32285000030121</t>
  </si>
  <si>
    <t>893255520</t>
  </si>
  <si>
    <t>DS117 .T613</t>
  </si>
  <si>
    <t>0                      DS 0117000T  613</t>
  </si>
  <si>
    <t>A History of the Jewish people / A. Malamat ... [et al.] ; edited by H. H. Ben-Sasson.</t>
  </si>
  <si>
    <t>Halperin, Raphael.</t>
  </si>
  <si>
    <t>Cambridge, Mass. : Harvard University Press, 1976.</t>
  </si>
  <si>
    <t>1997-03-06</t>
  </si>
  <si>
    <t>1990-05-18</t>
  </si>
  <si>
    <t>3943536817:eng</t>
  </si>
  <si>
    <t>3103763</t>
  </si>
  <si>
    <t>991004346899702656</t>
  </si>
  <si>
    <t>2272623260002656</t>
  </si>
  <si>
    <t>9780674397309</t>
  </si>
  <si>
    <t>32285000157106</t>
  </si>
  <si>
    <t>893612239</t>
  </si>
  <si>
    <t>DS117 .W3</t>
  </si>
  <si>
    <t>0                      DS 0117000W  3</t>
  </si>
  <si>
    <t>Great confrontations in Jewish history / edited by Stanley M. Wagner and Allen D. Breck.</t>
  </si>
  <si>
    <t>Wagner, Stanley M., editor.</t>
  </si>
  <si>
    <t>Denver : University of Denver, Dept. of History, 1977.</t>
  </si>
  <si>
    <t>cou</t>
  </si>
  <si>
    <t>The J.M. Goodstein lecture series on Judaica : 1975.</t>
  </si>
  <si>
    <t>1999-03-17</t>
  </si>
  <si>
    <t>1993-06-07</t>
  </si>
  <si>
    <t>481237769:eng</t>
  </si>
  <si>
    <t>3229778</t>
  </si>
  <si>
    <t>991004383139702656</t>
  </si>
  <si>
    <t>2254993710002656</t>
  </si>
  <si>
    <t>9780930078058</t>
  </si>
  <si>
    <t>32285001714293</t>
  </si>
  <si>
    <t>893417553</t>
  </si>
  <si>
    <t>DS117 .W6 v.1</t>
  </si>
  <si>
    <t>0                      DS 0117000W  6                                                       v.1</t>
  </si>
  <si>
    <t>At the dawn of civilization : a background of Biblical history / editor, E. A. Speiser.</t>
  </si>
  <si>
    <t>[Tel-Aviv?] : Jewish History Publications Ltd. ; [New Brunswick] : Rutgers University Press, 1964, c1963.</t>
  </si>
  <si>
    <t>The World history of the Jewish people : Ancient times ; 1st ser., v. 1</t>
  </si>
  <si>
    <t>1994-05-25</t>
  </si>
  <si>
    <t>3855543636:eng</t>
  </si>
  <si>
    <t>1958553</t>
  </si>
  <si>
    <t>991003952139702656</t>
  </si>
  <si>
    <t>2265547260002656</t>
  </si>
  <si>
    <t>32285001912228</t>
  </si>
  <si>
    <t>893318629</t>
  </si>
  <si>
    <t>DS117 .W6 v.4, pt.1</t>
  </si>
  <si>
    <t>0                      DS 0117000W  6                                                       v.4, pt.1</t>
  </si>
  <si>
    <t>The Age of the monarchies : political history / editor: Abraham Malamat ; associate editor: Israel Ephʻal.</t>
  </si>
  <si>
    <t>V.4 PT.1</t>
  </si>
  <si>
    <t>Jerusalem : Massada Press, 1979.</t>
  </si>
  <si>
    <t>The world history of the Jewish people ; 1st series : ancient times ; v. 4-I</t>
  </si>
  <si>
    <t>9021362159:eng</t>
  </si>
  <si>
    <t>6477335</t>
  </si>
  <si>
    <t>991004988189702656</t>
  </si>
  <si>
    <t>2255410620002656</t>
  </si>
  <si>
    <t>32285001106136</t>
  </si>
  <si>
    <t>893713284</t>
  </si>
  <si>
    <t>DS117 .W6 v.4, pt.2</t>
  </si>
  <si>
    <t>0                      DS 0117000W  6                                                       v.4, pt.2</t>
  </si>
  <si>
    <t>The Age of the monarchies : culture and society / editor: Abraham Malamat ; associate editor: Israel Ephʻal.</t>
  </si>
  <si>
    <t>V.4 PT.2</t>
  </si>
  <si>
    <t>The world history of the Jewish people ; 1st series : ancient times ; v. 4-II</t>
  </si>
  <si>
    <t>2005-02-24</t>
  </si>
  <si>
    <t>1994-05-04</t>
  </si>
  <si>
    <t>3901458822:eng</t>
  </si>
  <si>
    <t>6072620</t>
  </si>
  <si>
    <t>991004923979702656</t>
  </si>
  <si>
    <t>2270769870002656</t>
  </si>
  <si>
    <t>32285001906824</t>
  </si>
  <si>
    <t>893619222</t>
  </si>
  <si>
    <t>DS117 .W6 v.7</t>
  </si>
  <si>
    <t>0                      DS 0117000W  6                                                       v.7</t>
  </si>
  <si>
    <t>The Herodian period / editor, Michael Avi-Yonah ; assistant editor, Zvi Baras.</t>
  </si>
  <si>
    <t>[Tel-Aviv?] : Jewish History Publications Ltd. ; New Brunswick : Rutgers University Press, c1975.</t>
  </si>
  <si>
    <t>The World history of the Jewish People : Ancient times ; 1st ser., v. 7</t>
  </si>
  <si>
    <t>2007-03-19</t>
  </si>
  <si>
    <t>9349790505:eng</t>
  </si>
  <si>
    <t>1551852</t>
  </si>
  <si>
    <t>991003818569702656</t>
  </si>
  <si>
    <t>2265794290002656</t>
  </si>
  <si>
    <t>9780813508061</t>
  </si>
  <si>
    <t>32285001912244</t>
  </si>
  <si>
    <t>893445876</t>
  </si>
  <si>
    <t>DS118 .A3313</t>
  </si>
  <si>
    <t>0                      DS 0118000A  3313</t>
  </si>
  <si>
    <t>The land of the Bible; a historical geography, by Yohanan Aharoni. Translated from the Hebrew by A.F. Rainey.</t>
  </si>
  <si>
    <t>Philadelphia, Westminster Press [1967]</t>
  </si>
  <si>
    <t>513660:eng</t>
  </si>
  <si>
    <t>830863</t>
  </si>
  <si>
    <t>991003307409702656</t>
  </si>
  <si>
    <t>2269828440002656</t>
  </si>
  <si>
    <t>32285002461571</t>
  </si>
  <si>
    <t>893227922</t>
  </si>
  <si>
    <t>DS118 .A8</t>
  </si>
  <si>
    <t>0                      DS 0118000A  8</t>
  </si>
  <si>
    <t>Pictorial history of the Jewish people, from Bible times to our own day throughout the world.</t>
  </si>
  <si>
    <t>Ausubel, Nathan, 1898-1986.</t>
  </si>
  <si>
    <t>New York, Crown Publishers [1953]</t>
  </si>
  <si>
    <t>1953</t>
  </si>
  <si>
    <t>1992-05-06</t>
  </si>
  <si>
    <t>3855308152:eng</t>
  </si>
  <si>
    <t>649234</t>
  </si>
  <si>
    <t>991003100049702656</t>
  </si>
  <si>
    <t>2259020320002656</t>
  </si>
  <si>
    <t>32285001121226</t>
  </si>
  <si>
    <t>893518151</t>
  </si>
  <si>
    <t>DS118 .A8713 1977</t>
  </si>
  <si>
    <t>0                      DS 0118000A  8713        1977</t>
  </si>
  <si>
    <t>The Holy Land, from the Persian to the Arab conquests (536 B. C. to A. D. 640) : a historical geography / by Michael Avi-Yonah.</t>
  </si>
  <si>
    <t>Grand Rapids, Mich. : Baker Book House, c1977, 1979 printing.</t>
  </si>
  <si>
    <t>1999-01-26</t>
  </si>
  <si>
    <t>767726224:eng</t>
  </si>
  <si>
    <t>3123600</t>
  </si>
  <si>
    <t>991004383329702656</t>
  </si>
  <si>
    <t>2261547910002656</t>
  </si>
  <si>
    <t>9781801000109</t>
  </si>
  <si>
    <t>32285000290246</t>
  </si>
  <si>
    <t>893869652</t>
  </si>
  <si>
    <t>DS118 .B413 1963</t>
  </si>
  <si>
    <t>0                      DS 0118000B  413         1963</t>
  </si>
  <si>
    <t>Concise history of Israel : from Abraham to the Bar Cochba rebellion / translated by Arnold J. Pomerans.</t>
  </si>
  <si>
    <t>Beek, M. A. (Martinus Adrianus), 1909-1987.</t>
  </si>
  <si>
    <t>New York : Harper &amp; Row, [c1963]</t>
  </si>
  <si>
    <t>1999-01-25</t>
  </si>
  <si>
    <t>3768899200:eng</t>
  </si>
  <si>
    <t>404916</t>
  </si>
  <si>
    <t>991002699259702656</t>
  </si>
  <si>
    <t>2260399830002656</t>
  </si>
  <si>
    <t>32285001106128</t>
  </si>
  <si>
    <t>893616446</t>
  </si>
  <si>
    <t>DS118 .G46 2002</t>
  </si>
  <si>
    <t>0                      DS 0118000G  46          2002</t>
  </si>
  <si>
    <t>Letters to Auntie Fori : the 5000-year history of the Jewish people and their faith / Martin Gilbert.</t>
  </si>
  <si>
    <t>Gilbert, Martin, 1936-2015.</t>
  </si>
  <si>
    <t>New York : Schocken Books, c2002.</t>
  </si>
  <si>
    <t>2002-06-16</t>
  </si>
  <si>
    <t>2002-05-01</t>
  </si>
  <si>
    <t>837050088:eng</t>
  </si>
  <si>
    <t>46394464</t>
  </si>
  <si>
    <t>991003798059702656</t>
  </si>
  <si>
    <t>2266413720002656</t>
  </si>
  <si>
    <t>9780805241884</t>
  </si>
  <si>
    <t>32285004485230</t>
  </si>
  <si>
    <t>893506006</t>
  </si>
  <si>
    <t>DS118 .K1513</t>
  </si>
  <si>
    <t>0                      DS 0118000K  1513</t>
  </si>
  <si>
    <t>Israel : from the earliest times to the birth of Christ / [by] Arvid S. Kapelrud. Translated [from the Norwegian] by J.M. Moe.</t>
  </si>
  <si>
    <t>Kapelrud, Arvid S., 1912-1994.</t>
  </si>
  <si>
    <t>Oxford : Blackwell, 1966</t>
  </si>
  <si>
    <t>1966</t>
  </si>
  <si>
    <t>1999-01-21</t>
  </si>
  <si>
    <t>3900993013:eng</t>
  </si>
  <si>
    <t>1123166</t>
  </si>
  <si>
    <t>991003555289702656</t>
  </si>
  <si>
    <t>2265343800002656</t>
  </si>
  <si>
    <t>32285001106110</t>
  </si>
  <si>
    <t>893348803</t>
  </si>
  <si>
    <t>DS118 .M26 1991</t>
  </si>
  <si>
    <t>0                      DS 0118000M  26          1991</t>
  </si>
  <si>
    <t>Jewish history and thought : an introduction / by Menahem Mansoor.</t>
  </si>
  <si>
    <t>Mansoor, Menahem.</t>
  </si>
  <si>
    <t>Hoboken, NJ : Ktav Pub. House, c1991.</t>
  </si>
  <si>
    <t>2003-12-06</t>
  </si>
  <si>
    <t>1995-04-17</t>
  </si>
  <si>
    <t>368317707:eng</t>
  </si>
  <si>
    <t>24503299</t>
  </si>
  <si>
    <t>991001939719702656</t>
  </si>
  <si>
    <t>2261647690002656</t>
  </si>
  <si>
    <t>9780881254037</t>
  </si>
  <si>
    <t>32285002008836</t>
  </si>
  <si>
    <t>893244566</t>
  </si>
  <si>
    <t>DS118 .M55 1969</t>
  </si>
  <si>
    <t>0                      DS 0118000M  55          1969</t>
  </si>
  <si>
    <t>The decadence of Judaism in our time.</t>
  </si>
  <si>
    <t>Menuhin, Moshe, 1893-1983.</t>
  </si>
  <si>
    <t>Beirut : Institute for Palestine Studies, 1969.</t>
  </si>
  <si>
    <t xml:space="preserve">le </t>
  </si>
  <si>
    <t>Institute for Palestine Studies. Reprint series, no. 1</t>
  </si>
  <si>
    <t>1993-12-06</t>
  </si>
  <si>
    <t>1184265:eng</t>
  </si>
  <si>
    <t>104943</t>
  </si>
  <si>
    <t>991000627879702656</t>
  </si>
  <si>
    <t>2260824010002656</t>
  </si>
  <si>
    <t>32285001805851</t>
  </si>
  <si>
    <t>893608117</t>
  </si>
  <si>
    <t>DS118 .P35 1983</t>
  </si>
  <si>
    <t>0                      DS 0118000P  35          1983</t>
  </si>
  <si>
    <t>Palestine in transition: the emergence of ancient Israel / edited by David Noel Freedman and David Frank Graf.</t>
  </si>
  <si>
    <t>Sheffield, Eng. : published in association with The American Schools of Oriental Research by the Almond Press, 1983.</t>
  </si>
  <si>
    <t>The Social world of Biblical antiquity ; 2</t>
  </si>
  <si>
    <t>2001-06-27</t>
  </si>
  <si>
    <t>1991-06-28</t>
  </si>
  <si>
    <t>806543183:eng</t>
  </si>
  <si>
    <t>10327192</t>
  </si>
  <si>
    <t>991000356049702656</t>
  </si>
  <si>
    <t>2264686250002656</t>
  </si>
  <si>
    <t>9780907459323</t>
  </si>
  <si>
    <t>32285000672310</t>
  </si>
  <si>
    <t>893333396</t>
  </si>
  <si>
    <t>DS118 .P53 1974</t>
  </si>
  <si>
    <t>0                      DS 0118000P  53          1974</t>
  </si>
  <si>
    <t>Picture history of Jewish civilization / editor-in-chief: Bezalel Narkiss. Co-editors: Samuel Abramsky [and others]</t>
  </si>
  <si>
    <t>New York : Tudor Pub. Co., [c1974]</t>
  </si>
  <si>
    <t>[Rev. ed.]</t>
  </si>
  <si>
    <t>1992-05-07</t>
  </si>
  <si>
    <t>5453694732:eng</t>
  </si>
  <si>
    <t>1632974</t>
  </si>
  <si>
    <t>991003847089702656</t>
  </si>
  <si>
    <t>2257851360002656</t>
  </si>
  <si>
    <t>32285001094662</t>
  </si>
  <si>
    <t>893718135</t>
  </si>
  <si>
    <t>DS119 .G58</t>
  </si>
  <si>
    <t>0                      DS 0119000G  58</t>
  </si>
  <si>
    <t>Jews and Arabs, their contacts through the ages.</t>
  </si>
  <si>
    <t>Goitein, Shelomo Dov, 1900-1985.</t>
  </si>
  <si>
    <t>New York, Schocken Books [1955]</t>
  </si>
  <si>
    <t>2007-04-01</t>
  </si>
  <si>
    <t>1991-12-12</t>
  </si>
  <si>
    <t>149316274:eng</t>
  </si>
  <si>
    <t>964501</t>
  </si>
  <si>
    <t>991003425459702656</t>
  </si>
  <si>
    <t>2261772820002656</t>
  </si>
  <si>
    <t>32285000878537</t>
  </si>
  <si>
    <t>893317973</t>
  </si>
  <si>
    <t>DS119.2 .D86 1978</t>
  </si>
  <si>
    <t>0                      DS 0119200D  86          1978</t>
  </si>
  <si>
    <t>Elusive victory : the Arab-Israeli wars, 1947-1974 / Trevor N. Dupuy. --</t>
  </si>
  <si>
    <t>Dupuy, Trevor N. (Trevor Nevitt), 1916-1995.</t>
  </si>
  <si>
    <t>New York : Harper &amp; Row, c1978.</t>
  </si>
  <si>
    <t>1st ed. --</t>
  </si>
  <si>
    <t>1998-04-24</t>
  </si>
  <si>
    <t>1990-02-14</t>
  </si>
  <si>
    <t>284194896:eng</t>
  </si>
  <si>
    <t>4004996</t>
  </si>
  <si>
    <t>991004568029702656</t>
  </si>
  <si>
    <t>2264983080002656</t>
  </si>
  <si>
    <t>9780060111120</t>
  </si>
  <si>
    <t>32285000053784</t>
  </si>
  <si>
    <t>893319399</t>
  </si>
  <si>
    <t>DS119.2 .S3413</t>
  </si>
  <si>
    <t>0                      DS 0119200S  3413</t>
  </si>
  <si>
    <t>A history of the Israeli Army (1870-1974) / by Zeev Schiff ; translated and edited by Raphael Rothstein.</t>
  </si>
  <si>
    <t>Schiff, Zeev, 1933-2007.</t>
  </si>
  <si>
    <t>San Francisco : Straight Arrow Books ; New York : distributed by Simon and Schuster, 1974.</t>
  </si>
  <si>
    <t>2003-09-22</t>
  </si>
  <si>
    <t>2144210:eng</t>
  </si>
  <si>
    <t>1188936</t>
  </si>
  <si>
    <t>991003607879702656</t>
  </si>
  <si>
    <t>2266069000002656</t>
  </si>
  <si>
    <t>9780879320775</t>
  </si>
  <si>
    <t>32285002461670</t>
  </si>
  <si>
    <t>893781181</t>
  </si>
  <si>
    <t>DS119.6 .B73 1975</t>
  </si>
  <si>
    <t>0                      DS 0119600B  73          1975</t>
  </si>
  <si>
    <t>Decisions in Israel's foreign policy / Michael Brecher.</t>
  </si>
  <si>
    <t>Brecher, Michael.</t>
  </si>
  <si>
    <t>New Haven : Yale University Press, 1975.</t>
  </si>
  <si>
    <t>2004-04-23</t>
  </si>
  <si>
    <t>2095947:eng</t>
  </si>
  <si>
    <t>1161438</t>
  </si>
  <si>
    <t>991003580369702656</t>
  </si>
  <si>
    <t>2271325500002656</t>
  </si>
  <si>
    <t>9780300016604</t>
  </si>
  <si>
    <t>32285002461688</t>
  </si>
  <si>
    <t>893240365</t>
  </si>
  <si>
    <t>DS119.6 .N48 2000</t>
  </si>
  <si>
    <t>0                      DS 0119600N  48          2000</t>
  </si>
  <si>
    <t>A durable peace : Israel and its place among the nations / Benjamin Netanyahu.</t>
  </si>
  <si>
    <t>Netanyahu, Binyamin.</t>
  </si>
  <si>
    <t>New York : Warner Books, c2000.</t>
  </si>
  <si>
    <t>Warner Books ed.</t>
  </si>
  <si>
    <t>2009-02-02</t>
  </si>
  <si>
    <t>2000-02-23</t>
  </si>
  <si>
    <t>546053:eng</t>
  </si>
  <si>
    <t>41017446</t>
  </si>
  <si>
    <t>991003015669702656</t>
  </si>
  <si>
    <t>2255354110002656</t>
  </si>
  <si>
    <t>9780446523066</t>
  </si>
  <si>
    <t>32285003663829</t>
  </si>
  <si>
    <t>893610611</t>
  </si>
  <si>
    <t>DS119.7 .A59623 1995</t>
  </si>
  <si>
    <t>0                      DS 0119700A  59623       1995</t>
  </si>
  <si>
    <t>Through secret channels / Mahmoud Abbas.</t>
  </si>
  <si>
    <t>ʻAbbās, Maḥmūd.</t>
  </si>
  <si>
    <t>Reading, UK : Garnet Pub., 1995.</t>
  </si>
  <si>
    <t>2005-01-28</t>
  </si>
  <si>
    <t>1997-05-14</t>
  </si>
  <si>
    <t>37595760:eng</t>
  </si>
  <si>
    <t>33018689</t>
  </si>
  <si>
    <t>991002540969702656</t>
  </si>
  <si>
    <t>2257746700002656</t>
  </si>
  <si>
    <t>9781859640470</t>
  </si>
  <si>
    <t>32285002607991</t>
  </si>
  <si>
    <t>893616247</t>
  </si>
  <si>
    <t>DS119.7 .A597</t>
  </si>
  <si>
    <t>0                      DS 0119700A  597</t>
  </si>
  <si>
    <t>The angry Arabs, by W. F. Abboushi.</t>
  </si>
  <si>
    <t>Abboushi, W. F., 1931-</t>
  </si>
  <si>
    <t>Philadelphia, Westminster Press [1974]</t>
  </si>
  <si>
    <t>1637743:eng</t>
  </si>
  <si>
    <t>707372</t>
  </si>
  <si>
    <t>991003171799702656</t>
  </si>
  <si>
    <t>2270841340002656</t>
  </si>
  <si>
    <t>9780664209919</t>
  </si>
  <si>
    <t>32285002461696</t>
  </si>
  <si>
    <t>893227751</t>
  </si>
  <si>
    <t>DS119.7 .A643</t>
  </si>
  <si>
    <t>0                      DS 0119700A  643</t>
  </si>
  <si>
    <t>The role of communications in the Middle East conflict; ideological and religious aspects.</t>
  </si>
  <si>
    <t>Alexander, Yonah.</t>
  </si>
  <si>
    <t>New York, Praeger [1974, c1973]</t>
  </si>
  <si>
    <t>Praeger special studies in international politics and government</t>
  </si>
  <si>
    <t>2003-02-23</t>
  </si>
  <si>
    <t>146746833:eng</t>
  </si>
  <si>
    <t>736836</t>
  </si>
  <si>
    <t>991003210549702656</t>
  </si>
  <si>
    <t>2254951650002656</t>
  </si>
  <si>
    <t>32285002461704</t>
  </si>
  <si>
    <t>893342328</t>
  </si>
  <si>
    <t>DS119.7 .A6655 1979</t>
  </si>
  <si>
    <t>0                      DS 0119700A  6655        1979</t>
  </si>
  <si>
    <t>Arab-Israeli political/military relations : Arab perceptions, politics, and escalation / by John W. Amos II.</t>
  </si>
  <si>
    <t>Amos, John W., 1936-</t>
  </si>
  <si>
    <t>New York : Pergamon Press, [1979]</t>
  </si>
  <si>
    <t>Pergamon policy studies</t>
  </si>
  <si>
    <t>2007-11-26</t>
  </si>
  <si>
    <t>867244648:eng</t>
  </si>
  <si>
    <t>4593671</t>
  </si>
  <si>
    <t>991004688569702656</t>
  </si>
  <si>
    <t>2271394710002656</t>
  </si>
  <si>
    <t>9780080238654</t>
  </si>
  <si>
    <t>32285000053800</t>
  </si>
  <si>
    <t>893889143</t>
  </si>
  <si>
    <t>DS119.7 .A6718 1975</t>
  </si>
  <si>
    <t>0                      DS 0119700A  6718        1975</t>
  </si>
  <si>
    <t>The Arab-Israeli conflict / edited by John Norton Moore ; sponsored by the American Society of International Law.</t>
  </si>
  <si>
    <t>Princeton, N. J. : Princeton University Press, [1975] c1974-&lt;1990 &gt;</t>
  </si>
  <si>
    <t>2010-04-21</t>
  </si>
  <si>
    <t>1993-01-04</t>
  </si>
  <si>
    <t>2865681415:eng</t>
  </si>
  <si>
    <t>1171894</t>
  </si>
  <si>
    <t>991003589699702656</t>
  </si>
  <si>
    <t>2267559630002656</t>
  </si>
  <si>
    <t>9780691056487</t>
  </si>
  <si>
    <t>32285001472397</t>
  </si>
  <si>
    <t>893505730</t>
  </si>
  <si>
    <t>2003-04-02</t>
  </si>
  <si>
    <t>1992-08-19</t>
  </si>
  <si>
    <t>32285001246767</t>
  </si>
  <si>
    <t>893499454</t>
  </si>
  <si>
    <t>2010-04-18</t>
  </si>
  <si>
    <t>32285002463148</t>
  </si>
  <si>
    <t>893518650</t>
  </si>
  <si>
    <t>DS119.7 .A6719 1992</t>
  </si>
  <si>
    <t>0                      DS 0119700A  6719        1992</t>
  </si>
  <si>
    <t>The Arab-Israel conflict and its resolution : selected documents / edited by Ruth Lapidoth and Moshe Hirsch.</t>
  </si>
  <si>
    <t>Dordrecht ; Boston : Martinus Nijhoff Publishers ; Norwell, MA : Distributed in the U.S.A. and Canada by Kluwer Academic Publishers, c1992.</t>
  </si>
  <si>
    <t>2004-04-04</t>
  </si>
  <si>
    <t>1993-05-24</t>
  </si>
  <si>
    <t>836867434:eng</t>
  </si>
  <si>
    <t>23767413</t>
  </si>
  <si>
    <t>991001886559702656</t>
  </si>
  <si>
    <t>2269202710002656</t>
  </si>
  <si>
    <t>9780792313007</t>
  </si>
  <si>
    <t>32285001582690</t>
  </si>
  <si>
    <t>893244491</t>
  </si>
  <si>
    <t>DS119.7 .A67266 v.2</t>
  </si>
  <si>
    <t>0                      DS 0119700A  67266                                                   v.2</t>
  </si>
  <si>
    <t>Triumph and catastrophe : the War of 1948, Israeli independence, and the refugee problem / edited with introductions by Ian S. Lustick.</t>
  </si>
  <si>
    <t>New York : Garland Pub., 1994.</t>
  </si>
  <si>
    <t>Arab-Israeli relations ; v. 2</t>
  </si>
  <si>
    <t>1995-06-07</t>
  </si>
  <si>
    <t>366880514:eng</t>
  </si>
  <si>
    <t>29595113</t>
  </si>
  <si>
    <t>991002282269702656</t>
  </si>
  <si>
    <t>2261226440002656</t>
  </si>
  <si>
    <t>9780815315827</t>
  </si>
  <si>
    <t>32285002050887</t>
  </si>
  <si>
    <t>893523415</t>
  </si>
  <si>
    <t>DS119.7 .A67266 v.5</t>
  </si>
  <si>
    <t>0                      DS 0119700A  67266                                                   v.5</t>
  </si>
  <si>
    <t>Religion, culture, and psychology in Arab-Israeli relations / edited with introductions by Ian S. Lustick.</t>
  </si>
  <si>
    <t>Arab-Israeli relations ; v. 5</t>
  </si>
  <si>
    <t>2010-04-19</t>
  </si>
  <si>
    <t>2770326:eng</t>
  </si>
  <si>
    <t>29634359</t>
  </si>
  <si>
    <t>991002285049702656</t>
  </si>
  <si>
    <t>2257131690002656</t>
  </si>
  <si>
    <t>9780815315858</t>
  </si>
  <si>
    <t>32285002050853</t>
  </si>
  <si>
    <t>893316622</t>
  </si>
  <si>
    <t>DS119.7 .A67266 v.6</t>
  </si>
  <si>
    <t>0                      DS 0119700A  67266                                                   v.6</t>
  </si>
  <si>
    <t>Economic, legal, and demographic dimensions of Arab-Israeli relations / edited with introductions by Ian S. Lustick.</t>
  </si>
  <si>
    <t>Arab-Israeli relations ; v. 6</t>
  </si>
  <si>
    <t>2010-04-20</t>
  </si>
  <si>
    <t>354489709:eng</t>
  </si>
  <si>
    <t>29635226</t>
  </si>
  <si>
    <t>991002285409702656</t>
  </si>
  <si>
    <t>2256503710002656</t>
  </si>
  <si>
    <t>9780815315865</t>
  </si>
  <si>
    <t>32285002050846</t>
  </si>
  <si>
    <t>893785959</t>
  </si>
  <si>
    <t>DS119.7 .A67266 v.7</t>
  </si>
  <si>
    <t>0                      DS 0119700A  67266                                                   v.7</t>
  </si>
  <si>
    <t>The Conflict with the Arabs in Israeli politics and society / edited with introductions by Ian S. Lustick.</t>
  </si>
  <si>
    <t>New York : Garland, 1994.</t>
  </si>
  <si>
    <t>Arab-Israeli relations ; v. 7</t>
  </si>
  <si>
    <t>2005-06-28</t>
  </si>
  <si>
    <t>3856846900:eng</t>
  </si>
  <si>
    <t>29703018</t>
  </si>
  <si>
    <t>991002291649702656</t>
  </si>
  <si>
    <t>2261658030002656</t>
  </si>
  <si>
    <t>9780815315872</t>
  </si>
  <si>
    <t>32285002050838</t>
  </si>
  <si>
    <t>893517117</t>
  </si>
  <si>
    <t>DS119.7 .A68 1997</t>
  </si>
  <si>
    <t>0                      DS 0119700A  68          1997</t>
  </si>
  <si>
    <t>Refugees into citizens : Palestinians and the end of the Arab-Israeli conflict / Donna E. Arzt.</t>
  </si>
  <si>
    <t>Arzt, Donna E.</t>
  </si>
  <si>
    <t>New York : Council on Foreign Relations Press, c1997.</t>
  </si>
  <si>
    <t>1997-04-07</t>
  </si>
  <si>
    <t>889853145:eng</t>
  </si>
  <si>
    <t>35280864</t>
  </si>
  <si>
    <t>991001673179702656</t>
  </si>
  <si>
    <t>2254846570002656</t>
  </si>
  <si>
    <t>9780876091944</t>
  </si>
  <si>
    <t>32285002479672</t>
  </si>
  <si>
    <t>893690774</t>
  </si>
  <si>
    <t>DS119.7 .A7 1983</t>
  </si>
  <si>
    <t>0                      DS 0119700A  7           1983</t>
  </si>
  <si>
    <t>Occupation : Israel over Palestine / edited by Naseer H. Aruri.</t>
  </si>
  <si>
    <t>Aruri, Naseer Hasan, 1934-2015.</t>
  </si>
  <si>
    <t>Belmont, Mass. : Association of Arab-American University Graduates, 1983.</t>
  </si>
  <si>
    <t>AAUG monograph, No. 18</t>
  </si>
  <si>
    <t>5162659:eng</t>
  </si>
  <si>
    <t>12235105</t>
  </si>
  <si>
    <t>991000404439702656</t>
  </si>
  <si>
    <t>2269707960002656</t>
  </si>
  <si>
    <t>9780937694640</t>
  </si>
  <si>
    <t>32285000107861</t>
  </si>
  <si>
    <t>893502449</t>
  </si>
  <si>
    <t>DS119.7 .A87</t>
  </si>
  <si>
    <t>0                      DS 0119700A  87</t>
  </si>
  <si>
    <t>Israel and the Palestinians / edited and with an introd. by Shlomo Avineri.</t>
  </si>
  <si>
    <t>Avineri, Shlomo compiler.</t>
  </si>
  <si>
    <t>New York : St. Martin's Press, [1971]</t>
  </si>
  <si>
    <t>2004-03-28</t>
  </si>
  <si>
    <t>1992-12-04</t>
  </si>
  <si>
    <t>1277943:eng</t>
  </si>
  <si>
    <t>164157</t>
  </si>
  <si>
    <t>991000934999702656</t>
  </si>
  <si>
    <t>2271910110002656</t>
  </si>
  <si>
    <t>32285001413029</t>
  </si>
  <si>
    <t>893528513</t>
  </si>
  <si>
    <t>DS119.7 .B2845 2007</t>
  </si>
  <si>
    <t>0                      DS 0119700B  2845        2007</t>
  </si>
  <si>
    <t>Tasting the sky : a Palestinian childhood / Ibtisam Barakat</t>
  </si>
  <si>
    <t>Barakat, Ibtisam.</t>
  </si>
  <si>
    <t>New York : Farrar, Straus and Giroux, 2007.</t>
  </si>
  <si>
    <t>2008-07-14</t>
  </si>
  <si>
    <t>196142415:eng</t>
  </si>
  <si>
    <t>68786813</t>
  </si>
  <si>
    <t>991005250049702656</t>
  </si>
  <si>
    <t>2262285020002656</t>
  </si>
  <si>
    <t>9780374357337</t>
  </si>
  <si>
    <t>32285005448153</t>
  </si>
  <si>
    <t>893221441</t>
  </si>
  <si>
    <t>DS119.7 .B382 1977</t>
  </si>
  <si>
    <t>0                      DS 0119700B  382         1977</t>
  </si>
  <si>
    <t>Terror out of Zion : Irgun Zvai Leumi, LEHI, and the Palestine underground, 1929-1949 / J. Bowyer Bell.</t>
  </si>
  <si>
    <t>Bell, J. Bowyer, 1931-</t>
  </si>
  <si>
    <t>New York : St. Martin's Press, c1977.</t>
  </si>
  <si>
    <t>2008-04-07</t>
  </si>
  <si>
    <t>867265328:eng</t>
  </si>
  <si>
    <t>2614797</t>
  </si>
  <si>
    <t>991004185439702656</t>
  </si>
  <si>
    <t>2265658650002656</t>
  </si>
  <si>
    <t>9780312792053</t>
  </si>
  <si>
    <t>32285002461712</t>
  </si>
  <si>
    <t>893423486</t>
  </si>
  <si>
    <t>DS119.7 .B38343 1987</t>
  </si>
  <si>
    <t>0                      DS 0119700B  38343       1987</t>
  </si>
  <si>
    <t>Israel-Palestine : a guerrilla conflict in international politics / Eliezer Ben-Rafael.</t>
  </si>
  <si>
    <t>Ben Rafael, Eliezer.</t>
  </si>
  <si>
    <t>New York : Greenwood Press, 1987.</t>
  </si>
  <si>
    <t>Contributions in political science, 0147-1066 ; no. 161</t>
  </si>
  <si>
    <t>2004-04-08</t>
  </si>
  <si>
    <t>1990-05-01</t>
  </si>
  <si>
    <t>2613309:eng</t>
  </si>
  <si>
    <t>13667666</t>
  </si>
  <si>
    <t>991000858279702656</t>
  </si>
  <si>
    <t>2272046630002656</t>
  </si>
  <si>
    <t>9780313255533</t>
  </si>
  <si>
    <t>32285000129980</t>
  </si>
  <si>
    <t>893249748</t>
  </si>
  <si>
    <t>DS119.7 .B3857 1989</t>
  </si>
  <si>
    <t>0                      DS 0119700B  3857        1989</t>
  </si>
  <si>
    <t>Conflicts and contradictions / Meron Benvenisti.</t>
  </si>
  <si>
    <t>Benvenisti, Meron, 1934-</t>
  </si>
  <si>
    <t>Silver Spring, MD : Eshel Books, 1989.</t>
  </si>
  <si>
    <t>mdu</t>
  </si>
  <si>
    <t>1997-04-02</t>
  </si>
  <si>
    <t>1992-05-22</t>
  </si>
  <si>
    <t>5770635:eng</t>
  </si>
  <si>
    <t>18779950</t>
  </si>
  <si>
    <t>991001393849702656</t>
  </si>
  <si>
    <t>2256833800002656</t>
  </si>
  <si>
    <t>9780935437270</t>
  </si>
  <si>
    <t>32285001118735</t>
  </si>
  <si>
    <t>893602570</t>
  </si>
  <si>
    <t>DS119.7 .B783 1976b</t>
  </si>
  <si>
    <t>0                      DS 0119700B  783         1976b</t>
  </si>
  <si>
    <t>War and peace in the Middle East : the experiences and views of a UN observer / by Odd Bull.</t>
  </si>
  <si>
    <t>Bull, Odd, 1907-</t>
  </si>
  <si>
    <t>London : Cooper, 1976.</t>
  </si>
  <si>
    <t>502933373:eng</t>
  </si>
  <si>
    <t>2965846</t>
  </si>
  <si>
    <t>991004297129702656</t>
  </si>
  <si>
    <t>2270353430002656</t>
  </si>
  <si>
    <t>9780850522266</t>
  </si>
  <si>
    <t>32285002461720</t>
  </si>
  <si>
    <t>893442453</t>
  </si>
  <si>
    <t>DS119.7 .C43 2001</t>
  </si>
  <si>
    <t>0                      DS 0119700C  43          2001</t>
  </si>
  <si>
    <t>The Charney report : confronting the Israeli-Arab conflict / Leon H. Charney.</t>
  </si>
  <si>
    <t>Charney, Leon H.</t>
  </si>
  <si>
    <t>Fort Lee, NJ : Barricade Books, c2001.</t>
  </si>
  <si>
    <t>2003-03-20</t>
  </si>
  <si>
    <t>2002-08-15</t>
  </si>
  <si>
    <t>351716239:eng</t>
  </si>
  <si>
    <t>49264478</t>
  </si>
  <si>
    <t>991003849199702656</t>
  </si>
  <si>
    <t>2271239200002656</t>
  </si>
  <si>
    <t>9781569802045</t>
  </si>
  <si>
    <t>32285004643333</t>
  </si>
  <si>
    <t>893423048</t>
  </si>
  <si>
    <t>DS119.7 .C58 1984</t>
  </si>
  <si>
    <t>0                      DS 0119700C  58          1984</t>
  </si>
  <si>
    <t>The Palestinian Liberation Organisation : people, power, and politics / Helena Cobban.</t>
  </si>
  <si>
    <t>Cobban, Helena.</t>
  </si>
  <si>
    <t>Cambridge Middle East library</t>
  </si>
  <si>
    <t>2004-04-05</t>
  </si>
  <si>
    <t>1990-04-25</t>
  </si>
  <si>
    <t>795315812:eng</t>
  </si>
  <si>
    <t>9919629</t>
  </si>
  <si>
    <t>991000282739702656</t>
  </si>
  <si>
    <t>2268164370002656</t>
  </si>
  <si>
    <t>9780521272162</t>
  </si>
  <si>
    <t>32285000131812</t>
  </si>
  <si>
    <t>893620352</t>
  </si>
  <si>
    <t>DS119.7 .C6213 1970b</t>
  </si>
  <si>
    <t>0                      DS 0119700C  6213        1970b</t>
  </si>
  <si>
    <t>Israel and the Arab world. [Translated from the Hebrew by Aubrey Hodes, Naomi Handelman and Miriam Shimeoni]</t>
  </si>
  <si>
    <t>Cohen, Aharon, 1910-1980.</t>
  </si>
  <si>
    <t>New York, Funk &amp; Wagnalls [1970]</t>
  </si>
  <si>
    <t>1992-11-08</t>
  </si>
  <si>
    <t>1221905:eng</t>
  </si>
  <si>
    <t>119997</t>
  </si>
  <si>
    <t>991000674109702656</t>
  </si>
  <si>
    <t>2261843710002656</t>
  </si>
  <si>
    <t>32285000878529</t>
  </si>
  <si>
    <t>893784434</t>
  </si>
  <si>
    <t>DS119.7 .C6523 1994</t>
  </si>
  <si>
    <t>0                      DS 0119700C  6523        1994</t>
  </si>
  <si>
    <t>Confidence building measures in the Middle East / edited by Gabriel Ben-Dor and David B. Dewitt.</t>
  </si>
  <si>
    <t>Boulder : Westview Press, 1994.</t>
  </si>
  <si>
    <t>2000-11-01</t>
  </si>
  <si>
    <t>1996-06-11</t>
  </si>
  <si>
    <t>32687138:eng</t>
  </si>
  <si>
    <t>30810136</t>
  </si>
  <si>
    <t>991002370039702656</t>
  </si>
  <si>
    <t>2269536550002656</t>
  </si>
  <si>
    <t>9780813322933</t>
  </si>
  <si>
    <t>32285002190634</t>
  </si>
  <si>
    <t>893603507</t>
  </si>
  <si>
    <t>DS119.7 .D4634 2008</t>
  </si>
  <si>
    <t>0                      DS 0119700D  4634        2008</t>
  </si>
  <si>
    <t>The case against Israel's enemies : exposing Jimmy Carter and others who stand in the way of peace / Alan Dershowitz.</t>
  </si>
  <si>
    <t>Dershowitz, Alan M.</t>
  </si>
  <si>
    <t>Hoboken, N.J. : John Wiley &amp; Sons, c2008.</t>
  </si>
  <si>
    <t>2010-05-03</t>
  </si>
  <si>
    <t>802872233:eng</t>
  </si>
  <si>
    <t>226356091</t>
  </si>
  <si>
    <t>991005390969702656</t>
  </si>
  <si>
    <t>2255632150002656</t>
  </si>
  <si>
    <t>9780470379929</t>
  </si>
  <si>
    <t>32285005568968</t>
  </si>
  <si>
    <t>893808391</t>
  </si>
  <si>
    <t>DS119.7 .D616 1991</t>
  </si>
  <si>
    <t>0                      DS 0119700D  616         1991</t>
  </si>
  <si>
    <t>A Documentary history of the Arab-Israeli conflict / edited with historical introductions by Charles L. Geddes.</t>
  </si>
  <si>
    <t>New York : Praeger, 1991.</t>
  </si>
  <si>
    <t>1992-05-05</t>
  </si>
  <si>
    <t>351101387:eng</t>
  </si>
  <si>
    <t>22892671</t>
  </si>
  <si>
    <t>991001822009702656</t>
  </si>
  <si>
    <t>2267027860002656</t>
  </si>
  <si>
    <t>9780275938581</t>
  </si>
  <si>
    <t>32285001038347</t>
  </si>
  <si>
    <t>893250534</t>
  </si>
  <si>
    <t>DS119.7 .F49 1991</t>
  </si>
  <si>
    <t>0                      DS 0119700F  49          1991</t>
  </si>
  <si>
    <t>Plans for peace : negotiation and the Arab-Israeli conflict / Karen A. Feste.</t>
  </si>
  <si>
    <t>Feste, Karen A.</t>
  </si>
  <si>
    <t>New York : Greenwood Press, 1991.</t>
  </si>
  <si>
    <t>Contributions in political science, 0147-1066 ; no. 284</t>
  </si>
  <si>
    <t>1992-06-10</t>
  </si>
  <si>
    <t>2570941:eng</t>
  </si>
  <si>
    <t>23769134</t>
  </si>
  <si>
    <t>991001887729702656</t>
  </si>
  <si>
    <t>2271838900002656</t>
  </si>
  <si>
    <t>9780313263613</t>
  </si>
  <si>
    <t>32285001127454</t>
  </si>
  <si>
    <t>893256596</t>
  </si>
  <si>
    <t>DS119.7 .F757 1994</t>
  </si>
  <si>
    <t>0                      DS 0119700F  757         1994</t>
  </si>
  <si>
    <t>From war to peace : Arab-Israeli relations, 1973-1993 / edited by Barry Rubin, Joseph Ginat, Moshe Ma'oz ; with an introductory chapter by Ezer Weizman.</t>
  </si>
  <si>
    <t>Washington Square, N.Y. : New York University Press, 1994.</t>
  </si>
  <si>
    <t>2007-11-03</t>
  </si>
  <si>
    <t>1995-03-29</t>
  </si>
  <si>
    <t>836909635:eng</t>
  </si>
  <si>
    <t>31240551</t>
  </si>
  <si>
    <t>991002402709702656</t>
  </si>
  <si>
    <t>2256356650002656</t>
  </si>
  <si>
    <t>9780814774625</t>
  </si>
  <si>
    <t>32285002015393</t>
  </si>
  <si>
    <t>893867169</t>
  </si>
  <si>
    <t>DS119.7 .G4313 1987</t>
  </si>
  <si>
    <t>0                      DS 0119700G  4313        1987</t>
  </si>
  <si>
    <t>Zionism and the Arabs, 1882-1948 : a study of ideology / Yosef Gorny ; [English translation by Chaya Galai].</t>
  </si>
  <si>
    <t>Gorni, Yosef.</t>
  </si>
  <si>
    <t>Oxford [Oxfordshire] : Clarendon Press ; New York : Oxford University Press, 1987.</t>
  </si>
  <si>
    <t>2007-10-15</t>
  </si>
  <si>
    <t>1990-10-01</t>
  </si>
  <si>
    <t>8557324:eng</t>
  </si>
  <si>
    <t>14819296</t>
  </si>
  <si>
    <t>991000962139702656</t>
  </si>
  <si>
    <t>2260025670002656</t>
  </si>
  <si>
    <t>9780198227212</t>
  </si>
  <si>
    <t>32285000293505</t>
  </si>
  <si>
    <t>893891183</t>
  </si>
  <si>
    <t>DS119.7 .G6595 1995</t>
  </si>
  <si>
    <t>0                      DS 0119700G  6595        1995</t>
  </si>
  <si>
    <t>Genealogies of conflict : class, identity, and state in Palestine/Israel and South Africa / Ran Greenstein.</t>
  </si>
  <si>
    <t>Greenstein, Ran.</t>
  </si>
  <si>
    <t>Hanover, NH : Published by University Press of New England [for] Wesleyan University Press, c1995.</t>
  </si>
  <si>
    <t>1996-05-22</t>
  </si>
  <si>
    <t>2796354:eng</t>
  </si>
  <si>
    <t>32275068</t>
  </si>
  <si>
    <t>991005420839702656</t>
  </si>
  <si>
    <t>2259703310002656</t>
  </si>
  <si>
    <t>9780819552884</t>
  </si>
  <si>
    <t>32285002177144</t>
  </si>
  <si>
    <t>893521174</t>
  </si>
  <si>
    <t>DS119.7 .H358 1995</t>
  </si>
  <si>
    <t>0                      DS 0119700H  358         1995</t>
  </si>
  <si>
    <t>The struggle for the Holy Land : Arabs, Jews, and the emergence of Israel / William Hare.</t>
  </si>
  <si>
    <t>Hare, William, 1942-</t>
  </si>
  <si>
    <t>Lanham, Md. : Madison Books, c1995.</t>
  </si>
  <si>
    <t>1999-03-28</t>
  </si>
  <si>
    <t>1995-07-29</t>
  </si>
  <si>
    <t>375072961:eng</t>
  </si>
  <si>
    <t>31938228</t>
  </si>
  <si>
    <t>991002449739702656</t>
  </si>
  <si>
    <t>2259302150002656</t>
  </si>
  <si>
    <t>9781568330402</t>
  </si>
  <si>
    <t>32285002076122</t>
  </si>
  <si>
    <t>893716470</t>
  </si>
  <si>
    <t>DS119.7 .H37213 1972</t>
  </si>
  <si>
    <t>0                      DS 0119700H  37213       1972</t>
  </si>
  <si>
    <t>Arab attitudes to Israel / [by] Y. Harkabi. Translated by Misha Louvish.</t>
  </si>
  <si>
    <t>Harkabi, Yehoshafat, 1921-1994.</t>
  </si>
  <si>
    <t>New York : Hart Pub. Co., [1972, c1971]</t>
  </si>
  <si>
    <t>2004-04-26</t>
  </si>
  <si>
    <t>1993-03-25</t>
  </si>
  <si>
    <t>149284887:eng</t>
  </si>
  <si>
    <t>284566</t>
  </si>
  <si>
    <t>991002201799702656</t>
  </si>
  <si>
    <t>2262573900002656</t>
  </si>
  <si>
    <t>9780805510270</t>
  </si>
  <si>
    <t>32285001591394</t>
  </si>
  <si>
    <t>893328799</t>
  </si>
  <si>
    <t>DS119.7 .H3854 1991</t>
  </si>
  <si>
    <t>0                      DS 0119700H  3854        1991</t>
  </si>
  <si>
    <t>No trumpets, no drums : a two-state settlement of the Israeli-Palestinian conflict / Mark A. Heller, Sari Nusseibeh.</t>
  </si>
  <si>
    <t>Heller, Mark.</t>
  </si>
  <si>
    <t>New York : Hill and Wang, 1991.</t>
  </si>
  <si>
    <t>1997-12-10</t>
  </si>
  <si>
    <t>1992-02-21</t>
  </si>
  <si>
    <t>24099530:eng</t>
  </si>
  <si>
    <t>23654765</t>
  </si>
  <si>
    <t>991001874489702656</t>
  </si>
  <si>
    <t>2264591930002656</t>
  </si>
  <si>
    <t>9780809073931</t>
  </si>
  <si>
    <t>32285000935725</t>
  </si>
  <si>
    <t>893891900</t>
  </si>
  <si>
    <t>DS119.7 .H67 1994</t>
  </si>
  <si>
    <t>0                      DS 0119700H  67          1994</t>
  </si>
  <si>
    <t>Homeland : oral histories of Palestine and Palestinians / edited by Staughton Lynd, Sam Bahour and Alice Lynd.</t>
  </si>
  <si>
    <t>New York : Olive Branch Press, 1994.</t>
  </si>
  <si>
    <t>2008-04-09</t>
  </si>
  <si>
    <t>2003-03-03</t>
  </si>
  <si>
    <t>365875841:eng</t>
  </si>
  <si>
    <t>28020404</t>
  </si>
  <si>
    <t>991003981269702656</t>
  </si>
  <si>
    <t>2269354020002656</t>
  </si>
  <si>
    <t>9781566561327</t>
  </si>
  <si>
    <t>32285004682117</t>
  </si>
  <si>
    <t>893781718</t>
  </si>
  <si>
    <t>DS119.7 .H895</t>
  </si>
  <si>
    <t>0                      DS 0119700H  895</t>
  </si>
  <si>
    <t>The Palestine liberation organisation : a study in ideology, strategy and tactics / Mehmood Hussain.</t>
  </si>
  <si>
    <t>Hussein, Mahmoud.</t>
  </si>
  <si>
    <t>Delhi : University Pub., c1975.</t>
  </si>
  <si>
    <t xml:space="preserve">ii </t>
  </si>
  <si>
    <t>2003-10-05</t>
  </si>
  <si>
    <t>230622983:eng</t>
  </si>
  <si>
    <t>1584562</t>
  </si>
  <si>
    <t>991003830579702656</t>
  </si>
  <si>
    <t>2267736910002656</t>
  </si>
  <si>
    <t>32285002461811</t>
  </si>
  <si>
    <t>893441807</t>
  </si>
  <si>
    <t>DS119.7 .H9313</t>
  </si>
  <si>
    <t>0                      DS 0119700H  9313</t>
  </si>
  <si>
    <t>Arabs &amp; Israelis : a dialogue / Saul Friedländer, Mahmoud Hussein ; moderated by Jean Lacouture ; translated by Paul Auster and Lydia Davis.</t>
  </si>
  <si>
    <t>New York : Holmes &amp; Meier Publishers, 1975.</t>
  </si>
  <si>
    <t>1993-04-22</t>
  </si>
  <si>
    <t>4451777171:eng</t>
  </si>
  <si>
    <t>1418708</t>
  </si>
  <si>
    <t>991003746459702656</t>
  </si>
  <si>
    <t>2261166530002656</t>
  </si>
  <si>
    <t>9780841902084</t>
  </si>
  <si>
    <t>32285001622751</t>
  </si>
  <si>
    <t>893611389</t>
  </si>
  <si>
    <t>DS119.7 .I8254</t>
  </si>
  <si>
    <t>0                      DS 0119700I  8254</t>
  </si>
  <si>
    <t>Israel &amp; the Palestinians / edited by Uri Davis, Andrew Mack, Nira Yuval-Davis.</t>
  </si>
  <si>
    <t>London : Ithaca Press for the Richardson Institute and the Issues Programme at the University of Bradford, 1975.</t>
  </si>
  <si>
    <t>2003-01-03</t>
  </si>
  <si>
    <t>1997-02-26</t>
  </si>
  <si>
    <t>375707326:eng</t>
  </si>
  <si>
    <t>2912847</t>
  </si>
  <si>
    <t>991004282379702656</t>
  </si>
  <si>
    <t>2267956810002656</t>
  </si>
  <si>
    <t>9780903729123</t>
  </si>
  <si>
    <t>32285002461894</t>
  </si>
  <si>
    <t>893788513</t>
  </si>
  <si>
    <t>DS119.7 .I8267 1991</t>
  </si>
  <si>
    <t>0                      DS 0119700I  8267        1991</t>
  </si>
  <si>
    <t>Palestinians between Israel and Jordan : squaring the triangle / Raphael Israeli.</t>
  </si>
  <si>
    <t>Israeli, Raphael.</t>
  </si>
  <si>
    <t>2009-12-07</t>
  </si>
  <si>
    <t>1992-04-02</t>
  </si>
  <si>
    <t>2569510:eng</t>
  </si>
  <si>
    <t>22767320</t>
  </si>
  <si>
    <t>991001813879702656</t>
  </si>
  <si>
    <t>2261523980002656</t>
  </si>
  <si>
    <t>9780275939380</t>
  </si>
  <si>
    <t>32285001008167</t>
  </si>
  <si>
    <t>893684673</t>
  </si>
  <si>
    <t>DS119.7 .J33 1997</t>
  </si>
  <si>
    <t>0                      DS 0119700J  33          1997</t>
  </si>
  <si>
    <t>Hezbollah : born with a vengeance / Hala Jaber.</t>
  </si>
  <si>
    <t>Jaber, Hala.</t>
  </si>
  <si>
    <t>New York : Columbia University Press, c1997.</t>
  </si>
  <si>
    <t>2008-04-08</t>
  </si>
  <si>
    <t>1997-07-29</t>
  </si>
  <si>
    <t>602365:eng</t>
  </si>
  <si>
    <t>36458021</t>
  </si>
  <si>
    <t>991002776109702656</t>
  </si>
  <si>
    <t>2267404070002656</t>
  </si>
  <si>
    <t>9780231108348</t>
  </si>
  <si>
    <t>32285002884277</t>
  </si>
  <si>
    <t>893239478</t>
  </si>
  <si>
    <t>DS119.7 .J66 1999</t>
  </si>
  <si>
    <t>0                      DS 0119700J  66          1999</t>
  </si>
  <si>
    <t>Cosmopolitan mediation? : conflict resolution and the Oslo Accords / Deiniol Jones.</t>
  </si>
  <si>
    <t>Jones, Deiniol.</t>
  </si>
  <si>
    <t>Manchester ; New York : Manchester University Press ; New York : Distributed exclusively in the USA by St. Martin's Press, 1999.</t>
  </si>
  <si>
    <t>New approaches to conflict analysis</t>
  </si>
  <si>
    <t>2008-09-19</t>
  </si>
  <si>
    <t>2000-07-18</t>
  </si>
  <si>
    <t>793024192:eng</t>
  </si>
  <si>
    <t>40609042</t>
  </si>
  <si>
    <t>991003204899702656</t>
  </si>
  <si>
    <t>2269812300002656</t>
  </si>
  <si>
    <t>9780719055188</t>
  </si>
  <si>
    <t>32285003740254</t>
  </si>
  <si>
    <t>893711134</t>
  </si>
  <si>
    <t>DS119.7 .K33</t>
  </si>
  <si>
    <t>0                      DS 0119700K  33</t>
  </si>
  <si>
    <t>Battleground: fact and fantasy in Palestine, Samuel Katz.</t>
  </si>
  <si>
    <t>Katz, Shmuel, 1914-2008.</t>
  </si>
  <si>
    <t>Toronto, New York, Bantam Books [1973]</t>
  </si>
  <si>
    <t>onc</t>
  </si>
  <si>
    <t>2000-09-07</t>
  </si>
  <si>
    <t>1992-10-06</t>
  </si>
  <si>
    <t>137843078:eng</t>
  </si>
  <si>
    <t>508033</t>
  </si>
  <si>
    <t>991002885309702656</t>
  </si>
  <si>
    <t>2261082510002656</t>
  </si>
  <si>
    <t>32285001366524</t>
  </si>
  <si>
    <t>893517876</t>
  </si>
  <si>
    <t>DS119.7 .K48 1985</t>
  </si>
  <si>
    <t>0                      DS 0119700K  48          1985</t>
  </si>
  <si>
    <t>The Arab-Israeli dilemma / Fred J. Khouri.</t>
  </si>
  <si>
    <t>Khouri, Fred J. (Fred John)</t>
  </si>
  <si>
    <t>Syracuse, N.Y. : Syracuse University Press, 1985.</t>
  </si>
  <si>
    <t>3rd ed.</t>
  </si>
  <si>
    <t>Contemporary issues in the Middle East</t>
  </si>
  <si>
    <t>2004-11-14</t>
  </si>
  <si>
    <t>1546367:eng</t>
  </si>
  <si>
    <t>12673355</t>
  </si>
  <si>
    <t>991000723439702656</t>
  </si>
  <si>
    <t>2272402270002656</t>
  </si>
  <si>
    <t>9780815623403</t>
  </si>
  <si>
    <t>32285000052968</t>
  </si>
  <si>
    <t>893528332</t>
  </si>
  <si>
    <t>DS119.7 .K49256 1991</t>
  </si>
  <si>
    <t>0                      DS 0119700K  49256       1991</t>
  </si>
  <si>
    <t>The last option : after Nasser, Arafat, &amp; Saddam Hussein : the quest for peace in the Middle East / David Kimche.</t>
  </si>
  <si>
    <t>Kimche, David.</t>
  </si>
  <si>
    <t>New York : Charles Scribner's Sons ; Maxwell Macmillan International, c1991.</t>
  </si>
  <si>
    <t>1998-04-19</t>
  </si>
  <si>
    <t>1992-08-26</t>
  </si>
  <si>
    <t>20572743:eng</t>
  </si>
  <si>
    <t>24627293</t>
  </si>
  <si>
    <t>991001947569702656</t>
  </si>
  <si>
    <t>2259936760002656</t>
  </si>
  <si>
    <t>9780684194226</t>
  </si>
  <si>
    <t>32285001199008</t>
  </si>
  <si>
    <t>893529368</t>
  </si>
  <si>
    <t>DS119.7 .K4943 1993</t>
  </si>
  <si>
    <t>0                      DS 0119700K  4943        1993</t>
  </si>
  <si>
    <t>Palestinians : the making of a people / Baruch Kimmerling, Joel S. Migdal.</t>
  </si>
  <si>
    <t>Kimmerling, Baruch.</t>
  </si>
  <si>
    <t>New York : Free Press, c1993.</t>
  </si>
  <si>
    <t>1993-10-16</t>
  </si>
  <si>
    <t>26676756:eng</t>
  </si>
  <si>
    <t>26161730</t>
  </si>
  <si>
    <t>991002050739702656</t>
  </si>
  <si>
    <t>2269951480002656</t>
  </si>
  <si>
    <t>9780029173213</t>
  </si>
  <si>
    <t>32285001786572</t>
  </si>
  <si>
    <t>893510232</t>
  </si>
  <si>
    <t>DS119.7 .K4945 1986</t>
  </si>
  <si>
    <t>0                      DS 0119700K  4945        1986</t>
  </si>
  <si>
    <t>The PLO and world politics : a study of the mobilization of support for the Palestinian cause / Kemal Kirisci.</t>
  </si>
  <si>
    <t>Kirişci, Kemal, 1954-</t>
  </si>
  <si>
    <t>New York : St. Martin's Press, 1986.</t>
  </si>
  <si>
    <t>1992-09-16</t>
  </si>
  <si>
    <t>8997041:eng</t>
  </si>
  <si>
    <t>14240124</t>
  </si>
  <si>
    <t>991000925839702656</t>
  </si>
  <si>
    <t>2258764180002656</t>
  </si>
  <si>
    <t>9780312003821</t>
  </si>
  <si>
    <t>32285000122324</t>
  </si>
  <si>
    <t>893596036</t>
  </si>
  <si>
    <t>DS119.7 .M263</t>
  </si>
  <si>
    <t>0                      DS 0119700M  263</t>
  </si>
  <si>
    <t>The Arabs and Zionism before World War I / by Neville J. Mandel.</t>
  </si>
  <si>
    <t>Mandel, Neville J.</t>
  </si>
  <si>
    <t>Berkeley : University of California Press, c1976.</t>
  </si>
  <si>
    <t>1999-04-02</t>
  </si>
  <si>
    <t>5828431:eng</t>
  </si>
  <si>
    <t>2755209</t>
  </si>
  <si>
    <t>991004233049702656</t>
  </si>
  <si>
    <t>2260136520002656</t>
  </si>
  <si>
    <t>9780520024663</t>
  </si>
  <si>
    <t>32285002461944</t>
  </si>
  <si>
    <t>893423543</t>
  </si>
  <si>
    <t>DS119.7 .M35 1989</t>
  </si>
  <si>
    <t>0                      DS 0119700M  35          1989</t>
  </si>
  <si>
    <t>Palestine and Israel : the uprising and beyond / David McDowall.</t>
  </si>
  <si>
    <t>McDowall, David, 1949-</t>
  </si>
  <si>
    <t>Berkeley : University of California Press, c1989.</t>
  </si>
  <si>
    <t>2000-11-16</t>
  </si>
  <si>
    <t>1990-03-27</t>
  </si>
  <si>
    <t>802879699:eng</t>
  </si>
  <si>
    <t>21187363</t>
  </si>
  <si>
    <t>991001662019702656</t>
  </si>
  <si>
    <t>2264575650002656</t>
  </si>
  <si>
    <t>9780520069022</t>
  </si>
  <si>
    <t>32285000041078</t>
  </si>
  <si>
    <t>893420492</t>
  </si>
  <si>
    <t>DS119.7 .M443 1989</t>
  </si>
  <si>
    <t>0                      DS 0119700M  443         1989</t>
  </si>
  <si>
    <t>A compassionate peace : a future for Israel, Palestine, and the Middle East / Everett Mendelsohn.</t>
  </si>
  <si>
    <t>Mendelsohn, Everett.</t>
  </si>
  <si>
    <t>New York : Hill and Wang, c1989.</t>
  </si>
  <si>
    <t>1993-02-10</t>
  </si>
  <si>
    <t>1991-03-11</t>
  </si>
  <si>
    <t>2564801357:eng</t>
  </si>
  <si>
    <t>19517274</t>
  </si>
  <si>
    <t>991001468459702656</t>
  </si>
  <si>
    <t>2262182720002656</t>
  </si>
  <si>
    <t>9780809035762</t>
  </si>
  <si>
    <t>32285000494145</t>
  </si>
  <si>
    <t>893778824</t>
  </si>
  <si>
    <t>DS119.7 .M4717</t>
  </si>
  <si>
    <t>0                      DS 0119700M  4717</t>
  </si>
  <si>
    <t>The Middle East, 1914-1979 / [compiled by] T. G. Fraser.</t>
  </si>
  <si>
    <t>New York : St. Martin's Press, 1980.</t>
  </si>
  <si>
    <t>2003-05-02</t>
  </si>
  <si>
    <t>1990-06-18</t>
  </si>
  <si>
    <t>54400210:eng</t>
  </si>
  <si>
    <t>6648923</t>
  </si>
  <si>
    <t>991005020199702656</t>
  </si>
  <si>
    <t>2268399430002656</t>
  </si>
  <si>
    <t>9780312531812</t>
  </si>
  <si>
    <t>32285000198274</t>
  </si>
  <si>
    <t>893319897</t>
  </si>
  <si>
    <t>DS119.7 .M47178 1986</t>
  </si>
  <si>
    <t>0                      DS 0119700M  47178       1986</t>
  </si>
  <si>
    <t>Middle East peace plans / edited by Willard A. Beling.</t>
  </si>
  <si>
    <t>New York, NY : St. Martin's Press, 1986.</t>
  </si>
  <si>
    <t>2004-06-23</t>
  </si>
  <si>
    <t>54781953:eng</t>
  </si>
  <si>
    <t>13010901</t>
  </si>
  <si>
    <t>991000770629702656</t>
  </si>
  <si>
    <t>2258231840002656</t>
  </si>
  <si>
    <t>9780312531935</t>
  </si>
  <si>
    <t>32285000129998</t>
  </si>
  <si>
    <t>893620773</t>
  </si>
  <si>
    <t>DS119.7 .M473 1988</t>
  </si>
  <si>
    <t>0                      DS 0119700M  473         1988</t>
  </si>
  <si>
    <t>The Middle East : ten years after Camp David / William B. Quandt, editor.</t>
  </si>
  <si>
    <t>Washington, D.C. : Brookings Institution, c1988.</t>
  </si>
  <si>
    <t>1993-04-05</t>
  </si>
  <si>
    <t>1990-05-17</t>
  </si>
  <si>
    <t>890489578:eng</t>
  </si>
  <si>
    <t>18379326</t>
  </si>
  <si>
    <t>991001338889702656</t>
  </si>
  <si>
    <t>2269708740002656</t>
  </si>
  <si>
    <t>9780815772934</t>
  </si>
  <si>
    <t>32285000152438</t>
  </si>
  <si>
    <t>893797498</t>
  </si>
  <si>
    <t>DS119.7 .M494 1986</t>
  </si>
  <si>
    <t>0                      DS 0119700M  494         1986</t>
  </si>
  <si>
    <t>The Arab states and the Palestine question : between ideology and self-interest / Aaron David Miller ; foreword by Alfred A. Atherton.</t>
  </si>
  <si>
    <t>Miller, Aaron David.</t>
  </si>
  <si>
    <t>New York : Praeger Published with the Center for Strategic and International Studies, Georgetown University, Washington, D.C., c1986.</t>
  </si>
  <si>
    <t>The Washington papers ; 120</t>
  </si>
  <si>
    <t>1992-11-29</t>
  </si>
  <si>
    <t>1990-05-24</t>
  </si>
  <si>
    <t>890310954:eng</t>
  </si>
  <si>
    <t>13063006</t>
  </si>
  <si>
    <t>991000774649702656</t>
  </si>
  <si>
    <t>2257169660002656</t>
  </si>
  <si>
    <t>9780030091049</t>
  </si>
  <si>
    <t>32285000165729</t>
  </si>
  <si>
    <t>893778221</t>
  </si>
  <si>
    <t>DS119.7 .N2928 1991</t>
  </si>
  <si>
    <t>0                      DS 0119700N  2928        1991</t>
  </si>
  <si>
    <t>Encyclopedia of the Palestine problem / Issa Nakhleh.</t>
  </si>
  <si>
    <t>Nakhleh, Issa.</t>
  </si>
  <si>
    <t>New York, N.Y. : Intercontinental Books, c1991.</t>
  </si>
  <si>
    <t>2002-09-03</t>
  </si>
  <si>
    <t>1993-05-19</t>
  </si>
  <si>
    <t>26947197:eng</t>
  </si>
  <si>
    <t>24333443</t>
  </si>
  <si>
    <t>991001927519702656</t>
  </si>
  <si>
    <t>2271631430002656</t>
  </si>
  <si>
    <t>32285001582286</t>
  </si>
  <si>
    <t>893898192</t>
  </si>
  <si>
    <t>32285001582294</t>
  </si>
  <si>
    <t>893885647</t>
  </si>
  <si>
    <t>DS119.7 .N346 1997</t>
  </si>
  <si>
    <t>0                      DS 0119700N  346         1997</t>
  </si>
  <si>
    <t>Arab and Israeli terrorism : the causes and effects of political violence, 1936-1993 / Kameel B. Nasr.</t>
  </si>
  <si>
    <t>Nasr, Kameel B., 1949-</t>
  </si>
  <si>
    <t>Jefferson, N.C. : McFarland &amp; Co., c1997.</t>
  </si>
  <si>
    <t>2008-03-28</t>
  </si>
  <si>
    <t>152199111:eng</t>
  </si>
  <si>
    <t>35285450</t>
  </si>
  <si>
    <t>991002702779702656</t>
  </si>
  <si>
    <t>2259299550002656</t>
  </si>
  <si>
    <t>9780786402809</t>
  </si>
  <si>
    <t>32285002434362</t>
  </si>
  <si>
    <t>893873887</t>
  </si>
  <si>
    <t>DS119.7 .O88 1980</t>
  </si>
  <si>
    <t>0                      DS 0119700O  88          1980</t>
  </si>
  <si>
    <t>Palestine in perspective : politics, human rights &amp; the West Bank / David H. Ott.</t>
  </si>
  <si>
    <t>Ott, David H.</t>
  </si>
  <si>
    <t>London ; New York : Quartet Books, c1980.</t>
  </si>
  <si>
    <t>198355979:eng</t>
  </si>
  <si>
    <t>7305744</t>
  </si>
  <si>
    <t>991005172469702656</t>
  </si>
  <si>
    <t>2267905330002656</t>
  </si>
  <si>
    <t>9780704322639</t>
  </si>
  <si>
    <t>32285000293570</t>
  </si>
  <si>
    <t>893332523</t>
  </si>
  <si>
    <t>DS119.7 .P352 1987</t>
  </si>
  <si>
    <t>0                      DS 0119700P  352         1987</t>
  </si>
  <si>
    <t>The Palestinians : a special report from American-Arab Affairs.</t>
  </si>
  <si>
    <t>Washington, D.C. : The American-Arab Affairs Council, 1987.</t>
  </si>
  <si>
    <t>2004-03-31</t>
  </si>
  <si>
    <t>55061475:eng</t>
  </si>
  <si>
    <t>17423901</t>
  </si>
  <si>
    <t>991001216049702656</t>
  </si>
  <si>
    <t>2268420840002656</t>
  </si>
  <si>
    <t>9780943182056</t>
  </si>
  <si>
    <t>32285000293588</t>
  </si>
  <si>
    <t>893243957</t>
  </si>
  <si>
    <t>DS119.7 .P38 1985</t>
  </si>
  <si>
    <t>0                      DS 0119700P  38          1985</t>
  </si>
  <si>
    <t>Peace-making in the Middle East : problems and prospects / edited by Paul Marantz &amp; Janice Gross Stein.</t>
  </si>
  <si>
    <t>Totowa, N.J. : Barnes &amp; Noble Books, 1985.</t>
  </si>
  <si>
    <t>836705974:eng</t>
  </si>
  <si>
    <t>11290801</t>
  </si>
  <si>
    <t>991000516659702656</t>
  </si>
  <si>
    <t>2264205030002656</t>
  </si>
  <si>
    <t>9780389205432</t>
  </si>
  <si>
    <t>32285000130004</t>
  </si>
  <si>
    <t>893714657</t>
  </si>
  <si>
    <t>DS119.7 .P447 1993</t>
  </si>
  <si>
    <t>0                      DS 0119700P  447         1993</t>
  </si>
  <si>
    <t>The New Middle East / Shimon Peres with Arye Naor.</t>
  </si>
  <si>
    <t>Peres, Shimon, 1923-</t>
  </si>
  <si>
    <t>New York : Henry Holt, 1993.</t>
  </si>
  <si>
    <t>2002-04-18</t>
  </si>
  <si>
    <t>1994-05-11</t>
  </si>
  <si>
    <t>9349247066:eng</t>
  </si>
  <si>
    <t>29256687</t>
  </si>
  <si>
    <t>991002257909702656</t>
  </si>
  <si>
    <t>2264780990002656</t>
  </si>
  <si>
    <t>9780805033236</t>
  </si>
  <si>
    <t>32285001895290</t>
  </si>
  <si>
    <t>893517073</t>
  </si>
  <si>
    <t>DS119.7 .P456 1977</t>
  </si>
  <si>
    <t>0                      DS 0119700P  456         1977</t>
  </si>
  <si>
    <t>Perspectives on Palestinian Arabs and Israeli Jews / edited by James J. Zogby ; with a foreword by Ibrahim Abu-Lughod.</t>
  </si>
  <si>
    <t>Wilmette, IL. : Medina Press, 1977.</t>
  </si>
  <si>
    <t>AAUG monograph series ; no. 7</t>
  </si>
  <si>
    <t>1999-04-11</t>
  </si>
  <si>
    <t>9493207:eng</t>
  </si>
  <si>
    <t>3361039</t>
  </si>
  <si>
    <t>991004415239702656</t>
  </si>
  <si>
    <t>2255818150002656</t>
  </si>
  <si>
    <t>9780914456162</t>
  </si>
  <si>
    <t>32285001413003</t>
  </si>
  <si>
    <t>893593664</t>
  </si>
  <si>
    <t>DS119.7 .P457 1979</t>
  </si>
  <si>
    <t>0                      DS 0119700P  457         1979</t>
  </si>
  <si>
    <t>Perspectives on the State of Israel : selected readings / by Cathy Mellett.</t>
  </si>
  <si>
    <t>McGrew, Neb. : High Butte Books, 1979.</t>
  </si>
  <si>
    <t>Perspectives in history ; 1</t>
  </si>
  <si>
    <t>2009-09-11</t>
  </si>
  <si>
    <t>196692870:eng</t>
  </si>
  <si>
    <t>5241533</t>
  </si>
  <si>
    <t>991004805489702656</t>
  </si>
  <si>
    <t>2263852990002656</t>
  </si>
  <si>
    <t>9780932626004</t>
  </si>
  <si>
    <t>32285002883501</t>
  </si>
  <si>
    <t>893319664</t>
  </si>
  <si>
    <t>DS119.7 .P5534 1997</t>
  </si>
  <si>
    <t>0                      DS 0119700P  5534        1997</t>
  </si>
  <si>
    <t>The PLO and Israel : from armed conflict to political solution, 1964-1994 / edited by Avraham Sela and Moshe Ma'oz.</t>
  </si>
  <si>
    <t>New York : St. Martin's Press, 1997.</t>
  </si>
  <si>
    <t>1st St. Martin's Press ed.</t>
  </si>
  <si>
    <t>2008-09-26</t>
  </si>
  <si>
    <t>1999-09-13</t>
  </si>
  <si>
    <t>807121494:eng</t>
  </si>
  <si>
    <t>36509864</t>
  </si>
  <si>
    <t>991002781119702656</t>
  </si>
  <si>
    <t>2260714980002656</t>
  </si>
  <si>
    <t>9780312129064</t>
  </si>
  <si>
    <t>32285003588307</t>
  </si>
  <si>
    <t>893874002</t>
  </si>
  <si>
    <t>DS119.7 .Q69 1993</t>
  </si>
  <si>
    <t>0                      DS 0119700Q  69          1993</t>
  </si>
  <si>
    <t>Peace process : American diplomacy and the Arab-Israeli conflict since 1967 / William B. Quandt.</t>
  </si>
  <si>
    <t>Quandt, William B.</t>
  </si>
  <si>
    <t>Washington : Brookings Institution, c1993.</t>
  </si>
  <si>
    <t>1993-06-25</t>
  </si>
  <si>
    <t>181849849:eng</t>
  </si>
  <si>
    <t>27810746</t>
  </si>
  <si>
    <t>991002157769702656</t>
  </si>
  <si>
    <t>2259204040002656</t>
  </si>
  <si>
    <t>9780520083882</t>
  </si>
  <si>
    <t>32285001706174</t>
  </si>
  <si>
    <t>893510371</t>
  </si>
  <si>
    <t>DS119.7 .Q69 2005</t>
  </si>
  <si>
    <t>0                      DS 0119700Q  69          2005</t>
  </si>
  <si>
    <t>Washington, D.C. : Brookings Institution Press ; Berkeley : University of California Press, c2005.</t>
  </si>
  <si>
    <t>2005-07-23</t>
  </si>
  <si>
    <t>2005-06-21</t>
  </si>
  <si>
    <t>58653786</t>
  </si>
  <si>
    <t>991004586669702656</t>
  </si>
  <si>
    <t>2256025310002656</t>
  </si>
  <si>
    <t>9780520246317</t>
  </si>
  <si>
    <t>32285005093587</t>
  </si>
  <si>
    <t>893700424</t>
  </si>
  <si>
    <t>DS119.7 .Q7 1973</t>
  </si>
  <si>
    <t>0                      DS 0119700Q  7           1973</t>
  </si>
  <si>
    <t>The politics of Palestinian nationalism / [by] William B. Quandt, Fuad Jabber [and] Ann Mosely Lesch.</t>
  </si>
  <si>
    <t>Berkeley : University of California Press, [1973]</t>
  </si>
  <si>
    <t>A Rand Corporation research study</t>
  </si>
  <si>
    <t>1992-04-28</t>
  </si>
  <si>
    <t>1991-10-25</t>
  </si>
  <si>
    <t>500747:eng</t>
  </si>
  <si>
    <t>664268</t>
  </si>
  <si>
    <t>991003118449702656</t>
  </si>
  <si>
    <t>2272147290002656</t>
  </si>
  <si>
    <t>9780520023369</t>
  </si>
  <si>
    <t>32285000800028</t>
  </si>
  <si>
    <t>893317664</t>
  </si>
  <si>
    <t>DS119.7 .R6729 1992</t>
  </si>
  <si>
    <t>0                      DS 0119700R  6729        1992</t>
  </si>
  <si>
    <t>From confrontation to cooperation : resolving ethnic and regional conflict / Jay Rothman.</t>
  </si>
  <si>
    <t>Rothman, Jay.</t>
  </si>
  <si>
    <t>Newbury Park, Calif. : Sage, c1992.</t>
  </si>
  <si>
    <t>Violence, cooperation, peace</t>
  </si>
  <si>
    <t>2009-04-21</t>
  </si>
  <si>
    <t>1992-11-30</t>
  </si>
  <si>
    <t>1995-04-18</t>
  </si>
  <si>
    <t>836903284:eng</t>
  </si>
  <si>
    <t>25871721</t>
  </si>
  <si>
    <t>991001653079702656</t>
  </si>
  <si>
    <t>2270198710002656</t>
  </si>
  <si>
    <t>9780803946934</t>
  </si>
  <si>
    <t>32285001400596</t>
  </si>
  <si>
    <t>893534627</t>
  </si>
  <si>
    <t>DS119.7 .R75</t>
  </si>
  <si>
    <t>0                      DS 0119700R  75</t>
  </si>
  <si>
    <t>The Arab states and the Palestine conflict / Barry Rubin.</t>
  </si>
  <si>
    <t>Rubin, Barry M.</t>
  </si>
  <si>
    <t>Syracuse, N.Y. : Syracuse University Press, 1981.</t>
  </si>
  <si>
    <t>1997-04-11</t>
  </si>
  <si>
    <t>477593:eng</t>
  </si>
  <si>
    <t>7551421</t>
  </si>
  <si>
    <t>991005123769702656</t>
  </si>
  <si>
    <t>2266098410002656</t>
  </si>
  <si>
    <t>9780815601708</t>
  </si>
  <si>
    <t>32285000274984</t>
  </si>
  <si>
    <t>893520468</t>
  </si>
  <si>
    <t>DS119.7 .R754 1994</t>
  </si>
  <si>
    <t>0                      DS 0119700R  754         1994</t>
  </si>
  <si>
    <t>Revolution until victory? : the politics and history of the PLO / Barry Rubin.</t>
  </si>
  <si>
    <t>Cambridge, Mass. : Harvard University Press, 1994.</t>
  </si>
  <si>
    <t>1994-05-24</t>
  </si>
  <si>
    <t>836898954:eng</t>
  </si>
  <si>
    <t>28799849</t>
  </si>
  <si>
    <t>991002234359702656</t>
  </si>
  <si>
    <t>2266435660002656</t>
  </si>
  <si>
    <t>9780674768031</t>
  </si>
  <si>
    <t>32285001898518</t>
  </si>
  <si>
    <t>893615870</t>
  </si>
  <si>
    <t>DS119.7 .S32</t>
  </si>
  <si>
    <t>0                      DS 0119700S  32</t>
  </si>
  <si>
    <t>From war to war : the Arab-Israeli confrontation, 1948-1967 : a study of the conflict from the perspective of coercion in the context of inter-Arab and big power relations.</t>
  </si>
  <si>
    <t>Safran, Nadav.</t>
  </si>
  <si>
    <t>New York : Pegasus, [1969]</t>
  </si>
  <si>
    <t>1993-01-05</t>
  </si>
  <si>
    <t>887962060:eng</t>
  </si>
  <si>
    <t>10670</t>
  </si>
  <si>
    <t>991000001749702656</t>
  </si>
  <si>
    <t>2268000960002656</t>
  </si>
  <si>
    <t>32285001472389</t>
  </si>
  <si>
    <t>893708002</t>
  </si>
  <si>
    <t>DS119.7 .S37413</t>
  </si>
  <si>
    <t>0                      DS 0119700S  37413</t>
  </si>
  <si>
    <t>After the guns fall silent : peace or Armageddon in the Middle East / Mohamed Sid-Ahmed ; foreword by Lord Caradon.</t>
  </si>
  <si>
    <t>Sayyid Aḥmad, Muḥammad, 1928-</t>
  </si>
  <si>
    <t>London : Croom Helm, 1976.</t>
  </si>
  <si>
    <t>1995-11-12</t>
  </si>
  <si>
    <t>2452792124:eng</t>
  </si>
  <si>
    <t>2895239</t>
  </si>
  <si>
    <t>991004276589702656</t>
  </si>
  <si>
    <t>2269003060002656</t>
  </si>
  <si>
    <t>9780856641848</t>
  </si>
  <si>
    <t>32285000293612</t>
  </si>
  <si>
    <t>893628072</t>
  </si>
  <si>
    <t>DS119.7 .S37933 1999</t>
  </si>
  <si>
    <t>0                      DS 0119700S  37933       1999</t>
  </si>
  <si>
    <t>The reconstruction of Palestinian nationalism : between revolution and statehood / Helena Lindholm Schulz.</t>
  </si>
  <si>
    <t>Schulz, Helena Lindholm.</t>
  </si>
  <si>
    <t>Manchester ; New York : Manchester University Press ; New York : Distributed exclusively in the USA by St. Martin's Press, c1999.</t>
  </si>
  <si>
    <t>2009-08-28</t>
  </si>
  <si>
    <t>2002-10-22</t>
  </si>
  <si>
    <t>436046492:eng</t>
  </si>
  <si>
    <t>40609033</t>
  </si>
  <si>
    <t>991003875559702656</t>
  </si>
  <si>
    <t>2269814260002656</t>
  </si>
  <si>
    <t>9780719055966</t>
  </si>
  <si>
    <t>32285004656590</t>
  </si>
  <si>
    <t>893599092</t>
  </si>
  <si>
    <t>DS119.7 .S4678 1988</t>
  </si>
  <si>
    <t>0                      DS 0119700S  4678        1988</t>
  </si>
  <si>
    <t>The Palestinian Entity, 1959-1974 : Arab politics and the PLO / Moshe Shemesh.</t>
  </si>
  <si>
    <t>Shemesh, Moshe.</t>
  </si>
  <si>
    <t>London, England ; Totowa, N.J. : F. Cass, 1988.</t>
  </si>
  <si>
    <t>2698517:eng</t>
  </si>
  <si>
    <t>17509321</t>
  </si>
  <si>
    <t>991001227279702656</t>
  </si>
  <si>
    <t>2266050340002656</t>
  </si>
  <si>
    <t>9780714632810</t>
  </si>
  <si>
    <t>32285000274992</t>
  </si>
  <si>
    <t>893407961</t>
  </si>
  <si>
    <t>DS119.7 .S4762 2000</t>
  </si>
  <si>
    <t>0                      DS 0119700S  4762        2000</t>
  </si>
  <si>
    <t>The iron wall : Israel and the Arab world / Avi Shlaim.</t>
  </si>
  <si>
    <t>Shlaim, Avi.</t>
  </si>
  <si>
    <t>New York : W.W. Norton, 2000.</t>
  </si>
  <si>
    <t>2004-06-24</t>
  </si>
  <si>
    <t>2000-01-19</t>
  </si>
  <si>
    <t>45025:eng</t>
  </si>
  <si>
    <t>41076254</t>
  </si>
  <si>
    <t>991003017949702656</t>
  </si>
  <si>
    <t>2262390900002656</t>
  </si>
  <si>
    <t>9780393048162</t>
  </si>
  <si>
    <t>32285003643037</t>
  </si>
  <si>
    <t>893598169</t>
  </si>
  <si>
    <t>DS119.7 .S618 1988</t>
  </si>
  <si>
    <t>0                      DS 0119700S  618         1988</t>
  </si>
  <si>
    <t>Palestine and the Arab-Israeli conflict / Charles D. Smith.</t>
  </si>
  <si>
    <t>Smith, Charles D., 1936-</t>
  </si>
  <si>
    <t>New York : St. Martin's Press, 1988.</t>
  </si>
  <si>
    <t>2010-08-03</t>
  </si>
  <si>
    <t>676327:eng</t>
  </si>
  <si>
    <t>16717133</t>
  </si>
  <si>
    <t>991001137109702656</t>
  </si>
  <si>
    <t>2256630950002656</t>
  </si>
  <si>
    <t>9780312003012</t>
  </si>
  <si>
    <t>32285000145010</t>
  </si>
  <si>
    <t>893346275</t>
  </si>
  <si>
    <t>DS119.7 .S682 1982</t>
  </si>
  <si>
    <t>0                      DS 0119700S  682         1982</t>
  </si>
  <si>
    <t>The Palestinians : victims of expediency / Desmond Stewart.</t>
  </si>
  <si>
    <t>Stewart, Desmond, 1924-1981.</t>
  </si>
  <si>
    <t>London ; New York : Quartet Books, 1982.</t>
  </si>
  <si>
    <t>42817571:eng</t>
  </si>
  <si>
    <t>9371601</t>
  </si>
  <si>
    <t>991000168029702656</t>
  </si>
  <si>
    <t>2260174770002656</t>
  </si>
  <si>
    <t>9780704323575</t>
  </si>
  <si>
    <t>32285000293620</t>
  </si>
  <si>
    <t>893333266</t>
  </si>
  <si>
    <t>DS119.7 .T667 1982</t>
  </si>
  <si>
    <t>0                      DS 0119700T  667         1982</t>
  </si>
  <si>
    <t>The peace brokers : mediators in the Arab-Israeli conflict, 1948-1979 / Saadia Touval.</t>
  </si>
  <si>
    <t>Touval, Saadia.</t>
  </si>
  <si>
    <t>Princeton, N.J. : Princeton University Press, c1982.</t>
  </si>
  <si>
    <t>2003-02-17</t>
  </si>
  <si>
    <t>20723568:eng</t>
  </si>
  <si>
    <t>8280491</t>
  </si>
  <si>
    <t>991005225069702656</t>
  </si>
  <si>
    <t>2257261850002656</t>
  </si>
  <si>
    <t>9780691076386</t>
  </si>
  <si>
    <t>32285000293638</t>
  </si>
  <si>
    <t>893713670</t>
  </si>
  <si>
    <t>DS119.7 .T67 1988</t>
  </si>
  <si>
    <t>0                      DS 0119700T  67          1988</t>
  </si>
  <si>
    <t>Toward Arab-Israeli peace : report of a study group / Brookings Study Group on Arab-Israeli Peace.</t>
  </si>
  <si>
    <t>Washington : Brookings Institution, c1988.</t>
  </si>
  <si>
    <t>16770616:eng</t>
  </si>
  <si>
    <t>17781074</t>
  </si>
  <si>
    <t>991001263589702656</t>
  </si>
  <si>
    <t>2269277430002656</t>
  </si>
  <si>
    <t>9780815772910</t>
  </si>
  <si>
    <t>32285000145879</t>
  </si>
  <si>
    <t>893328018</t>
  </si>
  <si>
    <t>DS119.7 .T83</t>
  </si>
  <si>
    <t>0                      DS 0119700T  83</t>
  </si>
  <si>
    <t>The disinherited; journal of a Palestinian exile.</t>
  </si>
  <si>
    <t>Turki, Fawaz, 1940-</t>
  </si>
  <si>
    <t>New York [Monthly Review Press, 1972]</t>
  </si>
  <si>
    <t>510007:eng</t>
  </si>
  <si>
    <t>1638871</t>
  </si>
  <si>
    <t>991003850919702656</t>
  </si>
  <si>
    <t>2263558170002656</t>
  </si>
  <si>
    <t>9780853452102</t>
  </si>
  <si>
    <t>32285002456597</t>
  </si>
  <si>
    <t>893693215</t>
  </si>
  <si>
    <t>DS119.7 .W74 1989</t>
  </si>
  <si>
    <t>0                      DS 0119700W  74          1989</t>
  </si>
  <si>
    <t>Facts and fables : the Arab-Israeli conflict / Clifford A. Wright.</t>
  </si>
  <si>
    <t>Wright, Clifford A.</t>
  </si>
  <si>
    <t>London ; New York : Kegan Paul International, 1989.</t>
  </si>
  <si>
    <t>1992-09-10</t>
  </si>
  <si>
    <t>1989-11-27</t>
  </si>
  <si>
    <t>346221513:eng</t>
  </si>
  <si>
    <t>20389710</t>
  </si>
  <si>
    <t>991001570389702656</t>
  </si>
  <si>
    <t>2263653180002656</t>
  </si>
  <si>
    <t>9780710302946</t>
  </si>
  <si>
    <t>32285000015205</t>
  </si>
  <si>
    <t>893903462</t>
  </si>
  <si>
    <t>DS119.7 .Y68 1992</t>
  </si>
  <si>
    <t>0                      DS 0119700Y  68          1992</t>
  </si>
  <si>
    <t>Keepers of the history : women and the Israeli-Palestinian conflict / Elise G. Young.</t>
  </si>
  <si>
    <t>Young, Elise G.</t>
  </si>
  <si>
    <t>New York : Teachers College Press, c1992.</t>
  </si>
  <si>
    <t>The Athene series</t>
  </si>
  <si>
    <t>2005-04-12</t>
  </si>
  <si>
    <t>1992-10-27</t>
  </si>
  <si>
    <t>910800335:eng</t>
  </si>
  <si>
    <t>24628533</t>
  </si>
  <si>
    <t>991001948399702656</t>
  </si>
  <si>
    <t>2261402220002656</t>
  </si>
  <si>
    <t>9780024312013</t>
  </si>
  <si>
    <t>32285001319416</t>
  </si>
  <si>
    <t>893226259</t>
  </si>
  <si>
    <t>DS119.7.A6785 A28 1998</t>
  </si>
  <si>
    <t>0                      DS 0119700A  6785               A  28          1998</t>
  </si>
  <si>
    <t>Arafat : from defender to dictator / Saïd K. Aburish.</t>
  </si>
  <si>
    <t>Aburish, Saïd K., 1935-2012.</t>
  </si>
  <si>
    <t>New York : Bloomsbury, c1998.</t>
  </si>
  <si>
    <t>1999-04-13</t>
  </si>
  <si>
    <t>104618836:eng</t>
  </si>
  <si>
    <t>40214929</t>
  </si>
  <si>
    <t>991002985539702656</t>
  </si>
  <si>
    <t>2270612370002656</t>
  </si>
  <si>
    <t>9781582340005</t>
  </si>
  <si>
    <t>32285003552170</t>
  </si>
  <si>
    <t>893329804</t>
  </si>
  <si>
    <t>DS119.7.A6785 G68 1992</t>
  </si>
  <si>
    <t>0                      DS 0119700A  6785               G  68          1992</t>
  </si>
  <si>
    <t>Behind the myth : Yasser Arafat and the Palestinian revolution / Andrew Gowers and Tony Walker ; [maps drawn by Carole Vincer].</t>
  </si>
  <si>
    <t>Gowers, Andrew.</t>
  </si>
  <si>
    <t>New York : Olive Branch Press, 1992.</t>
  </si>
  <si>
    <t>2000-11-25</t>
  </si>
  <si>
    <t>1992-09-22</t>
  </si>
  <si>
    <t>24183707:eng</t>
  </si>
  <si>
    <t>24142396</t>
  </si>
  <si>
    <t>991001911119702656</t>
  </si>
  <si>
    <t>2265656780002656</t>
  </si>
  <si>
    <t>9780940793866</t>
  </si>
  <si>
    <t>32285001288371</t>
  </si>
  <si>
    <t>893785495</t>
  </si>
  <si>
    <t>DS119.7.A6785 H36 1989</t>
  </si>
  <si>
    <t>0                      DS 0119700A  6785               H  36          1989</t>
  </si>
  <si>
    <t>Arafat, a political biography / Alan Hart</t>
  </si>
  <si>
    <t>Hart, Alan, 1935-</t>
  </si>
  <si>
    <t>Bloomington : Indiana University Press, c1989.</t>
  </si>
  <si>
    <t>2008-04-16</t>
  </si>
  <si>
    <t>1989-10-24</t>
  </si>
  <si>
    <t>365455548:eng</t>
  </si>
  <si>
    <t>18871613</t>
  </si>
  <si>
    <t>991001408179702656</t>
  </si>
  <si>
    <t>2272092770002656</t>
  </si>
  <si>
    <t>9780253205162</t>
  </si>
  <si>
    <t>32285000010446</t>
  </si>
  <si>
    <t>893621345</t>
  </si>
  <si>
    <t>DS119.7.T3424 B3713 1988</t>
  </si>
  <si>
    <t>0                      DS 0119700T  3424               B  3713        1988</t>
  </si>
  <si>
    <t>Mine enemy / Amalia and Aharon Barnea ; translated from the Hebrew by Chaya Amir.</t>
  </si>
  <si>
    <t>Barnea, Amalia, 1950-</t>
  </si>
  <si>
    <t>New York : Grove Press, 1988.</t>
  </si>
  <si>
    <t>2001-09-01</t>
  </si>
  <si>
    <t>5453675338:eng</t>
  </si>
  <si>
    <t>17805146</t>
  </si>
  <si>
    <t>991001265509702656</t>
  </si>
  <si>
    <t>2266041810002656</t>
  </si>
  <si>
    <t>9780802110060</t>
  </si>
  <si>
    <t>32285000198308</t>
  </si>
  <si>
    <t>893408008</t>
  </si>
  <si>
    <t>DS119.75 .F73 1993</t>
  </si>
  <si>
    <t>0                      DS 0119750F  73          1993</t>
  </si>
  <si>
    <t>Framing the Intifada : people and media / edited by Akiba A. Cohen and Gadi Wolfsfeld.</t>
  </si>
  <si>
    <t>Norwood, N.J. : Ablex Pub. Corp., c1993.</t>
  </si>
  <si>
    <t>The Communication and information science</t>
  </si>
  <si>
    <t>2010-04-11</t>
  </si>
  <si>
    <t>1994-11-17</t>
  </si>
  <si>
    <t>793877270:eng</t>
  </si>
  <si>
    <t>27066283</t>
  </si>
  <si>
    <t>991002111169702656</t>
  </si>
  <si>
    <t>2256934240002656</t>
  </si>
  <si>
    <t>9780893918996</t>
  </si>
  <si>
    <t>32285001958700</t>
  </si>
  <si>
    <t>893866817</t>
  </si>
  <si>
    <t>DS119.75 .S68 1994</t>
  </si>
  <si>
    <t>0                      DS 0119750S  68          1994</t>
  </si>
  <si>
    <t>Speaking stones : communiqués from the Intifada underground / [compiled, edited, and translated by] Shaul Mishal and Reuben Aharoni.</t>
  </si>
  <si>
    <t>Syracuse, N.Y. : Syracuse University Press, 1994.</t>
  </si>
  <si>
    <t>2007-11-19</t>
  </si>
  <si>
    <t>1994-12-28</t>
  </si>
  <si>
    <t>984684454:eng</t>
  </si>
  <si>
    <t>29023705</t>
  </si>
  <si>
    <t>991002248209702656</t>
  </si>
  <si>
    <t>2261687400002656</t>
  </si>
  <si>
    <t>9780815626060</t>
  </si>
  <si>
    <t>32285001979243</t>
  </si>
  <si>
    <t>893262178</t>
  </si>
  <si>
    <t>DS119.76 .A3482 2006</t>
  </si>
  <si>
    <t>0                      DS 0119760A  3482        2006</t>
  </si>
  <si>
    <t>Peace is possible : conversations with Arab and Israeli leaders from 1988 to the present / S. Daniel Abraham ; foreword by Bill Clinton.</t>
  </si>
  <si>
    <t>Abraham, S. Daniel.</t>
  </si>
  <si>
    <t>New York : Newmarket Press, c2006.</t>
  </si>
  <si>
    <t>2006-04-27</t>
  </si>
  <si>
    <t>46543422:eng</t>
  </si>
  <si>
    <t>62127834</t>
  </si>
  <si>
    <t>991004799019702656</t>
  </si>
  <si>
    <t>2259128340002656</t>
  </si>
  <si>
    <t>9781557047021</t>
  </si>
  <si>
    <t>32285005182877</t>
  </si>
  <si>
    <t>893719390</t>
  </si>
  <si>
    <t>DS119.76 .B4513 1999</t>
  </si>
  <si>
    <t>0                      DS 0119760B  4513        1999</t>
  </si>
  <si>
    <t>Touching peace : from the Oslo accord to a final agreement / Yossi Beilin ; translated from the Hebrew by Philip Simpson.</t>
  </si>
  <si>
    <t>Beilin, Yossi.</t>
  </si>
  <si>
    <t>London : Weidenfeld &amp; Nicolson, 1999.</t>
  </si>
  <si>
    <t>2000-12-13</t>
  </si>
  <si>
    <t>875214:eng</t>
  </si>
  <si>
    <t>40588457</t>
  </si>
  <si>
    <t>991003327949702656</t>
  </si>
  <si>
    <t>2260438520002656</t>
  </si>
  <si>
    <t>9780297643166</t>
  </si>
  <si>
    <t>32285004276480</t>
  </si>
  <si>
    <t>893868304</t>
  </si>
  <si>
    <t>DS119.76 .B455 2004</t>
  </si>
  <si>
    <t>0                      DS 0119760B  455         2004</t>
  </si>
  <si>
    <t>The path to Geneva : the quest for a permanent agreement, 1996-2004 / by Yosi Beilin ; contributing editor, David Silver.</t>
  </si>
  <si>
    <t>New York : RDV Books, c2004.</t>
  </si>
  <si>
    <t>2004</t>
  </si>
  <si>
    <t>2009-04-14</t>
  </si>
  <si>
    <t>2004-07-14</t>
  </si>
  <si>
    <t>198817084:eng</t>
  </si>
  <si>
    <t>55658527</t>
  </si>
  <si>
    <t>991004318389702656</t>
  </si>
  <si>
    <t>2257862220002656</t>
  </si>
  <si>
    <t>9780971920637</t>
  </si>
  <si>
    <t>32285004922620</t>
  </si>
  <si>
    <t>893259588</t>
  </si>
  <si>
    <t>DS119.76 .B55 2001</t>
  </si>
  <si>
    <t>0                      DS 0119760B  55          2001</t>
  </si>
  <si>
    <t>Palestine/Israel : peace or apartheid : prospects for resolving the conflict / Marwan Bishara.</t>
  </si>
  <si>
    <t>Bishārah, Marwān.</t>
  </si>
  <si>
    <t>London ; New York : Zed Books ; Halifax, Nova Scotia : Fernwood Pub. ; New York : Distributed exclusively in the U.S. by Palgrave, 2001.</t>
  </si>
  <si>
    <t>2002-03-20</t>
  </si>
  <si>
    <t>3855592988:eng</t>
  </si>
  <si>
    <t>47273086</t>
  </si>
  <si>
    <t>991003753619702656</t>
  </si>
  <si>
    <t>2263907030002656</t>
  </si>
  <si>
    <t>9781842771105</t>
  </si>
  <si>
    <t>32285004463344</t>
  </si>
  <si>
    <t>893416745</t>
  </si>
  <si>
    <t>DS119.76 .C49 2003</t>
  </si>
  <si>
    <t>0                      DS 0119760C  49          2003</t>
  </si>
  <si>
    <t>Middle East illusions : including peace in the Middle East? : reflections on justice and nationhood / Noam Chomsky.</t>
  </si>
  <si>
    <t>Chomsky, Noam.</t>
  </si>
  <si>
    <t>Lanham, MD : Rowman &amp; Littlefield Publishers, c2003.</t>
  </si>
  <si>
    <t>2003-07-30</t>
  </si>
  <si>
    <t>740413:eng</t>
  </si>
  <si>
    <t>51222165</t>
  </si>
  <si>
    <t>991004089469702656</t>
  </si>
  <si>
    <t>2270874550002656</t>
  </si>
  <si>
    <t>9780742526938</t>
  </si>
  <si>
    <t>32285004758263</t>
  </si>
  <si>
    <t>893318789</t>
  </si>
  <si>
    <t>DS119.76 .E5913 2003</t>
  </si>
  <si>
    <t>0                      DS 0119760E  5913        2003</t>
  </si>
  <si>
    <t>Shattered dreams : the failure of the peace process in the Middle East, 1995-2002 / Charles Enderlin ; translated by Susan Fairfield.</t>
  </si>
  <si>
    <t>Enderlin, Charles.</t>
  </si>
  <si>
    <t>New York : Other Press, c2003.</t>
  </si>
  <si>
    <t>2003-06-18</t>
  </si>
  <si>
    <t>1152301451:eng</t>
  </si>
  <si>
    <t>50440985</t>
  </si>
  <si>
    <t>991004074109702656</t>
  </si>
  <si>
    <t>2258043730002656</t>
  </si>
  <si>
    <t>9781590510605</t>
  </si>
  <si>
    <t>32285004753827</t>
  </si>
  <si>
    <t>893240984</t>
  </si>
  <si>
    <t>DS119.76 .G57 2001</t>
  </si>
  <si>
    <t>0                      DS 0119760G  57          2001</t>
  </si>
  <si>
    <t>Hebron journal : stories of nonviolent peacemaking / Arthur G. Gish.</t>
  </si>
  <si>
    <t>Gish, Arthur G., 1939-2010.</t>
  </si>
  <si>
    <t>Scottdale, Pa. : Herald Press, c2001.</t>
  </si>
  <si>
    <t>36114667:eng</t>
  </si>
  <si>
    <t>47161567</t>
  </si>
  <si>
    <t>991003742069702656</t>
  </si>
  <si>
    <t>2266751240002656</t>
  </si>
  <si>
    <t>9780836191684</t>
  </si>
  <si>
    <t>32285004461843</t>
  </si>
  <si>
    <t>893617685</t>
  </si>
  <si>
    <t>DS119.76 .H835 2009</t>
  </si>
  <si>
    <t>0                      DS 0119760H  835         2009</t>
  </si>
  <si>
    <t>The Israeli-Palestinian road map for peace : a critical analysis / Derick L. Hulme, Jr.</t>
  </si>
  <si>
    <t>Hulme, Derick L.</t>
  </si>
  <si>
    <t>Lanham, Md. : University Press of America, c2009.</t>
  </si>
  <si>
    <t>2010-03-24</t>
  </si>
  <si>
    <t>946119147:eng</t>
  </si>
  <si>
    <t>256529530</t>
  </si>
  <si>
    <t>991005374799702656</t>
  </si>
  <si>
    <t>2261484590002656</t>
  </si>
  <si>
    <t>9780761843702</t>
  </si>
  <si>
    <t>32285005579189</t>
  </si>
  <si>
    <t>893437742</t>
  </si>
  <si>
    <t>DS119.76 .I823 2003</t>
  </si>
  <si>
    <t>0                      DS 0119760I  823         2003</t>
  </si>
  <si>
    <t>The Israeli-Palestinian conflict : crisis in the Middle East / Reuters.</t>
  </si>
  <si>
    <t>Upper Saddle River, NJ : Prentice Hall, c2003.</t>
  </si>
  <si>
    <t>2008-04-17</t>
  </si>
  <si>
    <t>2002-10-29</t>
  </si>
  <si>
    <t>56832151:eng</t>
  </si>
  <si>
    <t>50129391</t>
  </si>
  <si>
    <t>991003908769702656</t>
  </si>
  <si>
    <t>2264918580002656</t>
  </si>
  <si>
    <t>9780131001503</t>
  </si>
  <si>
    <t>32285004658752</t>
  </si>
  <si>
    <t>893429421</t>
  </si>
  <si>
    <t>DS119.76 .K27 2003</t>
  </si>
  <si>
    <t>0                      DS 0119760K  27          2003</t>
  </si>
  <si>
    <t>Arafat's war : the man and his struggle for Israeli conquest / Efraim Karsh.</t>
  </si>
  <si>
    <t>Karsh, Efraim.</t>
  </si>
  <si>
    <t>New York : Grove Press, c2003.</t>
  </si>
  <si>
    <t>2004-01-07</t>
  </si>
  <si>
    <t>43593209:eng</t>
  </si>
  <si>
    <t>52090707</t>
  </si>
  <si>
    <t>991004196539702656</t>
  </si>
  <si>
    <t>2271581270002656</t>
  </si>
  <si>
    <t>9780802117588</t>
  </si>
  <si>
    <t>32285004632765</t>
  </si>
  <si>
    <t>893325058</t>
  </si>
  <si>
    <t>DS119.76 .L475 2005</t>
  </si>
  <si>
    <t>0                      DS 0119760L  475         2005</t>
  </si>
  <si>
    <t>The Oslo syndrome : delusions of a people under siege / Kenneth Levin.</t>
  </si>
  <si>
    <t>Levin, Kenneth, 1944-</t>
  </si>
  <si>
    <t>Hanover, NH : Smith and Kraus, 2005.</t>
  </si>
  <si>
    <t>2006-04-26</t>
  </si>
  <si>
    <t>2006-04-03</t>
  </si>
  <si>
    <t>17483303:eng</t>
  </si>
  <si>
    <t>56482318</t>
  </si>
  <si>
    <t>991004776469702656</t>
  </si>
  <si>
    <t>2261444760002656</t>
  </si>
  <si>
    <t>9781575254173</t>
  </si>
  <si>
    <t>32285005169262</t>
  </si>
  <si>
    <t>893807459</t>
  </si>
  <si>
    <t>DS119.76 .L4753 2008</t>
  </si>
  <si>
    <t>0                      DS 0119760L  4753        2008</t>
  </si>
  <si>
    <t>Negotiating under fire : preserving peace talks in the face of terror attacks / Matthew Levitt.</t>
  </si>
  <si>
    <t>Levitt, Matthew, 1970-</t>
  </si>
  <si>
    <t>Lanham : Rowman &amp; Littlefield, c2008.</t>
  </si>
  <si>
    <t>2009-10-13</t>
  </si>
  <si>
    <t>802946584:eng</t>
  </si>
  <si>
    <t>217263406</t>
  </si>
  <si>
    <t>991005333489702656</t>
  </si>
  <si>
    <t>2271750770002656</t>
  </si>
  <si>
    <t>9780742551626</t>
  </si>
  <si>
    <t>32285005547681</t>
  </si>
  <si>
    <t>893695142</t>
  </si>
  <si>
    <t>DS119.76 .M444 2006</t>
  </si>
  <si>
    <t>0                      DS 0119760M  444         2006</t>
  </si>
  <si>
    <t>Peace in tatters : Israel, Palestine, and the Middle East / Yoram Meital.</t>
  </si>
  <si>
    <t>Meital, Yoram.</t>
  </si>
  <si>
    <t>Boulder, Colo. : Lynne Rienner Publishers, 2006.</t>
  </si>
  <si>
    <t>2008-04-14</t>
  </si>
  <si>
    <t>2005-12-05</t>
  </si>
  <si>
    <t>47024736:eng</t>
  </si>
  <si>
    <t>59280070</t>
  </si>
  <si>
    <t>991004697919702656</t>
  </si>
  <si>
    <t>2257592400002656</t>
  </si>
  <si>
    <t>9781588263629</t>
  </si>
  <si>
    <t>32285005151260</t>
  </si>
  <si>
    <t>893901646</t>
  </si>
  <si>
    <t>DS119.76 .P375 1999</t>
  </si>
  <si>
    <t>0                      DS 0119760P  375         1999</t>
  </si>
  <si>
    <t>Resignation or revolt? : socio-political development and the challenges of peace in Palestine / Christopher Parker.</t>
  </si>
  <si>
    <t>Parker, Christopher (Christopher H.)</t>
  </si>
  <si>
    <t>London ; New York : I.B. Tauris, 1999.</t>
  </si>
  <si>
    <t>2002-10-16</t>
  </si>
  <si>
    <t>25859810:eng</t>
  </si>
  <si>
    <t>40832736</t>
  </si>
  <si>
    <t>991003885279702656</t>
  </si>
  <si>
    <t>2256627520002656</t>
  </si>
  <si>
    <t>9781860643354</t>
  </si>
  <si>
    <t>32285004655253</t>
  </si>
  <si>
    <t>893349320</t>
  </si>
  <si>
    <t>DS119.76 .Q725 2006</t>
  </si>
  <si>
    <t>0                      DS 0119760Q  725         2006</t>
  </si>
  <si>
    <t>From Oslo to Jerusalem : the Palestinian story of the secret negotiations / Ahmed Queri ('Abu Ala').</t>
  </si>
  <si>
    <t>Qurayʻ, Aḥmad.</t>
  </si>
  <si>
    <t>London ; New York : I.B. Tauris ; New York : Distributed in the United States and Canada by Palgrave Macmillan, 2006.</t>
  </si>
  <si>
    <t>2007-10-11</t>
  </si>
  <si>
    <t>320919477:eng</t>
  </si>
  <si>
    <t>64097960</t>
  </si>
  <si>
    <t>991005116079702656</t>
  </si>
  <si>
    <t>2269792110002656</t>
  </si>
  <si>
    <t>9781845111328</t>
  </si>
  <si>
    <t>32285005329346</t>
  </si>
  <si>
    <t>893619479</t>
  </si>
  <si>
    <t>DS119.76 .R794 2003</t>
  </si>
  <si>
    <t>0                      DS 0119760R  794         2003</t>
  </si>
  <si>
    <t>The Palestinians : in search of a just peace / Cheryl A. Rubenberg.</t>
  </si>
  <si>
    <t>Rubenberg, Cheryl.</t>
  </si>
  <si>
    <t>Boulder, Colo. : Lynne Rienner Publishers, 2003.</t>
  </si>
  <si>
    <t>2003-09-18</t>
  </si>
  <si>
    <t>891213639:eng</t>
  </si>
  <si>
    <t>51566586</t>
  </si>
  <si>
    <t>991004128439702656</t>
  </si>
  <si>
    <t>2263283610002656</t>
  </si>
  <si>
    <t>9781588262004</t>
  </si>
  <si>
    <t>32285004792585</t>
  </si>
  <si>
    <t>893349634</t>
  </si>
  <si>
    <t>DS119.76 .R83 1999</t>
  </si>
  <si>
    <t>0                      DS 0119760R  83          1999</t>
  </si>
  <si>
    <t>The transformation of Palestinian politics : from revolution to state-building / Barry Rubin.</t>
  </si>
  <si>
    <t>Cambridge, Mass. : Harvard University Press, 1999.</t>
  </si>
  <si>
    <t>2008-12-12</t>
  </si>
  <si>
    <t>2002-09-04</t>
  </si>
  <si>
    <t>20526586:eng</t>
  </si>
  <si>
    <t>41445825</t>
  </si>
  <si>
    <t>991003861089702656</t>
  </si>
  <si>
    <t>2269512570002656</t>
  </si>
  <si>
    <t>9780674000711</t>
  </si>
  <si>
    <t>32285004645916</t>
  </si>
  <si>
    <t>893611551</t>
  </si>
  <si>
    <t>DS119.76 .S78 1998</t>
  </si>
  <si>
    <t>0                      DS 0119760S  78          1998</t>
  </si>
  <si>
    <t>The process : 1,100 days that changed the Middle East / Uri Savir.</t>
  </si>
  <si>
    <t>Savir, Uri.</t>
  </si>
  <si>
    <t>New York : Random House, c1998.</t>
  </si>
  <si>
    <t>1999-02-24</t>
  </si>
  <si>
    <t>569984:eng</t>
  </si>
  <si>
    <t>38257793</t>
  </si>
  <si>
    <t>991002901529702656</t>
  </si>
  <si>
    <t>2270758700002656</t>
  </si>
  <si>
    <t>9780679422969</t>
  </si>
  <si>
    <t>32285003526695</t>
  </si>
  <si>
    <t>893348071</t>
  </si>
  <si>
    <t>DS119.76 .S82 2002</t>
  </si>
  <si>
    <t>0                      DS 0119760S  82          2002</t>
  </si>
  <si>
    <t>Structural flaws in the Middle East peace process : historical contexts / edited by J.W. Wright, Jr.</t>
  </si>
  <si>
    <t>Houndmills, Basingstoke, Hampshire ; New York : Palgrave, 2002.</t>
  </si>
  <si>
    <t>International political economy series</t>
  </si>
  <si>
    <t>2009-05-13</t>
  </si>
  <si>
    <t>2004-01-19</t>
  </si>
  <si>
    <t>1088002346:eng</t>
  </si>
  <si>
    <t>46991119</t>
  </si>
  <si>
    <t>991004159999702656</t>
  </si>
  <si>
    <t>2255485360002656</t>
  </si>
  <si>
    <t>9780333711101</t>
  </si>
  <si>
    <t>32285004634183</t>
  </si>
  <si>
    <t>893525722</t>
  </si>
  <si>
    <t>DS119.765 .P43 2003</t>
  </si>
  <si>
    <t>0                      DS 0119765P  43          2003</t>
  </si>
  <si>
    <t>Occupied voices : stories of everyday life from the second Intifada / Wendy Pearlman ; photos by Laura Junka.</t>
  </si>
  <si>
    <t>Pearlman, Wendy.</t>
  </si>
  <si>
    <t>New York : Thunder's Mouth Press/Nation Books ; [Berkeley, Calif.] : Distributed by Publishers Group West, c2003.</t>
  </si>
  <si>
    <t>17835272:eng</t>
  </si>
  <si>
    <t>51613994</t>
  </si>
  <si>
    <t>991004128469702656</t>
  </si>
  <si>
    <t>2265826460002656</t>
  </si>
  <si>
    <t>9781560255307</t>
  </si>
  <si>
    <t>32285004788005</t>
  </si>
  <si>
    <t>893624376</t>
  </si>
  <si>
    <t>DS119.8.E3 B37</t>
  </si>
  <si>
    <t>0                      DS 0119800E  3                  B  37</t>
  </si>
  <si>
    <t>The Israeli-Egyptian war of attrition, 1969-1970 : a case-study of limited local war / by Yaacov Bar-Siman-Tov.</t>
  </si>
  <si>
    <t>Bar-Siman-Tov, Yaacov, 1946-</t>
  </si>
  <si>
    <t>New York : Columbia University Press, 1980.</t>
  </si>
  <si>
    <t>1996-10-29</t>
  </si>
  <si>
    <t>895262983:eng</t>
  </si>
  <si>
    <t>6092115</t>
  </si>
  <si>
    <t>991004929679702656</t>
  </si>
  <si>
    <t>2263554840002656</t>
  </si>
  <si>
    <t>9780231049825</t>
  </si>
  <si>
    <t>32285000293646</t>
  </si>
  <si>
    <t>893876714</t>
  </si>
  <si>
    <t>DS119.8.G4 B33</t>
  </si>
  <si>
    <t>0                      DS 0119800G  4                  B  33</t>
  </si>
  <si>
    <t>West German reparations to Israel.</t>
  </si>
  <si>
    <t>Balabkins, Nicholas.</t>
  </si>
  <si>
    <t>New Brunswick, N.J., Rutgers University Press [1971]</t>
  </si>
  <si>
    <t>2004-03-13</t>
  </si>
  <si>
    <t>1284109:eng</t>
  </si>
  <si>
    <t>210512</t>
  </si>
  <si>
    <t>991001268249702656</t>
  </si>
  <si>
    <t>2262052260002656</t>
  </si>
  <si>
    <t>9780813506913</t>
  </si>
  <si>
    <t>32285002462041</t>
  </si>
  <si>
    <t>893702897</t>
  </si>
  <si>
    <t>DS119.8.J67 S552 1998</t>
  </si>
  <si>
    <t>0                      DS 0119800J  67                 S  552         1998</t>
  </si>
  <si>
    <t>The politics of partition : King Abdullah, the Zionists and Palestine, 1921-1951 / Avi Shlaim.</t>
  </si>
  <si>
    <t>New York : Oxford University Press, 1998.</t>
  </si>
  <si>
    <t>1999-03-03</t>
  </si>
  <si>
    <t>22599996:eng</t>
  </si>
  <si>
    <t>40803657</t>
  </si>
  <si>
    <t>991003008349702656</t>
  </si>
  <si>
    <t>2260959690002656</t>
  </si>
  <si>
    <t>9780198294597</t>
  </si>
  <si>
    <t>32285003528758</t>
  </si>
  <si>
    <t>893780514</t>
  </si>
  <si>
    <t>DS119.8.L4 T5513 1982</t>
  </si>
  <si>
    <t>0                      DS 0119800L  4                  T  5513        1982</t>
  </si>
  <si>
    <t>The longest war : Israel in Lebanon / Jacobo Timerman ; translated from the Spanish by Miguel Acoca.</t>
  </si>
  <si>
    <t>Timerman, Jacobo, 1923-1999.</t>
  </si>
  <si>
    <t>New York : Knopf, 1982.</t>
  </si>
  <si>
    <t>2007-11-20</t>
  </si>
  <si>
    <t>4636184:eng</t>
  </si>
  <si>
    <t>8785836</t>
  </si>
  <si>
    <t>991000072129702656</t>
  </si>
  <si>
    <t>2266799980002656</t>
  </si>
  <si>
    <t>9780394530222</t>
  </si>
  <si>
    <t>32285001864882</t>
  </si>
  <si>
    <t>893777656</t>
  </si>
  <si>
    <t>DS119.8.S95 C63 1991</t>
  </si>
  <si>
    <t>0                      DS 0119800S  95                 C  63          1991</t>
  </si>
  <si>
    <t>The superpowers and the Syrian-Israeli conflict : beyond crisis management? / Helena Cobban ; foreword by Robert G. Neumann.</t>
  </si>
  <si>
    <t>The Washington papers, 0278-937X ; 149</t>
  </si>
  <si>
    <t>2002-10-11</t>
  </si>
  <si>
    <t>1991-12-15</t>
  </si>
  <si>
    <t>2569529:eng</t>
  </si>
  <si>
    <t>22859094</t>
  </si>
  <si>
    <t>991001817679702656</t>
  </si>
  <si>
    <t>2259516500002656</t>
  </si>
  <si>
    <t>9780275939458</t>
  </si>
  <si>
    <t>32285000860543</t>
  </si>
  <si>
    <t>893791736</t>
  </si>
  <si>
    <t>DS12 .B57 2001</t>
  </si>
  <si>
    <t>0                      DS 0012000B  57          2001</t>
  </si>
  <si>
    <t>Asia : cultural politics in the global age / David Birch, Tony Schirato, and Sanjay Srivastava.</t>
  </si>
  <si>
    <t>Birch, David, 1950-</t>
  </si>
  <si>
    <t>New York : Palgrave, 2001.</t>
  </si>
  <si>
    <t>1st Palgrave ed.</t>
  </si>
  <si>
    <t>2003-04-09</t>
  </si>
  <si>
    <t>10606522:eng</t>
  </si>
  <si>
    <t>46882722</t>
  </si>
  <si>
    <t>991003763879702656</t>
  </si>
  <si>
    <t>2269501740002656</t>
  </si>
  <si>
    <t>9780312293765</t>
  </si>
  <si>
    <t>32285004478706</t>
  </si>
  <si>
    <t>893686927</t>
  </si>
  <si>
    <t>DS12 .H45 1999</t>
  </si>
  <si>
    <t>0                      DS 0012000H  45          1999</t>
  </si>
  <si>
    <t>Asian cultural traditions / Carolyn Brown Heinz.</t>
  </si>
  <si>
    <t>Heinz, Carolyn Brown, 1941-</t>
  </si>
  <si>
    <t>Prospect Heights, Ill. : Waveland Press, c1999.</t>
  </si>
  <si>
    <t>2007-09-27</t>
  </si>
  <si>
    <t>2000-03-15</t>
  </si>
  <si>
    <t>23764827:eng</t>
  </si>
  <si>
    <t>40812689</t>
  </si>
  <si>
    <t>991003008469702656</t>
  </si>
  <si>
    <t>2264465310002656</t>
  </si>
  <si>
    <t>9781577660439</t>
  </si>
  <si>
    <t>32285003669883</t>
  </si>
  <si>
    <t>893245926</t>
  </si>
  <si>
    <t>DS12 .H52 1994</t>
  </si>
  <si>
    <t>0                      DS 0012000H  52          1994</t>
  </si>
  <si>
    <t>Asian values and the United States : how much conflict? / David I. Hitchcock.</t>
  </si>
  <si>
    <t>Hitchcock, David I., 1928-</t>
  </si>
  <si>
    <t>Washington, D.C. : Center for Strategic and International Studies, c1994.</t>
  </si>
  <si>
    <t>CSIS report</t>
  </si>
  <si>
    <t>2005-11-18</t>
  </si>
  <si>
    <t>1995-04-03</t>
  </si>
  <si>
    <t>33263491:eng</t>
  </si>
  <si>
    <t>31604575</t>
  </si>
  <si>
    <t>991002422329702656</t>
  </si>
  <si>
    <t>2270959740002656</t>
  </si>
  <si>
    <t>9780892063116</t>
  </si>
  <si>
    <t>32285002016201</t>
  </si>
  <si>
    <t>893792446</t>
  </si>
  <si>
    <t>DS12 .M39 1985</t>
  </si>
  <si>
    <t>0                      DS 0012000M  39          1985</t>
  </si>
  <si>
    <t>Max Weber in Asian studies / edited by Andreas E. Buss.</t>
  </si>
  <si>
    <t>Leiden : E.J. Brill, 1985.</t>
  </si>
  <si>
    <t>International studies in sociology and social anthropology ; v. 42</t>
  </si>
  <si>
    <t>2001-11-13</t>
  </si>
  <si>
    <t>1990-09-12</t>
  </si>
  <si>
    <t>54865704:eng</t>
  </si>
  <si>
    <t>14271421</t>
  </si>
  <si>
    <t>991000930849702656</t>
  </si>
  <si>
    <t>2258324560002656</t>
  </si>
  <si>
    <t>9789004076952</t>
  </si>
  <si>
    <t>32285000291160</t>
  </si>
  <si>
    <t>893696302</t>
  </si>
  <si>
    <t>DS120 .C75 1995</t>
  </si>
  <si>
    <t>0                      DS 0120000C  75          1995</t>
  </si>
  <si>
    <t>Crisis &amp; reaction : the hero in Jewish history / Menachem Mor, editor.</t>
  </si>
  <si>
    <t>Omaha, Nebraska : Creighton University Press ; Bronx, N.Y. : Fordham University Press [distributor], c1995.</t>
  </si>
  <si>
    <t>Studies in Jewish civilization, 1070-8510 ; 6</t>
  </si>
  <si>
    <t>1995-10-11</t>
  </si>
  <si>
    <t>1067874:eng</t>
  </si>
  <si>
    <t>33118424</t>
  </si>
  <si>
    <t>991002549229702656</t>
  </si>
  <si>
    <t>2262322250002656</t>
  </si>
  <si>
    <t>9781881871149</t>
  </si>
  <si>
    <t>32285002095650</t>
  </si>
  <si>
    <t>893616259</t>
  </si>
  <si>
    <t>DS121 .C66 1987</t>
  </si>
  <si>
    <t>0                      DS 0121000C  66          1987</t>
  </si>
  <si>
    <t>The emergence of early Israel in historical perspective / Robert B. Coote &amp; Keith W. Whitelam.</t>
  </si>
  <si>
    <t>Coote, Robert B., 1944-</t>
  </si>
  <si>
    <t>Sheffield : Almond, c1987.</t>
  </si>
  <si>
    <t>The Social world of biblical antiquity</t>
  </si>
  <si>
    <t>2005-11-28</t>
  </si>
  <si>
    <t>1990-08-17</t>
  </si>
  <si>
    <t>23934122:eng</t>
  </si>
  <si>
    <t>22209364</t>
  </si>
  <si>
    <t>991001078259702656</t>
  </si>
  <si>
    <t>2259917630002656</t>
  </si>
  <si>
    <t>9781850750727</t>
  </si>
  <si>
    <t>32285000244334</t>
  </si>
  <si>
    <t>893621060</t>
  </si>
  <si>
    <t>DS121 .I87 1998</t>
  </si>
  <si>
    <t>0                      DS 0121000I  87          1998</t>
  </si>
  <si>
    <t>The Israelites / B.S.J. Isserlin.</t>
  </si>
  <si>
    <t>Isserlin, B. S. J.</t>
  </si>
  <si>
    <t>New York, N.Y. : Thames and Hudson, 1998.</t>
  </si>
  <si>
    <t>2006-10-29</t>
  </si>
  <si>
    <t>1999-09-30</t>
  </si>
  <si>
    <t>10525339:eng</t>
  </si>
  <si>
    <t>40058331</t>
  </si>
  <si>
    <t>991002979749702656</t>
  </si>
  <si>
    <t>2262188470002656</t>
  </si>
  <si>
    <t>9780500050828</t>
  </si>
  <si>
    <t>32285003592002</t>
  </si>
  <si>
    <t>893622984</t>
  </si>
  <si>
    <t>DS121 .J85 1983</t>
  </si>
  <si>
    <t>0                      DS 0121000J  85          1983</t>
  </si>
  <si>
    <t>Julius Wellhausen and His Prolegomena to the History of Israel / guest editor of this issue: Douglas A. Knight.</t>
  </si>
  <si>
    <t>Chico, CA : Published by Scholars Press, c1983.</t>
  </si>
  <si>
    <t>Semeia, 0095-571X ; 25</t>
  </si>
  <si>
    <t>2007-02-20</t>
  </si>
  <si>
    <t>3855281095:eng</t>
  </si>
  <si>
    <t>10027864</t>
  </si>
  <si>
    <t>991000302239702656</t>
  </si>
  <si>
    <t>2264385720002656</t>
  </si>
  <si>
    <t>32285000293661</t>
  </si>
  <si>
    <t>893255323</t>
  </si>
  <si>
    <t>DS121 .L44 1988</t>
  </si>
  <si>
    <t>0                      DS 0121000L  44          1988</t>
  </si>
  <si>
    <t>Ancient Israel : a new history of Israelite society / Niels Peter Lemche.</t>
  </si>
  <si>
    <t>Lemche, Niels Peter.</t>
  </si>
  <si>
    <t>Sheffield, England : JSOT Press, c1988, 1990 printing.</t>
  </si>
  <si>
    <t>The Biblical seminar</t>
  </si>
  <si>
    <t>890096415:eng</t>
  </si>
  <si>
    <t>21043712</t>
  </si>
  <si>
    <t>991001645759702656</t>
  </si>
  <si>
    <t>2268805240002656</t>
  </si>
  <si>
    <t>9781850750178</t>
  </si>
  <si>
    <t>32285000244102</t>
  </si>
  <si>
    <t>893778951</t>
  </si>
  <si>
    <t>DS121 .M38294 2002</t>
  </si>
  <si>
    <t>0                      DS 0121000M  38294       2002</t>
  </si>
  <si>
    <t>A brief history of ancient Israel / Victor H. Matthews.</t>
  </si>
  <si>
    <t>Louisville, Ky. : Westminster John Knox Press, c2002.</t>
  </si>
  <si>
    <t>2003-10-08</t>
  </si>
  <si>
    <t>931906:eng</t>
  </si>
  <si>
    <t>50681617</t>
  </si>
  <si>
    <t>991004116089702656</t>
  </si>
  <si>
    <t>2255811180002656</t>
  </si>
  <si>
    <t>9780664224363</t>
  </si>
  <si>
    <t>32285004787247</t>
  </si>
  <si>
    <t>893263101</t>
  </si>
  <si>
    <t>DS121 .M383 1992</t>
  </si>
  <si>
    <t>0                      DS 0121000M  383         1992</t>
  </si>
  <si>
    <t>Biblical Israel : state and people / Benjamin Mazar ; edited by Shmuel Aḥituv.</t>
  </si>
  <si>
    <t>Jerusalem : Magnes Press, Hebrew University : Israel Exploration Society, c1992.</t>
  </si>
  <si>
    <t>29837964:eng</t>
  </si>
  <si>
    <t>26888746</t>
  </si>
  <si>
    <t>991002096749702656</t>
  </si>
  <si>
    <t>2259964300002656</t>
  </si>
  <si>
    <t>9789652237972</t>
  </si>
  <si>
    <t>32285002754652</t>
  </si>
  <si>
    <t>893597026</t>
  </si>
  <si>
    <t>DS121 .O4 1972</t>
  </si>
  <si>
    <t>0                      DS 0121000O  4           1972</t>
  </si>
  <si>
    <t>History of Palestine and Syria to the Macedonian conquest.</t>
  </si>
  <si>
    <t>Olmstead, A. T. (Albert Ten Eyck), 1880-1945.</t>
  </si>
  <si>
    <t>Westport, Conn., Greenwood Press [1972, c1931]</t>
  </si>
  <si>
    <t>1409545:eng</t>
  </si>
  <si>
    <t>324127</t>
  </si>
  <si>
    <t>991002343179702656</t>
  </si>
  <si>
    <t>2255055530002656</t>
  </si>
  <si>
    <t>9780837160344</t>
  </si>
  <si>
    <t>32285002462090</t>
  </si>
  <si>
    <t>893898642</t>
  </si>
  <si>
    <t>DS121 .O7</t>
  </si>
  <si>
    <t>0                      DS 0121000O  7</t>
  </si>
  <si>
    <t>Ancient Israel.</t>
  </si>
  <si>
    <t>Orlinsky, Harry M., 1908-1992.</t>
  </si>
  <si>
    <t>Ithaca, Cornell University Press [1954]</t>
  </si>
  <si>
    <t>1954</t>
  </si>
  <si>
    <t>The Development of Western civilization; narrative essays in the history of our tradition from its origins in ancient Israel and Greece to the present</t>
  </si>
  <si>
    <t>1992-08-12</t>
  </si>
  <si>
    <t>451000:eng</t>
  </si>
  <si>
    <t>781326</t>
  </si>
  <si>
    <t>991003256069702656</t>
  </si>
  <si>
    <t>2260927220002656</t>
  </si>
  <si>
    <t>32285001253722</t>
  </si>
  <si>
    <t>893604587</t>
  </si>
  <si>
    <t>DS121 .P39 1981</t>
  </si>
  <si>
    <t>0                      DS 0121000P  39          1981</t>
  </si>
  <si>
    <t>Kingdoms of the Lord : a history of the Hebrew kingdoms from Saul to the fall of Jerusalem / by David F. Payne.</t>
  </si>
  <si>
    <t>Payne, David F. (David Frank), 1931-</t>
  </si>
  <si>
    <t>Grand Rapids, Mich. : W.B. Eerdmans Pub. Co., c1981.</t>
  </si>
  <si>
    <t>27392872:eng</t>
  </si>
  <si>
    <t>7464261</t>
  </si>
  <si>
    <t>991005117389702656</t>
  </si>
  <si>
    <t>2262327120002656</t>
  </si>
  <si>
    <t>9780802835598</t>
  </si>
  <si>
    <t>32285000275007</t>
  </si>
  <si>
    <t>893902138</t>
  </si>
  <si>
    <t>DS121 .W48 1973</t>
  </si>
  <si>
    <t>0                      DS 0121000W  48          1973</t>
  </si>
  <si>
    <t>Prolegomena to the history of ancient Israel. With a reprint of the article, Israel, from the Encyclopedia Britannica. Pref. by W. Robertson Smith.</t>
  </si>
  <si>
    <t>Wellhausen, Julius, 1844-1918.</t>
  </si>
  <si>
    <t>Gloucester, Mass., Peter Smith, 1973.</t>
  </si>
  <si>
    <t>2010-05-13</t>
  </si>
  <si>
    <t>4820698024:eng</t>
  </si>
  <si>
    <t>751917</t>
  </si>
  <si>
    <t>991003227069702656</t>
  </si>
  <si>
    <t>2269385860002656</t>
  </si>
  <si>
    <t>32285001253730</t>
  </si>
  <si>
    <t>893904300</t>
  </si>
  <si>
    <t>DS121.3 .I75 1999</t>
  </si>
  <si>
    <t>0                      DS 0121300I  75          1999</t>
  </si>
  <si>
    <t>History and historical writing in ancient Israel : studies in biblical historiography / by Tomoo Ishida.</t>
  </si>
  <si>
    <t>Ishida, Tomoo, 1931-</t>
  </si>
  <si>
    <t>Leiden ; Boston : Brill, 1999.</t>
  </si>
  <si>
    <t>Studies in the history and culture of the ancient Near East, 0169-9024 ; v. 16</t>
  </si>
  <si>
    <t>2003-02-27</t>
  </si>
  <si>
    <t>2001-10-17</t>
  </si>
  <si>
    <t>891759054:eng</t>
  </si>
  <si>
    <t>40776744</t>
  </si>
  <si>
    <t>991003646839702656</t>
  </si>
  <si>
    <t>2259396620002656</t>
  </si>
  <si>
    <t>9789004114449</t>
  </si>
  <si>
    <t>32285004397815</t>
  </si>
  <si>
    <t>893868668</t>
  </si>
  <si>
    <t>DS121.55 .A32 1982</t>
  </si>
  <si>
    <t>0                      DS 0121550A  32          1982</t>
  </si>
  <si>
    <t>Royal administration and national religion in ancient Palestine / by G.W. Ahlström.</t>
  </si>
  <si>
    <t>Ahlström, Gösta W. (Gösta Werner), 1918-1992.</t>
  </si>
  <si>
    <t>Leiden : Brill, 1982.</t>
  </si>
  <si>
    <t>Studies in the history of the ancient Near East ; v. 1</t>
  </si>
  <si>
    <t>1997-04-16</t>
  </si>
  <si>
    <t>35723341:eng</t>
  </si>
  <si>
    <t>9227845</t>
  </si>
  <si>
    <t>991000155579702656</t>
  </si>
  <si>
    <t>2264377380002656</t>
  </si>
  <si>
    <t>9789004065628</t>
  </si>
  <si>
    <t>32285000293687</t>
  </si>
  <si>
    <t>893695637</t>
  </si>
  <si>
    <t>DS121.55 .H34 1983</t>
  </si>
  <si>
    <t>0                      DS 0121550H  34          1983</t>
  </si>
  <si>
    <t>The emergence of Israel in Canaan / Baruch Halpern.</t>
  </si>
  <si>
    <t>Halpern, Baruch.</t>
  </si>
  <si>
    <t>Chico, Calif. : Scholars Press, c1983.</t>
  </si>
  <si>
    <t>Society of Biblical Literature. Monographic series ; no. 29</t>
  </si>
  <si>
    <t>1999-12-01</t>
  </si>
  <si>
    <t>20964999:eng</t>
  </si>
  <si>
    <t>9083508</t>
  </si>
  <si>
    <t>991000126459702656</t>
  </si>
  <si>
    <t>2255028910002656</t>
  </si>
  <si>
    <t>9780891306498</t>
  </si>
  <si>
    <t>32285000293695</t>
  </si>
  <si>
    <t>893425450</t>
  </si>
  <si>
    <t>DS121.55 .M35 1998</t>
  </si>
  <si>
    <t>0                      DS 0121550M  35          1998</t>
  </si>
  <si>
    <t>What are they saying about the formation of Israel? / John J. McDermott.</t>
  </si>
  <si>
    <t>McDermott, John J., 1960-</t>
  </si>
  <si>
    <t>New York : Paulist Press, c1998.</t>
  </si>
  <si>
    <t>2007-03-01</t>
  </si>
  <si>
    <t>1999-03-29</t>
  </si>
  <si>
    <t>42318714:eng</t>
  </si>
  <si>
    <t>39981535</t>
  </si>
  <si>
    <t>991002978459702656</t>
  </si>
  <si>
    <t>2258382390002656</t>
  </si>
  <si>
    <t>9780809138388</t>
  </si>
  <si>
    <t>32285003546909</t>
  </si>
  <si>
    <t>893710923</t>
  </si>
  <si>
    <t>DS121.55 .S97</t>
  </si>
  <si>
    <t>0                      DS 0121550S  97</t>
  </si>
  <si>
    <t>Symposia celebrating the seventy-fifth anniversary of the founding of the American Schools of Oriental Research (1900-1975) / edited by Frank Moore Cross ; [cover design by Madeleine Churchill].</t>
  </si>
  <si>
    <t>Cambridge, MA : American Schools of Oriental Research, c1979.</t>
  </si>
  <si>
    <t>Occasional publications - Zion Research Foundation ; v. 1-2</t>
  </si>
  <si>
    <t>1992-11-18</t>
  </si>
  <si>
    <t>354841474:eng</t>
  </si>
  <si>
    <t>4775395</t>
  </si>
  <si>
    <t>991004713989702656</t>
  </si>
  <si>
    <t>2255340760002656</t>
  </si>
  <si>
    <t>9780897575034</t>
  </si>
  <si>
    <t>32285000293703</t>
  </si>
  <si>
    <t>893618989</t>
  </si>
  <si>
    <t>DS121.6 .B43 1992</t>
  </si>
  <si>
    <t>0                      DS 0121600B  43          1992</t>
  </si>
  <si>
    <t>The fall of Samaria : an historical and archaeological study / by Bob Becking.</t>
  </si>
  <si>
    <t>Becking, Bob.</t>
  </si>
  <si>
    <t>Leiden ; New York : E.J. Brill, 1992.</t>
  </si>
  <si>
    <t>Studies in the history of the ancient Near East, 0169-9024 ; v. 2</t>
  </si>
  <si>
    <t>1993-03-17</t>
  </si>
  <si>
    <t>806762844:eng</t>
  </si>
  <si>
    <t>25787001</t>
  </si>
  <si>
    <t>991002025649702656</t>
  </si>
  <si>
    <t>2256013680002656</t>
  </si>
  <si>
    <t>9789004096332</t>
  </si>
  <si>
    <t>32285001497956</t>
  </si>
  <si>
    <t>893232470</t>
  </si>
  <si>
    <t>DS121.65 .B5</t>
  </si>
  <si>
    <t>0                      DS 0121650B  5</t>
  </si>
  <si>
    <t>From Ezra to the last of the Maccabees; foundations of post-Biblical Judaism.</t>
  </si>
  <si>
    <t>Bickerman, E. J. (Elias Joseph), 1897-1981.</t>
  </si>
  <si>
    <t>New York, Schocken Books [1962]</t>
  </si>
  <si>
    <t>Schocken paperbacks ; SB 36</t>
  </si>
  <si>
    <t>1998-12-07</t>
  </si>
  <si>
    <t>1992-05-04</t>
  </si>
  <si>
    <t>197350501:eng</t>
  </si>
  <si>
    <t>346289</t>
  </si>
  <si>
    <t>991002429359702656</t>
  </si>
  <si>
    <t>2272047300002656</t>
  </si>
  <si>
    <t>9780805200362</t>
  </si>
  <si>
    <t>32285001104511</t>
  </si>
  <si>
    <t>893523596</t>
  </si>
  <si>
    <t>DS121.65 .E38 1979</t>
  </si>
  <si>
    <t>0                      DS 0121650E  38          1979</t>
  </si>
  <si>
    <t>From Babylon to Bethlehem : the people of God from the exile to the Messiah / H. L. Ellison.</t>
  </si>
  <si>
    <t>Ellison, H. L. (Henry Leopold), 1903-</t>
  </si>
  <si>
    <t>Atlanta : John Knox Press, 1979, c1976.</t>
  </si>
  <si>
    <t>2010-02-21</t>
  </si>
  <si>
    <t>1027182965:eng</t>
  </si>
  <si>
    <t>4503179</t>
  </si>
  <si>
    <t>991004665019702656</t>
  </si>
  <si>
    <t>2265174260002656</t>
  </si>
  <si>
    <t>9780804200349</t>
  </si>
  <si>
    <t>32285000145887</t>
  </si>
  <si>
    <t>893331880</t>
  </si>
  <si>
    <t>DS121.65 .M3</t>
  </si>
  <si>
    <t>0                      DS 0121650M  3</t>
  </si>
  <si>
    <t>The history and literature of the Palestinian Jews from Cyrus to Herod, 550 B.C. to 4 B.C. / W. Stewart McCullough.</t>
  </si>
  <si>
    <t>McCullough, W. Stewart (William Stewart), 1902-1982.</t>
  </si>
  <si>
    <t>Toronto ; Buffalo : University of Toronto Press, [1975]</t>
  </si>
  <si>
    <t>2007-04-15</t>
  </si>
  <si>
    <t>5608899696:eng</t>
  </si>
  <si>
    <t>1418537</t>
  </si>
  <si>
    <t>991003746299702656</t>
  </si>
  <si>
    <t>2261212940002656</t>
  </si>
  <si>
    <t>9780802053176</t>
  </si>
  <si>
    <t>32285001104529</t>
  </si>
  <si>
    <t>893445825</t>
  </si>
  <si>
    <t>DS121.65 .W45 1992</t>
  </si>
  <si>
    <t>0                      DS 0121650W  45          1992</t>
  </si>
  <si>
    <t>The citizen-temple community / Joel Weinberg ; translated by Daniel L. Smith-Christopher.</t>
  </si>
  <si>
    <t>Weinberg, Joel (Joel P.)</t>
  </si>
  <si>
    <t>Sheffield, England : JSOT Press, c1992.</t>
  </si>
  <si>
    <t>Journal for the study of the Old Testament. Supplement series ; 151</t>
  </si>
  <si>
    <t>1996-01-08</t>
  </si>
  <si>
    <t>347507486:eng</t>
  </si>
  <si>
    <t>27697181</t>
  </si>
  <si>
    <t>991002149759702656</t>
  </si>
  <si>
    <t>2267252800002656</t>
  </si>
  <si>
    <t>32285002114832</t>
  </si>
  <si>
    <t>893523252</t>
  </si>
  <si>
    <t>DS121.7 .S478 1991</t>
  </si>
  <si>
    <t>0                      DS 0121700S  478         1991</t>
  </si>
  <si>
    <t>The armies of the Hasmonaeans and Herod : from Hellenistic to Roman frameworks / by Israel Shatzman.</t>
  </si>
  <si>
    <t>Shatzman, Israel.</t>
  </si>
  <si>
    <t>Tübingen : Mohr, 1991.</t>
  </si>
  <si>
    <t>Texte und Studien zum antiken Judentum ; 25</t>
  </si>
  <si>
    <t>1994-04-05</t>
  </si>
  <si>
    <t>890347331:eng</t>
  </si>
  <si>
    <t>24887270</t>
  </si>
  <si>
    <t>991001964289702656</t>
  </si>
  <si>
    <t>2265184520002656</t>
  </si>
  <si>
    <t>9783161456176</t>
  </si>
  <si>
    <t>32285001858587</t>
  </si>
  <si>
    <t>893238494</t>
  </si>
  <si>
    <t>DS121.7 .S54 1990</t>
  </si>
  <si>
    <t>0                      DS 0121700S  54          1990</t>
  </si>
  <si>
    <t>The Hasmoneans and their supporters : from Mattathias to the death of John Hyrcanus I / by Joseph Sievers.</t>
  </si>
  <si>
    <t>Sievers, Joseph.</t>
  </si>
  <si>
    <t>Atlanta, Ga. : Scholars Press, c1990.</t>
  </si>
  <si>
    <t>South Florida studies in the history of Judaism ; no. 06</t>
  </si>
  <si>
    <t>2006-03-07</t>
  </si>
  <si>
    <t>1991-09-27</t>
  </si>
  <si>
    <t>5090720082:eng</t>
  </si>
  <si>
    <t>21147114</t>
  </si>
  <si>
    <t>991001656909702656</t>
  </si>
  <si>
    <t>2270264770002656</t>
  </si>
  <si>
    <t>9781555404499</t>
  </si>
  <si>
    <t>32285000725076</t>
  </si>
  <si>
    <t>893226000</t>
  </si>
  <si>
    <t>DS121.8.J8 B3713 1989</t>
  </si>
  <si>
    <t>0                      DS 0121800J  8                  B  3713        1989</t>
  </si>
  <si>
    <t>Judas Maccabaeus : the Jewish struggle against the Seleucids / Bezalel Bar-Kochva.</t>
  </si>
  <si>
    <t>Bar-Kochva, Bezalel.</t>
  </si>
  <si>
    <t>Cambridge [Cambridgeshire] ; New York : Cambridge University Press, 1989.</t>
  </si>
  <si>
    <t>2006-10-12</t>
  </si>
  <si>
    <t>1992-06-30</t>
  </si>
  <si>
    <t>5522778:eng</t>
  </si>
  <si>
    <t>14188574</t>
  </si>
  <si>
    <t>991000918689702656</t>
  </si>
  <si>
    <t>2261763350002656</t>
  </si>
  <si>
    <t>9780521323529</t>
  </si>
  <si>
    <t>32285001156859</t>
  </si>
  <si>
    <t>893897337</t>
  </si>
  <si>
    <t>DS122 .A63 1989</t>
  </si>
  <si>
    <t>0                      DS 0122000A  63          1989</t>
  </si>
  <si>
    <t>Judaea in Hellenistic and Roman times : historical and archaeological essays / by Shimon Applebaum.</t>
  </si>
  <si>
    <t>Applebaum, Shimon.</t>
  </si>
  <si>
    <t>Leiden ; New York : Brill, 1989.</t>
  </si>
  <si>
    <t>Studies in Judaism in late antiquity, 0169-961X ; v. 40</t>
  </si>
  <si>
    <t>1992-02-03</t>
  </si>
  <si>
    <t>1991-04-17</t>
  </si>
  <si>
    <t>808248645:eng</t>
  </si>
  <si>
    <t>18835876</t>
  </si>
  <si>
    <t>991001406069702656</t>
  </si>
  <si>
    <t>2259802410002656</t>
  </si>
  <si>
    <t>9789004088214</t>
  </si>
  <si>
    <t>32285000568443</t>
  </si>
  <si>
    <t>893340415</t>
  </si>
  <si>
    <t>DS122 .B34 1985</t>
  </si>
  <si>
    <t>0                      DS 0122000B  34          1985</t>
  </si>
  <si>
    <t>Jews in the Hellenistic world / John R. Bartlett.</t>
  </si>
  <si>
    <t>Bartlett, John R. (John Raymond)</t>
  </si>
  <si>
    <t>Cambridge ; New York : Cambridge University Press, 1985-</t>
  </si>
  <si>
    <t>Cambridge commentaries on writings of the Jewish and Christian world, 200 BC to AD 200 ; v. 1</t>
  </si>
  <si>
    <t>2005-02-14</t>
  </si>
  <si>
    <t>1862283216:eng</t>
  </si>
  <si>
    <t>11755733</t>
  </si>
  <si>
    <t>991000021749702656</t>
  </si>
  <si>
    <t>2270767010002656</t>
  </si>
  <si>
    <t>9780521242462</t>
  </si>
  <si>
    <t>32285000293752</t>
  </si>
  <si>
    <t>893714230</t>
  </si>
  <si>
    <t>DS122 .G66 1994</t>
  </si>
  <si>
    <t>0                      DS 0122000G  66          1994</t>
  </si>
  <si>
    <t>The Monarchic principle : Studies in Jewish Self-government in antiquity / by David Goodblatt.</t>
  </si>
  <si>
    <t>Goodblatt, David M.</t>
  </si>
  <si>
    <t>Tübingen : J.C.B. Mohr (P. Siebeck), c1994.</t>
  </si>
  <si>
    <t>Texte und Studien zum antiken Judentum ; 38</t>
  </si>
  <si>
    <t>1995-04-28</t>
  </si>
  <si>
    <t>1995-04-05</t>
  </si>
  <si>
    <t>435325497:eng</t>
  </si>
  <si>
    <t>29970509</t>
  </si>
  <si>
    <t>991002310169702656</t>
  </si>
  <si>
    <t>2267806310002656</t>
  </si>
  <si>
    <t>9783161461767</t>
  </si>
  <si>
    <t>32285002016813</t>
  </si>
  <si>
    <t>893779664</t>
  </si>
  <si>
    <t>DS122 .G73 1973</t>
  </si>
  <si>
    <t>0                      DS 0122000G  73          1973</t>
  </si>
  <si>
    <t>The Jews in the Roman world.</t>
  </si>
  <si>
    <t>Grant, Michael, 1914-2004.</t>
  </si>
  <si>
    <t>New York, Scribner [1973]</t>
  </si>
  <si>
    <t>2006-08-07</t>
  </si>
  <si>
    <t>115522418:eng</t>
  </si>
  <si>
    <t>695114</t>
  </si>
  <si>
    <t>991003155589702656</t>
  </si>
  <si>
    <t>2267788930002656</t>
  </si>
  <si>
    <t>9780684133409</t>
  </si>
  <si>
    <t>32285002272606</t>
  </si>
  <si>
    <t>893610772</t>
  </si>
  <si>
    <t>DS122 .J48 1974a</t>
  </si>
  <si>
    <t>0                      DS 0122000J  48          1974a</t>
  </si>
  <si>
    <t>The Jewish people in the first century : historical geography, political history, social, cultural and religious life and institutions / ed. by S. Safrai and M. Stern in co-operation with D. Flusser and W. C. van Unnik.</t>
  </si>
  <si>
    <t>Assen : Van Gorcum, 1974-76.</t>
  </si>
  <si>
    <t>Compendia rerum Iudaicarum ad Novum Testamentum. Section 1</t>
  </si>
  <si>
    <t>2007-06-18</t>
  </si>
  <si>
    <t>2010-11-13</t>
  </si>
  <si>
    <t>1992-12-03</t>
  </si>
  <si>
    <t>807525626:eng</t>
  </si>
  <si>
    <t>915182</t>
  </si>
  <si>
    <t>991003378929702656</t>
  </si>
  <si>
    <t>2265019480002656</t>
  </si>
  <si>
    <t>9789023210702</t>
  </si>
  <si>
    <t>32285001412385</t>
  </si>
  <si>
    <t>893531134</t>
  </si>
  <si>
    <t>32285001412393</t>
  </si>
  <si>
    <t>893535453</t>
  </si>
  <si>
    <t>DS122 .J72</t>
  </si>
  <si>
    <t>0                      DS 0122000J  72</t>
  </si>
  <si>
    <t>Jerusalem and Rome; the writings of Josephus. Selected and introduced by Nahum N. Glatzer.</t>
  </si>
  <si>
    <t>Josephus, Flavius.</t>
  </si>
  <si>
    <t>New York, Meridian Books [1960]</t>
  </si>
  <si>
    <t>Meridian books ; M106</t>
  </si>
  <si>
    <t>196125042:eng</t>
  </si>
  <si>
    <t>931330</t>
  </si>
  <si>
    <t>991003392749702656</t>
  </si>
  <si>
    <t>2268811220002656</t>
  </si>
  <si>
    <t>32285002462165</t>
  </si>
  <si>
    <t>893887426</t>
  </si>
  <si>
    <t>DS122 .M46 1991</t>
  </si>
  <si>
    <t>0                      DS 0122000M  46          1991</t>
  </si>
  <si>
    <t>Power and politics in Palestine : the Jews and the governing of their land, 100 BC-AD 70 / James S. McLaren.</t>
  </si>
  <si>
    <t>McLaren, James S.</t>
  </si>
  <si>
    <t>Sheffield, England : JSOT Press, c1991.</t>
  </si>
  <si>
    <t>Journal for the study of the New Testament. Supplement series, 0143-5108 ; 63</t>
  </si>
  <si>
    <t>807142331:eng</t>
  </si>
  <si>
    <t>27013766</t>
  </si>
  <si>
    <t>991002106539702656</t>
  </si>
  <si>
    <t>2258752940002656</t>
  </si>
  <si>
    <t>9781850753193</t>
  </si>
  <si>
    <t>32285001403442</t>
  </si>
  <si>
    <t>893226468</t>
  </si>
  <si>
    <t>DS122 .P83 1998</t>
  </si>
  <si>
    <t>0                      DS 0122000P  83          1998</t>
  </si>
  <si>
    <t>Jewish rights in the Roman world : the Greek and Roman documents quoted by Josephus Flavius / Miriam Pucci Ben Zeev.</t>
  </si>
  <si>
    <t>Ben Zeev, Miriam Pucci, 1948-</t>
  </si>
  <si>
    <t>Tübingen : Mohr Siebeck, 1998.</t>
  </si>
  <si>
    <t>Texte und Studien zum antiken Judentum ; 74</t>
  </si>
  <si>
    <t>2000-09-04</t>
  </si>
  <si>
    <t>1999-10-27</t>
  </si>
  <si>
    <t>807217435:eng</t>
  </si>
  <si>
    <t>40662168</t>
  </si>
  <si>
    <t>991003001279702656</t>
  </si>
  <si>
    <t>2264078490002656</t>
  </si>
  <si>
    <t>9783161470431</t>
  </si>
  <si>
    <t>32285003614517</t>
  </si>
  <si>
    <t>893409809</t>
  </si>
  <si>
    <t>DS122 .S3913 1972</t>
  </si>
  <si>
    <t>0                      DS 0122000S  3913        1972</t>
  </si>
  <si>
    <t>The literature of the Jewish people in the time of Jesus. Edited with an introd. by Nahum N. Glatzer.</t>
  </si>
  <si>
    <t>Schürer, Emil, 1844-1910.</t>
  </si>
  <si>
    <t>New York, Schocken Books [1972]</t>
  </si>
  <si>
    <t>1997-06-13</t>
  </si>
  <si>
    <t>1489436:eng</t>
  </si>
  <si>
    <t>535237</t>
  </si>
  <si>
    <t>991002941459702656</t>
  </si>
  <si>
    <t>2263408980002656</t>
  </si>
  <si>
    <t>32285002462207</t>
  </si>
  <si>
    <t>893799192</t>
  </si>
  <si>
    <t>DS122 .S422 1973</t>
  </si>
  <si>
    <t>0                      DS 0122000S  422         1973</t>
  </si>
  <si>
    <t>The history of the Jewish people in the age of Jesus Christ (175 B.C.-A.D. 135) / by Emil Schürer ; [translated by T. A. Burkill ... and others] ; revised and edited by Geza Vermes &amp; Fergus Millar. --</t>
  </si>
  <si>
    <t>V.3 PT.2</t>
  </si>
  <si>
    <t>Edinburgh : Clark, 1973-</t>
  </si>
  <si>
    <t>stk</t>
  </si>
  <si>
    <t>1995-02-03</t>
  </si>
  <si>
    <t>2002-11-16</t>
  </si>
  <si>
    <t>1990-03-06</t>
  </si>
  <si>
    <t>4160140963:eng</t>
  </si>
  <si>
    <t>912175</t>
  </si>
  <si>
    <t>991003375249702656</t>
  </si>
  <si>
    <t>2268412800002656</t>
  </si>
  <si>
    <t>9780567022424</t>
  </si>
  <si>
    <t>32285000077361</t>
  </si>
  <si>
    <t>893324037</t>
  </si>
  <si>
    <t>32285000120856</t>
  </si>
  <si>
    <t>893324035</t>
  </si>
  <si>
    <t>V.3 PT.1</t>
  </si>
  <si>
    <t>32285000077353</t>
  </si>
  <si>
    <t>893336441</t>
  </si>
  <si>
    <t>1999-05-20</t>
  </si>
  <si>
    <t>32285000293778</t>
  </si>
  <si>
    <t>893324036</t>
  </si>
  <si>
    <t>DS122 .S423</t>
  </si>
  <si>
    <t>0                      DS 0122000S  423</t>
  </si>
  <si>
    <t>A history of the Jewish people in the time of Jesus / edited and introduced by Nahum N. Glatzer.</t>
  </si>
  <si>
    <t>New York : Schocken Books, [1961]</t>
  </si>
  <si>
    <t>1961</t>
  </si>
  <si>
    <t>1992-10-07</t>
  </si>
  <si>
    <t>5584931859:eng</t>
  </si>
  <si>
    <t>512261</t>
  </si>
  <si>
    <t>991002892249702656</t>
  </si>
  <si>
    <t>2263343380002656</t>
  </si>
  <si>
    <t>32285001328243</t>
  </si>
  <si>
    <t>893616724</t>
  </si>
  <si>
    <t>DS122 .S54 2001</t>
  </si>
  <si>
    <t>0                      DS 0122000S  54          2001</t>
  </si>
  <si>
    <t>Synopsis of the Greek sources for the Hasmonean period : 1-2 Maccabees and Josephus, War 1 and Antiquities 12-14 / Joseph Sievers.</t>
  </si>
  <si>
    <t>Roma : Pontificio istituto biblico, 2001.</t>
  </si>
  <si>
    <t xml:space="preserve">it </t>
  </si>
  <si>
    <t>Subsidia Biblica ; 20</t>
  </si>
  <si>
    <t>2003-11-04</t>
  </si>
  <si>
    <t>140933717:eng</t>
  </si>
  <si>
    <t>46895445</t>
  </si>
  <si>
    <t>991004145599702656</t>
  </si>
  <si>
    <t>2268190550002656</t>
  </si>
  <si>
    <t>9788876536151</t>
  </si>
  <si>
    <t>32285004793609</t>
  </si>
  <si>
    <t>893506462</t>
  </si>
  <si>
    <t>DS122 .S74 1988</t>
  </si>
  <si>
    <t>0                      DS 0122000S  74          1988</t>
  </si>
  <si>
    <t>Gebt dem Kaiser, was des Kaisers ist-- ! : eine sozialgeschichtliche Untersuchung zur Besteuerung Palästinas in neutestamentlicher Zeit / Werner Stenger.</t>
  </si>
  <si>
    <t>Stenger, Werner, 1938-1990.</t>
  </si>
  <si>
    <t>Frankfurt am Main : Athenäum, c1988.</t>
  </si>
  <si>
    <t>Athenäums Monografien. Theologie ; Bd. 68</t>
  </si>
  <si>
    <t>1992-03-04</t>
  </si>
  <si>
    <t>1991-05-15</t>
  </si>
  <si>
    <t>17314584:ger</t>
  </si>
  <si>
    <t>18357208</t>
  </si>
  <si>
    <t>991001337339702656</t>
  </si>
  <si>
    <t>2268837810002656</t>
  </si>
  <si>
    <t>9783610091040</t>
  </si>
  <si>
    <t>32285000573567</t>
  </si>
  <si>
    <t>893590207</t>
  </si>
  <si>
    <t>DS122 .W36 1995</t>
  </si>
  <si>
    <t>0                      DS 0122000W  36          1995</t>
  </si>
  <si>
    <t>Echoes of glory : the story of the Jews in the classical era, 350 BCE-750 CE / Berel Wein.</t>
  </si>
  <si>
    <t>Wein, Berel.</t>
  </si>
  <si>
    <t>Brooklyn, N.Y. : Shaar Press : Distributed by Mesorah Publications, 1995.</t>
  </si>
  <si>
    <t>2007-01-18</t>
  </si>
  <si>
    <t>1997-10-17</t>
  </si>
  <si>
    <t>977353225:eng</t>
  </si>
  <si>
    <t>34089904</t>
  </si>
  <si>
    <t>991002602459702656</t>
  </si>
  <si>
    <t>2270365300002656</t>
  </si>
  <si>
    <t>9780899063409</t>
  </si>
  <si>
    <t>32285003256186</t>
  </si>
  <si>
    <t>893440307</t>
  </si>
  <si>
    <t>DS122.3 .F46 1992</t>
  </si>
  <si>
    <t>0                      DS 0122300F  46          1992</t>
  </si>
  <si>
    <t>The death of Herod : an essay in the sociology of religion / Richard Fenn.</t>
  </si>
  <si>
    <t>Fenn, Richard K.</t>
  </si>
  <si>
    <t>Cambridge ; New York : Cambridge University Press, 1992.</t>
  </si>
  <si>
    <t>1996-03-07</t>
  </si>
  <si>
    <t>1993-10-08</t>
  </si>
  <si>
    <t>808710347:eng</t>
  </si>
  <si>
    <t>24546179</t>
  </si>
  <si>
    <t>991001943629702656</t>
  </si>
  <si>
    <t>2266325410002656</t>
  </si>
  <si>
    <t>9780521414821</t>
  </si>
  <si>
    <t>32285001785194</t>
  </si>
  <si>
    <t>893414649</t>
  </si>
  <si>
    <t>DS122.8 .M161 1998</t>
  </si>
  <si>
    <t>0                      DS 0122800M  161         1998</t>
  </si>
  <si>
    <t>Turbulent times? : Josephus and scholarship on Judaea in the first century CE / James S. McLaren.</t>
  </si>
  <si>
    <t>Sheffield, England : Sheffield Academic Press, c1998.</t>
  </si>
  <si>
    <t>Journal for the study of the Pseudepigrapha. Supplement series ; 29</t>
  </si>
  <si>
    <t>2000-12-04</t>
  </si>
  <si>
    <t>228663830:eng</t>
  </si>
  <si>
    <t>39366967</t>
  </si>
  <si>
    <t>991002953399702656</t>
  </si>
  <si>
    <t>2258942880002656</t>
  </si>
  <si>
    <t>9781850758914</t>
  </si>
  <si>
    <t>32285003643011</t>
  </si>
  <si>
    <t>893428261</t>
  </si>
  <si>
    <t>DS122.9 .Y3813 1987</t>
  </si>
  <si>
    <t>0                      DS 0122900Y  3813        1987</t>
  </si>
  <si>
    <t>The Jews in Roman imperial legislation / edited with introductions, translations, and commentary by Amnon Linder.</t>
  </si>
  <si>
    <t>Yehudim ṿeha-Yahadut be-ḥuḳe ha-ḳesarut ha-Romit. English.</t>
  </si>
  <si>
    <t>Detroit, Mich. : Wayne State University Press ; Jerusalem : Israel Academy of Sciences and Humanities, 1987.</t>
  </si>
  <si>
    <t>809620589:eng</t>
  </si>
  <si>
    <t>15424318</t>
  </si>
  <si>
    <t>991001023639702656</t>
  </si>
  <si>
    <t>2260154810002656</t>
  </si>
  <si>
    <t>9780814318096</t>
  </si>
  <si>
    <t>32285001111243</t>
  </si>
  <si>
    <t>893715099</t>
  </si>
  <si>
    <t>DS123.5 .A943</t>
  </si>
  <si>
    <t>0                      DS 0123500A  943</t>
  </si>
  <si>
    <t>The Jews of Palestine : a political history from the Bar Kokhba War to the Arab conquest / Michael Avi-Yonah.</t>
  </si>
  <si>
    <t>New York : Schocken Books, 1976.</t>
  </si>
  <si>
    <t>2200670:eng</t>
  </si>
  <si>
    <t>1322192</t>
  </si>
  <si>
    <t>991003691049702656</t>
  </si>
  <si>
    <t>2254922330002656</t>
  </si>
  <si>
    <t>9780805235807</t>
  </si>
  <si>
    <t>32285002462298</t>
  </si>
  <si>
    <t>893686822</t>
  </si>
  <si>
    <t>DS123.5 .S7413 2000</t>
  </si>
  <si>
    <t>0                      DS 0123500S  7413        2000</t>
  </si>
  <si>
    <t>Jews and Christians in the Holy Land : Palestine in the fourth century / by Günter Stemberger ; translated by Ruth Tuschling.</t>
  </si>
  <si>
    <t>Stemberger, Günter, 1940-</t>
  </si>
  <si>
    <t>Edinburgh : T&amp;T Clark, 2000.</t>
  </si>
  <si>
    <t>2003-06-23</t>
  </si>
  <si>
    <t>2000-09-25</t>
  </si>
  <si>
    <t>1151665754:eng</t>
  </si>
  <si>
    <t>42136207</t>
  </si>
  <si>
    <t>991003229159702656</t>
  </si>
  <si>
    <t>2256967380002656</t>
  </si>
  <si>
    <t>9780567086990</t>
  </si>
  <si>
    <t>32285003764486</t>
  </si>
  <si>
    <t>893342361</t>
  </si>
  <si>
    <t>DS124 .F6213 2000</t>
  </si>
  <si>
    <t>0                      DS 0124000F  6213        2000</t>
  </si>
  <si>
    <t>The Jews of Europe after the black death / Anna Foa ; translated from the Italian by Andrea Grover.</t>
  </si>
  <si>
    <t>Foa, Anna.</t>
  </si>
  <si>
    <t>Berkeley : University of California Press, c2000.</t>
  </si>
  <si>
    <t>The S. Mark Taper Foundation imprint in Jewish studies</t>
  </si>
  <si>
    <t>2002-01-08</t>
  </si>
  <si>
    <t>3901368741:eng</t>
  </si>
  <si>
    <t>43441569</t>
  </si>
  <si>
    <t>991003695669702656</t>
  </si>
  <si>
    <t>2270213560002656</t>
  </si>
  <si>
    <t>9780520087651</t>
  </si>
  <si>
    <t>32285004446463</t>
  </si>
  <si>
    <t>893787635</t>
  </si>
  <si>
    <t>DS124 .R45 1996</t>
  </si>
  <si>
    <t>0                      DS 0124000R  45          1996</t>
  </si>
  <si>
    <t>Religion in the age of exploration : the case of Spain and New Spain / Bryan F. Le Beau, Menachem Mor, editors.</t>
  </si>
  <si>
    <t>Philip M. and Ethel Klutznick Chair in Jewish Civilization. Symposium (5th : 1992 : Creighton University)</t>
  </si>
  <si>
    <t>Omaha, Neb. : Creighton University Press ; Bronx, N.Y. : Fordham University Press [distributor], c1996.</t>
  </si>
  <si>
    <t>Studies in Jewish civilization ; 5</t>
  </si>
  <si>
    <t>2002-02-10</t>
  </si>
  <si>
    <t>1996-09-05</t>
  </si>
  <si>
    <t>799451659:eng</t>
  </si>
  <si>
    <t>34799902</t>
  </si>
  <si>
    <t>991002663169702656</t>
  </si>
  <si>
    <t>2260179060002656</t>
  </si>
  <si>
    <t>9781881871217</t>
  </si>
  <si>
    <t>32285002197811</t>
  </si>
  <si>
    <t>893603845</t>
  </si>
  <si>
    <t>DS124 .S18 2005</t>
  </si>
  <si>
    <t>0                      DS 0124000S  18          2005</t>
  </si>
  <si>
    <t>A history of the Jews in the modern world / Howard M. Sachar.</t>
  </si>
  <si>
    <t>Sachar, Howard Morley, 1928-2018.</t>
  </si>
  <si>
    <t>New York : Alfred A. Knopf, 2005.</t>
  </si>
  <si>
    <t>2005-08-25</t>
  </si>
  <si>
    <t>2106285017:eng</t>
  </si>
  <si>
    <t>55877545</t>
  </si>
  <si>
    <t>991004587729702656</t>
  </si>
  <si>
    <t>2271519530002656</t>
  </si>
  <si>
    <t>9780375414978</t>
  </si>
  <si>
    <t>32285005082184</t>
  </si>
  <si>
    <t>893446290</t>
  </si>
  <si>
    <t>DS124 .W4 1993</t>
  </si>
  <si>
    <t>0                      DS 0124000W  4           1993</t>
  </si>
  <si>
    <t>Herald of destiny : the story of the Jews in the medieval era, 750-1650 / Berel Wein.</t>
  </si>
  <si>
    <t>Brooklyn, N.Y. : Shaar Press : distributed by Mesorah Publications [and others], c1993.</t>
  </si>
  <si>
    <t>12461088:eng</t>
  </si>
  <si>
    <t>29709483</t>
  </si>
  <si>
    <t>991002292909702656</t>
  </si>
  <si>
    <t>2262096000002656</t>
  </si>
  <si>
    <t>32285003256202</t>
  </si>
  <si>
    <t>893603419</t>
  </si>
  <si>
    <t>DS125 .B58 1985</t>
  </si>
  <si>
    <t>0                      DS 0125000B  58          1985</t>
  </si>
  <si>
    <t>Zion before Zionism, 1838-1880 / Arnold Blumberg.</t>
  </si>
  <si>
    <t>Blumberg, Arnold, 1925-</t>
  </si>
  <si>
    <t>2008-11-03</t>
  </si>
  <si>
    <t>5023147:eng</t>
  </si>
  <si>
    <t>12370448</t>
  </si>
  <si>
    <t>991000677719702656</t>
  </si>
  <si>
    <t>2261361980002656</t>
  </si>
  <si>
    <t>9780815623366</t>
  </si>
  <si>
    <t>32285000290022</t>
  </si>
  <si>
    <t>893432194</t>
  </si>
  <si>
    <t>DS125 .I35 1998</t>
  </si>
  <si>
    <t>0                      DS 0125000I  35          1998</t>
  </si>
  <si>
    <t>Weathered by miracles : a history of Palestine from Bonaparte and Muhammad Ali to Ben-Gurion and the mufti / Thomas A. Idinopulos.</t>
  </si>
  <si>
    <t>Idinopulos, Thomas A.</t>
  </si>
  <si>
    <t>Chicago : Ivan R. Dee, 1998.</t>
  </si>
  <si>
    <t>2000-12-12</t>
  </si>
  <si>
    <t>1998-08-25</t>
  </si>
  <si>
    <t>678017:eng</t>
  </si>
  <si>
    <t>38550294</t>
  </si>
  <si>
    <t>991002915679702656</t>
  </si>
  <si>
    <t>2268038430002656</t>
  </si>
  <si>
    <t>9781566631891</t>
  </si>
  <si>
    <t>32285003461810</t>
  </si>
  <si>
    <t>893886899</t>
  </si>
  <si>
    <t>DS125 .K45 1991</t>
  </si>
  <si>
    <t>0                      DS 0125000K  45          1991</t>
  </si>
  <si>
    <t>Before their diaspora : a photographic history of the Palestinians, 1876-1948 / with an introduction and commentary by Walid Khalidi.</t>
  </si>
  <si>
    <t>Khalidi, Walid.</t>
  </si>
  <si>
    <t>Washington, D.C. : Institute for Palestine Studies, 1991.</t>
  </si>
  <si>
    <t>2002-07-26</t>
  </si>
  <si>
    <t>1996-08-19</t>
  </si>
  <si>
    <t>3852204:eng</t>
  </si>
  <si>
    <t>24067452</t>
  </si>
  <si>
    <t>991001905539702656</t>
  </si>
  <si>
    <t>2258439370002656</t>
  </si>
  <si>
    <t>9780887282195</t>
  </si>
  <si>
    <t>32285002290848</t>
  </si>
  <si>
    <t>893697128</t>
  </si>
  <si>
    <t>DS125 .M87 1988</t>
  </si>
  <si>
    <t>0                      DS 0125000M  87          1988</t>
  </si>
  <si>
    <t>The origins of Palestinian nationalism / Muhammad Y. Muslih.</t>
  </si>
  <si>
    <t>Muslih, Muhammad Y.</t>
  </si>
  <si>
    <t>New York : Columbia University Press, 1988.</t>
  </si>
  <si>
    <t>The Institute for Palestine Studies series</t>
  </si>
  <si>
    <t>1989-10-20</t>
  </si>
  <si>
    <t>12628322:eng</t>
  </si>
  <si>
    <t>16683074</t>
  </si>
  <si>
    <t>991001131119702656</t>
  </si>
  <si>
    <t>2272122820002656</t>
  </si>
  <si>
    <t>9780231065085</t>
  </si>
  <si>
    <t>32285000001494</t>
  </si>
  <si>
    <t>893503126</t>
  </si>
  <si>
    <t>DS125 .W36 1990</t>
  </si>
  <si>
    <t>0                      DS 0125000W  36          1990</t>
  </si>
  <si>
    <t>Triumph of survival : the story of the Jews in the modern era, 1650-1990 / Berel Wein.</t>
  </si>
  <si>
    <t>Suffern, N.Y. : Shaar Press, 1990.</t>
  </si>
  <si>
    <t>2008-03-11</t>
  </si>
  <si>
    <t>26544263:eng</t>
  </si>
  <si>
    <t>25165146</t>
  </si>
  <si>
    <t>991001983369702656</t>
  </si>
  <si>
    <t>2257119400002656</t>
  </si>
  <si>
    <t>32285003256194</t>
  </si>
  <si>
    <t>893590796</t>
  </si>
  <si>
    <t>DS125.3.B37 A433 1972</t>
  </si>
  <si>
    <t>0                      DS 0125300B  37                 A  433         1972</t>
  </si>
  <si>
    <t>Letters to Paula / David Ben-Gurion. Translated from the Hebrew by Aubrey Hodes.</t>
  </si>
  <si>
    <t>Ben-Gurion, David, 1886-1973.</t>
  </si>
  <si>
    <t>[Pittsburgh] : University of Pittsburgh Press, [1972, c1971]</t>
  </si>
  <si>
    <t>2003-02-11</t>
  </si>
  <si>
    <t>1356169:eng</t>
  </si>
  <si>
    <t>240386</t>
  </si>
  <si>
    <t>991001905899702656</t>
  </si>
  <si>
    <t>2272207860002656</t>
  </si>
  <si>
    <t>9780822911029</t>
  </si>
  <si>
    <t>32285000293844</t>
  </si>
  <si>
    <t>893334702</t>
  </si>
  <si>
    <t>DS125.3.B37 A97 1974</t>
  </si>
  <si>
    <t>0                      DS 0125300B  37                 A  97          1974</t>
  </si>
  <si>
    <t>Ben Gurion, State-builder; principles and pragmatism, 1948-1963.</t>
  </si>
  <si>
    <t>Avi-Hai, Avraham, 1931-</t>
  </si>
  <si>
    <t>New York, Wiley [1974]</t>
  </si>
  <si>
    <t>487781:eng</t>
  </si>
  <si>
    <t>801560</t>
  </si>
  <si>
    <t>991003278089702656</t>
  </si>
  <si>
    <t>2270248620002656</t>
  </si>
  <si>
    <t>9780470038369</t>
  </si>
  <si>
    <t>32285002462405</t>
  </si>
  <si>
    <t>893592364</t>
  </si>
  <si>
    <t>DS125.3.B37 K87 1983</t>
  </si>
  <si>
    <t>0                      DS 0125300B  37                 K  87          1983</t>
  </si>
  <si>
    <t>Ben-Gurion, prophet of fire / Dan Kurzman.</t>
  </si>
  <si>
    <t>Kurzman, Dan.</t>
  </si>
  <si>
    <t>New York : Simon and Schuster, c1983.</t>
  </si>
  <si>
    <t>3855457756:eng</t>
  </si>
  <si>
    <t>9622506</t>
  </si>
  <si>
    <t>991000228929702656</t>
  </si>
  <si>
    <t>2269327270002656</t>
  </si>
  <si>
    <t>9780671230944</t>
  </si>
  <si>
    <t>32285000290048</t>
  </si>
  <si>
    <t>893689570</t>
  </si>
  <si>
    <t>DS125.3.B37 T475 1987</t>
  </si>
  <si>
    <t>0                      DS 0125300B  37                 T  475         1987</t>
  </si>
  <si>
    <t>Ben-Gurion : the burning ground, 1886-1948 / Shabtai Teveth.</t>
  </si>
  <si>
    <t>Teveth, Shabtai, 1925-2014.</t>
  </si>
  <si>
    <t>Boston : Houghton Mifflin, 1987.</t>
  </si>
  <si>
    <t>1998-12-16</t>
  </si>
  <si>
    <t>8982009:eng</t>
  </si>
  <si>
    <t>14932630</t>
  </si>
  <si>
    <t>991000969089702656</t>
  </si>
  <si>
    <t>2263542040002656</t>
  </si>
  <si>
    <t>9780395354094</t>
  </si>
  <si>
    <t>32285000290055</t>
  </si>
  <si>
    <t>893231587</t>
  </si>
  <si>
    <t>DS125.3.S23 A3 2007</t>
  </si>
  <si>
    <t>0                      DS 0125300S  23                 A  3           2007</t>
  </si>
  <si>
    <t>Palestine : a personal history / Karl Sabbagh.</t>
  </si>
  <si>
    <t>Sabbagh, Karl.</t>
  </si>
  <si>
    <t>New York : Grove Press : Distributed by Publishers Group West, c2007.</t>
  </si>
  <si>
    <t>866244607:eng</t>
  </si>
  <si>
    <t>71189900</t>
  </si>
  <si>
    <t>991004988719702656</t>
  </si>
  <si>
    <t>2263997900002656</t>
  </si>
  <si>
    <t>9780802118424</t>
  </si>
  <si>
    <t>32285005281182</t>
  </si>
  <si>
    <t>893332249</t>
  </si>
  <si>
    <t>DS125.5 .S8</t>
  </si>
  <si>
    <t>0                      DS 0125500S  8</t>
  </si>
  <si>
    <t>The Balfour declaration / Leonard Stein.</t>
  </si>
  <si>
    <t>Stein, Leonard, 1887-1973.</t>
  </si>
  <si>
    <t>New York : Simon and Schuster, 1961.</t>
  </si>
  <si>
    <t>2005-03-14</t>
  </si>
  <si>
    <t>1445224:eng</t>
  </si>
  <si>
    <t>408963</t>
  </si>
  <si>
    <t>991002710309702656</t>
  </si>
  <si>
    <t>2262076040002656</t>
  </si>
  <si>
    <t>32285002831179</t>
  </si>
  <si>
    <t>893716824</t>
  </si>
  <si>
    <t>DS126 .C377 1988</t>
  </si>
  <si>
    <t>0                      DS 0126000C  377         1988</t>
  </si>
  <si>
    <t>The Palestine question / Henry Cattan.</t>
  </si>
  <si>
    <t>Cattan, Henry.</t>
  </si>
  <si>
    <t>London : Croom Helm, 1988.</t>
  </si>
  <si>
    <t>2845509:eng</t>
  </si>
  <si>
    <t>18191315</t>
  </si>
  <si>
    <t>991001043119702656</t>
  </si>
  <si>
    <t>2262256840002656</t>
  </si>
  <si>
    <t>9780709948605</t>
  </si>
  <si>
    <t>32285000131820</t>
  </si>
  <si>
    <t>893432549</t>
  </si>
  <si>
    <t>DS126 .C532 1978</t>
  </si>
  <si>
    <t>0                      DS 0126000C  532         1978</t>
  </si>
  <si>
    <t>Palestine, retreat from the Mandate : the making of British policy, 1936-45 / Michael J. Cohen.</t>
  </si>
  <si>
    <t>Cohen, Michael Joseph, 1940-</t>
  </si>
  <si>
    <t>New York : Holmes &amp; Meier, 1978.</t>
  </si>
  <si>
    <t>2003-04-17</t>
  </si>
  <si>
    <t>860086912:eng</t>
  </si>
  <si>
    <t>3627274</t>
  </si>
  <si>
    <t>991004480479702656</t>
  </si>
  <si>
    <t>2269314920002656</t>
  </si>
  <si>
    <t>9780841903739</t>
  </si>
  <si>
    <t>32285000290063</t>
  </si>
  <si>
    <t>893259770</t>
  </si>
  <si>
    <t>DS126 .H95 1976</t>
  </si>
  <si>
    <t>0                      DS 0126000H  95          1976</t>
  </si>
  <si>
    <t>Palestine under the mandate, 1920-1948 / by Albert M. Hyamson.</t>
  </si>
  <si>
    <t>Hyamson, Albert Montefiore, 1875-1954.</t>
  </si>
  <si>
    <t>Westport, Conn. : Greenwood Press, 1976.</t>
  </si>
  <si>
    <t>1993-11-29</t>
  </si>
  <si>
    <t>1990-06-28</t>
  </si>
  <si>
    <t>1778919:eng</t>
  </si>
  <si>
    <t>2491399</t>
  </si>
  <si>
    <t>991004137729702656</t>
  </si>
  <si>
    <t>2256135520002656</t>
  </si>
  <si>
    <t>9780837159966</t>
  </si>
  <si>
    <t>32285000204098</t>
  </si>
  <si>
    <t>893525699</t>
  </si>
  <si>
    <t>DS126 .I45 1973</t>
  </si>
  <si>
    <t>0                      DS 0126000I  45          1973</t>
  </si>
  <si>
    <t>Palestine papers, 1917-1922 : seeds of conflict / compiled and annotated by Doreen Ingrams.</t>
  </si>
  <si>
    <t>Ingrams, Doreen.</t>
  </si>
  <si>
    <t>New York : G. Braziller, [1973, c1972]</t>
  </si>
  <si>
    <t>1554067:eng</t>
  </si>
  <si>
    <t>576583</t>
  </si>
  <si>
    <t>991003009279702656</t>
  </si>
  <si>
    <t>2257459730002656</t>
  </si>
  <si>
    <t>9780807606483</t>
  </si>
  <si>
    <t>32285001093193</t>
  </si>
  <si>
    <t>893805330</t>
  </si>
  <si>
    <t>DS126 .K33</t>
  </si>
  <si>
    <t>0                      DS 0126000K  33</t>
  </si>
  <si>
    <t>Palestine : a modern history / A. W. Kayyali.</t>
  </si>
  <si>
    <t>Kayyālī, ʻAbd al-Wahhāb.</t>
  </si>
  <si>
    <t>London : Croom Helm, [1978]</t>
  </si>
  <si>
    <t>1994-04-28</t>
  </si>
  <si>
    <t>890176601:eng</t>
  </si>
  <si>
    <t>4465061</t>
  </si>
  <si>
    <t>991004641639702656</t>
  </si>
  <si>
    <t>2256838770002656</t>
  </si>
  <si>
    <t>9780856646355</t>
  </si>
  <si>
    <t>32285000293877</t>
  </si>
  <si>
    <t>893624918</t>
  </si>
  <si>
    <t>DS126 .M5</t>
  </si>
  <si>
    <t>0                      DS 0126000M  5</t>
  </si>
  <si>
    <t>Israel, the eternal ideal.</t>
  </si>
  <si>
    <t>Miller, Irving, 1903-1980.</t>
  </si>
  <si>
    <t>New York, Farrar, Straus and Cudahy [1955]</t>
  </si>
  <si>
    <t>2007-12-05</t>
  </si>
  <si>
    <t>2043657:eng</t>
  </si>
  <si>
    <t>1080781</t>
  </si>
  <si>
    <t>991003520559702656</t>
  </si>
  <si>
    <t>2268644290002656</t>
  </si>
  <si>
    <t>32285002462413</t>
  </si>
  <si>
    <t>893705310</t>
  </si>
  <si>
    <t>DS126 .P6313 1974</t>
  </si>
  <si>
    <t>0                      DS 0126000P  6313        1974</t>
  </si>
  <si>
    <t>The emergence of the Palestinian-Arab national movement, 1918-1929 / [by] Y. Porath.</t>
  </si>
  <si>
    <t>Porath, Yehoshua.</t>
  </si>
  <si>
    <t>London : Cass, [1974]</t>
  </si>
  <si>
    <t>1992-08-13</t>
  </si>
  <si>
    <t>4160164670:eng</t>
  </si>
  <si>
    <t>965615</t>
  </si>
  <si>
    <t>991003431099702656</t>
  </si>
  <si>
    <t>2261189650002656</t>
  </si>
  <si>
    <t>9780714629391</t>
  </si>
  <si>
    <t>32285001244028</t>
  </si>
  <si>
    <t>893352822</t>
  </si>
  <si>
    <t>DS126 .R65 1973</t>
  </si>
  <si>
    <t>0                      DS 0126000R  65          1973</t>
  </si>
  <si>
    <t>The Gentile Zionists; a study in Anglo-Zionist diplomacy, 1929-1939 [by] N. A. Rose.</t>
  </si>
  <si>
    <t>Rose, Norman.</t>
  </si>
  <si>
    <t>London, Cass [1973]</t>
  </si>
  <si>
    <t>2003-10-26</t>
  </si>
  <si>
    <t>1043687801:eng</t>
  </si>
  <si>
    <t>641908</t>
  </si>
  <si>
    <t>991003091809702656</t>
  </si>
  <si>
    <t>2261900030002656</t>
  </si>
  <si>
    <t>9780714629407</t>
  </si>
  <si>
    <t>32285002462421</t>
  </si>
  <si>
    <t>893342232</t>
  </si>
  <si>
    <t>DS126 .U83 1998</t>
  </si>
  <si>
    <t>0                      DS 0126000U  83          1998</t>
  </si>
  <si>
    <t>The Muslim brothers and the Palestine question, 1928-1947 / Abd al-Fattah Muhammad El-Awaisi.</t>
  </si>
  <si>
    <t>ʻUwaysī, ʻAbd al-Fattāḥ Muḥammad.</t>
  </si>
  <si>
    <t>London ; New York : Tauris Academic Studies, 1998.</t>
  </si>
  <si>
    <t>Library of modern Middle East studies ; 16</t>
  </si>
  <si>
    <t>2003-04-01</t>
  </si>
  <si>
    <t>1998-10-28</t>
  </si>
  <si>
    <t>696148:eng</t>
  </si>
  <si>
    <t>41338329</t>
  </si>
  <si>
    <t>991000036149702656</t>
  </si>
  <si>
    <t>2256932110002656</t>
  </si>
  <si>
    <t>9781860642142</t>
  </si>
  <si>
    <t>32285003478806</t>
  </si>
  <si>
    <t>893326947</t>
  </si>
  <si>
    <t>DS126.4 .E86 1992</t>
  </si>
  <si>
    <t>0                      DS 0126400E  86          1992</t>
  </si>
  <si>
    <t>Truman, Palestine, and the press : shaping conventional wisdom at the beginning of the Cold War / Bruce J. Evensen.</t>
  </si>
  <si>
    <t>Evensen, Bruce J.</t>
  </si>
  <si>
    <t>New York : Greenwood Press, 1992.</t>
  </si>
  <si>
    <t>Contributions in American history, 0742-6828 ; no. 144</t>
  </si>
  <si>
    <t>1998-08-18</t>
  </si>
  <si>
    <t>1992-12-01</t>
  </si>
  <si>
    <t>2622090:eng</t>
  </si>
  <si>
    <t>24467270</t>
  </si>
  <si>
    <t>991001936069702656</t>
  </si>
  <si>
    <t>2267197850002656</t>
  </si>
  <si>
    <t>9780313277733</t>
  </si>
  <si>
    <t>32285001400976</t>
  </si>
  <si>
    <t>893891955</t>
  </si>
  <si>
    <t>DS126.4 .F57 1987</t>
  </si>
  <si>
    <t>0                      DS 0126400F  57          1987</t>
  </si>
  <si>
    <t>The birth of Israel : myths and realities / Simha Flapan.</t>
  </si>
  <si>
    <t>Flapan, Simha.</t>
  </si>
  <si>
    <t>New York : Pantheon Books, c1987.</t>
  </si>
  <si>
    <t>1990-04-03</t>
  </si>
  <si>
    <t>10960994:eng</t>
  </si>
  <si>
    <t>16004596</t>
  </si>
  <si>
    <t>991001074179702656</t>
  </si>
  <si>
    <t>2271586590002656</t>
  </si>
  <si>
    <t>32285000109446</t>
  </si>
  <si>
    <t>893346220</t>
  </si>
  <si>
    <t>DS126.4 .J66 1986</t>
  </si>
  <si>
    <t>0                      DS 0126400J  66          1986</t>
  </si>
  <si>
    <t>Failure in Palestine : British and United States policy after the Second World War / Martin Jones.</t>
  </si>
  <si>
    <t>Jones, Martin (Martin Desmond)</t>
  </si>
  <si>
    <t>London ; New York : Mansell Pub., 1986.</t>
  </si>
  <si>
    <t>1994-12-06</t>
  </si>
  <si>
    <t>1990-10-02</t>
  </si>
  <si>
    <t>5041436:eng</t>
  </si>
  <si>
    <t>12420589</t>
  </si>
  <si>
    <t>991000685589702656</t>
  </si>
  <si>
    <t>2254890260002656</t>
  </si>
  <si>
    <t>9780720117974</t>
  </si>
  <si>
    <t>32285000293919</t>
  </si>
  <si>
    <t>893784443</t>
  </si>
  <si>
    <t>DS126.4 .O94 1989</t>
  </si>
  <si>
    <t>0                      DS 0126400O  94          1989</t>
  </si>
  <si>
    <t>Britain, the United States, and the end of the Palestine mandate, 1942-1948 / Ritchie Ovendale.</t>
  </si>
  <si>
    <t>Ovendale, Ritchie.</t>
  </si>
  <si>
    <t>[London] : Royal Historical Society ; Woodbridge, Suffolk [England] ; Wolfeboro, N.H., USA : Boydell Press, 1989.</t>
  </si>
  <si>
    <t>Royal Historical Society studies in history, 0269-2244 ; 57</t>
  </si>
  <si>
    <t>1990-10-03</t>
  </si>
  <si>
    <t>21361573:eng</t>
  </si>
  <si>
    <t>19515129</t>
  </si>
  <si>
    <t>991001467469702656</t>
  </si>
  <si>
    <t>2261327670002656</t>
  </si>
  <si>
    <t>9780861932146</t>
  </si>
  <si>
    <t>32285000279025</t>
  </si>
  <si>
    <t>893528955</t>
  </si>
  <si>
    <t>DS126.4 .R6 1971</t>
  </si>
  <si>
    <t>0                      DS 0126400R  6           1971</t>
  </si>
  <si>
    <t>Palestine and the United Nations; prelude to solution.</t>
  </si>
  <si>
    <t>Robinson, Jacob, 1889-1977.</t>
  </si>
  <si>
    <t>Westport, Conn., Greenwood Press [1971, c1947]</t>
  </si>
  <si>
    <t>1271954:eng</t>
  </si>
  <si>
    <t>207082</t>
  </si>
  <si>
    <t>991001237929702656</t>
  </si>
  <si>
    <t>2267258800002656</t>
  </si>
  <si>
    <t>9780837159867</t>
  </si>
  <si>
    <t>32285002462538</t>
  </si>
  <si>
    <t>893327990</t>
  </si>
  <si>
    <t>DS126.4 .S32 1983</t>
  </si>
  <si>
    <t>0                      DS 0126400S  32          1983</t>
  </si>
  <si>
    <t>The redemption of the unwanted : from the liberation of the death camps to the founding of Israel / Abram L. Sachar.</t>
  </si>
  <si>
    <t>Sachar, Abram Leon, 1899-1993.</t>
  </si>
  <si>
    <t>New York : St. Martin's/Marek, c1983.</t>
  </si>
  <si>
    <t>2000-11-24</t>
  </si>
  <si>
    <t>43010183:eng</t>
  </si>
  <si>
    <t>9219406</t>
  </si>
  <si>
    <t>991000154139702656</t>
  </si>
  <si>
    <t>2268347450002656</t>
  </si>
  <si>
    <t>9780312667290</t>
  </si>
  <si>
    <t>32285000293927</t>
  </si>
  <si>
    <t>893495978</t>
  </si>
  <si>
    <t>DS126.5 .A919</t>
  </si>
  <si>
    <t>0                      DS 0126500A  919</t>
  </si>
  <si>
    <t>A crisis of identity : Israel and Zionism / Dan V. Segre.</t>
  </si>
  <si>
    <t>Segre, Dan Vittorio, 1922-2014.</t>
  </si>
  <si>
    <t>Oxford ; New York : Oxford University Press, 1980.</t>
  </si>
  <si>
    <t>1998-05-01</t>
  </si>
  <si>
    <t>414251:eng</t>
  </si>
  <si>
    <t>6249825</t>
  </si>
  <si>
    <t>991004950889702656</t>
  </si>
  <si>
    <t>2263051720002656</t>
  </si>
  <si>
    <t>9780192158628</t>
  </si>
  <si>
    <t>32285000293935</t>
  </si>
  <si>
    <t>893789261</t>
  </si>
  <si>
    <t>DS126.5 .B44513 1971</t>
  </si>
  <si>
    <t>0                      DS 0126500B  44513       1971</t>
  </si>
  <si>
    <t>Israel; a personal history. [Translated by Nechemia Meyers and Uzy Nystar]</t>
  </si>
  <si>
    <t>New York, Funk &amp; Wagnalls; distributed by T. Y. Crowell Co. [1971]</t>
  </si>
  <si>
    <t>2008-12-14</t>
  </si>
  <si>
    <t>1314820:eng</t>
  </si>
  <si>
    <t>177703</t>
  </si>
  <si>
    <t>991001057769702656</t>
  </si>
  <si>
    <t>2268158450002656</t>
  </si>
  <si>
    <t>32285002462561</t>
  </si>
  <si>
    <t>893225575</t>
  </si>
  <si>
    <t>DS126.5 .B45 1969</t>
  </si>
  <si>
    <t>0                      DS 0126500B  45          1969</t>
  </si>
  <si>
    <t>Our man in Damascus, Elie Cohn / by Eli Ben-Hanan.</t>
  </si>
  <si>
    <t>Ben-Hanan, Eli.</t>
  </si>
  <si>
    <t>New York : Crown Publishers, [1969]</t>
  </si>
  <si>
    <t>2001-02-18</t>
  </si>
  <si>
    <t>4820415862:eng</t>
  </si>
  <si>
    <t>53763</t>
  </si>
  <si>
    <t>991000130069702656</t>
  </si>
  <si>
    <t>2257441540002656</t>
  </si>
  <si>
    <t>32285000293943</t>
  </si>
  <si>
    <t>893595315</t>
  </si>
  <si>
    <t>DS126.5 .E44 1971b</t>
  </si>
  <si>
    <t>0                      DS 0126500E  44          1971b</t>
  </si>
  <si>
    <t>Israel: a survey and bibliography. Compiled and edited by Muriel Emanuel.</t>
  </si>
  <si>
    <t>Emanuel, Muriel.</t>
  </si>
  <si>
    <t>New York, St. Martin's Press [1971]</t>
  </si>
  <si>
    <t>2009-04-26</t>
  </si>
  <si>
    <t>287964624:eng</t>
  </si>
  <si>
    <t>277855</t>
  </si>
  <si>
    <t>991002174969702656</t>
  </si>
  <si>
    <t>2260176330002656</t>
  </si>
  <si>
    <t>32285002462603</t>
  </si>
  <si>
    <t>893697444</t>
  </si>
  <si>
    <t>DS126.5 .F7 1980</t>
  </si>
  <si>
    <t>0                      DS 0126500F  7           1980</t>
  </si>
  <si>
    <t>Israel observed, an anatomy of the state / William Frankel</t>
  </si>
  <si>
    <t>Frankel, William.</t>
  </si>
  <si>
    <t>London : Thames and Hudson, 1980.</t>
  </si>
  <si>
    <t>2008-11-22</t>
  </si>
  <si>
    <t>1990-05-07</t>
  </si>
  <si>
    <t>12634243:eng</t>
  </si>
  <si>
    <t>7741803</t>
  </si>
  <si>
    <t>991005065649702656</t>
  </si>
  <si>
    <t>2258262370002656</t>
  </si>
  <si>
    <t>9780500012475</t>
  </si>
  <si>
    <t>32285000149715</t>
  </si>
  <si>
    <t>893443340</t>
  </si>
  <si>
    <t>DS126.5 .F716 1994</t>
  </si>
  <si>
    <t>0                      DS 0126500F  716         1994</t>
  </si>
  <si>
    <t>Beyond the promised land : Jews and Arabs on the hard road to a new Israel / Glenn Frankel.</t>
  </si>
  <si>
    <t>Frankel, Glenn.</t>
  </si>
  <si>
    <t>New York : Simon &amp; Schuster, c1994.</t>
  </si>
  <si>
    <t>1996-03-12</t>
  </si>
  <si>
    <t>836902603:eng</t>
  </si>
  <si>
    <t>30778339</t>
  </si>
  <si>
    <t>991002367399702656</t>
  </si>
  <si>
    <t>2271119110002656</t>
  </si>
  <si>
    <t>9780671796495</t>
  </si>
  <si>
    <t>32285002141579</t>
  </si>
  <si>
    <t>893498043</t>
  </si>
  <si>
    <t>DS126.5 .G53 1998</t>
  </si>
  <si>
    <t>0                      DS 0126500G  53          1998</t>
  </si>
  <si>
    <t>Israel : a history / Martin Gilbert.</t>
  </si>
  <si>
    <t>New York : Morrow, 1998.</t>
  </si>
  <si>
    <t>1998-05-11</t>
  </si>
  <si>
    <t>324840605:eng</t>
  </si>
  <si>
    <t>37987043</t>
  </si>
  <si>
    <t>991002882619702656</t>
  </si>
  <si>
    <t>2261962370002656</t>
  </si>
  <si>
    <t>9780688123628</t>
  </si>
  <si>
    <t>32285003407532</t>
  </si>
  <si>
    <t>893517869</t>
  </si>
  <si>
    <t>DS126.5 .H357213 1989</t>
  </si>
  <si>
    <t>0                      DS 0126500H  357213      1989</t>
  </si>
  <si>
    <t>Israel's fateful hour / Yehoshafat Harkabi ; translated by Lenn Schramm.</t>
  </si>
  <si>
    <t>New York : Harper &amp; Row, c1989.</t>
  </si>
  <si>
    <t>1st Perennial Library ed.</t>
  </si>
  <si>
    <t>2008-05-22</t>
  </si>
  <si>
    <t>103143255:eng</t>
  </si>
  <si>
    <t>20873761</t>
  </si>
  <si>
    <t>991005226089702656</t>
  </si>
  <si>
    <t>2260270210002656</t>
  </si>
  <si>
    <t>9780060916138</t>
  </si>
  <si>
    <t>32285005440408</t>
  </si>
  <si>
    <t>893260764</t>
  </si>
  <si>
    <t>DS126.5 .K63 2002</t>
  </si>
  <si>
    <t>0                      DS 0126500K  63          2002</t>
  </si>
  <si>
    <t>Sticking together : the Israeli experiment in pluralism / Yaakov Kop, Robert E. Litan.</t>
  </si>
  <si>
    <t>Kop, Yaakov.</t>
  </si>
  <si>
    <t>Washington, D.C. : Brookings Institution Press, c2002.</t>
  </si>
  <si>
    <t>2002-06-02</t>
  </si>
  <si>
    <t>2002-05-09</t>
  </si>
  <si>
    <t>793898418:eng</t>
  </si>
  <si>
    <t>48241293</t>
  </si>
  <si>
    <t>991003808839702656</t>
  </si>
  <si>
    <t>2258448210002656</t>
  </si>
  <si>
    <t>9780815702269</t>
  </si>
  <si>
    <t>32285004487285</t>
  </si>
  <si>
    <t>893718099</t>
  </si>
  <si>
    <t>DS126.5 .L82 1975</t>
  </si>
  <si>
    <t>0                      DS 0126500L  82          1975</t>
  </si>
  <si>
    <t>The modern history of Israel.</t>
  </si>
  <si>
    <t>Lucas, Noah.</t>
  </si>
  <si>
    <t>New York : Praeger, [1975]</t>
  </si>
  <si>
    <t>2009-11-12</t>
  </si>
  <si>
    <t>1991-09-09</t>
  </si>
  <si>
    <t>1929730:eng</t>
  </si>
  <si>
    <t>1009679</t>
  </si>
  <si>
    <t>991003468469702656</t>
  </si>
  <si>
    <t>2263885730002656</t>
  </si>
  <si>
    <t>9780275334505</t>
  </si>
  <si>
    <t>32285000733823</t>
  </si>
  <si>
    <t>893721949</t>
  </si>
  <si>
    <t>DS126.5 .M485 1982</t>
  </si>
  <si>
    <t>0                      DS 0126500M  485         1982</t>
  </si>
  <si>
    <t>Israel now : portrait of a troubled land / Lawrence Meyer.</t>
  </si>
  <si>
    <t>Meyer, Lawrence, 1941-</t>
  </si>
  <si>
    <t>New York : Delacorte Press, c1982.</t>
  </si>
  <si>
    <t>1999-11-30</t>
  </si>
  <si>
    <t>1990-06-20</t>
  </si>
  <si>
    <t>44022595:eng</t>
  </si>
  <si>
    <t>8169529</t>
  </si>
  <si>
    <t>991005211549702656</t>
  </si>
  <si>
    <t>2269789000002656</t>
  </si>
  <si>
    <t>9780440041795</t>
  </si>
  <si>
    <t>32285000210210</t>
  </si>
  <si>
    <t>893701209</t>
  </si>
  <si>
    <t>DS126.5 .P29 2005</t>
  </si>
  <si>
    <t>0                      DS 0126500P  29          2005</t>
  </si>
  <si>
    <t>End of an exile : Israel, the Jews and the gentile world / James Parkes ; editors, Eugene B. Korn, Roberta Kalechofsky.</t>
  </si>
  <si>
    <t>Parkes, James, 1896-1981.</t>
  </si>
  <si>
    <t>Marblehead, Mass. : Micah, c2005.</t>
  </si>
  <si>
    <t>2005-07-26</t>
  </si>
  <si>
    <t>1126550421:eng</t>
  </si>
  <si>
    <t>56567429</t>
  </si>
  <si>
    <t>991004602239702656</t>
  </si>
  <si>
    <t>2270013120002656</t>
  </si>
  <si>
    <t>9780916288501</t>
  </si>
  <si>
    <t>32285005098040</t>
  </si>
  <si>
    <t>893719122</t>
  </si>
  <si>
    <t>DS126.5 .P45 1978</t>
  </si>
  <si>
    <t>0                      DS 0126500P  45          1978</t>
  </si>
  <si>
    <t>Politics and the military in Israel 1967-1977 / Amos Perlmutter.</t>
  </si>
  <si>
    <t>Perlmutter, Amos.</t>
  </si>
  <si>
    <t>London ; Totowa, N.J. : F. Cass, 1978.</t>
  </si>
  <si>
    <t>2003-02-16</t>
  </si>
  <si>
    <t>11384577:eng</t>
  </si>
  <si>
    <t>3590344</t>
  </si>
  <si>
    <t>991004469879702656</t>
  </si>
  <si>
    <t>2263960150002656</t>
  </si>
  <si>
    <t>9780714630793</t>
  </si>
  <si>
    <t>32285000109453</t>
  </si>
  <si>
    <t>893241474</t>
  </si>
  <si>
    <t>DS126.5 .S198</t>
  </si>
  <si>
    <t>0                      DS 0126500S  198</t>
  </si>
  <si>
    <t>Israel: promised land to modern state.</t>
  </si>
  <si>
    <t>Samuel, Rinna.</t>
  </si>
  <si>
    <t>New York, Golden Press [1969]</t>
  </si>
  <si>
    <t>2001-04-17</t>
  </si>
  <si>
    <t>1250802:eng</t>
  </si>
  <si>
    <t>76787</t>
  </si>
  <si>
    <t>991000446959702656</t>
  </si>
  <si>
    <t>2257184010002656</t>
  </si>
  <si>
    <t>32285002462686</t>
  </si>
  <si>
    <t>893231112</t>
  </si>
  <si>
    <t>DS126.5 .S4 1986</t>
  </si>
  <si>
    <t>0                      DS 0126500S  4           1986</t>
  </si>
  <si>
    <t>Israel the peaceful belligerent, 1967-79 / Amnon Sella and Yael Yishai.</t>
  </si>
  <si>
    <t>Sella, Amnon.</t>
  </si>
  <si>
    <t>London : Macmillan in association with St Antony's College, Oxford, 1986.</t>
  </si>
  <si>
    <t>St Antony's/Macmillan series</t>
  </si>
  <si>
    <t>1992-11-12</t>
  </si>
  <si>
    <t>4460870:eng</t>
  </si>
  <si>
    <t>15628923</t>
  </si>
  <si>
    <t>991000692619702656</t>
  </si>
  <si>
    <t>2255551750002656</t>
  </si>
  <si>
    <t>9780333387757</t>
  </si>
  <si>
    <t>32285000293992</t>
  </si>
  <si>
    <t>893521920</t>
  </si>
  <si>
    <t>DS126.5 .S444 1985</t>
  </si>
  <si>
    <t>0                      DS 0126500S  444         1985</t>
  </si>
  <si>
    <t>What makes Israel tick : how domestic policy-makers cope with constraints / Ira Sharkansky.</t>
  </si>
  <si>
    <t>Sharkansky, Ira.</t>
  </si>
  <si>
    <t>Chicago : Nelson-Hall, c1985.</t>
  </si>
  <si>
    <t>308750442:eng</t>
  </si>
  <si>
    <t>10996559</t>
  </si>
  <si>
    <t>991000469709702656</t>
  </si>
  <si>
    <t>2261918560002656</t>
  </si>
  <si>
    <t>9780830411061</t>
  </si>
  <si>
    <t>32285000294008</t>
  </si>
  <si>
    <t>893896896</t>
  </si>
  <si>
    <t>DS126.5 T495 1999</t>
  </si>
  <si>
    <t>0                      DS 0126500T  495         1999</t>
  </si>
  <si>
    <t>How Israel was won : a concise history of the Arab-Israeli conflict / Baylis Thomas.</t>
  </si>
  <si>
    <t>Thomas, Baylis, 1932-</t>
  </si>
  <si>
    <t>Lanham, Md. : Lexington Books, 1999.</t>
  </si>
  <si>
    <t>1999-09-28</t>
  </si>
  <si>
    <t>138858339:eng</t>
  </si>
  <si>
    <t>40668082</t>
  </si>
  <si>
    <t>991003001409702656</t>
  </si>
  <si>
    <t>2255012770002656</t>
  </si>
  <si>
    <t>9780739100639</t>
  </si>
  <si>
    <t>32285003591160</t>
  </si>
  <si>
    <t>893530753</t>
  </si>
  <si>
    <t>DS126.6.B33 P47 1987</t>
  </si>
  <si>
    <t>0                      DS 0126600B  33                 P  47          1987</t>
  </si>
  <si>
    <t>The life and times of Menachem Begin / Amos Perlmutter.</t>
  </si>
  <si>
    <t>Garden City, N.Y. : Doubleday, 1987.</t>
  </si>
  <si>
    <t>7597679:eng</t>
  </si>
  <si>
    <t>14132961</t>
  </si>
  <si>
    <t>991000910709702656</t>
  </si>
  <si>
    <t>2266812360002656</t>
  </si>
  <si>
    <t>9780385189262</t>
  </si>
  <si>
    <t>32285000294016</t>
  </si>
  <si>
    <t>893231527</t>
  </si>
  <si>
    <t>DS126.6.D3 T4213 1973</t>
  </si>
  <si>
    <t>0                      DS 0126600D  3                  T  4213        1973</t>
  </si>
  <si>
    <t>Moshe Dayan, the soldier, the man, the legend. Translated from the Hebrew by Leah and David Zinder.</t>
  </si>
  <si>
    <t>Boston, Houghton Mifflin, 1973 [c1972]</t>
  </si>
  <si>
    <t>[1st American ed.] Illustrated with photos.</t>
  </si>
  <si>
    <t>9490346347:eng</t>
  </si>
  <si>
    <t>569861</t>
  </si>
  <si>
    <t>991003002359702656</t>
  </si>
  <si>
    <t>2261312580002656</t>
  </si>
  <si>
    <t>9780395154755</t>
  </si>
  <si>
    <t>32285002462710</t>
  </si>
  <si>
    <t>893422060</t>
  </si>
  <si>
    <t>DS126.6.M42 A37 1975</t>
  </si>
  <si>
    <t>0                      DS 0126600M  42                 A  37          1975</t>
  </si>
  <si>
    <t>My life / by Golda Meir.</t>
  </si>
  <si>
    <t>Meir, Golda, 1898-1978.</t>
  </si>
  <si>
    <t>New York : Putnam, 1975.</t>
  </si>
  <si>
    <t>2008-11-18</t>
  </si>
  <si>
    <t>140556707:eng</t>
  </si>
  <si>
    <t>11866342</t>
  </si>
  <si>
    <t>991000605559702656</t>
  </si>
  <si>
    <t>2264649750002656</t>
  </si>
  <si>
    <t>9780399116698</t>
  </si>
  <si>
    <t>32285001472371</t>
  </si>
  <si>
    <t>893714729</t>
  </si>
  <si>
    <t>DS126.6.M42 A5</t>
  </si>
  <si>
    <t>0                      DS 0126600M  42                 A  5</t>
  </si>
  <si>
    <t>This is our strength; selected papers. Edited and with an introd. by Henry M. Christman. Foreword by Eleanor Roosevelt.</t>
  </si>
  <si>
    <t>New York, Macmillan [1962]</t>
  </si>
  <si>
    <t>2000-09-16</t>
  </si>
  <si>
    <t>1545994:eng</t>
  </si>
  <si>
    <t>475112</t>
  </si>
  <si>
    <t>991002825019702656</t>
  </si>
  <si>
    <t>2254937520002656</t>
  </si>
  <si>
    <t>32285002462728</t>
  </si>
  <si>
    <t>893799069</t>
  </si>
  <si>
    <t>DS126.6.M42 M32 1988</t>
  </si>
  <si>
    <t>0                      DS 0126600M  42                 M  32          1988</t>
  </si>
  <si>
    <t>Golda : Golda Meir, the romantic years / Ralph G. Martin.</t>
  </si>
  <si>
    <t>Martin, Ralph G., 1920-2013.</t>
  </si>
  <si>
    <t>New York : Scribner, c1988.</t>
  </si>
  <si>
    <t>196071189:eng</t>
  </si>
  <si>
    <t>18017635</t>
  </si>
  <si>
    <t>991001293789702656</t>
  </si>
  <si>
    <t>2271857350002656</t>
  </si>
  <si>
    <t>9780684190174</t>
  </si>
  <si>
    <t>32285000294032</t>
  </si>
  <si>
    <t>893256163</t>
  </si>
  <si>
    <t>DS126.6.R32 A87 2000</t>
  </si>
  <si>
    <t>0                      DS 0126600R  32                 A  87          2000</t>
  </si>
  <si>
    <t>The assassination of Yitzhak Rabin / edited by Yoram Peri.</t>
  </si>
  <si>
    <t>Stanford, CA : Stanford University Press, c2000.</t>
  </si>
  <si>
    <t>20672052:eng</t>
  </si>
  <si>
    <t>43784977</t>
  </si>
  <si>
    <t>991003304689702656</t>
  </si>
  <si>
    <t>2258141050002656</t>
  </si>
  <si>
    <t>9780804738354</t>
  </si>
  <si>
    <t>32285004268719</t>
  </si>
  <si>
    <t>893258291</t>
  </si>
  <si>
    <t>DS126.6.R32 I63 1999</t>
  </si>
  <si>
    <t>0                      DS 0126600R  32                 I  63          1999</t>
  </si>
  <si>
    <t>Rabin and Israel's national security / Efraim Inbar.</t>
  </si>
  <si>
    <t>Inbar, Efraim, 1947-</t>
  </si>
  <si>
    <t>Washington, D.C. : Woodrow Wilson Center Press ; Baltimore : Johns Hopkins University Press, c1999.</t>
  </si>
  <si>
    <t>2002-10-21</t>
  </si>
  <si>
    <t>3901335976:eng</t>
  </si>
  <si>
    <t>41096111</t>
  </si>
  <si>
    <t>991003874529702656</t>
  </si>
  <si>
    <t>2265404270002656</t>
  </si>
  <si>
    <t>9780801862175</t>
  </si>
  <si>
    <t>32285004656558</t>
  </si>
  <si>
    <t>893705725</t>
  </si>
  <si>
    <t>DS126.6.R32 K87 1998</t>
  </si>
  <si>
    <t>0                      DS 0126600R  32                 K  87          1998</t>
  </si>
  <si>
    <t>Soldier of peace : the life of Yitzhak Rabin, 1922-1995 / Dan Kurzman.</t>
  </si>
  <si>
    <t>New York : HarperCollins Publishers, c1998.</t>
  </si>
  <si>
    <t>1998-07-21</t>
  </si>
  <si>
    <t>587251:eng</t>
  </si>
  <si>
    <t>38112801</t>
  </si>
  <si>
    <t>991002892639702656</t>
  </si>
  <si>
    <t>2271826210002656</t>
  </si>
  <si>
    <t>9780060186845</t>
  </si>
  <si>
    <t>32285003433876</t>
  </si>
  <si>
    <t>893498680</t>
  </si>
  <si>
    <t>DS126.6.R32 R34 1997</t>
  </si>
  <si>
    <t>0                      DS 0126600R  32                 R  34          1997</t>
  </si>
  <si>
    <t>Rabin : our life, his legacy / Leah Rabin.</t>
  </si>
  <si>
    <t>Rabin, Lea.</t>
  </si>
  <si>
    <t>New York : G.P. Putnam's Sons, c1997.</t>
  </si>
  <si>
    <t>196637006:eng</t>
  </si>
  <si>
    <t>35657826</t>
  </si>
  <si>
    <t>991002719649702656</t>
  </si>
  <si>
    <t>2255481860002656</t>
  </si>
  <si>
    <t>9780399142178</t>
  </si>
  <si>
    <t>32285002754942</t>
  </si>
  <si>
    <t>893773952</t>
  </si>
  <si>
    <t>DS126.6.R32 S53 1996</t>
  </si>
  <si>
    <t>0                      DS 0126600R  32                 S  53          1996</t>
  </si>
  <si>
    <t>Shalom, friend : the life and legacy of Yitzhak Rabin / the Jerusalem report staff ; edited by David Horovitz ; prologue by Hirsh Goodman.</t>
  </si>
  <si>
    <t>New York : NewMarket Press, c1996.</t>
  </si>
  <si>
    <t>1996-05-21</t>
  </si>
  <si>
    <t>39908573:eng</t>
  </si>
  <si>
    <t>34191826</t>
  </si>
  <si>
    <t>991002610039702656</t>
  </si>
  <si>
    <t>2258906140002656</t>
  </si>
  <si>
    <t>9781557042873</t>
  </si>
  <si>
    <t>32285002176500</t>
  </si>
  <si>
    <t>893440312</t>
  </si>
  <si>
    <t>DS126.99.J4 P48</t>
  </si>
  <si>
    <t>0                      DS 0126990J  4                  P  48</t>
  </si>
  <si>
    <t>A will to survive / text and photos by John Phillips ; foreword by Golda Meir ; afterword by Teddy Kollek with J. Robert Moskin.</t>
  </si>
  <si>
    <t>Phillips, John, 1914-1996.</t>
  </si>
  <si>
    <t>New York : Dial Press, c1977.</t>
  </si>
  <si>
    <t>345951672:eng</t>
  </si>
  <si>
    <t>2797939</t>
  </si>
  <si>
    <t>991004244609702656</t>
  </si>
  <si>
    <t>2266143590002656</t>
  </si>
  <si>
    <t>9780803701762</t>
  </si>
  <si>
    <t>32285002462751</t>
  </si>
  <si>
    <t>893605803</t>
  </si>
  <si>
    <t>DS126.99.J6 B37 1987</t>
  </si>
  <si>
    <t>0                      DS 0126990J  6                  B  37          1987</t>
  </si>
  <si>
    <t>The best of enemies : Israel and Transjordan in the war of 1948 / Uri Bar-Joseph.</t>
  </si>
  <si>
    <t>Bar-Joseph, Uri.</t>
  </si>
  <si>
    <t>London ; Totowa, N.J. : F. Cass, 1987.</t>
  </si>
  <si>
    <t>1992-05-02</t>
  </si>
  <si>
    <t>795419325:eng</t>
  </si>
  <si>
    <t>14967101</t>
  </si>
  <si>
    <t>991000973169702656</t>
  </si>
  <si>
    <t>2262345000002656</t>
  </si>
  <si>
    <t>9780714632117</t>
  </si>
  <si>
    <t>32285000294073</t>
  </si>
  <si>
    <t>893791046</t>
  </si>
  <si>
    <t>DS127 .C48</t>
  </si>
  <si>
    <t>0                      DS 0127000C  48</t>
  </si>
  <si>
    <t>The six day war / by Randolph S. Churchill and Winston S. Churchill.</t>
  </si>
  <si>
    <t>Churchill, Randolph S. (Randolph Spencer), 1911-1968.</t>
  </si>
  <si>
    <t>Boston : Houghton Mifflin, 1967.</t>
  </si>
  <si>
    <t>1990-02-16</t>
  </si>
  <si>
    <t>1777060:eng</t>
  </si>
  <si>
    <t>1086582</t>
  </si>
  <si>
    <t>991003524679702656</t>
  </si>
  <si>
    <t>2269051610002656</t>
  </si>
  <si>
    <t>32285000044544</t>
  </si>
  <si>
    <t>893246441</t>
  </si>
  <si>
    <t>DS127 .D7</t>
  </si>
  <si>
    <t>0                      DS 0127000D  7</t>
  </si>
  <si>
    <t>Israel and world politics : roots of the third Arab-Israeli war.</t>
  </si>
  <si>
    <t>Draper, Theodore, 1912-2006.</t>
  </si>
  <si>
    <t>New York : Viking Press, [1968]</t>
  </si>
  <si>
    <t>1992-11-20</t>
  </si>
  <si>
    <t>48252776:eng</t>
  </si>
  <si>
    <t>437723</t>
  </si>
  <si>
    <t>991002772999702656</t>
  </si>
  <si>
    <t>2267929960002656</t>
  </si>
  <si>
    <t>32285001407013</t>
  </si>
  <si>
    <t>893535189</t>
  </si>
  <si>
    <t>DS127 .O23</t>
  </si>
  <si>
    <t>0                      DS 0127000O  23</t>
  </si>
  <si>
    <t>The third Arab-Israeli war.</t>
  </si>
  <si>
    <t>O'Ballance, Edgar.</t>
  </si>
  <si>
    <t>Hamden, Conn. : Archon Books, 1972.</t>
  </si>
  <si>
    <t>1419519:eng</t>
  </si>
  <si>
    <t>278308</t>
  </si>
  <si>
    <t>991002177479702656</t>
  </si>
  <si>
    <t>2261198430002656</t>
  </si>
  <si>
    <t>9780208012920</t>
  </si>
  <si>
    <t>32285000044536</t>
  </si>
  <si>
    <t>893603278</t>
  </si>
  <si>
    <t>DS127.2 .K5 1971</t>
  </si>
  <si>
    <t>0                      DS 0127200K  5           1971</t>
  </si>
  <si>
    <t>The six-day war; prologue and aftermath [by] David Kimche and Dan Bawly.</t>
  </si>
  <si>
    <t>New York, Stein and Day [1971, c1968]</t>
  </si>
  <si>
    <t>___</t>
  </si>
  <si>
    <t>Stein and Day paperbacks</t>
  </si>
  <si>
    <t>867274873:eng</t>
  </si>
  <si>
    <t>1219745</t>
  </si>
  <si>
    <t>991003629309702656</t>
  </si>
  <si>
    <t>2271695860002656</t>
  </si>
  <si>
    <t>9780812813906</t>
  </si>
  <si>
    <t>32285000052976</t>
  </si>
  <si>
    <t>893240421</t>
  </si>
  <si>
    <t>DS127.6.N3 C74 2002</t>
  </si>
  <si>
    <t>0                      DS 0127600N  3                  C  74          2002</t>
  </si>
  <si>
    <t>The liberty incident : the 1967 Israeli attack on the U.S. Navy spy ship / A. Jay Cristol.</t>
  </si>
  <si>
    <t>Cristol, A. Jay, 1929-</t>
  </si>
  <si>
    <t>Washington, D.C. : Brassey's, c2002.</t>
  </si>
  <si>
    <t>2005-05-06</t>
  </si>
  <si>
    <t>2003-05-20</t>
  </si>
  <si>
    <t>1863039400:eng</t>
  </si>
  <si>
    <t>49249144</t>
  </si>
  <si>
    <t>991004055919702656</t>
  </si>
  <si>
    <t>2258351940002656</t>
  </si>
  <si>
    <t>9781574884142</t>
  </si>
  <si>
    <t>32285004747050</t>
  </si>
  <si>
    <t>893888262</t>
  </si>
  <si>
    <t>DS127.6.O3 H38 1981</t>
  </si>
  <si>
    <t>0                      DS 0127600O  3                  H  38          1981</t>
  </si>
  <si>
    <t>Palestinian self-determination : a study of the West Bank and Gaza Strip / Hassan bin Talal.</t>
  </si>
  <si>
    <t>Hassan bin Talal, Prince of Jordan</t>
  </si>
  <si>
    <t>New York : Quartet Books, 1981.</t>
  </si>
  <si>
    <t>1994-04-08</t>
  </si>
  <si>
    <t>29912409:eng</t>
  </si>
  <si>
    <t>7798284</t>
  </si>
  <si>
    <t>991005162759702656</t>
  </si>
  <si>
    <t>2262647520002656</t>
  </si>
  <si>
    <t>9780704323124</t>
  </si>
  <si>
    <t>32285000210228</t>
  </si>
  <si>
    <t>893263643</t>
  </si>
  <si>
    <t>DS127.6.O3 P35</t>
  </si>
  <si>
    <t>0                      DS 0127600O  3                  P  35</t>
  </si>
  <si>
    <t>A Palestinian agenda for the West Bank and Gaza / edited by Emile A. Nakhleh.</t>
  </si>
  <si>
    <t>Washington, D.C. : American Enterprise Institute for Public Policy Research, c1980.</t>
  </si>
  <si>
    <t>AEI studies ; 277</t>
  </si>
  <si>
    <t>21953382:eng</t>
  </si>
  <si>
    <t>6356294</t>
  </si>
  <si>
    <t>991004969309702656</t>
  </si>
  <si>
    <t>2255623010002656</t>
  </si>
  <si>
    <t>9780844733807</t>
  </si>
  <si>
    <t>32285000294107</t>
  </si>
  <si>
    <t>893719608</t>
  </si>
  <si>
    <t>DS127.85 .C5</t>
  </si>
  <si>
    <t>0                      DS 0127850C  5</t>
  </si>
  <si>
    <t>Conflict in the Middle East.</t>
  </si>
  <si>
    <t>Chace, James compiler.</t>
  </si>
  <si>
    <t>New York, H. W. Wilson, 1969.</t>
  </si>
  <si>
    <t>The Reference shelf, v. 40, no. 6</t>
  </si>
  <si>
    <t>1125551:eng</t>
  </si>
  <si>
    <t>2282</t>
  </si>
  <si>
    <t>991005434089702656</t>
  </si>
  <si>
    <t>2262802490002656</t>
  </si>
  <si>
    <t>32285002462769</t>
  </si>
  <si>
    <t>893412892</t>
  </si>
  <si>
    <t>DS128.1 .A64 1982</t>
  </si>
  <si>
    <t>0                      DS 0128100A  64          1982</t>
  </si>
  <si>
    <t>The Yom Kippur War / Peter Allen.</t>
  </si>
  <si>
    <t>Allen, Peter, 1937-</t>
  </si>
  <si>
    <t>New York : Scribner, c1982.</t>
  </si>
  <si>
    <t>2007-10-09</t>
  </si>
  <si>
    <t>30928400:eng</t>
  </si>
  <si>
    <t>8219316</t>
  </si>
  <si>
    <t>991005219399702656</t>
  </si>
  <si>
    <t>2255198180002656</t>
  </si>
  <si>
    <t>9780684174884</t>
  </si>
  <si>
    <t>32285000294123</t>
  </si>
  <si>
    <t>893625644</t>
  </si>
  <si>
    <t>DS128.1 .B66 2002</t>
  </si>
  <si>
    <t>0                      DS 0128100B  66          2002</t>
  </si>
  <si>
    <t>The two o'clock war : the 1973 Yom Kippur conflict and the airlift that saved Israel / Walter J. Boyne.</t>
  </si>
  <si>
    <t>Boyne, Walter J., 1929-</t>
  </si>
  <si>
    <t>New York : Thomas Dunne Books, 2002.</t>
  </si>
  <si>
    <t>2009-04-17</t>
  </si>
  <si>
    <t>676134:eng</t>
  </si>
  <si>
    <t>49626116</t>
  </si>
  <si>
    <t>991003911969702656</t>
  </si>
  <si>
    <t>2269076420002656</t>
  </si>
  <si>
    <t>9780312273033</t>
  </si>
  <si>
    <t>32285004659115</t>
  </si>
  <si>
    <t>893525419</t>
  </si>
  <si>
    <t>DS128.1 .I87</t>
  </si>
  <si>
    <t>0                      DS 0128100I  87</t>
  </si>
  <si>
    <t>Israel &amp; the Arabs : the October 1973 war / edited by Lester A. Sobel. Contributing editor: Hal Kosut.</t>
  </si>
  <si>
    <t>New York : Facts on File, inc., [1974]</t>
  </si>
  <si>
    <t>A Facts on File publication</t>
  </si>
  <si>
    <t>1995-05-23</t>
  </si>
  <si>
    <t>3943265668:eng</t>
  </si>
  <si>
    <t>1032348</t>
  </si>
  <si>
    <t>991003485249702656</t>
  </si>
  <si>
    <t>2268135960002656</t>
  </si>
  <si>
    <t>9780871961730</t>
  </si>
  <si>
    <t>32285002046620</t>
  </si>
  <si>
    <t>893511992</t>
  </si>
  <si>
    <t>DS128.1 .O2</t>
  </si>
  <si>
    <t>0                      DS 0128100O  2</t>
  </si>
  <si>
    <t>No victor, no vanquished : the Yom Kippur War / Edgar O'Ballance.</t>
  </si>
  <si>
    <t>San Rafael, Calif. : Presidio Press, c1978.</t>
  </si>
  <si>
    <t>2007-11-10</t>
  </si>
  <si>
    <t>548263:eng</t>
  </si>
  <si>
    <t>3842812</t>
  </si>
  <si>
    <t>991004524769702656</t>
  </si>
  <si>
    <t>2264429330002656</t>
  </si>
  <si>
    <t>9780891410171</t>
  </si>
  <si>
    <t>32285000294131</t>
  </si>
  <si>
    <t>893247677</t>
  </si>
  <si>
    <t>DS128.1 .Y55 1974</t>
  </si>
  <si>
    <t>0                      DS 0128100Y  55          1974</t>
  </si>
  <si>
    <t>The Yom Kippur war / by the insight team of the London Sunday times.</t>
  </si>
  <si>
    <t>Garden City, N.Y. : Doubleday, 1974.</t>
  </si>
  <si>
    <t>[1st ed. in the U.S.]</t>
  </si>
  <si>
    <t>8914067210:eng</t>
  </si>
  <si>
    <t>979159</t>
  </si>
  <si>
    <t>991003443009702656</t>
  </si>
  <si>
    <t>2261779750002656</t>
  </si>
  <si>
    <t>9780385067386</t>
  </si>
  <si>
    <t>32285000204072</t>
  </si>
  <si>
    <t>893604787</t>
  </si>
  <si>
    <t>DS128.1.A1 S45 1973</t>
  </si>
  <si>
    <t>0                      DS 0128100A  1                  S  45          1973</t>
  </si>
  <si>
    <t>The Yom Kippur War : Israel and the Jewish people / edited by Moshe Davis.</t>
  </si>
  <si>
    <t>Seminar on World Jewry and the Yom Kippur War (1973 : Jerusalem)</t>
  </si>
  <si>
    <t>[New York] : Arno Press, [1974]</t>
  </si>
  <si>
    <t>Publications of the Continuing Seminar on World Jewry ; vol. 1]</t>
  </si>
  <si>
    <t>1992-12-16</t>
  </si>
  <si>
    <t>864120836:eng</t>
  </si>
  <si>
    <t>1125798</t>
  </si>
  <si>
    <t>991003557029702656</t>
  </si>
  <si>
    <t>2268873370002656</t>
  </si>
  <si>
    <t>9780405061929</t>
  </si>
  <si>
    <t>32285001443091</t>
  </si>
  <si>
    <t>893793735</t>
  </si>
  <si>
    <t>DS128.152 .I8</t>
  </si>
  <si>
    <t>0                      DS 0128152I  8</t>
  </si>
  <si>
    <t>Facts &amp; documents on the treatment of prisoners of war, Yom Kippur War, Syrian Front / Ministry of Defence, Israel. --</t>
  </si>
  <si>
    <t>Israel. Miśrad ha-biṭaḥon.</t>
  </si>
  <si>
    <t>Jerusalem : [s.n.] 1977.</t>
  </si>
  <si>
    <t>19005450:eng</t>
  </si>
  <si>
    <t>4157859</t>
  </si>
  <si>
    <t>991004598319702656</t>
  </si>
  <si>
    <t>2255720120002656</t>
  </si>
  <si>
    <t>32285000294164</t>
  </si>
  <si>
    <t>893229533</t>
  </si>
  <si>
    <t>DS128.18 .G64 1976</t>
  </si>
  <si>
    <t>0                      DS 0128180G  64          1976</t>
  </si>
  <si>
    <t>The secret conversations of Henry Kissinger : step-by-step diplomacy in the Middle-East / by Matti Golan ; translated by Ruth Geyra Stern and Sol Stern.</t>
  </si>
  <si>
    <t>Golan, Matti.</t>
  </si>
  <si>
    <t>New York : Quadrangle/New York Times Book Co., c1976.</t>
  </si>
  <si>
    <t>836640776:eng</t>
  </si>
  <si>
    <t>2073972</t>
  </si>
  <si>
    <t>991004001329702656</t>
  </si>
  <si>
    <t>2255263060002656</t>
  </si>
  <si>
    <t>9780812906080</t>
  </si>
  <si>
    <t>32285000294172</t>
  </si>
  <si>
    <t>893234935</t>
  </si>
  <si>
    <t>DS128.183 .P42</t>
  </si>
  <si>
    <t>0                      DS 0128183P  42</t>
  </si>
  <si>
    <t>Peace-making in the Middle East / edited by Lester A. Sobel, contributing editor, Hal Kosut.</t>
  </si>
  <si>
    <t>New York : Facts on File Inc., c1980.</t>
  </si>
  <si>
    <t>Checkmark books</t>
  </si>
  <si>
    <t>350951862:eng</t>
  </si>
  <si>
    <t>6250905</t>
  </si>
  <si>
    <t>991004952019702656</t>
  </si>
  <si>
    <t>2265162920002656</t>
  </si>
  <si>
    <t>9780871962676</t>
  </si>
  <si>
    <t>32285000131846</t>
  </si>
  <si>
    <t>893242014</t>
  </si>
  <si>
    <t>DS128.2 .G67 2009</t>
  </si>
  <si>
    <t>0                      DS 0128200G  67          2009</t>
  </si>
  <si>
    <t>Saving Israel : how the Jewish people can win a war that may never end / Daniel Gordis.</t>
  </si>
  <si>
    <t>Gordis, Daniel.</t>
  </si>
  <si>
    <t>Hoboken, N.J. : John Wiley &amp; Sons, 2009.</t>
  </si>
  <si>
    <t>864051326:eng</t>
  </si>
  <si>
    <t>244177268</t>
  </si>
  <si>
    <t>991000222669702656</t>
  </si>
  <si>
    <t>2257645540002656</t>
  </si>
  <si>
    <t>9780470643907</t>
  </si>
  <si>
    <t>32285005606925</t>
  </si>
  <si>
    <t>893425537</t>
  </si>
  <si>
    <t>DS128.2 .Z45 2006</t>
  </si>
  <si>
    <t>0                      DS 0128200Z  45          2006</t>
  </si>
  <si>
    <t>Israel's unilaterialism : beyond Gaza / Robert Zelnick.</t>
  </si>
  <si>
    <t>Zelnick, Robert, 1940-</t>
  </si>
  <si>
    <t>Stanford, Calif. : Hoover Institution Press, Stanford University, c2006.</t>
  </si>
  <si>
    <t>Hoover Institution Press publication ; no. 550</t>
  </si>
  <si>
    <t>48462920:eng</t>
  </si>
  <si>
    <t>64510857</t>
  </si>
  <si>
    <t>991004954329702656</t>
  </si>
  <si>
    <t>2255964670002656</t>
  </si>
  <si>
    <t>9780817947729</t>
  </si>
  <si>
    <t>32285005235881</t>
  </si>
  <si>
    <t>893446476</t>
  </si>
  <si>
    <t>DS129 .A57 2002</t>
  </si>
  <si>
    <t>0                      DS 0129000A  57          2002</t>
  </si>
  <si>
    <t>The Keepers : an introduction to the history and culture of the Samaritans / Robert T. Anderson, Terry Giles.</t>
  </si>
  <si>
    <t>Anderson, Robert T., 1928-</t>
  </si>
  <si>
    <t>Peabody, Mass. : Hendrickson Publishers, c2002.</t>
  </si>
  <si>
    <t>2002-09-27</t>
  </si>
  <si>
    <t>2002-08-27</t>
  </si>
  <si>
    <t>1050444:eng</t>
  </si>
  <si>
    <t>48675606</t>
  </si>
  <si>
    <t>991003861869702656</t>
  </si>
  <si>
    <t>2261259720002656</t>
  </si>
  <si>
    <t>9781565635197</t>
  </si>
  <si>
    <t>32285004645189</t>
  </si>
  <si>
    <t>893900466</t>
  </si>
  <si>
    <t>DS129 .K54 1971</t>
  </si>
  <si>
    <t>0                      DS 0129000K  54          1971</t>
  </si>
  <si>
    <t>Garizim und Synagoge : Traditionsgeschichtl. Untersuchungen z. samaritan Religion d. aramäischen Periode.</t>
  </si>
  <si>
    <t>Kippenberg, Hans G. (Hans Gerhard)</t>
  </si>
  <si>
    <t>Berlin ; New York : de Gruyter, 1971.</t>
  </si>
  <si>
    <t>Religionsgeschichtliche Versuche und Vorarbeiten ; Bd. 30</t>
  </si>
  <si>
    <t>1992-05-18</t>
  </si>
  <si>
    <t>500513787:ger</t>
  </si>
  <si>
    <t>252304</t>
  </si>
  <si>
    <t>991001951129702656</t>
  </si>
  <si>
    <t>2270214240002656</t>
  </si>
  <si>
    <t>32285001111235</t>
  </si>
  <si>
    <t>893523011</t>
  </si>
  <si>
    <t>DS129 .M8 1968</t>
  </si>
  <si>
    <t>0                      DS 0129000M  8           1968</t>
  </si>
  <si>
    <t>The Samaritans, the earliest Jewish sect : their history, theology, and literature / Introd. by Abraham S. Halkin.</t>
  </si>
  <si>
    <t>Montgomery, James A. (James Alan), 1866-1949.</t>
  </si>
  <si>
    <t>New York : Ktav Pub. House, [1968]</t>
  </si>
  <si>
    <t>The Bohlen lectures, 1906</t>
  </si>
  <si>
    <t>9593957446:eng</t>
  </si>
  <si>
    <t>712670</t>
  </si>
  <si>
    <t>991003185959702656</t>
  </si>
  <si>
    <t>2256624460002656</t>
  </si>
  <si>
    <t>32285001111227</t>
  </si>
  <si>
    <t>893617076</t>
  </si>
  <si>
    <t>DS13 .G68 1997</t>
  </si>
  <si>
    <t>0                      DS 0013000G  68          1997</t>
  </si>
  <si>
    <t>Government policies and ethnic relations in Asia and the Pacific / editors, Michael E. Brown, Šumit Ganguly.</t>
  </si>
  <si>
    <t>Cambridge, Mass. : MIT Press, c1997.</t>
  </si>
  <si>
    <t>CSIA studies in international security</t>
  </si>
  <si>
    <t>1998-11-09</t>
  </si>
  <si>
    <t>603717:eng</t>
  </si>
  <si>
    <t>37141273</t>
  </si>
  <si>
    <t>991002822479702656</t>
  </si>
  <si>
    <t>2267680620002656</t>
  </si>
  <si>
    <t>9780262522458</t>
  </si>
  <si>
    <t>32285003486858</t>
  </si>
  <si>
    <t>893227322</t>
  </si>
  <si>
    <t>DS131 .G6 1974</t>
  </si>
  <si>
    <t>0                      DS 0131000G  6           1974</t>
  </si>
  <si>
    <t>The lost tribes a myth; suggestions towards rewriting Hebrew history. Prolegomenon by Morris Epstein.</t>
  </si>
  <si>
    <t>Godbey, Allen Howard, 1864-1948.</t>
  </si>
  <si>
    <t>New York, Ktav [1974]</t>
  </si>
  <si>
    <t>The Library of Biblical studies</t>
  </si>
  <si>
    <t>2003-12-18</t>
  </si>
  <si>
    <t>905480762:eng</t>
  </si>
  <si>
    <t>802721</t>
  </si>
  <si>
    <t>991003279759702656</t>
  </si>
  <si>
    <t>2270554570002656</t>
  </si>
  <si>
    <t>32285002462777</t>
  </si>
  <si>
    <t>893434839</t>
  </si>
  <si>
    <t>DS131 .P37 2002</t>
  </si>
  <si>
    <t>0                      DS 0131000P  37          2002</t>
  </si>
  <si>
    <t>The lost tribes of Israel : the history of a myth / Tudor Parfitt.</t>
  </si>
  <si>
    <t>Parfitt, Tudor.</t>
  </si>
  <si>
    <t>London : Weidenfeld &amp; Nicolson, 2002.</t>
  </si>
  <si>
    <t>2008-04-01</t>
  </si>
  <si>
    <t>2004-11-16</t>
  </si>
  <si>
    <t>671093:eng</t>
  </si>
  <si>
    <t>50054747</t>
  </si>
  <si>
    <t>991004421919702656</t>
  </si>
  <si>
    <t>2256902750002656</t>
  </si>
  <si>
    <t>9780297819349</t>
  </si>
  <si>
    <t>32285005010557</t>
  </si>
  <si>
    <t>893693933</t>
  </si>
  <si>
    <t>DS134 .J48 1992</t>
  </si>
  <si>
    <t>0                      DS 0134000J  48          1992</t>
  </si>
  <si>
    <t>Jews, Christians, and Muslims in the Mediterranean world after 1492 / edited by Alisa Meyuhas Ginio.</t>
  </si>
  <si>
    <t>London [England] ; Portland, OR : Cass, 1992.</t>
  </si>
  <si>
    <t>2000-01-21</t>
  </si>
  <si>
    <t>1996-07-10</t>
  </si>
  <si>
    <t>55582962:eng</t>
  </si>
  <si>
    <t>25746788</t>
  </si>
  <si>
    <t>991002023199702656</t>
  </si>
  <si>
    <t>2269672050002656</t>
  </si>
  <si>
    <t>9780714634920</t>
  </si>
  <si>
    <t>32285002211042</t>
  </si>
  <si>
    <t>893703581</t>
  </si>
  <si>
    <t>DS134 .L655 2010</t>
  </si>
  <si>
    <t>0                      DS 0134000L  655         2010</t>
  </si>
  <si>
    <t>Far from Zion : in search of a global Jewish community / Charles London.</t>
  </si>
  <si>
    <t>London, Charles, 1980-</t>
  </si>
  <si>
    <t>New York : Harper Perennial, 2010, c2009.</t>
  </si>
  <si>
    <t>1st Harper Perennial ed.</t>
  </si>
  <si>
    <t>2010-11-22</t>
  </si>
  <si>
    <t>189789357:eng</t>
  </si>
  <si>
    <t>526069012</t>
  </si>
  <si>
    <t>991000222699702656</t>
  </si>
  <si>
    <t>2272434470002656</t>
  </si>
  <si>
    <t>9780061561085</t>
  </si>
  <si>
    <t>32285005607279</t>
  </si>
  <si>
    <t>893345495</t>
  </si>
  <si>
    <t>DS134 .S22 1986</t>
  </si>
  <si>
    <t>0                      DS 0134000S  22          1986</t>
  </si>
  <si>
    <t>Diaspora : an inquiry into the contemporary Jewish world / Howard M. Sachar.</t>
  </si>
  <si>
    <t>New York : Harper &amp; Row, 1986.</t>
  </si>
  <si>
    <t>1997-04-01</t>
  </si>
  <si>
    <t>1989-10-23</t>
  </si>
  <si>
    <t>810949658:eng</t>
  </si>
  <si>
    <t>15144397</t>
  </si>
  <si>
    <t>991000996019702656</t>
  </si>
  <si>
    <t>2264624970002656</t>
  </si>
  <si>
    <t>9780060913472</t>
  </si>
  <si>
    <t>32285000002401</t>
  </si>
  <si>
    <t>893438781</t>
  </si>
  <si>
    <t>DS135.A68 S75 1991</t>
  </si>
  <si>
    <t>0                      DS 0135000A  68                 S  75          1991</t>
  </si>
  <si>
    <t>The Jews of Arab lands in modern times / Norman A. Stillman.</t>
  </si>
  <si>
    <t>Stillman, Norman A., 1945-</t>
  </si>
  <si>
    <t>Philadelphia : The Jewish Publication Society, 1991.</t>
  </si>
  <si>
    <t>1991-06-04</t>
  </si>
  <si>
    <t>720560:eng</t>
  </si>
  <si>
    <t>22421333</t>
  </si>
  <si>
    <t>991001775899702656</t>
  </si>
  <si>
    <t>2268826460002656</t>
  </si>
  <si>
    <t>9780827603707</t>
  </si>
  <si>
    <t>32285000592484</t>
  </si>
  <si>
    <t>893522833</t>
  </si>
  <si>
    <t>DS135.A92 V5213 1989</t>
  </si>
  <si>
    <t>0                      DS 0135000A  92                 V  5213        1989</t>
  </si>
  <si>
    <t>Vienna and the Jews, 1867-1938 : a cultural history / Steven Beller.</t>
  </si>
  <si>
    <t>Beller, Steven, 1958-</t>
  </si>
  <si>
    <t>2006-01-16</t>
  </si>
  <si>
    <t>17418615:eng</t>
  </si>
  <si>
    <t>18559264</t>
  </si>
  <si>
    <t>991001367049702656</t>
  </si>
  <si>
    <t>2260810050002656</t>
  </si>
  <si>
    <t>9780521351805</t>
  </si>
  <si>
    <t>32285000703271</t>
  </si>
  <si>
    <t>893778743</t>
  </si>
  <si>
    <t>DS135.B383 D84 2003</t>
  </si>
  <si>
    <t>0                      DS 0135000B  383                D  84          2003</t>
  </si>
  <si>
    <t>The Bielski brothers : the true story of three men who defied the Nazis, saved 1,200 Jews, and built a village in the forest / Peter Duffy.</t>
  </si>
  <si>
    <t>Duffy, Peter, 1969-</t>
  </si>
  <si>
    <t>New York : HarperCollins, c2003.</t>
  </si>
  <si>
    <t>2010-11-10</t>
  </si>
  <si>
    <t>2003-09-11</t>
  </si>
  <si>
    <t>1152807089:eng</t>
  </si>
  <si>
    <t>51518311</t>
  </si>
  <si>
    <t>991004114849702656</t>
  </si>
  <si>
    <t>2259879700002656</t>
  </si>
  <si>
    <t>9780066210742</t>
  </si>
  <si>
    <t>32285004782875</t>
  </si>
  <si>
    <t>893900815</t>
  </si>
  <si>
    <t>DS135.D4 L4 2000</t>
  </si>
  <si>
    <t>0                      DS 0135000D  4                  L  4           2000</t>
  </si>
  <si>
    <t>Darkness over Denmark : the Danish resistance and the rescue of the Jews / Ellen Levine.</t>
  </si>
  <si>
    <t>Levine, Ellen.</t>
  </si>
  <si>
    <t>New York : Holiday House, c2000.</t>
  </si>
  <si>
    <t>2008-12-16</t>
  </si>
  <si>
    <t>2001-06-06</t>
  </si>
  <si>
    <t>2801191:eng</t>
  </si>
  <si>
    <t>41142979</t>
  </si>
  <si>
    <t>991003545849702656</t>
  </si>
  <si>
    <t>2260660310002656</t>
  </si>
  <si>
    <t>9780823414475</t>
  </si>
  <si>
    <t>32285004325725</t>
  </si>
  <si>
    <t>893308619</t>
  </si>
  <si>
    <t>DS135.E4 P48</t>
  </si>
  <si>
    <t>0                      DS 0135000E  4                  P  48</t>
  </si>
  <si>
    <t>Legatio ad Gaium / Philonis Alexandrini. Edited with an introd., translation and commentary by E. Mary Smallwood.</t>
  </si>
  <si>
    <t>Philo, of Alexandria</t>
  </si>
  <si>
    <t>Leiden : E.J. Brill, 1961.</t>
  </si>
  <si>
    <t>gre</t>
  </si>
  <si>
    <t>2003-11-10</t>
  </si>
  <si>
    <t>1284790:eng</t>
  </si>
  <si>
    <t>12537166</t>
  </si>
  <si>
    <t>991000699629702656</t>
  </si>
  <si>
    <t>2263942880002656</t>
  </si>
  <si>
    <t>32285000294248</t>
  </si>
  <si>
    <t>893502724</t>
  </si>
  <si>
    <t>DS135.E5 F45 1999</t>
  </si>
  <si>
    <t>0                      DS 0135000E  5                  F  45          1999</t>
  </si>
  <si>
    <t>Anglo-Jewry in changing times : studies in diversity, 1840-1914 / Israel Finestein.</t>
  </si>
  <si>
    <t>Finestein, I.</t>
  </si>
  <si>
    <t>London; Portland, OR : Vallentine Mitchell, 1999.</t>
  </si>
  <si>
    <t>2000-12-20</t>
  </si>
  <si>
    <t>202150220:eng</t>
  </si>
  <si>
    <t>40135287</t>
  </si>
  <si>
    <t>991003340059702656</t>
  </si>
  <si>
    <t>2262597590002656</t>
  </si>
  <si>
    <t>9780853033547</t>
  </si>
  <si>
    <t>32285004278320</t>
  </si>
  <si>
    <t>893324005</t>
  </si>
  <si>
    <t>DS135.E75 B37 2002</t>
  </si>
  <si>
    <t>0                      DS 0135000E  75                 B  37          2002</t>
  </si>
  <si>
    <t>From tragedy to triumph : the politics behind the rescue of Ethiopian Jewry / Mitchell G. Bard.</t>
  </si>
  <si>
    <t>Bard, Mitchell Geoffrey, 1959-</t>
  </si>
  <si>
    <t>Westport, Conn. : Praeger, 2002.</t>
  </si>
  <si>
    <t>2002-09-25</t>
  </si>
  <si>
    <t>802653052:eng</t>
  </si>
  <si>
    <t>48579122</t>
  </si>
  <si>
    <t>991003878409702656</t>
  </si>
  <si>
    <t>2271920160002656</t>
  </si>
  <si>
    <t>9780275970000</t>
  </si>
  <si>
    <t>32285004649264</t>
  </si>
  <si>
    <t>893693248</t>
  </si>
  <si>
    <t>DS135.E75 B46 1993</t>
  </si>
  <si>
    <t>0                      DS 0135000E  75                 B  46          1993</t>
  </si>
  <si>
    <t>We the Black Jews / by Yosef A.A. ben-Jochannan.</t>
  </si>
  <si>
    <t>Ben-Jochannan, Yosef.</t>
  </si>
  <si>
    <t>Baltimore, MD : Black Classic Press, 1993.</t>
  </si>
  <si>
    <t>1995-04-26</t>
  </si>
  <si>
    <t>382514:eng</t>
  </si>
  <si>
    <t>28399509</t>
  </si>
  <si>
    <t>991002207739702656</t>
  </si>
  <si>
    <t>2261136350002656</t>
  </si>
  <si>
    <t>9780933121409</t>
  </si>
  <si>
    <t>32285002036431</t>
  </si>
  <si>
    <t>893703800</t>
  </si>
  <si>
    <t>DS135.E75 K35 1992</t>
  </si>
  <si>
    <t>0                      DS 0135000E  75                 K  35          1992</t>
  </si>
  <si>
    <t>The Beta Israel (Falasha) in Ethiopia : from earliest times to the twentieth century / Steven Kaplan.</t>
  </si>
  <si>
    <t>Kaplan, Steven.</t>
  </si>
  <si>
    <t>New York : New York University Press, c1992.</t>
  </si>
  <si>
    <t>1993-10-04</t>
  </si>
  <si>
    <t>799758864:eng</t>
  </si>
  <si>
    <t>25281848</t>
  </si>
  <si>
    <t>991001989649702656</t>
  </si>
  <si>
    <t>2256073620002656</t>
  </si>
  <si>
    <t>9780814746257</t>
  </si>
  <si>
    <t>32285001769388</t>
  </si>
  <si>
    <t>893785595</t>
  </si>
  <si>
    <t>DS135.E75 K47 1982</t>
  </si>
  <si>
    <t>0                      DS 0135000E  75                 K  47          1982</t>
  </si>
  <si>
    <t>The Falashas : the forgotten Jews of Ethiopia / David Kessler.</t>
  </si>
  <si>
    <t>Kessler, David.</t>
  </si>
  <si>
    <t>New York : African Pub. Co., 1982.</t>
  </si>
  <si>
    <t>3855367060:eng</t>
  </si>
  <si>
    <t>8171916</t>
  </si>
  <si>
    <t>991005214069702656</t>
  </si>
  <si>
    <t>2255510110002656</t>
  </si>
  <si>
    <t>9780841907911</t>
  </si>
  <si>
    <t>32285000294263</t>
  </si>
  <si>
    <t>893889869</t>
  </si>
  <si>
    <t>DS135.E75 Q57 1992</t>
  </si>
  <si>
    <t>0                      DS 0135000E  75                 Q  57          1992</t>
  </si>
  <si>
    <t>The evolution of the Ethiopian Jews : a history of the Beta Israel (Falasha) to 1920 / James Quirin.</t>
  </si>
  <si>
    <t>Quirin, James Arthur, 1943-</t>
  </si>
  <si>
    <t>Philadelphia : University of Pennsylvania Press, c1992.</t>
  </si>
  <si>
    <t>The Ethnohistory series</t>
  </si>
  <si>
    <t>43741567:eng</t>
  </si>
  <si>
    <t>25131131</t>
  </si>
  <si>
    <t>991001980569702656</t>
  </si>
  <si>
    <t>2271210390002656</t>
  </si>
  <si>
    <t>9780812231168</t>
  </si>
  <si>
    <t>32285001769644</t>
  </si>
  <si>
    <t>893232436</t>
  </si>
  <si>
    <t>DS135.E8 E5 1973</t>
  </si>
  <si>
    <t>0                      DS 0135000E  8                  E  5           1973</t>
  </si>
  <si>
    <t>The rise of the Jew in the Western World; a social and economic history of the Jewish people of Europe.</t>
  </si>
  <si>
    <t>Engelman, Uriah Zevi.</t>
  </si>
  <si>
    <t>New York, Arno Press, 1973 [c1944]</t>
  </si>
  <si>
    <t>The Jewish people: history, religion, literature</t>
  </si>
  <si>
    <t>2000-09-05</t>
  </si>
  <si>
    <t>906400969:eng</t>
  </si>
  <si>
    <t>662052</t>
  </si>
  <si>
    <t>991003116519702656</t>
  </si>
  <si>
    <t>2269586770002656</t>
  </si>
  <si>
    <t>9780405052606</t>
  </si>
  <si>
    <t>32285002462892</t>
  </si>
  <si>
    <t>893692415</t>
  </si>
  <si>
    <t>DS135.E8 I87 1985</t>
  </si>
  <si>
    <t>0                      DS 0135000E  8                  I  87          1985</t>
  </si>
  <si>
    <t>European Jewry in the Age of Mercantilism, 1550-1750 / Jonathan I. Israel.</t>
  </si>
  <si>
    <t>Israel, Jonathan I. (Jonathan Irvine), 1946-</t>
  </si>
  <si>
    <t>Oxford : Clarendon Press ; New York : Oxford University Press, 1985.</t>
  </si>
  <si>
    <t>4929963:eng</t>
  </si>
  <si>
    <t>12214677</t>
  </si>
  <si>
    <t>991000655439702656</t>
  </si>
  <si>
    <t>2266859310002656</t>
  </si>
  <si>
    <t>9780198219286</t>
  </si>
  <si>
    <t>32285000294271</t>
  </si>
  <si>
    <t>893515478</t>
  </si>
  <si>
    <t>DS135.E8 P447 2003</t>
  </si>
  <si>
    <t>0                      DS 0135000E  8                  P  447         2003</t>
  </si>
  <si>
    <t>The Jews of Eastern Europe / editors, Leonard J. Greenspoon, Ronald A. Simkins, Brian J. Horowitz.</t>
  </si>
  <si>
    <t>Philip M. and Ethel Klutznick Chair in Jewish Civilization. Symposium (16th : 2003 : Creighton University)</t>
  </si>
  <si>
    <t>Omaha, NE : Creighton University Press : Distributed by the University of Nebraska Press, c2005.</t>
  </si>
  <si>
    <t>2005-12-13</t>
  </si>
  <si>
    <t>350282960:eng</t>
  </si>
  <si>
    <t>61478789</t>
  </si>
  <si>
    <t>991004703449702656</t>
  </si>
  <si>
    <t>2271256330002656</t>
  </si>
  <si>
    <t>9781881871477</t>
  </si>
  <si>
    <t>32285005152292</t>
  </si>
  <si>
    <t>893338039</t>
  </si>
  <si>
    <t>DS135.E83 H5</t>
  </si>
  <si>
    <t>0                      DS 0135000E  83                 H  5</t>
  </si>
  <si>
    <t>The destruction of the European Jews.</t>
  </si>
  <si>
    <t>Hilberg, Raul, 1926-2007.</t>
  </si>
  <si>
    <t>Chicago, Quadrangle Books [1961]</t>
  </si>
  <si>
    <t>2008-03-27</t>
  </si>
  <si>
    <t>110919546:eng</t>
  </si>
  <si>
    <t>408733</t>
  </si>
  <si>
    <t>991002709809702656</t>
  </si>
  <si>
    <t>2264235750002656</t>
  </si>
  <si>
    <t>32285002462900</t>
  </si>
  <si>
    <t>893239400</t>
  </si>
  <si>
    <t>DS135.E83 K38 1997</t>
  </si>
  <si>
    <t>0                      DS 0135000E  83                 K  38          1997</t>
  </si>
  <si>
    <t>A hole in the heart of the world : being Jewish in Eastern Europe / Jonathan Kaufman.</t>
  </si>
  <si>
    <t>Kaufman, Jonathan.</t>
  </si>
  <si>
    <t>New York : Viking, 1997.</t>
  </si>
  <si>
    <t>1997-01-24</t>
  </si>
  <si>
    <t>372228834:eng</t>
  </si>
  <si>
    <t>34850081</t>
  </si>
  <si>
    <t>991002664999702656</t>
  </si>
  <si>
    <t>2264342970002656</t>
  </si>
  <si>
    <t>9780670867479</t>
  </si>
  <si>
    <t>32285002411030</t>
  </si>
  <si>
    <t>893886556</t>
  </si>
  <si>
    <t>DS135.E83 K8 1995</t>
  </si>
  <si>
    <t>0                      DS 0135000E  83                 K  8           1995</t>
  </si>
  <si>
    <t>A chosen few : the resurrection of European Jewry / Mark Kurlansky.</t>
  </si>
  <si>
    <t>Kurlansky, Mark.</t>
  </si>
  <si>
    <t>Reading, Mass. : Addison-Wesley Pub. Co., c1995.</t>
  </si>
  <si>
    <t>2002-11-06</t>
  </si>
  <si>
    <t>17930961:eng</t>
  </si>
  <si>
    <t>30439106</t>
  </si>
  <si>
    <t>991002339189702656</t>
  </si>
  <si>
    <t>2269465010002656</t>
  </si>
  <si>
    <t>9780201608984</t>
  </si>
  <si>
    <t>32285002036282</t>
  </si>
  <si>
    <t>893238920</t>
  </si>
  <si>
    <t>DS135.E83 R4 1961</t>
  </si>
  <si>
    <t>0                      DS 0135000E  83                 R  4           1961</t>
  </si>
  <si>
    <t>The final solution : the attempt to exterminate the Jews of Europe, 1939-1945 / Gerald Reitlinger.</t>
  </si>
  <si>
    <t>Reitlinger, Gerald, 1900-1979.</t>
  </si>
  <si>
    <t>New York : A.S. Barnes, 1961.</t>
  </si>
  <si>
    <t>Perpetua ed.</t>
  </si>
  <si>
    <t>Perpetua book ; P-4021</t>
  </si>
  <si>
    <t>2008-06-24</t>
  </si>
  <si>
    <t>2003-02-12</t>
  </si>
  <si>
    <t>377400719:eng</t>
  </si>
  <si>
    <t>410743</t>
  </si>
  <si>
    <t>991003994779702656</t>
  </si>
  <si>
    <t>2262577560002656</t>
  </si>
  <si>
    <t>32285005446744</t>
  </si>
  <si>
    <t>893499973</t>
  </si>
  <si>
    <t>DS135.F83 A87 1995</t>
  </si>
  <si>
    <t>0                      DS 0135000F  83                 A  87          1995</t>
  </si>
  <si>
    <t>Auschwitz and after : race, culture, and "the Jewish question" in France / edited by Lawrence D. Kritzman.</t>
  </si>
  <si>
    <t>New York : Routledge, 1995.</t>
  </si>
  <si>
    <t>2008-10-08</t>
  </si>
  <si>
    <t>1996-06-06</t>
  </si>
  <si>
    <t>809527712:eng</t>
  </si>
  <si>
    <t>30733539</t>
  </si>
  <si>
    <t>991002362379702656</t>
  </si>
  <si>
    <t>2265137010002656</t>
  </si>
  <si>
    <t>9780415904407</t>
  </si>
  <si>
    <t>32285005462550</t>
  </si>
  <si>
    <t>893792367</t>
  </si>
  <si>
    <t>DS135.F83 H95</t>
  </si>
  <si>
    <t>0                      DS 0135000F  83                 H  95</t>
  </si>
  <si>
    <t>From Dreyfus to Vichy : the remaking of French Jewry, 1906-1939 / Paula Hyman.</t>
  </si>
  <si>
    <t>Hyman, Paula, 1946-2011.</t>
  </si>
  <si>
    <t>New York : Columbia University Press, 1979.</t>
  </si>
  <si>
    <t>1994-07-18</t>
  </si>
  <si>
    <t>420224:eng</t>
  </si>
  <si>
    <t>5027487</t>
  </si>
  <si>
    <t>991004764689702656</t>
  </si>
  <si>
    <t>2270170040002656</t>
  </si>
  <si>
    <t>9780231047227</t>
  </si>
  <si>
    <t>32285000294305</t>
  </si>
  <si>
    <t>893625092</t>
  </si>
  <si>
    <t>DS135.F83 Z83 1993</t>
  </si>
  <si>
    <t>0                      DS 0135000F  83                 Z  83          1993</t>
  </si>
  <si>
    <t>The Holocaust, the French, and the Jews / Susan Zuccotti.</t>
  </si>
  <si>
    <t>Zuccotti, Susan, 1940-</t>
  </si>
  <si>
    <t>New York, NY : BasicBooks, c1993.</t>
  </si>
  <si>
    <t>1994-03-11</t>
  </si>
  <si>
    <t>339900:eng</t>
  </si>
  <si>
    <t>27035183</t>
  </si>
  <si>
    <t>991002108849702656</t>
  </si>
  <si>
    <t>2270308000002656</t>
  </si>
  <si>
    <t>9780465030347</t>
  </si>
  <si>
    <t>32285001844736</t>
  </si>
  <si>
    <t>893785734</t>
  </si>
  <si>
    <t>DS135.F85 N675 1998</t>
  </si>
  <si>
    <t>0                      DS 0135000F  85                 N  675         1998</t>
  </si>
  <si>
    <t>The Jews in medieval Normandy : a social and intellectual history / Norman Golb.</t>
  </si>
  <si>
    <t>Golb, Norman.</t>
  </si>
  <si>
    <t>New York : Cambridge University Press, 1998.</t>
  </si>
  <si>
    <t>1999-10-18</t>
  </si>
  <si>
    <t>784457421:eng</t>
  </si>
  <si>
    <t>36461619</t>
  </si>
  <si>
    <t>991002776639702656</t>
  </si>
  <si>
    <t>2258954990002656</t>
  </si>
  <si>
    <t>9780521580328</t>
  </si>
  <si>
    <t>32285003611190</t>
  </si>
  <si>
    <t>893511180</t>
  </si>
  <si>
    <t>DS135.F85 P24313 1987</t>
  </si>
  <si>
    <t>0                      DS 0135000F  85                 P  24313       1987</t>
  </si>
  <si>
    <t>The Jews of Paris and the final solution : communal response and internal conflicts, 1940-1944 / Jacques Adler.</t>
  </si>
  <si>
    <t>Adler, Jacques, 1927-</t>
  </si>
  <si>
    <t>New York : Oxford University Press, 1987, c1985.</t>
  </si>
  <si>
    <t>Studies in Jewish history</t>
  </si>
  <si>
    <t>2003-02-13</t>
  </si>
  <si>
    <t>5427704:eng</t>
  </si>
  <si>
    <t>15016501</t>
  </si>
  <si>
    <t>991003995309702656</t>
  </si>
  <si>
    <t>2264344060002656</t>
  </si>
  <si>
    <t>9780195043051</t>
  </si>
  <si>
    <t>32285004698816</t>
  </si>
  <si>
    <t>893794358</t>
  </si>
  <si>
    <t>DS135.F9 F74513</t>
  </si>
  <si>
    <t>0                      DS 0135000F  9                  F  74513</t>
  </si>
  <si>
    <t>When memory comes / Saul Friedländer ; translated from the French by Helen R. Lane.</t>
  </si>
  <si>
    <t>Friedländer, Saul, 1932-</t>
  </si>
  <si>
    <t>New York : Farrar, Straus, Giroux, [1979]</t>
  </si>
  <si>
    <t>2006-10-31</t>
  </si>
  <si>
    <t>1080177085:eng</t>
  </si>
  <si>
    <t>4857796</t>
  </si>
  <si>
    <t>991004736379702656</t>
  </si>
  <si>
    <t>2266687960002656</t>
  </si>
  <si>
    <t>9780374288983</t>
  </si>
  <si>
    <t>32285000294347</t>
  </si>
  <si>
    <t>893619025</t>
  </si>
  <si>
    <t>DS135.G3 G38 2003</t>
  </si>
  <si>
    <t>0                      DS 0135000G  3                  G  38          2003</t>
  </si>
  <si>
    <t>Geschichte des jüdischen Alltags in Deutschland : vom 17. Jahrhundert bis 1945 / herausgegeben im Auftrag des Leo Baeck Instituts von Marion Kaplan ; mit Beiträgen von Marion Kaplan ... [et al.] ; übersetzt aus dem Englischen von Friedrich Griese, Georgia Hanenberg und Alice Jakubeit.</t>
  </si>
  <si>
    <t>München : Beck, 2003.</t>
  </si>
  <si>
    <t>2003-09-24</t>
  </si>
  <si>
    <t>478624542:ger</t>
  </si>
  <si>
    <t>52048365</t>
  </si>
  <si>
    <t>991004133719702656</t>
  </si>
  <si>
    <t>2272275210002656</t>
  </si>
  <si>
    <t>9783406502057</t>
  </si>
  <si>
    <t>32285004784780</t>
  </si>
  <si>
    <t>893894599</t>
  </si>
  <si>
    <t>DS135.G3 G5313 1998</t>
  </si>
  <si>
    <t>0                      DS 0135000G  3                  G  5313        1998</t>
  </si>
  <si>
    <t>Jews in Germany from Roman times to the Weimar Republic / Nachum T. Gidal ; with a preface by Marion Greafin Deonhoff.</t>
  </si>
  <si>
    <t>Gidal, Tim, 1909-1996.</t>
  </si>
  <si>
    <t>Keoln : Keonemann, c1998.</t>
  </si>
  <si>
    <t>English language ed.</t>
  </si>
  <si>
    <t>2006-01-30</t>
  </si>
  <si>
    <t>2004-09-14</t>
  </si>
  <si>
    <t>4714750835:eng</t>
  </si>
  <si>
    <t>40478319</t>
  </si>
  <si>
    <t>991004370209702656</t>
  </si>
  <si>
    <t>2262906960002656</t>
  </si>
  <si>
    <t>9783829004916</t>
  </si>
  <si>
    <t>32285004986914</t>
  </si>
  <si>
    <t>893247514</t>
  </si>
  <si>
    <t>DS135.G3 W53 1975</t>
  </si>
  <si>
    <t>0                      DS 0135000G  3                  W  53          1975</t>
  </si>
  <si>
    <t>German Jewry : its history, life, and culture / [edited by Ilse R. Wolff].</t>
  </si>
  <si>
    <t>Wiener Library.</t>
  </si>
  <si>
    <t>Westport, Conn. : Greenwood Press, 1975.</t>
  </si>
  <si>
    <t>1998-02-02</t>
  </si>
  <si>
    <t>3754885136:eng</t>
  </si>
  <si>
    <t>1530668</t>
  </si>
  <si>
    <t>991003805929702656</t>
  </si>
  <si>
    <t>2269694950002656</t>
  </si>
  <si>
    <t>9780837182926</t>
  </si>
  <si>
    <t>32285002463205</t>
  </si>
  <si>
    <t>893343041</t>
  </si>
  <si>
    <t>DS135.G32 J49 2005</t>
  </si>
  <si>
    <t>0                      DS 0135000G  32                 J  49          2005</t>
  </si>
  <si>
    <t>Jewish daily life in Germany, 1618-1945 / edited by Marion A. Kaplan.</t>
  </si>
  <si>
    <t>Oxford ; New York : Oxford University Press, 2005.</t>
  </si>
  <si>
    <t>2007-02-15</t>
  </si>
  <si>
    <t>1078401389:eng</t>
  </si>
  <si>
    <t>54046409</t>
  </si>
  <si>
    <t>991005030949702656</t>
  </si>
  <si>
    <t>2259485350002656</t>
  </si>
  <si>
    <t>9780195171648</t>
  </si>
  <si>
    <t>32285005277263</t>
  </si>
  <si>
    <t>893242094</t>
  </si>
  <si>
    <t>DS135.G33 C32</t>
  </si>
  <si>
    <t>0                      DS 0135000G  33                 C  32</t>
  </si>
  <si>
    <t>Karl Marx and the radical critique of Judaism / Julius Carlebach.</t>
  </si>
  <si>
    <t>Carlebach, Julius.</t>
  </si>
  <si>
    <t>London ; Boston : Routledge and Kegan Paul, 1978.</t>
  </si>
  <si>
    <t>The Littman library of Jewish civilization</t>
  </si>
  <si>
    <t>2000-04-25</t>
  </si>
  <si>
    <t>13925777:eng</t>
  </si>
  <si>
    <t>4064723</t>
  </si>
  <si>
    <t>991004582029702656</t>
  </si>
  <si>
    <t>2265527290002656</t>
  </si>
  <si>
    <t>9780710082794</t>
  </si>
  <si>
    <t>32285000294388</t>
  </si>
  <si>
    <t>893628243</t>
  </si>
  <si>
    <t>DS135.G33 E54 1998x</t>
  </si>
  <si>
    <t>0                      DS 0135000G  33                 E  54          1998x</t>
  </si>
  <si>
    <t>Deutschland ohne Juden : eine Bilanz / Bernt Engelmann ; mit einem Nachwort von Carl Amery.</t>
  </si>
  <si>
    <t>Engelmann, Bernt, 1921-1994.</t>
  </si>
  <si>
    <t>Göttingen : Steidl, c1998.</t>
  </si>
  <si>
    <t>Rev. Fassung. der Ausg. von 1988.</t>
  </si>
  <si>
    <t>Stb ; 138</t>
  </si>
  <si>
    <t>2002-05-08</t>
  </si>
  <si>
    <t>2002-04-29</t>
  </si>
  <si>
    <t>9490337759:ger</t>
  </si>
  <si>
    <t>48939000</t>
  </si>
  <si>
    <t>991003770259702656</t>
  </si>
  <si>
    <t>2268118760002656</t>
  </si>
  <si>
    <t>9783882436600</t>
  </si>
  <si>
    <t>32285004483896</t>
  </si>
  <si>
    <t>893881518</t>
  </si>
  <si>
    <t>DS135.G33 G8</t>
  </si>
  <si>
    <t>0                      DS 0135000G  33                 G  8</t>
  </si>
  <si>
    <t>Prophets without honour : a background to Freud, Kafka, Einstein, and their world / Frederic V.Grunfeld.</t>
  </si>
  <si>
    <t>Grunfeld, Frederic V.</t>
  </si>
  <si>
    <t>New York : Holt, Rinehart and Winston, c1979.</t>
  </si>
  <si>
    <t>1998-07-13</t>
  </si>
  <si>
    <t>1990-06-05</t>
  </si>
  <si>
    <t>1151101785:eng</t>
  </si>
  <si>
    <t>4593801</t>
  </si>
  <si>
    <t>991004688859702656</t>
  </si>
  <si>
    <t>2271264210002656</t>
  </si>
  <si>
    <t>9780030178719</t>
  </si>
  <si>
    <t>32285000181650</t>
  </si>
  <si>
    <t>893319532</t>
  </si>
  <si>
    <t>DS135.G33 G8 1996</t>
  </si>
  <si>
    <t>0                      DS 0135000G  33                 G  8           1996</t>
  </si>
  <si>
    <t>Prophets without honour : Freud, Kafka, Einstein, and their world / Frederic V. Grunfeld ; with a new introduction by Michael Brenner.</t>
  </si>
  <si>
    <t>New York : Kodansha International, 1996.</t>
  </si>
  <si>
    <t>2002-08-22</t>
  </si>
  <si>
    <t>1996-06-07</t>
  </si>
  <si>
    <t>33405056</t>
  </si>
  <si>
    <t>991002570179702656</t>
  </si>
  <si>
    <t>2269236190002656</t>
  </si>
  <si>
    <t>9781568361079</t>
  </si>
  <si>
    <t>32285002189768</t>
  </si>
  <si>
    <t>893409252</t>
  </si>
  <si>
    <t>DS135.G33 H43 2002</t>
  </si>
  <si>
    <t>0                      DS 0135000G  33                 H  43          2002</t>
  </si>
  <si>
    <t>Germans, Jews and the claims of modernity / Jonathan M. Hess.</t>
  </si>
  <si>
    <t>Hess, Jonathan M., 1965-2018.</t>
  </si>
  <si>
    <t>New Haven : Yale University Press, c2002.</t>
  </si>
  <si>
    <t>2010-03-25</t>
  </si>
  <si>
    <t>2590688:eng</t>
  </si>
  <si>
    <t>50271417</t>
  </si>
  <si>
    <t>991004127659702656</t>
  </si>
  <si>
    <t>2263311870002656</t>
  </si>
  <si>
    <t>9780300097016</t>
  </si>
  <si>
    <t>32285004790084</t>
  </si>
  <si>
    <t>893337353</t>
  </si>
  <si>
    <t>DS135.G33 J75 1986</t>
  </si>
  <si>
    <t>0                      DS 0135000G  33                 J  75          1986</t>
  </si>
  <si>
    <t>Die Juden im nationalsozialistischen Deutschland = The Jews in Nazi Germany, 1933-1943 / herausgegeben von Arnold Paucker, mit Sylvia Gilchrist und Barbara Suchy ; mit einem Geleitwort von Fred Grubel und einer Einleitung von Peter Pulzer.</t>
  </si>
  <si>
    <t>Tübingen : J.C.B. Mohr, 1986.</t>
  </si>
  <si>
    <t>Schriftenreihe wissenschaftlicher Abhandlungen des Leo Baeck Instituts, 0459-097X ; 45</t>
  </si>
  <si>
    <t>1995-02-08</t>
  </si>
  <si>
    <t>1008475099:eng</t>
  </si>
  <si>
    <t>14990783</t>
  </si>
  <si>
    <t>991000974289702656</t>
  </si>
  <si>
    <t>2270672930002656</t>
  </si>
  <si>
    <t>9783167451038</t>
  </si>
  <si>
    <t>32285000294404</t>
  </si>
  <si>
    <t>893249857</t>
  </si>
  <si>
    <t>DS135.G33 J83213 1988</t>
  </si>
  <si>
    <t>0                      DS 0135000G  33                 J  83213       1988</t>
  </si>
  <si>
    <t>Between fear &amp; hope : Jewish youth in the Third Reich / Werner T. Angress ; translated by Werner T. Angress and Christine Granger.</t>
  </si>
  <si>
    <t>Angress, Werner T.</t>
  </si>
  <si>
    <t>2000-01-24</t>
  </si>
  <si>
    <t>1061532:eng</t>
  </si>
  <si>
    <t>17209751</t>
  </si>
  <si>
    <t>991001186349702656</t>
  </si>
  <si>
    <t>2259960040002656</t>
  </si>
  <si>
    <t>9780231065986</t>
  </si>
  <si>
    <t>32285000294412</t>
  </si>
  <si>
    <t>893690417</t>
  </si>
  <si>
    <t>DS135.G33 N44</t>
  </si>
  <si>
    <t>0                      DS 0135000G  33                 N  44</t>
  </si>
  <si>
    <t>The Jews in Weimar Germany / Donald L. Niewyk.</t>
  </si>
  <si>
    <t>Niewyk, Donald L., 1940-</t>
  </si>
  <si>
    <t>Baton Rouge : Louisiana State University Press, c1980.</t>
  </si>
  <si>
    <t>lau</t>
  </si>
  <si>
    <t>2004-04-20</t>
  </si>
  <si>
    <t>463732:eng</t>
  </si>
  <si>
    <t>5676981</t>
  </si>
  <si>
    <t>991004858139702656</t>
  </si>
  <si>
    <t>2260024540002656</t>
  </si>
  <si>
    <t>9780807106617</t>
  </si>
  <si>
    <t>32285000210236</t>
  </si>
  <si>
    <t>893513749</t>
  </si>
  <si>
    <t>DS135.G33 R33</t>
  </si>
  <si>
    <t>0                      DS 0135000G  33                 R  33</t>
  </si>
  <si>
    <t>Jewish responses to anti-Semitism in Germany, 1870-1914 : a study in the history of ideas / by Sanford Ragins.</t>
  </si>
  <si>
    <t>Ragins, Sanford.</t>
  </si>
  <si>
    <t>Cincinnati, Ohio : Hebrew Union College Press, 1980.</t>
  </si>
  <si>
    <t>Alumni series of the Hebrew Union College Press, 0192-2904</t>
  </si>
  <si>
    <t>1992-10-13</t>
  </si>
  <si>
    <t>21771132:eng</t>
  </si>
  <si>
    <t>6195036</t>
  </si>
  <si>
    <t>991004942499702656</t>
  </si>
  <si>
    <t>2265659800002656</t>
  </si>
  <si>
    <t>9780878201150</t>
  </si>
  <si>
    <t>32285000294446</t>
  </si>
  <si>
    <t>893713245</t>
  </si>
  <si>
    <t>DS135.G33 R433 1989</t>
  </si>
  <si>
    <t>0                      DS 0135000G  33                 R  433         1989</t>
  </si>
  <si>
    <t>Kristallnacht : the Nazi night of terror / Anthony Read and David Fisher.</t>
  </si>
  <si>
    <t>Read, Anthony.</t>
  </si>
  <si>
    <t>New York : Times Books, a division of Random House, 1989.</t>
  </si>
  <si>
    <t>2001-04-02</t>
  </si>
  <si>
    <t>1990-03-16</t>
  </si>
  <si>
    <t>3856322880:eng</t>
  </si>
  <si>
    <t>19811498</t>
  </si>
  <si>
    <t>991001502059702656</t>
  </si>
  <si>
    <t>2262576140002656</t>
  </si>
  <si>
    <t>9780812917239</t>
  </si>
  <si>
    <t>32285000064062</t>
  </si>
  <si>
    <t>893778839</t>
  </si>
  <si>
    <t>DS135.G33 R53 2001</t>
  </si>
  <si>
    <t>0                      DS 0135000G  33                 R  53          2001</t>
  </si>
  <si>
    <t>The 'Jewish question' in German literature, 1749-1939 : emancipation and its discontents / Ritchie Robertson.</t>
  </si>
  <si>
    <t>Robertson, Ritchie.</t>
  </si>
  <si>
    <t>Oxford : Oxford University Press, 2001.</t>
  </si>
  <si>
    <t>2004-03-30</t>
  </si>
  <si>
    <t>806650027:eng</t>
  </si>
  <si>
    <t>47824746</t>
  </si>
  <si>
    <t>991004264559702656</t>
  </si>
  <si>
    <t>2262977420002656</t>
  </si>
  <si>
    <t>9780199248889</t>
  </si>
  <si>
    <t>32285004898077</t>
  </si>
  <si>
    <t>893869508</t>
  </si>
  <si>
    <t>DS135.G3315 G45 1990</t>
  </si>
  <si>
    <t>0                      DS 0135000G  3315               G  45          1990</t>
  </si>
  <si>
    <t>The Gestapo and German society : enforcing racial policy, 1933-1945 / Robert Gellately.</t>
  </si>
  <si>
    <t>Gellately, Robert, 1943-</t>
  </si>
  <si>
    <t>Oxford : Clarendon Press ; New York : Oxford University Press, 1990.</t>
  </si>
  <si>
    <t>2002-03-25</t>
  </si>
  <si>
    <t>1991-07-25</t>
  </si>
  <si>
    <t>808724494:eng</t>
  </si>
  <si>
    <t>20670549</t>
  </si>
  <si>
    <t>991001600889702656</t>
  </si>
  <si>
    <t>2259707200002656</t>
  </si>
  <si>
    <t>9780198228691</t>
  </si>
  <si>
    <t>32285000662121</t>
  </si>
  <si>
    <t>893315882</t>
  </si>
  <si>
    <t>DS135.G3315 K37 1998</t>
  </si>
  <si>
    <t>0                      DS 0135000G  3315               K  37          1998</t>
  </si>
  <si>
    <t>Between dignity and despair : Jewish life in Nazi Germany / Marion A. Kaplan.</t>
  </si>
  <si>
    <t>Kaplan, Marion A.</t>
  </si>
  <si>
    <t>1999-03-23</t>
  </si>
  <si>
    <t>1998-06-23</t>
  </si>
  <si>
    <t>796438317:eng</t>
  </si>
  <si>
    <t>38024075</t>
  </si>
  <si>
    <t>991002885609702656</t>
  </si>
  <si>
    <t>2261879660002656</t>
  </si>
  <si>
    <t>9780195115314</t>
  </si>
  <si>
    <t>32285003423125</t>
  </si>
  <si>
    <t>893610423</t>
  </si>
  <si>
    <t>DS135.G332 B3813 1997</t>
  </si>
  <si>
    <t>0                      DS 0135000G  332                B  3813        1997</t>
  </si>
  <si>
    <t>Kibbutz Buchenwald : survivors and pioneers / Judith Tydor Baumel.</t>
  </si>
  <si>
    <t>Baumel-Schwartz, Judith Tydor, 1959-</t>
  </si>
  <si>
    <t>New Brunswick, N.J. : Rutgers University Press, c1997.</t>
  </si>
  <si>
    <t>293391531:eng</t>
  </si>
  <si>
    <t>34598180</t>
  </si>
  <si>
    <t>991002643579702656</t>
  </si>
  <si>
    <t>2268711790002656</t>
  </si>
  <si>
    <t>9780813523361</t>
  </si>
  <si>
    <t>32285002477460</t>
  </si>
  <si>
    <t>893886524</t>
  </si>
  <si>
    <t>DS135.G332 F69 1999</t>
  </si>
  <si>
    <t>0                      DS 0135000G  332                F  69          1999</t>
  </si>
  <si>
    <t>Stated memory : East Germany and the Holocaust / Thomas C. Fox.</t>
  </si>
  <si>
    <t>Fox, Thomas C.</t>
  </si>
  <si>
    <t>Rochester, NY : Camden House, 1999.</t>
  </si>
  <si>
    <t>Studies in German literature, linguistics, and culture</t>
  </si>
  <si>
    <t>2003-05-12</t>
  </si>
  <si>
    <t>365019130:eng</t>
  </si>
  <si>
    <t>39505727</t>
  </si>
  <si>
    <t>991004011309702656</t>
  </si>
  <si>
    <t>2266100690002656</t>
  </si>
  <si>
    <t>9781571131294</t>
  </si>
  <si>
    <t>32285004745732</t>
  </si>
  <si>
    <t>893705905</t>
  </si>
  <si>
    <t>DS135.G332 G39 2005</t>
  </si>
  <si>
    <t>0                      DS 0135000G  332                G  39          2005</t>
  </si>
  <si>
    <t>Jews in post-Holocaust Germany, 1945-1953 / Jay Howard Geller.</t>
  </si>
  <si>
    <t>Geller, Jay Howard.</t>
  </si>
  <si>
    <t>Cambridge ; New York : Cambridge University Press, 2005.</t>
  </si>
  <si>
    <t>2006-11-04</t>
  </si>
  <si>
    <t>2005-05-23</t>
  </si>
  <si>
    <t>1026013:eng</t>
  </si>
  <si>
    <t>54544095</t>
  </si>
  <si>
    <t>991004548079702656</t>
  </si>
  <si>
    <t>2257441290002656</t>
  </si>
  <si>
    <t>9780521541268</t>
  </si>
  <si>
    <t>32285005039135</t>
  </si>
  <si>
    <t>893888860</t>
  </si>
  <si>
    <t>DS135.G332 L37 2002</t>
  </si>
  <si>
    <t>0                      DS 0135000G  332                L  37          2002</t>
  </si>
  <si>
    <t>New beginnings : Holocaust survivors in Bergen-Belsen and the British zone in Germany, 1945-1950 / Hagit Lavsky.</t>
  </si>
  <si>
    <t>Lavsky, Hagit.</t>
  </si>
  <si>
    <t>Detroit : Wayne State University Press, c2002.</t>
  </si>
  <si>
    <t>2003-12-05</t>
  </si>
  <si>
    <t>53506941:eng</t>
  </si>
  <si>
    <t>47803842</t>
  </si>
  <si>
    <t>991003878459702656</t>
  </si>
  <si>
    <t>2270731850002656</t>
  </si>
  <si>
    <t>9780814330098</t>
  </si>
  <si>
    <t>32285004649033</t>
  </si>
  <si>
    <t>893705730</t>
  </si>
  <si>
    <t>DS135.G4 B4654 2003</t>
  </si>
  <si>
    <t>0                      DS 0135000G  4                  B  4654        2003</t>
  </si>
  <si>
    <t>Exodus to Berlin : the return of the Jews to Germany / Peter Laufer.</t>
  </si>
  <si>
    <t>Laufer, Peter.</t>
  </si>
  <si>
    <t>Chicago : Ivan R. Dee, 2003.</t>
  </si>
  <si>
    <t>2003-09-30</t>
  </si>
  <si>
    <t>2003-09-15</t>
  </si>
  <si>
    <t>779070:eng</t>
  </si>
  <si>
    <t>51923276</t>
  </si>
  <si>
    <t>991004124529702656</t>
  </si>
  <si>
    <t>2260024910002656</t>
  </si>
  <si>
    <t>9781566635295</t>
  </si>
  <si>
    <t>32285004785837</t>
  </si>
  <si>
    <t>893331223</t>
  </si>
  <si>
    <t>DS135.G4 H45</t>
  </si>
  <si>
    <t>0                      DS 0135000G  4                  H  45</t>
  </si>
  <si>
    <t>NS-Verbrechen vor Gericht : 1945-1955 : Dokumente aus hess. Justizakten / [bearb. von] Klaus Moritz, Ernst Noam ; mit e. Nachwort von Richard Schmid.</t>
  </si>
  <si>
    <t>Wiesbaden : Komm. für d. Geschichte d. Juden in Hessen, 1978.</t>
  </si>
  <si>
    <t>Justiz und Judenverfolgung ; Bd. 2</t>
  </si>
  <si>
    <t>1994-04-15</t>
  </si>
  <si>
    <t>17615503:ger</t>
  </si>
  <si>
    <t>18470189</t>
  </si>
  <si>
    <t>991004793929702656</t>
  </si>
  <si>
    <t>2257725530002656</t>
  </si>
  <si>
    <t>32285000294495</t>
  </si>
  <si>
    <t>893876583</t>
  </si>
  <si>
    <t>DS135.G5 B333 1999</t>
  </si>
  <si>
    <t>0                      DS 0135000G  5                  B  333         1999</t>
  </si>
  <si>
    <t>An underground life : the memoirs of a gay Jew in Nazi Berlin / Gad Beck ; written with Frank Heibert ; translated from the German by Allison Brown.</t>
  </si>
  <si>
    <t>Beck, Gad, 1923-2012.</t>
  </si>
  <si>
    <t>Madison, Wis. : University of Wisconsin Press, c1999.</t>
  </si>
  <si>
    <t>Living out</t>
  </si>
  <si>
    <t>2008-05-07</t>
  </si>
  <si>
    <t>502571254:eng</t>
  </si>
  <si>
    <t>41308618</t>
  </si>
  <si>
    <t>991003328809702656</t>
  </si>
  <si>
    <t>2258151750002656</t>
  </si>
  <si>
    <t>9780299165000</t>
  </si>
  <si>
    <t>32285004270004</t>
  </si>
  <si>
    <t>893774630</t>
  </si>
  <si>
    <t>DS135.G5 F58455 2003</t>
  </si>
  <si>
    <t>0                      DS 0135000G  5                  F  58455       2003</t>
  </si>
  <si>
    <t>The hidden life of Otto Frank / Carol Ann Lee.</t>
  </si>
  <si>
    <t>Lee, Carol Ann.</t>
  </si>
  <si>
    <t>New York : William Morrow, c2003.</t>
  </si>
  <si>
    <t>2005-06-02</t>
  </si>
  <si>
    <t>2003-03-05</t>
  </si>
  <si>
    <t>648789:eng</t>
  </si>
  <si>
    <t>50906175</t>
  </si>
  <si>
    <t>991004006329702656</t>
  </si>
  <si>
    <t>2260096980002656</t>
  </si>
  <si>
    <t>9780060520823</t>
  </si>
  <si>
    <t>32285004682653</t>
  </si>
  <si>
    <t>893693408</t>
  </si>
  <si>
    <t>DS135.G5 K73 1999</t>
  </si>
  <si>
    <t>0                      DS 0135000G  5                  K  73          1999</t>
  </si>
  <si>
    <t>Die Familie Mosse : deutsch-jüdisches Bürgertum im 19. und 20. Jahrhundert / Elisabeth Kraus.</t>
  </si>
  <si>
    <t>Kraus, Elisabeth, 1956-</t>
  </si>
  <si>
    <t>München : C.H. Beck, c1999.</t>
  </si>
  <si>
    <t>475769349:ger</t>
  </si>
  <si>
    <t>42021664</t>
  </si>
  <si>
    <t>991004133669702656</t>
  </si>
  <si>
    <t>2264625050002656</t>
  </si>
  <si>
    <t>9783406446948</t>
  </si>
  <si>
    <t>32285004784806</t>
  </si>
  <si>
    <t>893788323</t>
  </si>
  <si>
    <t>DS135.G5 S76 1999</t>
  </si>
  <si>
    <t>0                      DS 0135000G  5                  S  76          1999</t>
  </si>
  <si>
    <t>In the eye of the storm : growing up Jewish in Germany, 1918-1943 : a memoir / Herbert A. Strauss.</t>
  </si>
  <si>
    <t>Strauss, Herbert Arthur.</t>
  </si>
  <si>
    <t>New York : Fordham University Press, 1999.</t>
  </si>
  <si>
    <t>2006-03-23</t>
  </si>
  <si>
    <t>2003-01-21</t>
  </si>
  <si>
    <t>6448774:eng</t>
  </si>
  <si>
    <t>41606204</t>
  </si>
  <si>
    <t>991003966759702656</t>
  </si>
  <si>
    <t>2258679530002656</t>
  </si>
  <si>
    <t>9780823219162</t>
  </si>
  <si>
    <t>32285004695150</t>
  </si>
  <si>
    <t>893800419</t>
  </si>
  <si>
    <t>DS135.H93 A163 2000</t>
  </si>
  <si>
    <t>0                      DS 0135000H  93                 A  163         2000</t>
  </si>
  <si>
    <t>In my brother's image : twin brothers separated by faith after the Holocaust / Eugene Pogany.</t>
  </si>
  <si>
    <t>Pogany, Eugene.</t>
  </si>
  <si>
    <t>New York, N.Y. : Viking, 2000.</t>
  </si>
  <si>
    <t>2001-10-30</t>
  </si>
  <si>
    <t>2001-08-22</t>
  </si>
  <si>
    <t>28208734:eng</t>
  </si>
  <si>
    <t>42780475</t>
  </si>
  <si>
    <t>991003584269702656</t>
  </si>
  <si>
    <t>2258507460002656</t>
  </si>
  <si>
    <t>9780670885381</t>
  </si>
  <si>
    <t>32285004379433</t>
  </si>
  <si>
    <t>893881325</t>
  </si>
  <si>
    <t>DS135.I713 A15 2009</t>
  </si>
  <si>
    <t>0                      DS 0135000I  713                A  15          2009</t>
  </si>
  <si>
    <t>Iraq's last Jews : stories of daily life, upheaval, and escape from modern Babylon / edited by Tamar Morad, Dennis Shasha, and Robert Shasha.</t>
  </si>
  <si>
    <t>New York : Palgrave Macmillan, 2009.</t>
  </si>
  <si>
    <t>1st Palgrave Macmillan pbk. ed.</t>
  </si>
  <si>
    <t>Palgrave studies in oral history</t>
  </si>
  <si>
    <t>801769631:eng</t>
  </si>
  <si>
    <t>222250018</t>
  </si>
  <si>
    <t>991005381219702656</t>
  </si>
  <si>
    <t>2262961630002656</t>
  </si>
  <si>
    <t>9780230618008</t>
  </si>
  <si>
    <t>32285005563761</t>
  </si>
  <si>
    <t>893339008</t>
  </si>
  <si>
    <t>DS135.I8 R6</t>
  </si>
  <si>
    <t>0                      DS 0135000I  8                  R  6</t>
  </si>
  <si>
    <t>The Jews of ancient Rome.</t>
  </si>
  <si>
    <t>Leon, Harry J. (Harry Joshua)</t>
  </si>
  <si>
    <t>Philadelphia : Jewish Publication Society of America, 1960.</t>
  </si>
  <si>
    <t>The Morris Loeb series</t>
  </si>
  <si>
    <t>1454920:eng</t>
  </si>
  <si>
    <t>410734</t>
  </si>
  <si>
    <t>991002713949702656</t>
  </si>
  <si>
    <t>2262560140002656</t>
  </si>
  <si>
    <t>32285001412369</t>
  </si>
  <si>
    <t>893886613</t>
  </si>
  <si>
    <t>DS135.I8 Z83 1987</t>
  </si>
  <si>
    <t>0                      DS 0135000I  8                  Z  83          1987</t>
  </si>
  <si>
    <t>The Italians and the Holocaust : persecution, rescue, and survival / Susan Zuccotti.</t>
  </si>
  <si>
    <t>New York : Basic Books, c1987.</t>
  </si>
  <si>
    <t>2008-10-06</t>
  </si>
  <si>
    <t>9073175:eng</t>
  </si>
  <si>
    <t>14588463</t>
  </si>
  <si>
    <t>991000947729702656</t>
  </si>
  <si>
    <t>2271557920002656</t>
  </si>
  <si>
    <t>9780465036226</t>
  </si>
  <si>
    <t>32285000294545</t>
  </si>
  <si>
    <t>893808883</t>
  </si>
  <si>
    <t>DS135.I8 Z87 2000</t>
  </si>
  <si>
    <t>0                      DS 0135000I  8                  Z  87          2000</t>
  </si>
  <si>
    <t>Under his very windows : the Vatican and the Holocaust in Italy / Susan Zuccotti.</t>
  </si>
  <si>
    <t>New Haven [Conn.] : Yale University Press, c2000.</t>
  </si>
  <si>
    <t>2008-11-26</t>
  </si>
  <si>
    <t>2001-02-06</t>
  </si>
  <si>
    <t>3856226687:eng</t>
  </si>
  <si>
    <t>44447046</t>
  </si>
  <si>
    <t>991003472779702656</t>
  </si>
  <si>
    <t>2269712130002656</t>
  </si>
  <si>
    <t>9780300084870</t>
  </si>
  <si>
    <t>32285004294061</t>
  </si>
  <si>
    <t>893799752</t>
  </si>
  <si>
    <t>DS135.I9 C288 1981</t>
  </si>
  <si>
    <t>0                      DS 0135000I  9                  C  288         1981</t>
  </si>
  <si>
    <t>From Spanish court to Italian ghetto : Isaac Cardoso : a study in seventeenth-century marranism and Jewish apologetics / Yosef Hayim Yerushalmi.</t>
  </si>
  <si>
    <t>Yerushalmi, Yosef Hayim, 1932-2009.</t>
  </si>
  <si>
    <t>Seattle : University of Washington Press, 1981.</t>
  </si>
  <si>
    <t>wau</t>
  </si>
  <si>
    <t>374637951:eng</t>
  </si>
  <si>
    <t>7169317</t>
  </si>
  <si>
    <t>991005079249702656</t>
  </si>
  <si>
    <t>2268687600002656</t>
  </si>
  <si>
    <t>9780295958248</t>
  </si>
  <si>
    <t>32285000294552</t>
  </si>
  <si>
    <t>893254429</t>
  </si>
  <si>
    <t>DS135.I9 M595 1998</t>
  </si>
  <si>
    <t>0                      DS 0135000I  9                  M  595         1998</t>
  </si>
  <si>
    <t>The kidnapping of Edgardo Mortara / David I. Kertzer.</t>
  </si>
  <si>
    <t>Kertzer, David I., 1948-</t>
  </si>
  <si>
    <t>New York : Vintage Books, 1998.</t>
  </si>
  <si>
    <t>1st Vintage Books ed.</t>
  </si>
  <si>
    <t>2000-11-08</t>
  </si>
  <si>
    <t>27552860:eng</t>
  </si>
  <si>
    <t>39543202</t>
  </si>
  <si>
    <t>991003280709702656</t>
  </si>
  <si>
    <t>2255721180002656</t>
  </si>
  <si>
    <t>9780679768173</t>
  </si>
  <si>
    <t>32285004264205</t>
  </si>
  <si>
    <t>893336327</t>
  </si>
  <si>
    <t>DS135.K8 S23 2008</t>
  </si>
  <si>
    <t>0                      DS 0135000K  8                  S  23          2008</t>
  </si>
  <si>
    <t>My father's paradise : a son's search for his Jewish past in Kurdish Iraq / Ariel Sabar.</t>
  </si>
  <si>
    <t>Sabar, Ariel.</t>
  </si>
  <si>
    <t>Chapel Hill, N.C. : Algonquin Books of Chapel Hill, 2008.</t>
  </si>
  <si>
    <t>2009-04-20</t>
  </si>
  <si>
    <t>10200554689:eng</t>
  </si>
  <si>
    <t>226356853</t>
  </si>
  <si>
    <t>991005311989702656</t>
  </si>
  <si>
    <t>2257114590002656</t>
  </si>
  <si>
    <t>9781565124905</t>
  </si>
  <si>
    <t>32285005516843</t>
  </si>
  <si>
    <t>893446732</t>
  </si>
  <si>
    <t>DS135.L4 K54 2001</t>
  </si>
  <si>
    <t>0                      DS 0135000L  4                  K  54          2001</t>
  </si>
  <si>
    <t>At the entrance to the Garden of Eden : a Jew's search for God with Christians and Muslims in the Holy Land / Yossi Klein Halevi.</t>
  </si>
  <si>
    <t>Klein Halevi, Yossi, 1953-</t>
  </si>
  <si>
    <t>New York, NY : W. Morrow, c2001</t>
  </si>
  <si>
    <t>2001-11-14</t>
  </si>
  <si>
    <t>979304:eng</t>
  </si>
  <si>
    <t>47961827</t>
  </si>
  <si>
    <t>991003651819702656</t>
  </si>
  <si>
    <t>2272495950002656</t>
  </si>
  <si>
    <t>9780688169084</t>
  </si>
  <si>
    <t>32285004410733</t>
  </si>
  <si>
    <t>893711610</t>
  </si>
  <si>
    <t>DS135.L52 E36 1998</t>
  </si>
  <si>
    <t>0                      DS 0135000L  52                 E  36          1998</t>
  </si>
  <si>
    <t>There once was a world : a nine-hundred-year chronicle of the shtetl of Eishyshok / Yaffa Eliach.</t>
  </si>
  <si>
    <t>Eliach, Yaffa.</t>
  </si>
  <si>
    <t>Boston : Little, Brown, c1998.</t>
  </si>
  <si>
    <t>2001-08-30</t>
  </si>
  <si>
    <t>793899555:eng</t>
  </si>
  <si>
    <t>37928476</t>
  </si>
  <si>
    <t>991003614119702656</t>
  </si>
  <si>
    <t>2270850200002656</t>
  </si>
  <si>
    <t>9780316232524</t>
  </si>
  <si>
    <t>32285004383559</t>
  </si>
  <si>
    <t>893318180</t>
  </si>
  <si>
    <t>DS135.L52 V554813 2002</t>
  </si>
  <si>
    <t>0                      DS 0135000L  52                 V  554813      2002</t>
  </si>
  <si>
    <t>The last days of the Jerusalem of Lithuania : chronicles from the Vilna ghetto and the camps, 1939-1944 / Herman Kruk ; edited and introduced by Benjamin Harshav ; translated by Barbara Harshav.</t>
  </si>
  <si>
    <t>Kruk, Herman, 1897-1944.</t>
  </si>
  <si>
    <t>New Haven : YIVO Institute for Jewish Research, c2002.</t>
  </si>
  <si>
    <t>2002-10-03</t>
  </si>
  <si>
    <t>2002-09-12</t>
  </si>
  <si>
    <t>4160187837:eng</t>
  </si>
  <si>
    <t>48773758</t>
  </si>
  <si>
    <t>991003886909702656</t>
  </si>
  <si>
    <t>2269970320002656</t>
  </si>
  <si>
    <t>9780300044942</t>
  </si>
  <si>
    <t>32285004651799</t>
  </si>
  <si>
    <t>893499829</t>
  </si>
  <si>
    <t>DS135.N4 F5413 2005</t>
  </si>
  <si>
    <t>0                      DS 0135000N  4                  F  5413        2005</t>
  </si>
  <si>
    <t>Saving the children : history of the organized effort to rescue Jewish children in the Netherlands, 1942-1945 / Bert Jan Flim ; abridgement by Jozien J. Driessen-van het Reve ; translated by Jeannette K. Ringold.</t>
  </si>
  <si>
    <t>Flim, Bert-Jan, 1957-</t>
  </si>
  <si>
    <t>Bethesda, Md. : CDL Press, c2005.</t>
  </si>
  <si>
    <t>Occasional publications of the Department of Near Eastern Studies and the Program of Jewish Studies, Cornell University ; [ no. 6]</t>
  </si>
  <si>
    <t>2010-10-12</t>
  </si>
  <si>
    <t>972846:eng</t>
  </si>
  <si>
    <t>56413552</t>
  </si>
  <si>
    <t>991000175809702656</t>
  </si>
  <si>
    <t>2270527290002656</t>
  </si>
  <si>
    <t>9781883053888</t>
  </si>
  <si>
    <t>32285005600555</t>
  </si>
  <si>
    <t>893808626</t>
  </si>
  <si>
    <t>DS135.N4 M664 1997</t>
  </si>
  <si>
    <t>0                      DS 0135000N  4                  M  664         1997</t>
  </si>
  <si>
    <t>Victims and survivors : the Nazi persecution of the Jews in the Netherlands, 1940-1945 / Bob Moore.</t>
  </si>
  <si>
    <t>Moore, Bob, 1954-</t>
  </si>
  <si>
    <t>London ; New York : Arnold, 1997.</t>
  </si>
  <si>
    <t>1998-11-18</t>
  </si>
  <si>
    <t>864594194:eng</t>
  </si>
  <si>
    <t>36292914</t>
  </si>
  <si>
    <t>991002765919702656</t>
  </si>
  <si>
    <t>2256987460002656</t>
  </si>
  <si>
    <t>9780340495636</t>
  </si>
  <si>
    <t>32285005446736</t>
  </si>
  <si>
    <t>893352508</t>
  </si>
  <si>
    <t>DS135.N6 L455 1996</t>
  </si>
  <si>
    <t>0                      DS 0135000N  6                  L  455         1996</t>
  </si>
  <si>
    <t>Faith at the brink : an autobiography of the formative years : including the epochal Holocaust period and historical perspectives / by Osher M. Lehmann.</t>
  </si>
  <si>
    <t>Lehmann, Osher M., 1933-</t>
  </si>
  <si>
    <t>Brooklyn, N.Y. : Lehmann Books : Distributed by Judaica Press, 1996.</t>
  </si>
  <si>
    <t>2006-11-20</t>
  </si>
  <si>
    <t>663127:eng</t>
  </si>
  <si>
    <t>35856865</t>
  </si>
  <si>
    <t>991004984039702656</t>
  </si>
  <si>
    <t>2270988460002656</t>
  </si>
  <si>
    <t>9780965309806</t>
  </si>
  <si>
    <t>32285005260806</t>
  </si>
  <si>
    <t>893807689</t>
  </si>
  <si>
    <t>DS135.N6 N4613 1999b</t>
  </si>
  <si>
    <t>0                      DS 0135000N  6                  N  4613        1999b</t>
  </si>
  <si>
    <t>Edith's story / Edith Velmans.</t>
  </si>
  <si>
    <t>Velmans-Van Hessen, Edith, 1925-</t>
  </si>
  <si>
    <t>New York : Soho, [1999?]</t>
  </si>
  <si>
    <t>2010-03-30</t>
  </si>
  <si>
    <t>1999-12-09</t>
  </si>
  <si>
    <t>4820874370:eng</t>
  </si>
  <si>
    <t>41096286</t>
  </si>
  <si>
    <t>991003019109702656</t>
  </si>
  <si>
    <t>2265494770002656</t>
  </si>
  <si>
    <t>9781569471784</t>
  </si>
  <si>
    <t>32285003631792</t>
  </si>
  <si>
    <t>893445508</t>
  </si>
  <si>
    <t>DS135.P6 D62</t>
  </si>
  <si>
    <t>0                      DS 0135000P  6                  D  62</t>
  </si>
  <si>
    <t>Image before my eyes : a photographic history of Jewish life in Poland, 1864-1939 / Lucjan Dobroszycki and Barbara Kirshenblatt-Gimblett.</t>
  </si>
  <si>
    <t>Dobroszycki, Lucjan.</t>
  </si>
  <si>
    <t>New York : Schocken Books, 1977.</t>
  </si>
  <si>
    <t>4535602929:eng</t>
  </si>
  <si>
    <t>3187396</t>
  </si>
  <si>
    <t>991004370379702656</t>
  </si>
  <si>
    <t>2260408570002656</t>
  </si>
  <si>
    <t>9780805236071</t>
  </si>
  <si>
    <t>32285001121242</t>
  </si>
  <si>
    <t>893526021</t>
  </si>
  <si>
    <t>DS135.P6 P54 1993</t>
  </si>
  <si>
    <t>0                      DS 0135000P  6                  P  54          1993</t>
  </si>
  <si>
    <t>Jews in Poland : a documentary history : the rise of Jews as a nation from Congressus Judaicus in Poland to the Knesset in Israel / by Iwo Cyprian Pogonowski.</t>
  </si>
  <si>
    <t>Pogonowski, Iwo Cyprian, 1921-2016.</t>
  </si>
  <si>
    <t>New York : Hippocrene Books, c1993.</t>
  </si>
  <si>
    <t>2005-10-06</t>
  </si>
  <si>
    <t>1993-07-14</t>
  </si>
  <si>
    <t>977353218:eng</t>
  </si>
  <si>
    <t>27186147</t>
  </si>
  <si>
    <t>991002121259702656</t>
  </si>
  <si>
    <t>2270449300002656</t>
  </si>
  <si>
    <t>32285001702801</t>
  </si>
  <si>
    <t>893716078</t>
  </si>
  <si>
    <t>DS135.P6 T29 1987</t>
  </si>
  <si>
    <t>0                      DS 0135000P  6                  T  29          1987</t>
  </si>
  <si>
    <t>When light pierced the darkness : Christian rescue of Jews in nazi-occupied Poland / Nechama Tec.</t>
  </si>
  <si>
    <t>Tec, Nechama.</t>
  </si>
  <si>
    <t>New York ; London : Oxford University Press, 1987, c1986.</t>
  </si>
  <si>
    <t>2001-07-17</t>
  </si>
  <si>
    <t>799229705:eng</t>
  </si>
  <si>
    <t>19065072</t>
  </si>
  <si>
    <t>991003505439702656</t>
  </si>
  <si>
    <t>2262255970002656</t>
  </si>
  <si>
    <t>9780195051940</t>
  </si>
  <si>
    <t>32285004333208</t>
  </si>
  <si>
    <t>893258488</t>
  </si>
  <si>
    <t>DS135.P62 K6789313 1998</t>
  </si>
  <si>
    <t>0                      DS 0135000P  62                 K  6789313     1998</t>
  </si>
  <si>
    <t>Dear God, have you ever gone hungry? : memoirs / by Joseph Bau ; translated from the Hebrew by Shlomo "Sam" Yurman.</t>
  </si>
  <si>
    <t>Baʼu, Yosef.</t>
  </si>
  <si>
    <t>New York : Arcade Pub. : Distributed by Little, Brown and Co., 1998.</t>
  </si>
  <si>
    <t>1st English-language ed.</t>
  </si>
  <si>
    <t>2002-03-01</t>
  </si>
  <si>
    <t>1998-09-24</t>
  </si>
  <si>
    <t>41570018:eng</t>
  </si>
  <si>
    <t>38909925</t>
  </si>
  <si>
    <t>991002927479702656</t>
  </si>
  <si>
    <t>2268124060002656</t>
  </si>
  <si>
    <t>9781559704311</t>
  </si>
  <si>
    <t>32285003471058</t>
  </si>
  <si>
    <t>893239682</t>
  </si>
  <si>
    <t>DS135.P62 L627 1984</t>
  </si>
  <si>
    <t>0                      DS 0135000P  62                 L  627         1984</t>
  </si>
  <si>
    <t>The Chronicle of the Łódź ghetto, 1941-1944 / edited by Lucjan Dobroszycki ; translated by Richard Lourie ... [et al.].</t>
  </si>
  <si>
    <t>New Haven : Yale University Press, c1984.</t>
  </si>
  <si>
    <t>[abridged ed.].</t>
  </si>
  <si>
    <t>1995-10-03</t>
  </si>
  <si>
    <t>54735484:eng</t>
  </si>
  <si>
    <t>10484216</t>
  </si>
  <si>
    <t>991000380059702656</t>
  </si>
  <si>
    <t>2259626220002656</t>
  </si>
  <si>
    <t>9780300032086</t>
  </si>
  <si>
    <t>32285000294586</t>
  </si>
  <si>
    <t>893339491</t>
  </si>
  <si>
    <t>DS135.P62 L6441354 1989</t>
  </si>
  <si>
    <t>0                      DS 0135000P  62                 L  6441354     1989</t>
  </si>
  <si>
    <t>Lodz ghetto : inside a community under siege / compiled and edited by Alan Adelson and Robert Lapides ; with an afterword by Geoffrey Hartman ; annotations and bibliographical notes by Marek Web.</t>
  </si>
  <si>
    <t>New York : Viking, 1989.</t>
  </si>
  <si>
    <t>1989-12-29</t>
  </si>
  <si>
    <t>836718118:eng</t>
  </si>
  <si>
    <t>20129994</t>
  </si>
  <si>
    <t>991001540559702656</t>
  </si>
  <si>
    <t>2264513950002656</t>
  </si>
  <si>
    <t>32285000025014</t>
  </si>
  <si>
    <t>893696815</t>
  </si>
  <si>
    <t>DS135.P62 L645313 2006</t>
  </si>
  <si>
    <t>0                      DS 0135000P  62                 L  645313      2006</t>
  </si>
  <si>
    <t>Loþdzþ Ghetto : a history / Isaiah Trunk ; translated and edited by Robert Moses Shapiro ; introduction by Israel Gutman.</t>
  </si>
  <si>
    <t>Trunk, Isaiah.</t>
  </si>
  <si>
    <t>Bloomington, Ind. : Indiana University Press, c2006.</t>
  </si>
  <si>
    <t>2007-04-12</t>
  </si>
  <si>
    <t>3856149968:eng</t>
  </si>
  <si>
    <t>65467748</t>
  </si>
  <si>
    <t>991005065849702656</t>
  </si>
  <si>
    <t>2259586380002656</t>
  </si>
  <si>
    <t>9780253347558</t>
  </si>
  <si>
    <t>32285005286439</t>
  </si>
  <si>
    <t>893248291</t>
  </si>
  <si>
    <t>DS135.P62 S56255 2001</t>
  </si>
  <si>
    <t>0                      DS 0135000P  62                 S  56255       2001</t>
  </si>
  <si>
    <t>Jews in Silesia / edited by Marcin Wodzi*nski and Janusz Spyra.</t>
  </si>
  <si>
    <t>Cracow : Ksi*eg. Akademicka ; [Wrocław] : University of Wrocław, Research Centre for the Culture and Languages of Polish Jews ; [*Ceský T*e*sín] : Muzeum T*e*sínska, 2001.</t>
  </si>
  <si>
    <t xml:space="preserve">pl </t>
  </si>
  <si>
    <t>2008-04-03</t>
  </si>
  <si>
    <t>116370905:eng</t>
  </si>
  <si>
    <t>49530109</t>
  </si>
  <si>
    <t>991004099509702656</t>
  </si>
  <si>
    <t>2268032090002656</t>
  </si>
  <si>
    <t>9788371884108</t>
  </si>
  <si>
    <t>32285004796073</t>
  </si>
  <si>
    <t>893605621</t>
  </si>
  <si>
    <t>DS135.P62 W2613</t>
  </si>
  <si>
    <t>0                      DS 0135000P  62                 W  2613</t>
  </si>
  <si>
    <t>The Warsaw diary of Adam Czerniakow : prelude to doom / edited by Raul Hilberg, Stanislaw Staron, and Josef Kermisz ; translated by Staron and the staff of Yad Vashem.</t>
  </si>
  <si>
    <t>Czerniaków, Adam, 1880-1942.</t>
  </si>
  <si>
    <t>New York : Stein and Day, 1979.</t>
  </si>
  <si>
    <t>1997-02-06</t>
  </si>
  <si>
    <t>138905940:eng</t>
  </si>
  <si>
    <t>3913266</t>
  </si>
  <si>
    <t>991004545429702656</t>
  </si>
  <si>
    <t>2258197830002656</t>
  </si>
  <si>
    <t>9780812825237</t>
  </si>
  <si>
    <t>32285000210269</t>
  </si>
  <si>
    <t>893618808</t>
  </si>
  <si>
    <t>DS135.P62 W264 1969</t>
  </si>
  <si>
    <t>0                      DS 0135000P  62                 W  264         1969</t>
  </si>
  <si>
    <t>Menschen im Ghetto / Günther Deschner ; mit einem Vorwort von Jean Améry.</t>
  </si>
  <si>
    <t>Deschner, Günther, 1941-</t>
  </si>
  <si>
    <t>[Gütersloh] : Bertelsmann Sachbuchverlag, [1969]</t>
  </si>
  <si>
    <t>1991-05-20</t>
  </si>
  <si>
    <t>24522977:ger</t>
  </si>
  <si>
    <t>6901393</t>
  </si>
  <si>
    <t>991005056709702656</t>
  </si>
  <si>
    <t>2263207600002656</t>
  </si>
  <si>
    <t>32285000574482</t>
  </si>
  <si>
    <t>893795536</t>
  </si>
  <si>
    <t>DS135.P62 W269 1993</t>
  </si>
  <si>
    <t>0                      DS 0135000P  62                 W  269         1993</t>
  </si>
  <si>
    <t>In the Warsaw Ghetto : summer 1941 / photographs by Willy Georg ; with passages from Warsaw Ghetto diaries compiled and with an afterword by Rafael F. Scharf.</t>
  </si>
  <si>
    <t>Georg, Willy.</t>
  </si>
  <si>
    <t>New York : Aperture, c1993.</t>
  </si>
  <si>
    <t>1993-08-19</t>
  </si>
  <si>
    <t>379131:eng</t>
  </si>
  <si>
    <t>27870949</t>
  </si>
  <si>
    <t>991002164179702656</t>
  </si>
  <si>
    <t>2261659160002656</t>
  </si>
  <si>
    <t>9780893815264</t>
  </si>
  <si>
    <t>32285001727527</t>
  </si>
  <si>
    <t>893709942</t>
  </si>
  <si>
    <t>DS135.P62 W2728 1994</t>
  </si>
  <si>
    <t>0                      DS 0135000P  62                 W  2728        1994</t>
  </si>
  <si>
    <t>Resistance : the Warsaw Ghetto uprising / Israel Gutman.</t>
  </si>
  <si>
    <t>Gutman, Israel.</t>
  </si>
  <si>
    <t>Boston : Houghton Mifflin, 1994.</t>
  </si>
  <si>
    <t>2010-09-24</t>
  </si>
  <si>
    <t>1994-07-25</t>
  </si>
  <si>
    <t>796264427:eng</t>
  </si>
  <si>
    <t>29548576</t>
  </si>
  <si>
    <t>991002277249702656</t>
  </si>
  <si>
    <t>2271015790002656</t>
  </si>
  <si>
    <t>9780395601990</t>
  </si>
  <si>
    <t>32285001933398</t>
  </si>
  <si>
    <t>893609680</t>
  </si>
  <si>
    <t>DS135.P63 B5467 1993</t>
  </si>
  <si>
    <t>0                      DS 0135000P  63                 B  5467        1993</t>
  </si>
  <si>
    <t>An eye for an eye / John Sack.</t>
  </si>
  <si>
    <t>Sack, John.</t>
  </si>
  <si>
    <t>1997-07-09</t>
  </si>
  <si>
    <t>20591583:eng</t>
  </si>
  <si>
    <t>28708318</t>
  </si>
  <si>
    <t>991002227369702656</t>
  </si>
  <si>
    <t>2256972540002656</t>
  </si>
  <si>
    <t>9780465042142</t>
  </si>
  <si>
    <t>32285002864659</t>
  </si>
  <si>
    <t>893898507</t>
  </si>
  <si>
    <t>DS135.R9 B28</t>
  </si>
  <si>
    <t>0                      DS 0135000R  9                  B  28</t>
  </si>
  <si>
    <t>The Russian Jew under tsars and soviets / by Salo W. Baron.</t>
  </si>
  <si>
    <t>Baron, Salo W. (Salo Wittmayer), 1895-1989.</t>
  </si>
  <si>
    <t>New York : Macmillan, [1964]</t>
  </si>
  <si>
    <t>Russian civilization series</t>
  </si>
  <si>
    <t>1998-02-26</t>
  </si>
  <si>
    <t>58121347:eng</t>
  </si>
  <si>
    <t>269307</t>
  </si>
  <si>
    <t>991002127249702656</t>
  </si>
  <si>
    <t>2267428690002656</t>
  </si>
  <si>
    <t>32285002463338</t>
  </si>
  <si>
    <t>893408724</t>
  </si>
  <si>
    <t>DS135.R9 B86 1978b</t>
  </si>
  <si>
    <t>0                      DS 0135000R  9                  B  86          1978b</t>
  </si>
  <si>
    <t>The Jewish intelligentsia and Russian Marxism : a sociological study of intellectual radicalism and ideological divergence / Robert J. Brym. --</t>
  </si>
  <si>
    <t>Brym, Robert J., 1951-</t>
  </si>
  <si>
    <t>New York : Schocken Books, 1978.</t>
  </si>
  <si>
    <t>1998-02-23</t>
  </si>
  <si>
    <t>858448437:eng</t>
  </si>
  <si>
    <t>3380486</t>
  </si>
  <si>
    <t>991004420829702656</t>
  </si>
  <si>
    <t>2272568710002656</t>
  </si>
  <si>
    <t>9780805236859</t>
  </si>
  <si>
    <t>32285000294602</t>
  </si>
  <si>
    <t>893807047</t>
  </si>
  <si>
    <t>DS135.R9 D2 1975</t>
  </si>
  <si>
    <t>0                      DS 0135000R  9                  D  2           1975</t>
  </si>
  <si>
    <t>Within the pale : the true story of anti-Semitic persecutions in Russia / by Michael Davitt.</t>
  </si>
  <si>
    <t>Davitt, Michael, 1846-1906.</t>
  </si>
  <si>
    <t>New York : Arno Press, 1975.</t>
  </si>
  <si>
    <t>The Modern Jewish experience</t>
  </si>
  <si>
    <t>1998-03-01</t>
  </si>
  <si>
    <t>1493271:eng</t>
  </si>
  <si>
    <t>1175947</t>
  </si>
  <si>
    <t>991003597369702656</t>
  </si>
  <si>
    <t>2271988510002656</t>
  </si>
  <si>
    <t>9780405067051</t>
  </si>
  <si>
    <t>32285002463346</t>
  </si>
  <si>
    <t>893617511</t>
  </si>
  <si>
    <t>DS135.R9 G46</t>
  </si>
  <si>
    <t>0                      DS 0135000R  9                  G  46</t>
  </si>
  <si>
    <t>The Jewish problem in the Soviet Union : analysis and solution.</t>
  </si>
  <si>
    <t>Goldberg, B. Z. (Ben Zion), 1895-</t>
  </si>
  <si>
    <t>New York : Crown Publishers, [1961]</t>
  </si>
  <si>
    <t>1990-11-30</t>
  </si>
  <si>
    <t>1444178:eng</t>
  </si>
  <si>
    <t>408696</t>
  </si>
  <si>
    <t>991002709749702656</t>
  </si>
  <si>
    <t>2264129480002656</t>
  </si>
  <si>
    <t>32285000410604</t>
  </si>
  <si>
    <t>893257614</t>
  </si>
  <si>
    <t>DS135.R9 J47 1972b</t>
  </si>
  <si>
    <t>0                      DS 0135000R  9                  J  47          1972b</t>
  </si>
  <si>
    <t>The Jews in Soviet Russia since 1917; edited by Lionel Kochan.</t>
  </si>
  <si>
    <t>London, New York, Oxford University Press for the Institute of Jewish Affairs, 1972.</t>
  </si>
  <si>
    <t>111727739:eng</t>
  </si>
  <si>
    <t>627104</t>
  </si>
  <si>
    <t>991003072939702656</t>
  </si>
  <si>
    <t>2257801140002656</t>
  </si>
  <si>
    <t>9780192151988</t>
  </si>
  <si>
    <t>32285002463361</t>
  </si>
  <si>
    <t>893342219</t>
  </si>
  <si>
    <t>DS135.R92 G5413</t>
  </si>
  <si>
    <t>0                      DS 0135000R  92                 G  5413</t>
  </si>
  <si>
    <t>The black years of Soviet Jewry, 1939-1953 [by] Yehoshua A. Gilboa. Translated from the Hebrew by Yosef Shachter and Dov Ben-Abba.</t>
  </si>
  <si>
    <t>Gilboa, Jehoshua A.</t>
  </si>
  <si>
    <t>Boston, Little, Brown [1971]</t>
  </si>
  <si>
    <t>2003-08-20</t>
  </si>
  <si>
    <t>1175371:eng</t>
  </si>
  <si>
    <t>152353</t>
  </si>
  <si>
    <t>991000883089702656</t>
  </si>
  <si>
    <t>2271851290002656</t>
  </si>
  <si>
    <t>32285002463379</t>
  </si>
  <si>
    <t>893620887</t>
  </si>
  <si>
    <t>DS135.R92 G88</t>
  </si>
  <si>
    <t>0                      DS 0135000R  92                 G  88</t>
  </si>
  <si>
    <t>National communism in the Soviet Union, 1918-1928 / by Baruch Gurevitz.</t>
  </si>
  <si>
    <t>Gurevitz, Baruch, 1945-</t>
  </si>
  <si>
    <t>Pittsburgh, PA : University Center for International Studies, 1980.</t>
  </si>
  <si>
    <t>UCIS series in Russian and East European studies ; 3</t>
  </si>
  <si>
    <t>1994-04-29</t>
  </si>
  <si>
    <t>21174224:eng</t>
  </si>
  <si>
    <t>6251072</t>
  </si>
  <si>
    <t>991004952109702656</t>
  </si>
  <si>
    <t>2262777180002656</t>
  </si>
  <si>
    <t>9780916002404</t>
  </si>
  <si>
    <t>32285000294628</t>
  </si>
  <si>
    <t>893443228</t>
  </si>
  <si>
    <t>DS135.R92 J468 1984</t>
  </si>
  <si>
    <t>0                      DS 0135000R  92                 J  468         1984</t>
  </si>
  <si>
    <t>Jews in Soviet culture / edited by Jack Miller.</t>
  </si>
  <si>
    <t>New Brunswick [N.J.], U.S.A. : Transaction Books, c1984.</t>
  </si>
  <si>
    <t>1998-02-25</t>
  </si>
  <si>
    <t>43454166:eng</t>
  </si>
  <si>
    <t>9893842</t>
  </si>
  <si>
    <t>991000274319702656</t>
  </si>
  <si>
    <t>2265654430002656</t>
  </si>
  <si>
    <t>9780878554959</t>
  </si>
  <si>
    <t>32285000294636</t>
  </si>
  <si>
    <t>893527935</t>
  </si>
  <si>
    <t>DS135.R93 B83 1990</t>
  </si>
  <si>
    <t>0                      DS 0135000R  93                 B  83          1990</t>
  </si>
  <si>
    <t>Alicia : my story / by Alicia Appleman-Jurman.</t>
  </si>
  <si>
    <t>Appleman-Jurman, Alicia.</t>
  </si>
  <si>
    <t>New York : Bantam Books, 1990, c1988.</t>
  </si>
  <si>
    <t>Bantam pbk. ed.</t>
  </si>
  <si>
    <t>2010-04-12</t>
  </si>
  <si>
    <t>433593903:eng</t>
  </si>
  <si>
    <t>20791477</t>
  </si>
  <si>
    <t>991003345649702656</t>
  </si>
  <si>
    <t>2265432490002656</t>
  </si>
  <si>
    <t>9780553282184</t>
  </si>
  <si>
    <t>32285004276324</t>
  </si>
  <si>
    <t>893721911</t>
  </si>
  <si>
    <t>DS135.S63 G67 1992</t>
  </si>
  <si>
    <t>0                      DS 0135000S  63                 G  67          1992</t>
  </si>
  <si>
    <t>Shared lives / Lyndall Gordon.</t>
  </si>
  <si>
    <t>Gordon, Lyndall.</t>
  </si>
  <si>
    <t>New York : Norton, 1992.</t>
  </si>
  <si>
    <t>1993-07-02</t>
  </si>
  <si>
    <t>1005871:eng</t>
  </si>
  <si>
    <t>25628486</t>
  </si>
  <si>
    <t>991002012369702656</t>
  </si>
  <si>
    <t>2263454650002656</t>
  </si>
  <si>
    <t>9780393031645</t>
  </si>
  <si>
    <t>32285001700755</t>
  </si>
  <si>
    <t>893609358</t>
  </si>
  <si>
    <t>DS135.S7 H5 v...</t>
  </si>
  <si>
    <t>0                      DS 0135000S  7                  H  5                                 v...</t>
  </si>
  <si>
    <t>Hispania Judaica : studies on the history, language, and literature of the Jews in the Hispanic world / edited by Josep M. Solà-Solé, Samuel G. Armistead, Joseph H. Silverman.</t>
  </si>
  <si>
    <t>Barcelona : Puvil, 1980-</t>
  </si>
  <si>
    <t xml:space="preserve">sp </t>
  </si>
  <si>
    <t>Biblioteca universitaria Puvill. 1, Estudios ; 2</t>
  </si>
  <si>
    <t>1994-12-09</t>
  </si>
  <si>
    <t>4918024605:eng</t>
  </si>
  <si>
    <t>8390040</t>
  </si>
  <si>
    <t>991005090729702656</t>
  </si>
  <si>
    <t>2260599250002656</t>
  </si>
  <si>
    <t>9788485202225</t>
  </si>
  <si>
    <t>32285000294693</t>
  </si>
  <si>
    <t>893594454</t>
  </si>
  <si>
    <t>DS135.S7 J8518 1993</t>
  </si>
  <si>
    <t>0                      DS 0135000S  7                  J  8518        1993</t>
  </si>
  <si>
    <t>Los judíos de España : historia de una diáspora, 1492-1992 / bajo la dirección de Henry Méchoulan ; prólogo de Edgar Morin.</t>
  </si>
  <si>
    <t>Juifs d'Éspagne. Spanish.</t>
  </si>
  <si>
    <t>Madrid : Editorial Trotta : Fundación Amigos de Sefarad : Sociedad Quinto Centenario, c1993.</t>
  </si>
  <si>
    <t>spa</t>
  </si>
  <si>
    <t>Colección Estructuras y procesos. p Serie historia</t>
  </si>
  <si>
    <t>2010-03-04</t>
  </si>
  <si>
    <t>32177422:spa</t>
  </si>
  <si>
    <t>30561134</t>
  </si>
  <si>
    <t>991005369249702656</t>
  </si>
  <si>
    <t>2268473670002656</t>
  </si>
  <si>
    <t>9788487699610</t>
  </si>
  <si>
    <t>32285005577050</t>
  </si>
  <si>
    <t>893625907</t>
  </si>
  <si>
    <t>DS135.S7 M33 1987</t>
  </si>
  <si>
    <t>0                      DS 0135000S  7                  M  33          1987</t>
  </si>
  <si>
    <t>España y los judíos en el siglo XX : la acción exterior / Antonio Marquina, Gloria Inés Ospina.</t>
  </si>
  <si>
    <t>Marquina Barrio, Antonio.</t>
  </si>
  <si>
    <t>Madrid : Espasa Calpe, c1987.</t>
  </si>
  <si>
    <t>Espasa-universidad ; 6</t>
  </si>
  <si>
    <t>2005-10-17</t>
  </si>
  <si>
    <t>196266540:spa</t>
  </si>
  <si>
    <t>18382676</t>
  </si>
  <si>
    <t>991001341179702656</t>
  </si>
  <si>
    <t>2259264670002656</t>
  </si>
  <si>
    <t>9788423965335</t>
  </si>
  <si>
    <t>32285000294701</t>
  </si>
  <si>
    <t>893321848</t>
  </si>
  <si>
    <t>DS135.S7 M485 2004</t>
  </si>
  <si>
    <t>0                      DS 0135000S  7                  M  485         2004</t>
  </si>
  <si>
    <t>A Jewish renaissance in fifteenth-century Spain / Mark D. Meyerson.</t>
  </si>
  <si>
    <t>Meyerson, Mark D.</t>
  </si>
  <si>
    <t>Princeton : Princeton University Press, c2004.</t>
  </si>
  <si>
    <t>Jews, Christians, and Muslims from the ancient to the modern world</t>
  </si>
  <si>
    <t>728005:eng</t>
  </si>
  <si>
    <t>52464748</t>
  </si>
  <si>
    <t>991005196089702656</t>
  </si>
  <si>
    <t>2255000240002656</t>
  </si>
  <si>
    <t>9780691117492</t>
  </si>
  <si>
    <t>32285005400006</t>
  </si>
  <si>
    <t>893533336</t>
  </si>
  <si>
    <t>DS135.S7 P398 2001</t>
  </si>
  <si>
    <t>0                      DS 0135000S  7                  P  398         2001</t>
  </si>
  <si>
    <t>Historia de una tragedia : la expulsión de los judíos de España / Joseph Pérez.</t>
  </si>
  <si>
    <t>Pérez, Joseph.</t>
  </si>
  <si>
    <t>Barcelona : Crítica, 2001.</t>
  </si>
  <si>
    <t>1. ed.</t>
  </si>
  <si>
    <t>Biblioteca de bolsillo / Crítica ; 66</t>
  </si>
  <si>
    <t>2864279511:spa</t>
  </si>
  <si>
    <t>51030007</t>
  </si>
  <si>
    <t>991005173529702656</t>
  </si>
  <si>
    <t>2272483830002656</t>
  </si>
  <si>
    <t>9788484321873</t>
  </si>
  <si>
    <t>32285005378814</t>
  </si>
  <si>
    <t>893870648</t>
  </si>
  <si>
    <t>DS135.S7 R38 2006</t>
  </si>
  <si>
    <t>0                      DS 0135000S  7                  R  38          2006</t>
  </si>
  <si>
    <t>The Sephardic frontier : the reconquista and the Jewish community in medieval Iberia / Jonathan Ray.</t>
  </si>
  <si>
    <t>Ray, Jonathan (Jonathan Stewart)</t>
  </si>
  <si>
    <t>Ithaca, N.Y. : Cornell University Press, 2006.</t>
  </si>
  <si>
    <t>Conjunctions of religion and power in the medieval past</t>
  </si>
  <si>
    <t>2006-07-19</t>
  </si>
  <si>
    <t>2006-06-12</t>
  </si>
  <si>
    <t>42721540:eng</t>
  </si>
  <si>
    <t>61451585</t>
  </si>
  <si>
    <t>991004789599702656</t>
  </si>
  <si>
    <t>2259269790002656</t>
  </si>
  <si>
    <t>9780801444012</t>
  </si>
  <si>
    <t>32285005190904</t>
  </si>
  <si>
    <t>893600231</t>
  </si>
  <si>
    <t>DS135.S75 T6 1969</t>
  </si>
  <si>
    <t>0                      DS 0135000S  75                 T  6           1969</t>
  </si>
  <si>
    <t>Judaizantes del arzobispado de Toledo habilitados por la inquisición en 1495 y 1497 / por Francisco Cantera Burgos con la colaboración de Pilar Leon Tello.</t>
  </si>
  <si>
    <t>Cantera Burgos, Francisco.</t>
  </si>
  <si>
    <t>Universidad de Madrid. Cátedra de Lengua Hebrea e Historia de los Judíos. Ayuda a la investigación [no.1]</t>
  </si>
  <si>
    <t>2002-03-13</t>
  </si>
  <si>
    <t>1370346:spa</t>
  </si>
  <si>
    <t>236398</t>
  </si>
  <si>
    <t>991001774739702656</t>
  </si>
  <si>
    <t>2257715350002656</t>
  </si>
  <si>
    <t>32285000294750</t>
  </si>
  <si>
    <t>893232248</t>
  </si>
  <si>
    <t>DS135.T8 G57 2005</t>
  </si>
  <si>
    <t>0                      DS 0135000T  8                  G  57          2005</t>
  </si>
  <si>
    <t>Jews and Arabs : a concise history of their social and cultural relations / S. D. Goitein ; introduction to the Dover edition by Mark R. Cohen.</t>
  </si>
  <si>
    <t>Mineola, N.Y. : Dover Publications, 2005.</t>
  </si>
  <si>
    <t>2009-07-14</t>
  </si>
  <si>
    <t>2009-06-23</t>
  </si>
  <si>
    <t>3945703110:eng</t>
  </si>
  <si>
    <t>57168660</t>
  </si>
  <si>
    <t>991005324039702656</t>
  </si>
  <si>
    <t>2271283140002656</t>
  </si>
  <si>
    <t>9780486439877</t>
  </si>
  <si>
    <t>32285005536171</t>
  </si>
  <si>
    <t>893501691</t>
  </si>
  <si>
    <t>DS135.T8 J49 1994</t>
  </si>
  <si>
    <t>0                      DS 0135000T  8                  J  49          1994</t>
  </si>
  <si>
    <t>The Jews of the Ottoman Empire / edited with an introduction by Avigdor Levy.</t>
  </si>
  <si>
    <t>Princeton, N.J. : Darwin Press ; Washington, D.C. : Institute of Turkish Studies, c1994.</t>
  </si>
  <si>
    <t>2006-04-21</t>
  </si>
  <si>
    <t>55554509:eng</t>
  </si>
  <si>
    <t>25283070</t>
  </si>
  <si>
    <t>991001991209702656</t>
  </si>
  <si>
    <t>2272516150002656</t>
  </si>
  <si>
    <t>9780878500901</t>
  </si>
  <si>
    <t>32285002112109</t>
  </si>
  <si>
    <t>893439650</t>
  </si>
  <si>
    <t>DS135.T8 T67 1991</t>
  </si>
  <si>
    <t>0                      DS 0135000T  8                  T  67          1991</t>
  </si>
  <si>
    <t>Jewish communities in Asia Minor / Paul R. Trebilco.</t>
  </si>
  <si>
    <t>Trebilco, Paul R.</t>
  </si>
  <si>
    <t>Cambridge [England] ; New York : Cambridge University Press, 1991.</t>
  </si>
  <si>
    <t>Monograph series (Society for New Testament Studies) ; 69</t>
  </si>
  <si>
    <t>2005-09-12</t>
  </si>
  <si>
    <t>1991-08-08</t>
  </si>
  <si>
    <t>23033274:eng</t>
  </si>
  <si>
    <t>21909414</t>
  </si>
  <si>
    <t>991001729499702656</t>
  </si>
  <si>
    <t>2269765080002656</t>
  </si>
  <si>
    <t>9780521401203</t>
  </si>
  <si>
    <t>32285000664648</t>
  </si>
  <si>
    <t>893503628</t>
  </si>
  <si>
    <t>DS140 .B3</t>
  </si>
  <si>
    <t>0                      DS 0140000B  3</t>
  </si>
  <si>
    <t>Kibbutz volunteer / John Bedford. --</t>
  </si>
  <si>
    <t>Bedford, John.</t>
  </si>
  <si>
    <t>Oxford, Eng. : Vacation Work, c1978.</t>
  </si>
  <si>
    <t>1992-03-12</t>
  </si>
  <si>
    <t>5875406:eng</t>
  </si>
  <si>
    <t>5076040</t>
  </si>
  <si>
    <t>991004644099702656</t>
  </si>
  <si>
    <t>2266711580002656</t>
  </si>
  <si>
    <t>32285000294800</t>
  </si>
  <si>
    <t>893776251</t>
  </si>
  <si>
    <t>DS140 .J475 2000</t>
  </si>
  <si>
    <t>0                      DS 0140000J  475         2000</t>
  </si>
  <si>
    <t>The Jewish political tradition / editors, Michael Walzer, Menachem Lorberbaum, Noam J. Zohar ; coeditor, Yair Lorberbaum.</t>
  </si>
  <si>
    <t>New Haven : Yale University Press, c2000-</t>
  </si>
  <si>
    <t>2000-10-18</t>
  </si>
  <si>
    <t>5613693264:eng</t>
  </si>
  <si>
    <t>42955407</t>
  </si>
  <si>
    <t>991003307759702656</t>
  </si>
  <si>
    <t>2267994980002656</t>
  </si>
  <si>
    <t>9780300078220</t>
  </si>
  <si>
    <t>32285003768412</t>
  </si>
  <si>
    <t>893904325</t>
  </si>
  <si>
    <t>DS140 .W57 2007</t>
  </si>
  <si>
    <t>0                      DS 0140000W  57          2007</t>
  </si>
  <si>
    <t>Jews and power / Ruth R. Wisse.</t>
  </si>
  <si>
    <t>Wisse, Ruth R.</t>
  </si>
  <si>
    <t>New York : Nextbook : Schocken, c2007.</t>
  </si>
  <si>
    <t>Jewish encounters</t>
  </si>
  <si>
    <t>2010-05-10</t>
  </si>
  <si>
    <t>9380953587:eng</t>
  </si>
  <si>
    <t>76820947</t>
  </si>
  <si>
    <t>991005390519702656</t>
  </si>
  <si>
    <t>2269103860002656</t>
  </si>
  <si>
    <t>9780805242249</t>
  </si>
  <si>
    <t>32285005581334</t>
  </si>
  <si>
    <t>893242676</t>
  </si>
  <si>
    <t>DS140.5 .S59 2004</t>
  </si>
  <si>
    <t>0                      DS 0140500S  59          2004</t>
  </si>
  <si>
    <t>The Jewish century / Yuri Slezkine.</t>
  </si>
  <si>
    <t>Slezkine, Yuri, 1956-</t>
  </si>
  <si>
    <t>1035173:eng</t>
  </si>
  <si>
    <t>54066336</t>
  </si>
  <si>
    <t>991000177409702656</t>
  </si>
  <si>
    <t>2268227340002656</t>
  </si>
  <si>
    <t>9780691119953</t>
  </si>
  <si>
    <t>32285005600860</t>
  </si>
  <si>
    <t>893527873</t>
  </si>
  <si>
    <t>DS141 .S65 1951</t>
  </si>
  <si>
    <t>0                      DS 0141000S  65          1951</t>
  </si>
  <si>
    <t>The Jews and modern capitalism; translated by M. Epstein, with an introd. to the American ed. by Bert F. Hoselitz.</t>
  </si>
  <si>
    <t>Sombart, Werner, 1863-1941.</t>
  </si>
  <si>
    <t>Glencoe, Ill., Free Press [1951]</t>
  </si>
  <si>
    <t>2004-03-23</t>
  </si>
  <si>
    <t>1011109376:eng</t>
  </si>
  <si>
    <t>1527069</t>
  </si>
  <si>
    <t>991003800329702656</t>
  </si>
  <si>
    <t>2257997280002656</t>
  </si>
  <si>
    <t>32285002463486</t>
  </si>
  <si>
    <t>893252800</t>
  </si>
  <si>
    <t>DS143 .B8 1996</t>
  </si>
  <si>
    <t>0                      DS 0143000B  8           1996</t>
  </si>
  <si>
    <t>Thinking in Jewish / Jonathan Boyarin.</t>
  </si>
  <si>
    <t>Boyarin, Jonathan.</t>
  </si>
  <si>
    <t>Chicago : University of Chicago Press, c1996.</t>
  </si>
  <si>
    <t>2002-04-14</t>
  </si>
  <si>
    <t>1996-08-14</t>
  </si>
  <si>
    <t>38805538:eng</t>
  </si>
  <si>
    <t>33861919</t>
  </si>
  <si>
    <t>991002582419702656</t>
  </si>
  <si>
    <t>2268837550002656</t>
  </si>
  <si>
    <t>9780226069265</t>
  </si>
  <si>
    <t>32285002290210</t>
  </si>
  <si>
    <t>893504567</t>
  </si>
  <si>
    <t>DS143 .H34 1989</t>
  </si>
  <si>
    <t>0                      DS 0143000H  34          1989</t>
  </si>
  <si>
    <t>Jewish identity : a social psychological perspective / Simon N. Herman ; with a foreword by Herbert C. Kelman and a new introduction by the author.</t>
  </si>
  <si>
    <t>Herman, Simon N., 1912-</t>
  </si>
  <si>
    <t>New Brunswick, N.J., U.S.A. : Transaction Pub., c1989.</t>
  </si>
  <si>
    <t>2003-04-16</t>
  </si>
  <si>
    <t>1990-01-16</t>
  </si>
  <si>
    <t>6701711:eng</t>
  </si>
  <si>
    <t>18381246</t>
  </si>
  <si>
    <t>991001339959702656</t>
  </si>
  <si>
    <t>2258556570002656</t>
  </si>
  <si>
    <t>9780887382567</t>
  </si>
  <si>
    <t>32285000028539</t>
  </si>
  <si>
    <t>893702942</t>
  </si>
  <si>
    <t>DS143 .L5</t>
  </si>
  <si>
    <t>0                      DS 0143000L  5</t>
  </si>
  <si>
    <t>What price Israel.</t>
  </si>
  <si>
    <t>Lilienthal, Alfred M.</t>
  </si>
  <si>
    <t>Chicago, H. Regnery Co., 1953.</t>
  </si>
  <si>
    <t>1392629:eng</t>
  </si>
  <si>
    <t>243372</t>
  </si>
  <si>
    <t>991001914519702656</t>
  </si>
  <si>
    <t>2270460060002656</t>
  </si>
  <si>
    <t>32285002463528</t>
  </si>
  <si>
    <t>893334714</t>
  </si>
  <si>
    <t>DS143 .R374 2009</t>
  </si>
  <si>
    <t>0                      DS 0143000R  374         2009</t>
  </si>
  <si>
    <t>Religion or ethnicity?: Jewish identities in evolution / edited by Zvi Gitelman.</t>
  </si>
  <si>
    <t>New Brunswick, N.J. : Rutgers University Press, c2009.</t>
  </si>
  <si>
    <t>2010-04-27</t>
  </si>
  <si>
    <t>793080627:eng</t>
  </si>
  <si>
    <t>223108144</t>
  </si>
  <si>
    <t>991005388559702656</t>
  </si>
  <si>
    <t>2267858100002656</t>
  </si>
  <si>
    <t>9780813544502</t>
  </si>
  <si>
    <t>32285005568018</t>
  </si>
  <si>
    <t>893714016</t>
  </si>
  <si>
    <t>DS143 .S2313 2009</t>
  </si>
  <si>
    <t>0                      DS 0143000S  2313        2009</t>
  </si>
  <si>
    <t>The invention of the Jewish people / Shlomo Sand ; translated by Yael Lotan.</t>
  </si>
  <si>
    <t>Sand, Shlomo.</t>
  </si>
  <si>
    <t>London ; New York : Verso, 2009.</t>
  </si>
  <si>
    <t>English ed.</t>
  </si>
  <si>
    <t>2010-05-25</t>
  </si>
  <si>
    <t>2010-02-16</t>
  </si>
  <si>
    <t>3772356286:eng</t>
  </si>
  <si>
    <t>317919518</t>
  </si>
  <si>
    <t>991005361679702656</t>
  </si>
  <si>
    <t>2265129380002656</t>
  </si>
  <si>
    <t>9781844674220</t>
  </si>
  <si>
    <t>32285005574040</t>
  </si>
  <si>
    <t>893351143</t>
  </si>
  <si>
    <t>DS145 .C464 2004</t>
  </si>
  <si>
    <t>0                      DS 0145000C  464         2004</t>
  </si>
  <si>
    <t>Antisemitism : a reference handbook / Jerome A. Chanes.</t>
  </si>
  <si>
    <t>Chanes, Jerome A.</t>
  </si>
  <si>
    <t>Santa Barbara, Calif. : ABC-CLIO, c2004.</t>
  </si>
  <si>
    <t>Contemporary world issues</t>
  </si>
  <si>
    <t>2005-01-13</t>
  </si>
  <si>
    <t>792596034:eng</t>
  </si>
  <si>
    <t>56421972</t>
  </si>
  <si>
    <t>991004453149702656</t>
  </si>
  <si>
    <t>2258498360002656</t>
  </si>
  <si>
    <t>9781576072097</t>
  </si>
  <si>
    <t>32285005020945</t>
  </si>
  <si>
    <t>893263278</t>
  </si>
  <si>
    <t>DS145 .C5 2003</t>
  </si>
  <si>
    <t>0                      DS 0145000C  5           2003</t>
  </si>
  <si>
    <t>The new anti-semitism : the current crisis and what we must do about it / Phyllis Chesler.</t>
  </si>
  <si>
    <t>Chesler, Phyllis.</t>
  </si>
  <si>
    <t>San Francisco : Jossey-Bass, c2003.</t>
  </si>
  <si>
    <t>2003-11-03</t>
  </si>
  <si>
    <t>2003-10-02</t>
  </si>
  <si>
    <t>48184441:eng</t>
  </si>
  <si>
    <t>51898707</t>
  </si>
  <si>
    <t>991004149449702656</t>
  </si>
  <si>
    <t>2259229120002656</t>
  </si>
  <si>
    <t>9780787968519</t>
  </si>
  <si>
    <t>32285004792544</t>
  </si>
  <si>
    <t>893618305</t>
  </si>
  <si>
    <t>DS145 .C573 1982</t>
  </si>
  <si>
    <t>0                      DS 0145000C  573         1982</t>
  </si>
  <si>
    <t>The friars and the Jews : the evolution of medieval anti-Judaism / Jeremy Cohen.</t>
  </si>
  <si>
    <t>Cohen, Jeremy, 1953-</t>
  </si>
  <si>
    <t>Ithaca : Cornell University Press, 1982.</t>
  </si>
  <si>
    <t>1994-02-07</t>
  </si>
  <si>
    <t>8980073:eng</t>
  </si>
  <si>
    <t>7837637</t>
  </si>
  <si>
    <t>991005168789702656</t>
  </si>
  <si>
    <t>2256936620002656</t>
  </si>
  <si>
    <t>9780801414060</t>
  </si>
  <si>
    <t>32285000294842</t>
  </si>
  <si>
    <t>893344747</t>
  </si>
  <si>
    <t>DS145 .C59513 1992</t>
  </si>
  <si>
    <t>0                      DS 0145000C  59513       1992</t>
  </si>
  <si>
    <t>Gentiles, Jews, Christians : polemics and apologetics in the Greco-Roman era / Hans Conzelmann ; translated by M. Eugene Boring.</t>
  </si>
  <si>
    <t>Conzelmann, Hans.</t>
  </si>
  <si>
    <t>Minneapolis : Fortress Press, c1992.</t>
  </si>
  <si>
    <t>1993-09-14</t>
  </si>
  <si>
    <t>27005613:eng</t>
  </si>
  <si>
    <t>24628316</t>
  </si>
  <si>
    <t>991001948319702656</t>
  </si>
  <si>
    <t>2261407890002656</t>
  </si>
  <si>
    <t>9780800625207</t>
  </si>
  <si>
    <t>32285001766202</t>
  </si>
  <si>
    <t>893529373</t>
  </si>
  <si>
    <t>DS145 .F6 2004</t>
  </si>
  <si>
    <t>0                      DS 0145000F  6           2004</t>
  </si>
  <si>
    <t>The anguish of the Jews : twenty-three centuries of antisemitism / Edward H. Flannery ; [foreword by Philip A. Cunningham].</t>
  </si>
  <si>
    <t>Flannery, Edward H.</t>
  </si>
  <si>
    <t>New York : Paulist Press, 2004, c1985.</t>
  </si>
  <si>
    <t>Rev. and updated ed.</t>
  </si>
  <si>
    <t>Studies in Judaism and Christianity</t>
  </si>
  <si>
    <t>2008-09-17</t>
  </si>
  <si>
    <t>2005-04-07</t>
  </si>
  <si>
    <t>398078:eng</t>
  </si>
  <si>
    <t>57366369</t>
  </si>
  <si>
    <t>991004516049702656</t>
  </si>
  <si>
    <t>2265507580002656</t>
  </si>
  <si>
    <t>9780809143245</t>
  </si>
  <si>
    <t>32285005048599</t>
  </si>
  <si>
    <t>893430159</t>
  </si>
  <si>
    <t>DS145 .F685 2003</t>
  </si>
  <si>
    <t>0                      DS 0145000F  685         2003</t>
  </si>
  <si>
    <t>Never again? : the threat of the new anti-Semitism / Abraham H. Foxman.</t>
  </si>
  <si>
    <t>Foxman, Abraham H.</t>
  </si>
  <si>
    <t>San Francisco : HarperSanFrancisco, c2003.</t>
  </si>
  <si>
    <t>2004-01-05</t>
  </si>
  <si>
    <t>649566:eng</t>
  </si>
  <si>
    <t>53374901</t>
  </si>
  <si>
    <t>991004199799702656</t>
  </si>
  <si>
    <t>2272218270002656</t>
  </si>
  <si>
    <t>9780060542467</t>
  </si>
  <si>
    <t>32285004848734</t>
  </si>
  <si>
    <t>893241142</t>
  </si>
  <si>
    <t>DS145 .I74 1964</t>
  </si>
  <si>
    <t>0                      DS 0145000I  74          1964</t>
  </si>
  <si>
    <t>The teaching of contempt; Christian roots of anti-Semitism. Translated by Helen Weaver. Biographical introd. by Claire Huchet Bishop.</t>
  </si>
  <si>
    <t>Isaac, Jules, 1877-1963.</t>
  </si>
  <si>
    <t>New York, Holt, Rinehart and Winston [1964]</t>
  </si>
  <si>
    <t>2008-12-05</t>
  </si>
  <si>
    <t>2908642551:eng</t>
  </si>
  <si>
    <t>500389</t>
  </si>
  <si>
    <t>991002872359702656</t>
  </si>
  <si>
    <t>2255286290002656</t>
  </si>
  <si>
    <t>32285002463601</t>
  </si>
  <si>
    <t>893721687</t>
  </si>
  <si>
    <t>DS145 .L52 1986</t>
  </si>
  <si>
    <t>0                      DS 0145000L  52          1986</t>
  </si>
  <si>
    <t>Semites and anti-Semites : an inquiry into conflict and prejudice / by Bernard Lewis.</t>
  </si>
  <si>
    <t>Lewis, Bernard, 1916-2018.</t>
  </si>
  <si>
    <t>New York : Norton, c1986.</t>
  </si>
  <si>
    <t>2007-10-29</t>
  </si>
  <si>
    <t>9184282:eng</t>
  </si>
  <si>
    <t>12804297</t>
  </si>
  <si>
    <t>991000737909702656</t>
  </si>
  <si>
    <t>2257011280002656</t>
  </si>
  <si>
    <t>9780393023145</t>
  </si>
  <si>
    <t>32285000294867</t>
  </si>
  <si>
    <t>893249627</t>
  </si>
  <si>
    <t>DS145 .M6713 1976</t>
  </si>
  <si>
    <t>0                      DS 0145000M  6713        1976</t>
  </si>
  <si>
    <t>A short history of anti-Semitism / Vamberto Morais.</t>
  </si>
  <si>
    <t>Morais, Vamberto.</t>
  </si>
  <si>
    <t>New York : Norton, c1976.</t>
  </si>
  <si>
    <t>1994-06-01</t>
  </si>
  <si>
    <t>350675152:eng</t>
  </si>
  <si>
    <t>1863576</t>
  </si>
  <si>
    <t>991003918079702656</t>
  </si>
  <si>
    <t>2263250180002656</t>
  </si>
  <si>
    <t>9780393055672</t>
  </si>
  <si>
    <t>32285001913978</t>
  </si>
  <si>
    <t>893599208</t>
  </si>
  <si>
    <t>DS145 .P4613</t>
  </si>
  <si>
    <t>0                      DS 0145000P  4613</t>
  </si>
  <si>
    <t>The history of anti-Semitism / translated from the French by Richard Howard.</t>
  </si>
  <si>
    <t>Poliakov, Léon, 1910-1997.</t>
  </si>
  <si>
    <t>New York : Vanguard Press, [1965]-c1985.</t>
  </si>
  <si>
    <t>2001-03-28</t>
  </si>
  <si>
    <t>1994-11-29</t>
  </si>
  <si>
    <t>3373105038:eng</t>
  </si>
  <si>
    <t>408631</t>
  </si>
  <si>
    <t>991002709599702656</t>
  </si>
  <si>
    <t>2264150510002656</t>
  </si>
  <si>
    <t>9780814901861</t>
  </si>
  <si>
    <t>32285001968949</t>
  </si>
  <si>
    <t>893421701</t>
  </si>
  <si>
    <t>32285001968956</t>
  </si>
  <si>
    <t>893445316</t>
  </si>
  <si>
    <t>DS145 .S2799 2004</t>
  </si>
  <si>
    <t>0                      DS 0145000S  2799        2004</t>
  </si>
  <si>
    <t>The return of anti-semitism / Gabriel Schoenfeld.</t>
  </si>
  <si>
    <t>Schoenfeld, Gabriel.</t>
  </si>
  <si>
    <t>San Francisco : Encounter Books, 2004.</t>
  </si>
  <si>
    <t>2005-12-01</t>
  </si>
  <si>
    <t>794726:eng</t>
  </si>
  <si>
    <t>53796736</t>
  </si>
  <si>
    <t>991004699999702656</t>
  </si>
  <si>
    <t>2268445730002656</t>
  </si>
  <si>
    <t>9781893554894</t>
  </si>
  <si>
    <t>32285005150452</t>
  </si>
  <si>
    <t>893782553</t>
  </si>
  <si>
    <t>DS145 .T7</t>
  </si>
  <si>
    <t>0                      DS 0145000T  7</t>
  </si>
  <si>
    <t>The devil and the Jews, the medieval conception of the Jew and its relation to modern antisemitism, by Joshua Trachtenberg.</t>
  </si>
  <si>
    <t>Trachtenberg, Joshua, 1904-1959.</t>
  </si>
  <si>
    <t>New Haven, Yale university press; London, H. Milford, Oxford University press, 1943.</t>
  </si>
  <si>
    <t>1943</t>
  </si>
  <si>
    <t>2004-03-03</t>
  </si>
  <si>
    <t>53960654:eng</t>
  </si>
  <si>
    <t>1431551</t>
  </si>
  <si>
    <t>991003752899702656</t>
  </si>
  <si>
    <t>2256481170002656</t>
  </si>
  <si>
    <t>32285002463700</t>
  </si>
  <si>
    <t>893410641</t>
  </si>
  <si>
    <t>DS145 .T9 1985</t>
  </si>
  <si>
    <t>0                      DS 0145000T  9           1985</t>
  </si>
  <si>
    <t>Concerning the Jews / Mark Twain.</t>
  </si>
  <si>
    <t>Twain, Mark, 1835-1910.</t>
  </si>
  <si>
    <t>Philadelphia, Pa. : Running Press, c1985.</t>
  </si>
  <si>
    <t>1999-05-06</t>
  </si>
  <si>
    <t>4164284:eng</t>
  </si>
  <si>
    <t>11623580</t>
  </si>
  <si>
    <t>991000567829702656</t>
  </si>
  <si>
    <t>2262181710002656</t>
  </si>
  <si>
    <t>9780894713354</t>
  </si>
  <si>
    <t>32285000294883</t>
  </si>
  <si>
    <t>893502590</t>
  </si>
  <si>
    <t>DS146.E8 J49 1995</t>
  </si>
  <si>
    <t>0                      DS 0146000E  8                  J  49          1995</t>
  </si>
  <si>
    <t>The Jewish experience of European anti-semitism : Harry H. Kahn Memorial Lectures (1990-1994) / edited by Hazel Kahn Keimowitz and Wolfgang Mieder.</t>
  </si>
  <si>
    <t>Burlington, Vermont : Center for Holocaust Studies at the University of Vermont, 1995.</t>
  </si>
  <si>
    <t>2008-05-01</t>
  </si>
  <si>
    <t>1995-06-01</t>
  </si>
  <si>
    <t>435752862:eng</t>
  </si>
  <si>
    <t>32443199</t>
  </si>
  <si>
    <t>991002493519702656</t>
  </si>
  <si>
    <t>2257199570002656</t>
  </si>
  <si>
    <t>32285002056165</t>
  </si>
  <si>
    <t>893498183</t>
  </si>
  <si>
    <t>DS146.E85 S88 1998</t>
  </si>
  <si>
    <t>0                      DS 0146000E  85                 S  88          1998</t>
  </si>
  <si>
    <t>Paths to genocide : antisemitism in Western history / Lionel B. Steiman.</t>
  </si>
  <si>
    <t>Steiman, Lionel B. (Lionel Bradley), 1941-</t>
  </si>
  <si>
    <t>New York, N.Y. : St. Martin's Press, 1998.</t>
  </si>
  <si>
    <t>2004-04-07</t>
  </si>
  <si>
    <t>1998-11-11</t>
  </si>
  <si>
    <t>638999:eng</t>
  </si>
  <si>
    <t>37220709</t>
  </si>
  <si>
    <t>991002826809702656</t>
  </si>
  <si>
    <t>2259653640002656</t>
  </si>
  <si>
    <t>9780312210465</t>
  </si>
  <si>
    <t>32285003487823</t>
  </si>
  <si>
    <t>893511244</t>
  </si>
  <si>
    <t>DS146.E85 W45 2003</t>
  </si>
  <si>
    <t>0                      DS 0146000E  85                 W  45          2003</t>
  </si>
  <si>
    <t>The politics of hate : anti-Semitism, history, and the Holocaust in modern Europe / John Weiss.</t>
  </si>
  <si>
    <t>Weiss, John, 1927-</t>
  </si>
  <si>
    <t>Chicago : Ivan R. Dee, c2003.</t>
  </si>
  <si>
    <t>2007-10-18</t>
  </si>
  <si>
    <t>899187295:eng</t>
  </si>
  <si>
    <t>50441628</t>
  </si>
  <si>
    <t>991004074509702656</t>
  </si>
  <si>
    <t>2258639660002656</t>
  </si>
  <si>
    <t>9781566634922</t>
  </si>
  <si>
    <t>32285004753942</t>
  </si>
  <si>
    <t>893712125</t>
  </si>
  <si>
    <t>DS146.F8 B87 1986</t>
  </si>
  <si>
    <t>0                      DS 0146000F  8                  B  87          1986</t>
  </si>
  <si>
    <t>The pope of antisemitism : the career and legacy of Edouard-Adolphe Drumont / Frederick Busi.</t>
  </si>
  <si>
    <t>Busi, Frederick.</t>
  </si>
  <si>
    <t>Lanham : University Press of America, c1986.</t>
  </si>
  <si>
    <t>2006-10-10</t>
  </si>
  <si>
    <t>836659375:eng</t>
  </si>
  <si>
    <t>13861408</t>
  </si>
  <si>
    <t>991000886529702656</t>
  </si>
  <si>
    <t>2262360280002656</t>
  </si>
  <si>
    <t>9780819155955</t>
  </si>
  <si>
    <t>32285000294891</t>
  </si>
  <si>
    <t>893237694</t>
  </si>
  <si>
    <t>DS146.F8 T3413 2004</t>
  </si>
  <si>
    <t>0                      DS 0146000F  8                  T  3413        2004</t>
  </si>
  <si>
    <t>Rising from the muck : the new anti-semitism in Europe / Pierre-Andrae Taguieff ; translated from the French by Patrick Camiller ; with a foreword by Radu Ioanid.</t>
  </si>
  <si>
    <t>Taguieff, Pierre-Andrae.</t>
  </si>
  <si>
    <t>Chicago : Ivan R. Dee, 2004.</t>
  </si>
  <si>
    <t>2004-06-27</t>
  </si>
  <si>
    <t>475685059:eng</t>
  </si>
  <si>
    <t>53462223</t>
  </si>
  <si>
    <t>991004300609702656</t>
  </si>
  <si>
    <t>2255888690002656</t>
  </si>
  <si>
    <t>9781566635714</t>
  </si>
  <si>
    <t>32285004921408</t>
  </si>
  <si>
    <t>893235307</t>
  </si>
  <si>
    <t>DS146.F8 W54 1982</t>
  </si>
  <si>
    <t>0                      DS 0146000F  8                  W  54          1982</t>
  </si>
  <si>
    <t>Ideology and experience : antisemitism in France at the time of the Dreyfus affair / Stephen Wilson.</t>
  </si>
  <si>
    <t>Wilson, Stephen, 1941-</t>
  </si>
  <si>
    <t>Rutherford, [N.J.] : Fairleigh Dickinson University Press ; London : Associated University Presses, c1982.</t>
  </si>
  <si>
    <t>2002-12-09</t>
  </si>
  <si>
    <t>251123313:eng</t>
  </si>
  <si>
    <t>7461158</t>
  </si>
  <si>
    <t>991005114549702656</t>
  </si>
  <si>
    <t>2266068440002656</t>
  </si>
  <si>
    <t>9780838630372</t>
  </si>
  <si>
    <t>32285000892645</t>
  </si>
  <si>
    <t>893870539</t>
  </si>
  <si>
    <t>DS146.G4 B4713 1997</t>
  </si>
  <si>
    <t>0                      DS 0146000G  4                  B  4713        1997</t>
  </si>
  <si>
    <t>Anti-semitism in Germany : the post-Nazi epoch since 1945 / Werner Bergmann and Rainer Erb ; translated by Belinda Cooper and Allison Brown.</t>
  </si>
  <si>
    <t>Bergmann, Werner, 1950-</t>
  </si>
  <si>
    <t>New Brunswick, N.J. : Transaction, c1997.</t>
  </si>
  <si>
    <t>1997-06-06</t>
  </si>
  <si>
    <t>1997-04-15</t>
  </si>
  <si>
    <t>39946810:eng</t>
  </si>
  <si>
    <t>35318351</t>
  </si>
  <si>
    <t>991002705309702656</t>
  </si>
  <si>
    <t>2255389040002656</t>
  </si>
  <si>
    <t>9781560002703</t>
  </si>
  <si>
    <t>32285002497104</t>
  </si>
  <si>
    <t>893329426</t>
  </si>
  <si>
    <t>DS146.G4 G57 1984</t>
  </si>
  <si>
    <t>0                      DS 0146000G  4                  G  57          1984</t>
  </si>
  <si>
    <t>Hitler, Germans, and the "Jewish question" / Sarah Gordon.</t>
  </si>
  <si>
    <t>Gordon, Sarah Ann.</t>
  </si>
  <si>
    <t>Princeton, N.J. : Princeton University Press, c1984.</t>
  </si>
  <si>
    <t>1990-04-10</t>
  </si>
  <si>
    <t>5789135:eng</t>
  </si>
  <si>
    <t>9946459</t>
  </si>
  <si>
    <t>991000289199702656</t>
  </si>
  <si>
    <t>2261823390002656</t>
  </si>
  <si>
    <t>9780691101620</t>
  </si>
  <si>
    <t>32285000114909</t>
  </si>
  <si>
    <t>893777832</t>
  </si>
  <si>
    <t>DS146.G4 H37 1994</t>
  </si>
  <si>
    <t>0                      DS 0146000G  4                  H  37          1994</t>
  </si>
  <si>
    <t>The people speak! : anti-Semitism and emancipation in nineteenth-century Bavaria / James F. Harris.</t>
  </si>
  <si>
    <t>Harris, James F., 1940-</t>
  </si>
  <si>
    <t>Ann Arbor : University of Michigan Press, c1994.</t>
  </si>
  <si>
    <t>Social history, popular culture, and politics in Germany</t>
  </si>
  <si>
    <t>2005-03-17</t>
  </si>
  <si>
    <t>1994-06-08</t>
  </si>
  <si>
    <t>31556455:eng</t>
  </si>
  <si>
    <t>29182294</t>
  </si>
  <si>
    <t>991002252189702656</t>
  </si>
  <si>
    <t>2262190500002656</t>
  </si>
  <si>
    <t>9780472104376</t>
  </si>
  <si>
    <t>32285001922664</t>
  </si>
  <si>
    <t>893414996</t>
  </si>
  <si>
    <t>DS146.G4 J36 2001</t>
  </si>
  <si>
    <t>0                      DS 0146000G  4                  J  36          2001</t>
  </si>
  <si>
    <t>The murderous paradise : German nationalism and the Holocaust / Pierre James.</t>
  </si>
  <si>
    <t>James, Pierre, 1965-</t>
  </si>
  <si>
    <t>Westport, Conn. : Praeger, 2001.</t>
  </si>
  <si>
    <t>2004-11-29</t>
  </si>
  <si>
    <t>2003-02-25</t>
  </si>
  <si>
    <t>2585835:eng</t>
  </si>
  <si>
    <t>45757723</t>
  </si>
  <si>
    <t>991003967249702656</t>
  </si>
  <si>
    <t>2265028320002656</t>
  </si>
  <si>
    <t>9780275972424</t>
  </si>
  <si>
    <t>32285004680756</t>
  </si>
  <si>
    <t>893794324</t>
  </si>
  <si>
    <t>DS146.G4 P75 2000</t>
  </si>
  <si>
    <t>0                      DS 0146000G  4                  P  75          2000</t>
  </si>
  <si>
    <t>Probing the depths of German antisemitism : German society and the persecution of the Jews, 1933-1941 / edited by David Bankier.</t>
  </si>
  <si>
    <t>New York : Berghahn Books, c2000.</t>
  </si>
  <si>
    <t>2002-03-05</t>
  </si>
  <si>
    <t>837000277:eng</t>
  </si>
  <si>
    <t>42780277</t>
  </si>
  <si>
    <t>991003731719702656</t>
  </si>
  <si>
    <t>2258494970002656</t>
  </si>
  <si>
    <t>9781571812384</t>
  </si>
  <si>
    <t>32285004459409</t>
  </si>
  <si>
    <t>893705563</t>
  </si>
  <si>
    <t>DS146.G4 S57 2002</t>
  </si>
  <si>
    <t>0                      DS 0146000G  4                  S  57          2002</t>
  </si>
  <si>
    <t>The butcher's tale : murder and anti-Semitism in a German town / Helmut Walser Smith.</t>
  </si>
  <si>
    <t>Smith, Helmut Walser, 1962-</t>
  </si>
  <si>
    <t>New York : W.W. Norton, c2002.</t>
  </si>
  <si>
    <t>837553115:eng</t>
  </si>
  <si>
    <t>49226022</t>
  </si>
  <si>
    <t>991003839999702656</t>
  </si>
  <si>
    <t>2262576960002656</t>
  </si>
  <si>
    <t>9780393050981</t>
  </si>
  <si>
    <t>32285004645072</t>
  </si>
  <si>
    <t>893423035</t>
  </si>
  <si>
    <t>DS146.G4 W43 1996</t>
  </si>
  <si>
    <t>0                      DS 0146000G  4                  W  43          1996</t>
  </si>
  <si>
    <t>Ideology of death : why the Holocaust happened in Germany / John Weiss.</t>
  </si>
  <si>
    <t>Chicago : I.R. Dee, 1996.</t>
  </si>
  <si>
    <t>2001-08-08</t>
  </si>
  <si>
    <t>1996-02-16</t>
  </si>
  <si>
    <t>677998:eng</t>
  </si>
  <si>
    <t>32701554</t>
  </si>
  <si>
    <t>991001667779702656</t>
  </si>
  <si>
    <t>2268957790002656</t>
  </si>
  <si>
    <t>9781566630887</t>
  </si>
  <si>
    <t>32285002136330</t>
  </si>
  <si>
    <t>893497266</t>
  </si>
  <si>
    <t>DS146.P6 G76 2006</t>
  </si>
  <si>
    <t>0                      DS 0146000P  6                  G  76          2006</t>
  </si>
  <si>
    <t>Fear : anti-semitism in Poland after Auschwitz : an essay in historical interpretation / Jan T. Gross.</t>
  </si>
  <si>
    <t>Gross, Jan Tomasz.</t>
  </si>
  <si>
    <t>New York : Random House, c2006.</t>
  </si>
  <si>
    <t>2006-07-13</t>
  </si>
  <si>
    <t>53602957:eng</t>
  </si>
  <si>
    <t>61463826</t>
  </si>
  <si>
    <t>991004840119702656</t>
  </si>
  <si>
    <t>2270691680002656</t>
  </si>
  <si>
    <t>9780375509247</t>
  </si>
  <si>
    <t>32285005193858</t>
  </si>
  <si>
    <t>893606523</t>
  </si>
  <si>
    <t>DS146.P6 L48 1991</t>
  </si>
  <si>
    <t>0                      DS 0146000P  6                  L  48          1991</t>
  </si>
  <si>
    <t>Economic origins of antisemitism : Poland and its Jews in the early modern period / Hillel Levine.</t>
  </si>
  <si>
    <t>Levine, Hillel.</t>
  </si>
  <si>
    <t>New Haven : Yale University Press, c1991.</t>
  </si>
  <si>
    <t>1992-04-23</t>
  </si>
  <si>
    <t>329774:eng</t>
  </si>
  <si>
    <t>22908198</t>
  </si>
  <si>
    <t>991001823579702656</t>
  </si>
  <si>
    <t>2263454170002656</t>
  </si>
  <si>
    <t>9780300049879</t>
  </si>
  <si>
    <t>32285001035327</t>
  </si>
  <si>
    <t>893879215</t>
  </si>
  <si>
    <t>DS146.S6 S53 1994</t>
  </si>
  <si>
    <t>0                      DS 0146000S  6                  S  53          1994</t>
  </si>
  <si>
    <t>The roots of antisemitism in South Africa / Milton Shain.</t>
  </si>
  <si>
    <t>Shain, Milton.</t>
  </si>
  <si>
    <t>Charlottesville : University Press of Virginia, 1994.</t>
  </si>
  <si>
    <t>vau</t>
  </si>
  <si>
    <t>Reconsiderations in southern African history</t>
  </si>
  <si>
    <t>1995-02-21</t>
  </si>
  <si>
    <t>20728922:eng</t>
  </si>
  <si>
    <t>28854327</t>
  </si>
  <si>
    <t>991002237889702656</t>
  </si>
  <si>
    <t>2263672390002656</t>
  </si>
  <si>
    <t>9780813914879</t>
  </si>
  <si>
    <t>32285001999787</t>
  </si>
  <si>
    <t>893341201</t>
  </si>
  <si>
    <t>DS146.U6 J34 1994</t>
  </si>
  <si>
    <t>0                      DS 0146000U  6                  J  34          1994</t>
  </si>
  <si>
    <t>A scapegoat in the new wilderness : the origins and rise of anti-semitism in America / Frederic Cople Jaher.</t>
  </si>
  <si>
    <t>Jaher, Frederic Cople.</t>
  </si>
  <si>
    <t>1999-06-19</t>
  </si>
  <si>
    <t>836658963:eng</t>
  </si>
  <si>
    <t>28929285</t>
  </si>
  <si>
    <t>991002243709702656</t>
  </si>
  <si>
    <t>2270629990002656</t>
  </si>
  <si>
    <t>9780674790063</t>
  </si>
  <si>
    <t>32285001941722</t>
  </si>
  <si>
    <t>893785896</t>
  </si>
  <si>
    <t>DS146.U6 M53 2005</t>
  </si>
  <si>
    <t>0                      DS 0146000U  6                  M  53          2005</t>
  </si>
  <si>
    <t>A concise history of American antisemitism / Robert Michael.</t>
  </si>
  <si>
    <t>Michael, Robert, 1936-</t>
  </si>
  <si>
    <t>Lanham : Rowman &amp; Littlefield, c2005.</t>
  </si>
  <si>
    <t>476584994:eng</t>
  </si>
  <si>
    <t>56752988</t>
  </si>
  <si>
    <t>991005063909702656</t>
  </si>
  <si>
    <t>2256411540002656</t>
  </si>
  <si>
    <t>9780742543126</t>
  </si>
  <si>
    <t>32285005286645</t>
  </si>
  <si>
    <t>893319958</t>
  </si>
  <si>
    <t>DS146.U6 P47</t>
  </si>
  <si>
    <t>0                      DS 0146000U  6                  P  47</t>
  </si>
  <si>
    <t>The real anti-Semitism in America / by Nathan Perlmutter and Ruth Ann Perlmutter.</t>
  </si>
  <si>
    <t>Perlmutter, Nate.</t>
  </si>
  <si>
    <t>New York : Arbor House , c1982.</t>
  </si>
  <si>
    <t>20331748:eng</t>
  </si>
  <si>
    <t>8720343</t>
  </si>
  <si>
    <t>991000058639702656</t>
  </si>
  <si>
    <t>2265311630002656</t>
  </si>
  <si>
    <t>9780877953784</t>
  </si>
  <si>
    <t>32285000294941</t>
  </si>
  <si>
    <t>893777640</t>
  </si>
  <si>
    <t>DS146.U6 Q56</t>
  </si>
  <si>
    <t>0                      DS 0146000U  6                  Q  56</t>
  </si>
  <si>
    <t>Anti-semitism in America / Harold E. Quinley and Charles Y. Glock.</t>
  </si>
  <si>
    <t>Quinley, Harold E.</t>
  </si>
  <si>
    <t>New York : Free Press, c1979.</t>
  </si>
  <si>
    <t>1997-05-01</t>
  </si>
  <si>
    <t>400740:eng</t>
  </si>
  <si>
    <t>4835370</t>
  </si>
  <si>
    <t>991004732369702656</t>
  </si>
  <si>
    <t>2268141950002656</t>
  </si>
  <si>
    <t>9780029256404</t>
  </si>
  <si>
    <t>32285000294958</t>
  </si>
  <si>
    <t>893235864</t>
  </si>
  <si>
    <t>DS146.U6 S4 1969</t>
  </si>
  <si>
    <t>0                      DS 0146000U  6                  S  4           1969</t>
  </si>
  <si>
    <t>The tenacity of prejudice : anti-Semitism in contemporary America / [by] Gertrude J. Selznick and Stephen Steinberg.</t>
  </si>
  <si>
    <t>Selznick, Gertrude Jaeger.</t>
  </si>
  <si>
    <t>New York : Harper &amp; Row, [1969]</t>
  </si>
  <si>
    <t>Patterns of American prejudice series ; 4</t>
  </si>
  <si>
    <t>1994-11-02</t>
  </si>
  <si>
    <t>445522:eng</t>
  </si>
  <si>
    <t>12325</t>
  </si>
  <si>
    <t>991000003759702656</t>
  </si>
  <si>
    <t>2264987860002656</t>
  </si>
  <si>
    <t>32285001964096</t>
  </si>
  <si>
    <t>893902869</t>
  </si>
  <si>
    <t>DS146.U6 S53 1982</t>
  </si>
  <si>
    <t>0                      DS 0146000U  6                  S  53          1982</t>
  </si>
  <si>
    <t>The Einstein syndrome : corporate anti-Semitism in America today / Stephen L. Slavin, Mary A. Pradt.</t>
  </si>
  <si>
    <t>Slavin, Stephen L.</t>
  </si>
  <si>
    <t>Washington, D.C. : University Press of America, c1982.</t>
  </si>
  <si>
    <t>21010971:eng</t>
  </si>
  <si>
    <t>8344690</t>
  </si>
  <si>
    <t>991005231919702656</t>
  </si>
  <si>
    <t>2260724880002656</t>
  </si>
  <si>
    <t>9780819123701</t>
  </si>
  <si>
    <t>32285000294966</t>
  </si>
  <si>
    <t>893326428</t>
  </si>
  <si>
    <t>DS146.U6 S8</t>
  </si>
  <si>
    <t>0                      DS 0146000U  6                  S  8</t>
  </si>
  <si>
    <t>Jews in the mind of America, by Charles Herbert Stember and others. Project director: Marshall Sklare. Contributors: Robert Gutnam [and others] Pref. by John Slawson. Editor: George Salomon.</t>
  </si>
  <si>
    <t>Stember, Charles Herbert, 1916-</t>
  </si>
  <si>
    <t>New York, Basic Books [1966]</t>
  </si>
  <si>
    <t>1354544:eng</t>
  </si>
  <si>
    <t>304913</t>
  </si>
  <si>
    <t>991002262149702656</t>
  </si>
  <si>
    <t>2271340710002656</t>
  </si>
  <si>
    <t>32285002463726</t>
  </si>
  <si>
    <t>893421125</t>
  </si>
  <si>
    <t>DS146.U6 V64</t>
  </si>
  <si>
    <t>0                      DS 0146000U  6                  V  64</t>
  </si>
  <si>
    <t>A legacy of hate : anti-Semitism in America / Ernest Volkman.</t>
  </si>
  <si>
    <t>Volkman, Ernest.</t>
  </si>
  <si>
    <t>New York : F. Watts, 1982.</t>
  </si>
  <si>
    <t>19931130:eng</t>
  </si>
  <si>
    <t>8170089</t>
  </si>
  <si>
    <t>991005212099702656</t>
  </si>
  <si>
    <t>2256674130002656</t>
  </si>
  <si>
    <t>9780531098639</t>
  </si>
  <si>
    <t>32285000294974</t>
  </si>
  <si>
    <t>893418559</t>
  </si>
  <si>
    <t>DS146.U6 W35 2003</t>
  </si>
  <si>
    <t>0                      DS 0146000U  6                  W  35          2003</t>
  </si>
  <si>
    <t>The American axis : Henry Ford, Charles Lindbergh, and the rise of the Third Reich / Max Wallace.</t>
  </si>
  <si>
    <t>Wallace, Max.</t>
  </si>
  <si>
    <t>New York : St. Martin's Press, 2003.</t>
  </si>
  <si>
    <t>2004-09-13</t>
  </si>
  <si>
    <t>674861:eng</t>
  </si>
  <si>
    <t>51454223</t>
  </si>
  <si>
    <t>991004359529702656</t>
  </si>
  <si>
    <t>2256450590002656</t>
  </si>
  <si>
    <t>9780312290221</t>
  </si>
  <si>
    <t>32285004986401</t>
  </si>
  <si>
    <t>893794766</t>
  </si>
  <si>
    <t>DS147 .K37</t>
  </si>
  <si>
    <t>0                      DS 0147000K  37</t>
  </si>
  <si>
    <t>Out of the ghetto; the social background of Jewish emancipation, 1770-1870.</t>
  </si>
  <si>
    <t>Katz, Jacob, 1904-1998.</t>
  </si>
  <si>
    <t>Cambridge, Mass., Harvard University Press, 1973.</t>
  </si>
  <si>
    <t>2003-04-28</t>
  </si>
  <si>
    <t>139397372:eng</t>
  </si>
  <si>
    <t>595415</t>
  </si>
  <si>
    <t>991003032909702656</t>
  </si>
  <si>
    <t>2272348910002656</t>
  </si>
  <si>
    <t>9780674647756</t>
  </si>
  <si>
    <t>32285002463734</t>
  </si>
  <si>
    <t>893717251</t>
  </si>
  <si>
    <t>DS148 .H93 1995</t>
  </si>
  <si>
    <t>0                      DS 0148000H  93          1995</t>
  </si>
  <si>
    <t>Gender and assimilation in modern Jewish history : the roles and representation of women / Paula E. Hyman.</t>
  </si>
  <si>
    <t>Seattle : University of Washington Press, c1995.</t>
  </si>
  <si>
    <t>The Samuel &amp; Althea Stroum lectures in Jewish studies</t>
  </si>
  <si>
    <t>2008-05-06</t>
  </si>
  <si>
    <t>1997-05-21</t>
  </si>
  <si>
    <t>864046793:eng</t>
  </si>
  <si>
    <t>31206701</t>
  </si>
  <si>
    <t>991002400829702656</t>
  </si>
  <si>
    <t>2259487650002656</t>
  </si>
  <si>
    <t>9780295974255</t>
  </si>
  <si>
    <t>32285002610730</t>
  </si>
  <si>
    <t>893498071</t>
  </si>
  <si>
    <t>DS148 .J47 1993</t>
  </si>
  <si>
    <t>0                      DS 0148000J  47          1993</t>
  </si>
  <si>
    <t>International perspectives on church and state / Menachem Mor, editor.</t>
  </si>
  <si>
    <t>Omaha, Neb. : Center for the Study of Religion and Society, Creighton University Press ; Bronx, NY : Fordham University Press, c1993.</t>
  </si>
  <si>
    <t>Studies in Jewish civilization ; 4</t>
  </si>
  <si>
    <t>2005-03-18</t>
  </si>
  <si>
    <t>1994-04-21</t>
  </si>
  <si>
    <t>2002-12-03</t>
  </si>
  <si>
    <t>1067869:eng</t>
  </si>
  <si>
    <t>29926533</t>
  </si>
  <si>
    <t>991001689609702656</t>
  </si>
  <si>
    <t>2269051520002656</t>
  </si>
  <si>
    <t>9781881871057</t>
  </si>
  <si>
    <t>32285001863967</t>
  </si>
  <si>
    <t>893433035</t>
  </si>
  <si>
    <t>32285002452604</t>
  </si>
  <si>
    <t>893426765</t>
  </si>
  <si>
    <t>DS149 .A57 1975</t>
  </si>
  <si>
    <t>0                      DS 0149000A  57          1975</t>
  </si>
  <si>
    <t>Publish it not : the Middle East cover-up / Michael Adams, Christopher Mayhew.</t>
  </si>
  <si>
    <t>Adams, Michael, 1920-</t>
  </si>
  <si>
    <t>London : Longman, 1975.</t>
  </si>
  <si>
    <t>5056582:eng</t>
  </si>
  <si>
    <t>2423823</t>
  </si>
  <si>
    <t>991004119269702656</t>
  </si>
  <si>
    <t>2262989890002656</t>
  </si>
  <si>
    <t>9780582780590</t>
  </si>
  <si>
    <t>32285002463742</t>
  </si>
  <si>
    <t>893810364</t>
  </si>
  <si>
    <t>DS149 .A58 1988</t>
  </si>
  <si>
    <t>0                      DS 0149000A  58          1988</t>
  </si>
  <si>
    <t>Anti-zionism : analytical reflections / editors: Roselle Tekiner, Samir Abed-Rabbo, Norton Mezvinsky.</t>
  </si>
  <si>
    <t>Brattleboro, Vt. : Amana Books, c1988.</t>
  </si>
  <si>
    <t>2005-09-19</t>
  </si>
  <si>
    <t>918869755:eng</t>
  </si>
  <si>
    <t>19289322</t>
  </si>
  <si>
    <t>991001446789702656</t>
  </si>
  <si>
    <t>2255105760002656</t>
  </si>
  <si>
    <t>9780915597734</t>
  </si>
  <si>
    <t>32285002095510</t>
  </si>
  <si>
    <t>893509627</t>
  </si>
  <si>
    <t>DS149 .A88 1985</t>
  </si>
  <si>
    <t>0                      DS 0149000A  88          1985</t>
  </si>
  <si>
    <t>The tragedy of Zionism : revolution and democracy in the land of Israel / Bernard Avishai.</t>
  </si>
  <si>
    <t>Avishai, Bernard.</t>
  </si>
  <si>
    <t>New York : Farrar Straus Giroux, 1985.</t>
  </si>
  <si>
    <t>4346508:eng</t>
  </si>
  <si>
    <t>12050282</t>
  </si>
  <si>
    <t>991000628029702656</t>
  </si>
  <si>
    <t>2266884710002656</t>
  </si>
  <si>
    <t>9780374278632</t>
  </si>
  <si>
    <t>32285000294982</t>
  </si>
  <si>
    <t>893255580</t>
  </si>
  <si>
    <t>DS149 .B3376 1993</t>
  </si>
  <si>
    <t>0                      DS 0149000B  3376        1993</t>
  </si>
  <si>
    <t>Original sins : reflections on the history of Zionism and Israel / by Benjamin Beit-Hallahmi.</t>
  </si>
  <si>
    <t>Beit-Hallahmi, Benjamin.</t>
  </si>
  <si>
    <t>New York : Olive Branch Press, 1993.</t>
  </si>
  <si>
    <t>1st. American ed.</t>
  </si>
  <si>
    <t>24225966:eng</t>
  </si>
  <si>
    <t>28024537</t>
  </si>
  <si>
    <t>991003981979702656</t>
  </si>
  <si>
    <t>2266461130002656</t>
  </si>
  <si>
    <t>9781566561303</t>
  </si>
  <si>
    <t>32285004682067</t>
  </si>
  <si>
    <t>893894434</t>
  </si>
  <si>
    <t>DS149 .C627 1987</t>
  </si>
  <si>
    <t>0                      DS 0149000C  627         1987</t>
  </si>
  <si>
    <t>Zion and state : nation, class, and the shaping of modern Israel / Mitchell Cohen.</t>
  </si>
  <si>
    <t>Cohen, Mitchell, 1952-</t>
  </si>
  <si>
    <t>Oxford [Oxfordshire] ; New York : B. Blackwell, 1987.</t>
  </si>
  <si>
    <t>863898569:eng</t>
  </si>
  <si>
    <t>14188720</t>
  </si>
  <si>
    <t>991000919009702656</t>
  </si>
  <si>
    <t>2259937010002656</t>
  </si>
  <si>
    <t>9780631152439</t>
  </si>
  <si>
    <t>32285000294990</t>
  </si>
  <si>
    <t>893790987</t>
  </si>
  <si>
    <t>DS149 .E594</t>
  </si>
  <si>
    <t>0                      DS 0149000E  594</t>
  </si>
  <si>
    <t>The land of promise : a critique of political Zionism / Abdelwahab M. Elmessiri ; with a foreword by John Davis.</t>
  </si>
  <si>
    <t>Elmessiri, Abdelwahab M., 1938-2008.</t>
  </si>
  <si>
    <t>New Brunswick, N.J. : North American, c1977.</t>
  </si>
  <si>
    <t>1992-03-30</t>
  </si>
  <si>
    <t>366275640:eng</t>
  </si>
  <si>
    <t>3203297</t>
  </si>
  <si>
    <t>991004373859702656</t>
  </si>
  <si>
    <t>2268835260002656</t>
  </si>
  <si>
    <t>9780930244026</t>
  </si>
  <si>
    <t>32285001029742</t>
  </si>
  <si>
    <t>893429986</t>
  </si>
  <si>
    <t>DS149 .F884 1977</t>
  </si>
  <si>
    <t>0                      DS 0149000F  884         1977</t>
  </si>
  <si>
    <t>Germany, Turkey, and Zionism, 1897-1918 / Isaiah Friedman.</t>
  </si>
  <si>
    <t>Friedman, Isaiah.</t>
  </si>
  <si>
    <t>Oxford [Eng.] : Clarendon Press, 1977.</t>
  </si>
  <si>
    <t>2004-04-27</t>
  </si>
  <si>
    <t>1990-10-08</t>
  </si>
  <si>
    <t>6496718:eng</t>
  </si>
  <si>
    <t>2910884</t>
  </si>
  <si>
    <t>991004280909702656</t>
  </si>
  <si>
    <t>2264568980002656</t>
  </si>
  <si>
    <t>9780198225287</t>
  </si>
  <si>
    <t>32285000335017</t>
  </si>
  <si>
    <t>893687563</t>
  </si>
  <si>
    <t>DS149 .G25 1979</t>
  </si>
  <si>
    <t>0                      DS 0149000G  25          1979</t>
  </si>
  <si>
    <t>Truman, American Jewry, and Israel, 1945-1948 / by Zvi Ganin.</t>
  </si>
  <si>
    <t>Ganin, Zvi.</t>
  </si>
  <si>
    <t>New York : Holmes &amp; Meier Publishers, 1979.</t>
  </si>
  <si>
    <t>1993-02-25</t>
  </si>
  <si>
    <t>505615:eng</t>
  </si>
  <si>
    <t>4496542</t>
  </si>
  <si>
    <t>991004660189702656</t>
  </si>
  <si>
    <t>2268695360002656</t>
  </si>
  <si>
    <t>9780841904019</t>
  </si>
  <si>
    <t>32285000335025</t>
  </si>
  <si>
    <t>893526364</t>
  </si>
  <si>
    <t>DS149 .G5225 1978</t>
  </si>
  <si>
    <t>0                      DS 0149000G  5225        1978</t>
  </si>
  <si>
    <t>Exile and return : the struggle for a Jewish homeland / Martin Gilbert.</t>
  </si>
  <si>
    <t>Philadelphia : Lippincott, c1978.</t>
  </si>
  <si>
    <t>1997-04-12</t>
  </si>
  <si>
    <t>3856369297:eng</t>
  </si>
  <si>
    <t>3912551</t>
  </si>
  <si>
    <t>991004544139702656</t>
  </si>
  <si>
    <t>2260227350002656</t>
  </si>
  <si>
    <t>9780397012497</t>
  </si>
  <si>
    <t>32285000335033</t>
  </si>
  <si>
    <t>893353445</t>
  </si>
  <si>
    <t>DS149 .G5326 1982</t>
  </si>
  <si>
    <t>0                      DS 0149000G  5326        1982</t>
  </si>
  <si>
    <t>The triangular connection : America, Israel, and American Jews / Edward Bernard Glick.</t>
  </si>
  <si>
    <t>Glick, Edward Bernard.</t>
  </si>
  <si>
    <t>London ; Boston : George Allen &amp; Unwin, 1982.</t>
  </si>
  <si>
    <t>2003-10-28</t>
  </si>
  <si>
    <t>197153640:eng</t>
  </si>
  <si>
    <t>8389473</t>
  </si>
  <si>
    <t>991005237959702656</t>
  </si>
  <si>
    <t>2261001660002656</t>
  </si>
  <si>
    <t>9780043530085</t>
  </si>
  <si>
    <t>32285000335041</t>
  </si>
  <si>
    <t>893533423</t>
  </si>
  <si>
    <t>DS149 .H34</t>
  </si>
  <si>
    <t>0                      DS 0149000H  34</t>
  </si>
  <si>
    <t>The idea of the Jewish state.</t>
  </si>
  <si>
    <t>Halpern, Ben.</t>
  </si>
  <si>
    <t>Cambridge, Harvard University Press, 1961.</t>
  </si>
  <si>
    <t>Harvard Middle Eastern studies ; 3</t>
  </si>
  <si>
    <t>1243225:eng</t>
  </si>
  <si>
    <t>410688</t>
  </si>
  <si>
    <t>991002713639702656</t>
  </si>
  <si>
    <t>2262561710002656</t>
  </si>
  <si>
    <t>32285002463759</t>
  </si>
  <si>
    <t>893498463</t>
  </si>
  <si>
    <t>DS149 .H427 1949</t>
  </si>
  <si>
    <t>0                      DS 0149000H  427         1949</t>
  </si>
  <si>
    <t>The Zionist idea.</t>
  </si>
  <si>
    <t>Heller, Joseph, 1888-1957.</t>
  </si>
  <si>
    <t>New York : Schocken Books, [1949]</t>
  </si>
  <si>
    <t>2001-07-05</t>
  </si>
  <si>
    <t>1990-12-13</t>
  </si>
  <si>
    <t>1444650:eng</t>
  </si>
  <si>
    <t>408823</t>
  </si>
  <si>
    <t>991002709869702656</t>
  </si>
  <si>
    <t>2264276100002656</t>
  </si>
  <si>
    <t>32285000425503</t>
  </si>
  <si>
    <t>893251549</t>
  </si>
  <si>
    <t>DS149 .H43758 2003</t>
  </si>
  <si>
    <t>0                      DS 0149000H  43758       2003</t>
  </si>
  <si>
    <t>The fate of zionism : a secular future for Israel &amp; Palestine / Arthur Hertzberg.</t>
  </si>
  <si>
    <t>Hertzberg, Arthur.</t>
  </si>
  <si>
    <t>[San Francisco] : HarperSanFrancisco, 2003.</t>
  </si>
  <si>
    <t>649960:eng</t>
  </si>
  <si>
    <t>53247921</t>
  </si>
  <si>
    <t>991004196479702656</t>
  </si>
  <si>
    <t>2263582370002656</t>
  </si>
  <si>
    <t>9780060557867</t>
  </si>
  <si>
    <t>32285004632849</t>
  </si>
  <si>
    <t>893788393</t>
  </si>
  <si>
    <t>DS149 .J33</t>
  </si>
  <si>
    <t>0                      DS 0149000J  33</t>
  </si>
  <si>
    <t>Zionism, Israel, and Asian nationalism, by G. H. Jansen.</t>
  </si>
  <si>
    <t>Jansen, G. H. (Godfrey H.)</t>
  </si>
  <si>
    <t>Beirut, Institute for Palestine Studies, 1971.</t>
  </si>
  <si>
    <t>Institute for Palestine Studies. Monograph series, no. 29</t>
  </si>
  <si>
    <t>1999-07-21</t>
  </si>
  <si>
    <t>1992-02-18</t>
  </si>
  <si>
    <t>367530955:eng</t>
  </si>
  <si>
    <t>344182</t>
  </si>
  <si>
    <t>991002424609702656</t>
  </si>
  <si>
    <t>2264878970002656</t>
  </si>
  <si>
    <t>32285000946870</t>
  </si>
  <si>
    <t>893716437</t>
  </si>
  <si>
    <t>DS149 .L256 1972</t>
  </si>
  <si>
    <t>0                      DS 0149000L  256         1972</t>
  </si>
  <si>
    <t>A history of Zionism / [by] Walter Laqueur.</t>
  </si>
  <si>
    <t>Laqueur, Walter, 1921-2018.</t>
  </si>
  <si>
    <t>New York : Holt, Rinehart and Winston, [1972]</t>
  </si>
  <si>
    <t>1150911301:eng</t>
  </si>
  <si>
    <t>487000</t>
  </si>
  <si>
    <t>991002851019702656</t>
  </si>
  <si>
    <t>2255210290002656</t>
  </si>
  <si>
    <t>9780030916144</t>
  </si>
  <si>
    <t>32285000998723</t>
  </si>
  <si>
    <t>893352552</t>
  </si>
  <si>
    <t>DS149 .R32313 1996</t>
  </si>
  <si>
    <t>0                      DS 0149000R  32313       1996</t>
  </si>
  <si>
    <t>Messianism, Zionism, and Jewish religious radicalism / Aviezer Ravitzky ; translated by Michael Swirsky and Jonathan Chipman.</t>
  </si>
  <si>
    <t>Ravitzky, Aviezer.</t>
  </si>
  <si>
    <t>Chicago : University of Chicago Press, 1996.</t>
  </si>
  <si>
    <t>Chicago studies in the history of Judaism</t>
  </si>
  <si>
    <t>40097118:eng</t>
  </si>
  <si>
    <t>34149879</t>
  </si>
  <si>
    <t>991002606569702656</t>
  </si>
  <si>
    <t>2271515660002656</t>
  </si>
  <si>
    <t>9780226705774</t>
  </si>
  <si>
    <t>32285002373511</t>
  </si>
  <si>
    <t>893409302</t>
  </si>
  <si>
    <t>DS149 .R54513</t>
  </si>
  <si>
    <t>0                      DS 0149000R  54513</t>
  </si>
  <si>
    <t>Israel : a colonial-settler state? / Maxime Rodinson ; with an introd. by Peter Buch. [Translated from the French by David Thorstad.</t>
  </si>
  <si>
    <t>Rodinson, Maxime.</t>
  </si>
  <si>
    <t>New York : Monad Press ; distributed by Pathfinder Press, [1973]</t>
  </si>
  <si>
    <t>1st ed.]</t>
  </si>
  <si>
    <t>2007-11-15</t>
  </si>
  <si>
    <t>1991-02-14</t>
  </si>
  <si>
    <t>1718522:eng</t>
  </si>
  <si>
    <t>673646</t>
  </si>
  <si>
    <t>991003130879702656</t>
  </si>
  <si>
    <t>2269011150002656</t>
  </si>
  <si>
    <t>32285000510197</t>
  </si>
  <si>
    <t>893246050</t>
  </si>
  <si>
    <t>DS149 .S476</t>
  </si>
  <si>
    <t>0                      DS 0149000S  476</t>
  </si>
  <si>
    <t>Israel: the view from Masada.</t>
  </si>
  <si>
    <t>Sanders, Ronald, 1932-1991.</t>
  </si>
  <si>
    <t>New York, Harper &amp; Row [1966]</t>
  </si>
  <si>
    <t>181172403:eng</t>
  </si>
  <si>
    <t>712097</t>
  </si>
  <si>
    <t>991003182589702656</t>
  </si>
  <si>
    <t>2256816770002656</t>
  </si>
  <si>
    <t>32285002463783</t>
  </si>
  <si>
    <t>893799454</t>
  </si>
  <si>
    <t>DS149 .S49793 1979</t>
  </si>
  <si>
    <t>0                      DS 0149000S  49793       1979</t>
  </si>
  <si>
    <t>Coming home to Zion : a pictorial history of pre-Israel Palestine / Abraham Shulman.</t>
  </si>
  <si>
    <t>Shulman, Abraham.</t>
  </si>
  <si>
    <t>Garden City, N.Y. : Doubleday, 1979.</t>
  </si>
  <si>
    <t>1995-09-06</t>
  </si>
  <si>
    <t>1006947594:eng</t>
  </si>
  <si>
    <t>4495811</t>
  </si>
  <si>
    <t>991004657899702656</t>
  </si>
  <si>
    <t>2267969090002656</t>
  </si>
  <si>
    <t>9780385142564</t>
  </si>
  <si>
    <t>32285002092038</t>
  </si>
  <si>
    <t>893807328</t>
  </si>
  <si>
    <t>DS149 .S597 1974</t>
  </si>
  <si>
    <t>0                      DS 0149000S  597         1974</t>
  </si>
  <si>
    <t>Zionism; the dream and the reality; a Jewish critique; edited by Gary V. Smith.</t>
  </si>
  <si>
    <t>Smith, Gary V., compiler.</t>
  </si>
  <si>
    <t>Newton Abbot, [Eng.] David &amp; Charles; New York, Barnes &amp; Noble Books [1974]</t>
  </si>
  <si>
    <t>6397360:eng</t>
  </si>
  <si>
    <t>3207273</t>
  </si>
  <si>
    <t>991004378079702656</t>
  </si>
  <si>
    <t>2272127600002656</t>
  </si>
  <si>
    <t>9780064963749</t>
  </si>
  <si>
    <t>32285002463791</t>
  </si>
  <si>
    <t>893794782</t>
  </si>
  <si>
    <t>DS149 .V5</t>
  </si>
  <si>
    <t>0                      DS 0149000V  5</t>
  </si>
  <si>
    <t>The origins of Zionism / David Vital.</t>
  </si>
  <si>
    <t>Vital, David.</t>
  </si>
  <si>
    <t>Oxford [Eng.] : Clarendon Press, 1975.</t>
  </si>
  <si>
    <t>1993-04-01</t>
  </si>
  <si>
    <t>416226:eng</t>
  </si>
  <si>
    <t>2931318</t>
  </si>
  <si>
    <t>991004287809702656</t>
  </si>
  <si>
    <t>2266829210002656</t>
  </si>
  <si>
    <t>9780198271949</t>
  </si>
  <si>
    <t>32285001597003</t>
  </si>
  <si>
    <t>893775855</t>
  </si>
  <si>
    <t>DS149 .V515 1987</t>
  </si>
  <si>
    <t>0                      DS 0149000V  515         1987</t>
  </si>
  <si>
    <t>Zionism : the crucial phase / David Vital.</t>
  </si>
  <si>
    <t>3902653630:eng</t>
  </si>
  <si>
    <t>15630688</t>
  </si>
  <si>
    <t>991001048389702656</t>
  </si>
  <si>
    <t>2262359970002656</t>
  </si>
  <si>
    <t>9780198219323</t>
  </si>
  <si>
    <t>32285000335090</t>
  </si>
  <si>
    <t>893903262</t>
  </si>
  <si>
    <t>DS149 .V52 1982</t>
  </si>
  <si>
    <t>0                      DS 0149000V  52          1982</t>
  </si>
  <si>
    <t>Zionism, the formative years / David Vital.</t>
  </si>
  <si>
    <t>Oxford : Clarendon Press ; New York : Oxford University Press, 1982.</t>
  </si>
  <si>
    <t>416227:eng</t>
  </si>
  <si>
    <t>8552112</t>
  </si>
  <si>
    <t>991000014499702656</t>
  </si>
  <si>
    <t>2259438880002656</t>
  </si>
  <si>
    <t>9780198274438</t>
  </si>
  <si>
    <t>32285000335108</t>
  </si>
  <si>
    <t>893626155</t>
  </si>
  <si>
    <t>DS149.5.E85 B47 1997</t>
  </si>
  <si>
    <t>0                      DS 0149500E  85                 B  47          1997</t>
  </si>
  <si>
    <t>Western Jewry and the Zionist project, 1914-1933 / Michael Berkowitz.</t>
  </si>
  <si>
    <t>Berkowitz, Michael.</t>
  </si>
  <si>
    <t>Cambridge ; New York : Cambridge University Press, 1997.</t>
  </si>
  <si>
    <t>39539280:eng</t>
  </si>
  <si>
    <t>34471701</t>
  </si>
  <si>
    <t>991002628229702656</t>
  </si>
  <si>
    <t>2266294760002656</t>
  </si>
  <si>
    <t>9780521470872</t>
  </si>
  <si>
    <t>32285003486528</t>
  </si>
  <si>
    <t>893245410</t>
  </si>
  <si>
    <t>DS149.5.E85 E44 2003</t>
  </si>
  <si>
    <t>0                      DS 0149500E  85                 E  44          2003</t>
  </si>
  <si>
    <t>The emergence of modern Jewish politics : Bundism and Zionism in Eastern Europe / edited by Zvi Gitelman.</t>
  </si>
  <si>
    <t>Pittsbugh, Pa. : University of Pittsburgh Press, c2003.</t>
  </si>
  <si>
    <t>Pitt series in Russian and East European studies</t>
  </si>
  <si>
    <t>795425570:eng</t>
  </si>
  <si>
    <t>50204117</t>
  </si>
  <si>
    <t>991004159119702656</t>
  </si>
  <si>
    <t>2256763890002656</t>
  </si>
  <si>
    <t>9780822941880</t>
  </si>
  <si>
    <t>32285004798202</t>
  </si>
  <si>
    <t>893228996</t>
  </si>
  <si>
    <t>DS149.5.I75 S4413 2002</t>
  </si>
  <si>
    <t>0                      DS 0149500I  75                 S  4413        2002</t>
  </si>
  <si>
    <t>Elvis in Jerusalem : post-Zionism and the Americanization of Israel / Tom Segev ; translated by Haim Watzman.</t>
  </si>
  <si>
    <t>Segev, Tom, 1945-</t>
  </si>
  <si>
    <t>New York : Metropolitan Books, 2002.</t>
  </si>
  <si>
    <t>2007-04-22</t>
  </si>
  <si>
    <t>2002-06-27</t>
  </si>
  <si>
    <t>1001069:eng</t>
  </si>
  <si>
    <t>48965165</t>
  </si>
  <si>
    <t>991003821299702656</t>
  </si>
  <si>
    <t>2267263290002656</t>
  </si>
  <si>
    <t>9780805070200</t>
  </si>
  <si>
    <t>32285004495965</t>
  </si>
  <si>
    <t>893806255</t>
  </si>
  <si>
    <t>DS149.A1 K65 1990</t>
  </si>
  <si>
    <t>0                      DS 0149000A  1                  K  65          1990</t>
  </si>
  <si>
    <t>Jews against Zionism : the American Council for Judaism, 1942-1948 / Thomas A. Kolsky.</t>
  </si>
  <si>
    <t>Kolsky, Thomas A.</t>
  </si>
  <si>
    <t>Philadelphia : Temple University Press, 1990.</t>
  </si>
  <si>
    <t>1993-11-23</t>
  </si>
  <si>
    <t>8356080:eng</t>
  </si>
  <si>
    <t>20490845</t>
  </si>
  <si>
    <t>991001581649702656</t>
  </si>
  <si>
    <t>2257551660002656</t>
  </si>
  <si>
    <t>9780877226949</t>
  </si>
  <si>
    <t>32285001812519</t>
  </si>
  <si>
    <t>893522659</t>
  </si>
  <si>
    <t>DS149.A1 Z78</t>
  </si>
  <si>
    <t>0                      DS 0149000A  1                  Z  78</t>
  </si>
  <si>
    <t>Leadership of the American Zionist Organization, 1897-1930.</t>
  </si>
  <si>
    <t>Shapiro, Yonathan.</t>
  </si>
  <si>
    <t>Urbana : University of Illinois Press, [1971]</t>
  </si>
  <si>
    <t>1993-03-29</t>
  </si>
  <si>
    <t>1991-02-22</t>
  </si>
  <si>
    <t>1333050:eng</t>
  </si>
  <si>
    <t>148182</t>
  </si>
  <si>
    <t>991000832139702656</t>
  </si>
  <si>
    <t>2259928540002656</t>
  </si>
  <si>
    <t>9780252001321</t>
  </si>
  <si>
    <t>32285000499714</t>
  </si>
  <si>
    <t>893772015</t>
  </si>
  <si>
    <t>DS149.A4 I5 1977</t>
  </si>
  <si>
    <t>0                      DS 0149000A  4                  I  5           1977</t>
  </si>
  <si>
    <t>Zionism &amp; racism : proceedings of an international symposium ; [papers] / [Walter Lehn, editor].</t>
  </si>
  <si>
    <t>International Symposium on Zionism and Racism (1976 : Tripoli, Libya)</t>
  </si>
  <si>
    <t>Tripoli : International Organization for the Elimination of All Forms of Racial Discrimination, 1977.</t>
  </si>
  <si>
    <t xml:space="preserve">ly </t>
  </si>
  <si>
    <t>1992-03-10</t>
  </si>
  <si>
    <t>17334844:eng</t>
  </si>
  <si>
    <t>3620706</t>
  </si>
  <si>
    <t>991004478899702656</t>
  </si>
  <si>
    <t>2262274990002656</t>
  </si>
  <si>
    <t>32285000994490</t>
  </si>
  <si>
    <t>893712644</t>
  </si>
  <si>
    <t>DS150.R5 S52 1988</t>
  </si>
  <si>
    <t>0                      DS 0150000R  5                  S  52          1988</t>
  </si>
  <si>
    <t>Jabotinsky and the revisionist movement, 1925-1948 / Yaacov Shavit.</t>
  </si>
  <si>
    <t>Shaviṭ, Yaʻaḳov, 1944-</t>
  </si>
  <si>
    <t>London, England ; Totawa, N.J. : F. Cass, 1988.</t>
  </si>
  <si>
    <t>2000-11-13</t>
  </si>
  <si>
    <t>1996-05-16</t>
  </si>
  <si>
    <t>2698618:eng</t>
  </si>
  <si>
    <t>17621428</t>
  </si>
  <si>
    <t>991001242389702656</t>
  </si>
  <si>
    <t>2261061540002656</t>
  </si>
  <si>
    <t>9780714633251</t>
  </si>
  <si>
    <t>32285002168929</t>
  </si>
  <si>
    <t>893321772</t>
  </si>
  <si>
    <t>DS150.R56 H4513 1995</t>
  </si>
  <si>
    <t>0                      DS 0150000R  56                 H  4513        1995</t>
  </si>
  <si>
    <t>The Stern Gang : ideology, politics, and terror, 1940-1949 / Joseph Heller.</t>
  </si>
  <si>
    <t>Heller, Joseph, 1937-</t>
  </si>
  <si>
    <t>London ; Portland, Or. : Frank Cass, 1995.</t>
  </si>
  <si>
    <t>1996-09-26</t>
  </si>
  <si>
    <t>2700829:eng</t>
  </si>
  <si>
    <t>30544067</t>
  </si>
  <si>
    <t>991002345629702656</t>
  </si>
  <si>
    <t>2261268680002656</t>
  </si>
  <si>
    <t>9780714641065</t>
  </si>
  <si>
    <t>32285002320108</t>
  </si>
  <si>
    <t>893421238</t>
  </si>
  <si>
    <t>DS151.L44 A33 1975</t>
  </si>
  <si>
    <t>0                      DS 0151000L  44                 A  33          1975</t>
  </si>
  <si>
    <t>Childhood in exile / by Shmarya Levin.</t>
  </si>
  <si>
    <t>Levin, Shmarya, 1867-1935.</t>
  </si>
  <si>
    <t>New York : Arno Press, 1975 [c1929]</t>
  </si>
  <si>
    <t>2005-02-05</t>
  </si>
  <si>
    <t>2181692:eng</t>
  </si>
  <si>
    <t>1914796</t>
  </si>
  <si>
    <t>991003936329702656</t>
  </si>
  <si>
    <t>2255688200002656</t>
  </si>
  <si>
    <t>9780405067242</t>
  </si>
  <si>
    <t>32285002463833</t>
  </si>
  <si>
    <t>893506173</t>
  </si>
  <si>
    <t>DS151.R6 S3 1978</t>
  </si>
  <si>
    <t>0                      DS 0151000R  6                  S  3           1978</t>
  </si>
  <si>
    <t>Two Rothschilds and the land of Israel / by Simon Schama.</t>
  </si>
  <si>
    <t>Schama, Simon.</t>
  </si>
  <si>
    <t>New York : Knopf : distributed by Random House, 1978.</t>
  </si>
  <si>
    <t>2006-09-18</t>
  </si>
  <si>
    <t>4721055:eng</t>
  </si>
  <si>
    <t>4512790</t>
  </si>
  <si>
    <t>991004668379702656</t>
  </si>
  <si>
    <t>2271350260002656</t>
  </si>
  <si>
    <t>9780394501376</t>
  </si>
  <si>
    <t>32285000335116</t>
  </si>
  <si>
    <t>893513528</t>
  </si>
  <si>
    <t>DS153.3 .E27 1992</t>
  </si>
  <si>
    <t>0                      DS 0153300E  27          1992</t>
  </si>
  <si>
    <t>Early Edom and Moab : the beginning of the Iron age in Southern Jordan / edited by Piotr Bienkowski.</t>
  </si>
  <si>
    <t>Sheffield, [Eng.] : J. R. Collis : National Museums and Galleries on Merseyside, c1992.</t>
  </si>
  <si>
    <t>Sheffield archaeological monographs ; 7</t>
  </si>
  <si>
    <t>2003-01-09</t>
  </si>
  <si>
    <t>1997-06-16</t>
  </si>
  <si>
    <t>836928114:eng</t>
  </si>
  <si>
    <t>27649232</t>
  </si>
  <si>
    <t>991002146199702656</t>
  </si>
  <si>
    <t>2267291470002656</t>
  </si>
  <si>
    <t>9780906090459</t>
  </si>
  <si>
    <t>32285002751534</t>
  </si>
  <si>
    <t>893341080</t>
  </si>
  <si>
    <t>DS153.55.P34 M57</t>
  </si>
  <si>
    <t>0                      DS 0153550P  34                 M  57</t>
  </si>
  <si>
    <t>West Bank/East Bank : the Palestinians in Jordan, 1949-1967 / Shaul Mishal. --</t>
  </si>
  <si>
    <t>Mishal, Shaul, 1945-</t>
  </si>
  <si>
    <t>New Haven : Yale University Press, 1978.</t>
  </si>
  <si>
    <t>1990-04-30</t>
  </si>
  <si>
    <t>889344203:eng</t>
  </si>
  <si>
    <t>3380009</t>
  </si>
  <si>
    <t>991004419679702656</t>
  </si>
  <si>
    <t>2272733770002656</t>
  </si>
  <si>
    <t>9780300021912</t>
  </si>
  <si>
    <t>32285000128784</t>
  </si>
  <si>
    <t>893343816</t>
  </si>
  <si>
    <t>DS153.55.P34 P4 1981</t>
  </si>
  <si>
    <t>0                      DS 0153550P  34                 P  4           1981</t>
  </si>
  <si>
    <t>The Palestinian refugees in Jordan 1948-1957 / Avi Plascov.</t>
  </si>
  <si>
    <t>Plascov, Avi.</t>
  </si>
  <si>
    <t>London ; Totowa, N.J. : F. Cass, c1981.</t>
  </si>
  <si>
    <t>2010-11-20</t>
  </si>
  <si>
    <t>446597:eng</t>
  </si>
  <si>
    <t>7625031</t>
  </si>
  <si>
    <t>991005142299702656</t>
  </si>
  <si>
    <t>2262452730002656</t>
  </si>
  <si>
    <t>9780714631202</t>
  </si>
  <si>
    <t>32285000128792</t>
  </si>
  <si>
    <t>893783087</t>
  </si>
  <si>
    <t>DS154.2 .B65 1988</t>
  </si>
  <si>
    <t>0                      DS 0154200B  65          1988</t>
  </si>
  <si>
    <t>The early biblical community in Transjordan / Robert G. Boling.</t>
  </si>
  <si>
    <t>Boling, Robert G.</t>
  </si>
  <si>
    <t>Sheffield : Almond Press, 1988.</t>
  </si>
  <si>
    <t>The Social world of biblical antiquity , 0265-1408 ; 6</t>
  </si>
  <si>
    <t>1993-08-31</t>
  </si>
  <si>
    <t>15588362:eng</t>
  </si>
  <si>
    <t>17262214</t>
  </si>
  <si>
    <t>991001192909702656</t>
  </si>
  <si>
    <t>2268336670002656</t>
  </si>
  <si>
    <t>9781850750932</t>
  </si>
  <si>
    <t>32285000002393</t>
  </si>
  <si>
    <t>893684139</t>
  </si>
  <si>
    <t>DS154.2 .L38</t>
  </si>
  <si>
    <t>0                      DS 0154200L  38</t>
  </si>
  <si>
    <t>The Nabataeans in historical perspective.</t>
  </si>
  <si>
    <t>Lawlor, John Irving.</t>
  </si>
  <si>
    <t>Grand Rapids, Baker Book House [1974]</t>
  </si>
  <si>
    <t>Baker studies in Biblical archaeology</t>
  </si>
  <si>
    <t>2007-04-16</t>
  </si>
  <si>
    <t>1766853:eng</t>
  </si>
  <si>
    <t>836296</t>
  </si>
  <si>
    <t>991003312669702656</t>
  </si>
  <si>
    <t>2268927860002656</t>
  </si>
  <si>
    <t>9780801055362</t>
  </si>
  <si>
    <t>32285002455029</t>
  </si>
  <si>
    <t>893868294</t>
  </si>
  <si>
    <t>DS154.2 .M33 1994</t>
  </si>
  <si>
    <t>0                      DS 0154200M  33          1994</t>
  </si>
  <si>
    <t>Ammon, Moab, and Edom : early states/nations of Jordan in the biblical period (end of the 2nd and during the 1st millennium B.C.) / by Burton MacDonald.</t>
  </si>
  <si>
    <t>MacDonald, Burton, 1939-</t>
  </si>
  <si>
    <t>Amman : Al Kutba, 1994.</t>
  </si>
  <si>
    <t xml:space="preserve">jo </t>
  </si>
  <si>
    <t>1996-03-21</t>
  </si>
  <si>
    <t>36662312:eng</t>
  </si>
  <si>
    <t>32430317</t>
  </si>
  <si>
    <t>991002492199702656</t>
  </si>
  <si>
    <t>2256551120002656</t>
  </si>
  <si>
    <t>32285002145828</t>
  </si>
  <si>
    <t>893898812</t>
  </si>
  <si>
    <t>DS154.22 .B68 1983</t>
  </si>
  <si>
    <t>0                      DS 0154220B  68          1983</t>
  </si>
  <si>
    <t>Roman Arabia / G.W. Bowersock.</t>
  </si>
  <si>
    <t>Bowersock, G. W. (Glen Warren), 1936-</t>
  </si>
  <si>
    <t>Cambridge, Mass. : Harvard University Press, 1983.</t>
  </si>
  <si>
    <t>2683906:eng</t>
  </si>
  <si>
    <t>9080742</t>
  </si>
  <si>
    <t>991000122479702656</t>
  </si>
  <si>
    <t>2255566040002656</t>
  </si>
  <si>
    <t>9780674777552</t>
  </si>
  <si>
    <t>32285000335124</t>
  </si>
  <si>
    <t>893595303</t>
  </si>
  <si>
    <t>DS154.5 .R63 2004</t>
  </si>
  <si>
    <t>0                      DS 0154500R  63          2004</t>
  </si>
  <si>
    <t>A History of Jordan / Philip Robins.</t>
  </si>
  <si>
    <t>Robins, Philip.</t>
  </si>
  <si>
    <t>Cambridge, U.K. ; New York : Cambridge University Press, 2004.</t>
  </si>
  <si>
    <t>2004-06-09</t>
  </si>
  <si>
    <t>709310:eng</t>
  </si>
  <si>
    <t>54079507</t>
  </si>
  <si>
    <t>991004293939702656</t>
  </si>
  <si>
    <t>2267702440002656</t>
  </si>
  <si>
    <t>9780521591171</t>
  </si>
  <si>
    <t>32285004908397</t>
  </si>
  <si>
    <t>893869550</t>
  </si>
  <si>
    <t>DS154.52.N87 A3 2003</t>
  </si>
  <si>
    <t>0                      DS 0154520N  87                 A  3           2003</t>
  </si>
  <si>
    <t>Leap of faith : memoirs of an unexpected life / Queen Noor.</t>
  </si>
  <si>
    <t>Noor, Queen, consort of Hussein, King of Jordan, 1951-</t>
  </si>
  <si>
    <t>New York : Miramax Books, c2003.</t>
  </si>
  <si>
    <t>2006-03-08</t>
  </si>
  <si>
    <t>2003-06-16</t>
  </si>
  <si>
    <t>796384995:eng</t>
  </si>
  <si>
    <t>51830518</t>
  </si>
  <si>
    <t>991004058699702656</t>
  </si>
  <si>
    <t>2258600450002656</t>
  </si>
  <si>
    <t>9780786867172</t>
  </si>
  <si>
    <t>32285004752605</t>
  </si>
  <si>
    <t>893900743</t>
  </si>
  <si>
    <t>DS154.55 .B55 2002</t>
  </si>
  <si>
    <t>0                      DS 0154550B  55          2002</t>
  </si>
  <si>
    <t>The political legacy of King Hussein / Alexander Bligh.</t>
  </si>
  <si>
    <t>Bligh, Alexander, 1949-</t>
  </si>
  <si>
    <t>Brighton ; Portland, Or. : Sussex Academic Press, 2002.</t>
  </si>
  <si>
    <t>2004-10-07</t>
  </si>
  <si>
    <t>9578574:eng</t>
  </si>
  <si>
    <t>48871030</t>
  </si>
  <si>
    <t>991004368879702656</t>
  </si>
  <si>
    <t>2255850270002656</t>
  </si>
  <si>
    <t>9781902210728</t>
  </si>
  <si>
    <t>32285005001861</t>
  </si>
  <si>
    <t>893693865</t>
  </si>
  <si>
    <t>DS154.55 .D32 1999</t>
  </si>
  <si>
    <t>0                      DS 0154550D  32          1999</t>
  </si>
  <si>
    <t>King Hussein : a life on the edge / Roland Dallas.</t>
  </si>
  <si>
    <t>Dallas, Roland.</t>
  </si>
  <si>
    <t>New York : Fromm International, 1999.</t>
  </si>
  <si>
    <t>1st Fromm International ed.</t>
  </si>
  <si>
    <t>2002-10-09</t>
  </si>
  <si>
    <t>793119656:eng</t>
  </si>
  <si>
    <t>41712141</t>
  </si>
  <si>
    <t>991003884829702656</t>
  </si>
  <si>
    <t>2263023780002656</t>
  </si>
  <si>
    <t>9780880642422</t>
  </si>
  <si>
    <t>32285004653753</t>
  </si>
  <si>
    <t>893262997</t>
  </si>
  <si>
    <t>DS154.55 .D39 1986</t>
  </si>
  <si>
    <t>0                      DS 0154550D  39          1986</t>
  </si>
  <si>
    <t>East Bank/West Bank : Jordan and the prospects for peace / Arthur R. Day.</t>
  </si>
  <si>
    <t>Day, Arthur R.</t>
  </si>
  <si>
    <t>New York, N.Y. : Council on Foreign Relations, c1986.</t>
  </si>
  <si>
    <t>7328334:eng</t>
  </si>
  <si>
    <t>13426324</t>
  </si>
  <si>
    <t>991000828749702656</t>
  </si>
  <si>
    <t>2264603470002656</t>
  </si>
  <si>
    <t>9780876090176</t>
  </si>
  <si>
    <t>32285000128800</t>
  </si>
  <si>
    <t>893327630</t>
  </si>
  <si>
    <t>DS154.55.H8 L86 1989</t>
  </si>
  <si>
    <t>0                      DS 0154550H  8                  L  86          1989</t>
  </si>
  <si>
    <t>Hussein of Jordan : searching for a just and lasting peace / James Lunt.</t>
  </si>
  <si>
    <t>Lunt, James, 1917-2001.</t>
  </si>
  <si>
    <t>New York : W. Morrow, c1989.</t>
  </si>
  <si>
    <t>1999-02-15</t>
  </si>
  <si>
    <t>1990-08-15</t>
  </si>
  <si>
    <t>3943491118:eng</t>
  </si>
  <si>
    <t>20072505</t>
  </si>
  <si>
    <t>991001535809702656</t>
  </si>
  <si>
    <t>2272336930002656</t>
  </si>
  <si>
    <t>9780688064983</t>
  </si>
  <si>
    <t>32285000243633</t>
  </si>
  <si>
    <t>893709338</t>
  </si>
  <si>
    <t>DS154.9.A24 W56 2001</t>
  </si>
  <si>
    <t>0                      DS 0154900A  24                 W  56          2001</t>
  </si>
  <si>
    <t>Ancient Abila : an archeological history / John D. Wineland.</t>
  </si>
  <si>
    <t>Wineland, John Dennis.</t>
  </si>
  <si>
    <t>Oxford, England : Archeopress : Available from Hadrian Books, 2001.</t>
  </si>
  <si>
    <t>BAR international series ; 989</t>
  </si>
  <si>
    <t>2004-02-11</t>
  </si>
  <si>
    <t>144855701:eng</t>
  </si>
  <si>
    <t>49727128</t>
  </si>
  <si>
    <t>991004219459702656</t>
  </si>
  <si>
    <t>2264738510002656</t>
  </si>
  <si>
    <t>9781841712741</t>
  </si>
  <si>
    <t>32285004637756</t>
  </si>
  <si>
    <t>893706117</t>
  </si>
  <si>
    <t>DS154.9.B37 M34 1986</t>
  </si>
  <si>
    <t>0                      DS 0154900B  37                 M  34          1986</t>
  </si>
  <si>
    <t>The late bronze and early iron ages of central Transjordan, the Baqʻah Valley project, 1977-1981 / Patrick E. McGovern ; with contributions by Robin M. Brown ... [et al.].</t>
  </si>
  <si>
    <t>McGovern, Patrick E.</t>
  </si>
  <si>
    <t>Philadelphia : University Museum, University of Pennsylvania, 1986.</t>
  </si>
  <si>
    <t>University Museum monograph ; 65</t>
  </si>
  <si>
    <t>1998-09-03</t>
  </si>
  <si>
    <t>9917808:eng</t>
  </si>
  <si>
    <t>15657067</t>
  </si>
  <si>
    <t>991001052129702656</t>
  </si>
  <si>
    <t>2264313710002656</t>
  </si>
  <si>
    <t>9780934718752</t>
  </si>
  <si>
    <t>32285003465563</t>
  </si>
  <si>
    <t>893407787</t>
  </si>
  <si>
    <t>DS154.9.E83 P73 1993</t>
  </si>
  <si>
    <t>0                      DS 0154900E  83                 P  73          1993</t>
  </si>
  <si>
    <t>Nelson Glueck's 1938-1940 excavations at Tell el-Kheleifeh : a reappraisal / Gary D. Pratico ; with contributions by Robert A. DiVito ... [et al.].</t>
  </si>
  <si>
    <t>Pratico, Gary Davis.</t>
  </si>
  <si>
    <t>Atlanta, Ga. : Scholars Press, c1993.</t>
  </si>
  <si>
    <t>American Schools of Oriental Research archaeological reports ; no. 03</t>
  </si>
  <si>
    <t>1999-11-23</t>
  </si>
  <si>
    <t>1998-03-31</t>
  </si>
  <si>
    <t>368697670:eng</t>
  </si>
  <si>
    <t>28222294</t>
  </si>
  <si>
    <t>991002195849702656</t>
  </si>
  <si>
    <t>2264029620002656</t>
  </si>
  <si>
    <t>32285003381844</t>
  </si>
  <si>
    <t>893433592</t>
  </si>
  <si>
    <t>DS154.9.S22 P75 1985</t>
  </si>
  <si>
    <t>0                      DS 0154900S  22                 P  75          1985</t>
  </si>
  <si>
    <t>Tell es-Saʻidiyeh : excavations on the Tell, 1964-1966 / James B. Pritchard.</t>
  </si>
  <si>
    <t>Pritchard, James B. (James Bennett), 1909-1997.</t>
  </si>
  <si>
    <t>Philadelphia : University Museum, University of Pennsylvania, 1985.</t>
  </si>
  <si>
    <t>University Museum monograph ; 60</t>
  </si>
  <si>
    <t>806963125:eng</t>
  </si>
  <si>
    <t>11549075</t>
  </si>
  <si>
    <t>991000553659702656</t>
  </si>
  <si>
    <t>2261837260002656</t>
  </si>
  <si>
    <t>9780934718608</t>
  </si>
  <si>
    <t>32285003465514</t>
  </si>
  <si>
    <t>893714689</t>
  </si>
  <si>
    <t>DS154.9.U45 U46 1998, v...</t>
  </si>
  <si>
    <t>0                      DS 0154900U  45                 U  46          1998                  v...</t>
  </si>
  <si>
    <t>Umm el-Jimal : a frontier town and its landscape in northern Jordan.</t>
  </si>
  <si>
    <t>Portsmouth, R.I. : Journal of Roman Archaeology, 1998-</t>
  </si>
  <si>
    <t>riu</t>
  </si>
  <si>
    <t>Journal of Roman archaeology. Supplementary series ; no. 26</t>
  </si>
  <si>
    <t>2002-08-24</t>
  </si>
  <si>
    <t>1999-01-07</t>
  </si>
  <si>
    <t>3702154723:eng</t>
  </si>
  <si>
    <t>39049661</t>
  </si>
  <si>
    <t>991002935669702656</t>
  </si>
  <si>
    <t>2271624850002656</t>
  </si>
  <si>
    <t>9781887829267</t>
  </si>
  <si>
    <t>32285003510632</t>
  </si>
  <si>
    <t>893505000</t>
  </si>
  <si>
    <t>DS155 .M3</t>
  </si>
  <si>
    <t>0                      DS 0155000M  3</t>
  </si>
  <si>
    <t>Roman rule in Asia Minor, to the end of the third century after Christ.</t>
  </si>
  <si>
    <t>Magie, David, 1877-</t>
  </si>
  <si>
    <t>Princeton, Princeton University Press, 1950.</t>
  </si>
  <si>
    <t>1996-12-13</t>
  </si>
  <si>
    <t>2282071:eng</t>
  </si>
  <si>
    <t>615012</t>
  </si>
  <si>
    <t>991003056909702656</t>
  </si>
  <si>
    <t>2267340290002656</t>
  </si>
  <si>
    <t>32285001385607</t>
  </si>
  <si>
    <t>893233789</t>
  </si>
  <si>
    <t>32285001385615</t>
  </si>
  <si>
    <t>893227634</t>
  </si>
  <si>
    <t>DS155 .U73 2001</t>
  </si>
  <si>
    <t>0                      DS 0155000U  73          2001</t>
  </si>
  <si>
    <t>Urbanism in Western Asia Minor : new studies on Aphrodisias, Ephesos, Hierapolis, Pergamon, Perge, and Xanthos / edited by David Parrish, with contributions by H. Abbasoğlu ... [et al.].</t>
  </si>
  <si>
    <t>Portsmouth, R.I. : Journal of Roman Archaeology, 2001.</t>
  </si>
  <si>
    <t>Journal of Roman archaeology. Supplementary series, 1063-4304 ; no. 45</t>
  </si>
  <si>
    <t>2009-03-23</t>
  </si>
  <si>
    <t>892633814:eng</t>
  </si>
  <si>
    <t>48954179</t>
  </si>
  <si>
    <t>991004691129702656</t>
  </si>
  <si>
    <t>2267594410002656</t>
  </si>
  <si>
    <t>9781887829458</t>
  </si>
  <si>
    <t>32285005180905</t>
  </si>
  <si>
    <t>893801230</t>
  </si>
  <si>
    <t>DS156.C3 V356 2003</t>
  </si>
  <si>
    <t>0                      DS 0156000C  3                  V  356         2003</t>
  </si>
  <si>
    <t>Families and friends in late Roman Cappadocia / Raymond Van Dam.</t>
  </si>
  <si>
    <t>Van Dam, Raymond.</t>
  </si>
  <si>
    <t>Philadelphia : University of Pennsylvania Press, 2003.</t>
  </si>
  <si>
    <t>2008-02-01</t>
  </si>
  <si>
    <t>2008-01-09</t>
  </si>
  <si>
    <t>706084:eng</t>
  </si>
  <si>
    <t>50866851</t>
  </si>
  <si>
    <t>991005165289702656</t>
  </si>
  <si>
    <t>2260244440002656</t>
  </si>
  <si>
    <t>9780812237122</t>
  </si>
  <si>
    <t>32285005376115</t>
  </si>
  <si>
    <t>893350843</t>
  </si>
  <si>
    <t>DS156.C33 R89 1992</t>
  </si>
  <si>
    <t>0                      DS 0156000C  33                 R  89          1992</t>
  </si>
  <si>
    <t>Politics of a Persian dynasty : the Hecatomnids in the Fourth Century B.C. / Stephen Ruzicka.</t>
  </si>
  <si>
    <t>Ruzicka, Stephen, 1946-</t>
  </si>
  <si>
    <t>Norman, OK : University of Oklahoma Press, 1992.</t>
  </si>
  <si>
    <t>oku</t>
  </si>
  <si>
    <t>Oklahoma series in classical culture ; v. 14</t>
  </si>
  <si>
    <t>1996-01-22</t>
  </si>
  <si>
    <t>1993-01-18</t>
  </si>
  <si>
    <t>799684770:eng</t>
  </si>
  <si>
    <t>25788421</t>
  </si>
  <si>
    <t>991002027129702656</t>
  </si>
  <si>
    <t>2254735500002656</t>
  </si>
  <si>
    <t>9780806124605</t>
  </si>
  <si>
    <t>32285001486991</t>
  </si>
  <si>
    <t>893804142</t>
  </si>
  <si>
    <t>DS156.L8 O54 1992</t>
  </si>
  <si>
    <t>0                      DS 0156000L  8                  O  54          1992</t>
  </si>
  <si>
    <t>Lycia : western section of the southern coast of Turkey / Ü. Önen.</t>
  </si>
  <si>
    <t>Önen, Ülgür, 1938-</t>
  </si>
  <si>
    <t>Istanbul : NET Turistik Yayinlar : Akademia, 1992.</t>
  </si>
  <si>
    <t xml:space="preserve">tu </t>
  </si>
  <si>
    <t>1994-03-22</t>
  </si>
  <si>
    <t>24571022:eng</t>
  </si>
  <si>
    <t>23136693</t>
  </si>
  <si>
    <t>991001839889702656</t>
  </si>
  <si>
    <t>2260413610002656</t>
  </si>
  <si>
    <t>9789754790894</t>
  </si>
  <si>
    <t>32285001857027</t>
  </si>
  <si>
    <t>893420668</t>
  </si>
  <si>
    <t>DS156.P4 B39 1992</t>
  </si>
  <si>
    <t>0                      DS 0156000P  4                  B  39          1992</t>
  </si>
  <si>
    <t>Pergamon / Vehbi Bayraktar.</t>
  </si>
  <si>
    <t>Bayraktar, Vehbi.</t>
  </si>
  <si>
    <t>Istanbul : NET, Turkistik Yayinlar, 1992, c1987.</t>
  </si>
  <si>
    <t>6th ed.</t>
  </si>
  <si>
    <t>2008-11-24</t>
  </si>
  <si>
    <t>22049750:eng</t>
  </si>
  <si>
    <t>27030061</t>
  </si>
  <si>
    <t>991002107479702656</t>
  </si>
  <si>
    <t>2265241540002656</t>
  </si>
  <si>
    <t>9789754790146</t>
  </si>
  <si>
    <t>32285001856995</t>
  </si>
  <si>
    <t>893420953</t>
  </si>
  <si>
    <t>DS156.P4 P46 1998</t>
  </si>
  <si>
    <t>0                      DS 0156000P  4                  P  46          1998</t>
  </si>
  <si>
    <t>Pergamon citadel of the gods : archaelogical record, literary description, and religious development / edited by Helmut Koester.</t>
  </si>
  <si>
    <t>Harrisburg, Pa. : Trinity Press International, c1998.</t>
  </si>
  <si>
    <t>Harvard theological studies ; 46</t>
  </si>
  <si>
    <t>2000-10-24</t>
  </si>
  <si>
    <t>891987764:eng</t>
  </si>
  <si>
    <t>39786706</t>
  </si>
  <si>
    <t>991003229069702656</t>
  </si>
  <si>
    <t>2270174890002656</t>
  </si>
  <si>
    <t>9781563382611</t>
  </si>
  <si>
    <t>32285003769766</t>
  </si>
  <si>
    <t>893899746</t>
  </si>
  <si>
    <t>DS156.S3 A8 1983</t>
  </si>
  <si>
    <t>0                      DS 0156000S  3                  A  8           1983</t>
  </si>
  <si>
    <t>Sardis from prehistoric to Roman times : results of the Archaeological Exploration of Sardis, 1958-1975 / George M.A. Hanfmann ; assisted by William E. Mierse ; with contributions by Clive Foss ...[et al.].</t>
  </si>
  <si>
    <t>Archaeological Exploration of Sardis (Program)</t>
  </si>
  <si>
    <t>2007-09-07</t>
  </si>
  <si>
    <t>836642668:eng</t>
  </si>
  <si>
    <t>8495228</t>
  </si>
  <si>
    <t>991005252679702656</t>
  </si>
  <si>
    <t>2260769260002656</t>
  </si>
  <si>
    <t>9780674789258</t>
  </si>
  <si>
    <t>32285000335199</t>
  </si>
  <si>
    <t>893600886</t>
  </si>
  <si>
    <t>DS156.S3 D87 2003</t>
  </si>
  <si>
    <t>0                      DS 0156000S  3                  D  87          2003</t>
  </si>
  <si>
    <t>Aspects of empire in Achaemenid Sardis / Elspeth R.M. Dusinberre.</t>
  </si>
  <si>
    <t>Dusinberre, Elspeth R. M.</t>
  </si>
  <si>
    <t>Cambridge, UK ; New York : Cambridge University Press, 2003.</t>
  </si>
  <si>
    <t>2005-11-07</t>
  </si>
  <si>
    <t>1028668:eng</t>
  </si>
  <si>
    <t>49942305</t>
  </si>
  <si>
    <t>991004683329702656</t>
  </si>
  <si>
    <t>2272500010002656</t>
  </si>
  <si>
    <t>9780521009003</t>
  </si>
  <si>
    <t>32285005144562</t>
  </si>
  <si>
    <t>893417873</t>
  </si>
  <si>
    <t>DS156.S3 F67</t>
  </si>
  <si>
    <t>0                      DS 0156000S  3                  F  67</t>
  </si>
  <si>
    <t>Byzantine and Turkish Sardis / Clive Foss.</t>
  </si>
  <si>
    <t>Foss, Clive.</t>
  </si>
  <si>
    <t>Monograph - Archaeological Exploration of Sardis ; 4</t>
  </si>
  <si>
    <t>2233268:eng</t>
  </si>
  <si>
    <t>1341510</t>
  </si>
  <si>
    <t>991003704839702656</t>
  </si>
  <si>
    <t>2262414730002656</t>
  </si>
  <si>
    <t>9780674089693</t>
  </si>
  <si>
    <t>32285000335207</t>
  </si>
  <si>
    <t>893900265</t>
  </si>
  <si>
    <t>DS156.S3 P4</t>
  </si>
  <si>
    <t>0                      DS 0156000S  3                  P  4</t>
  </si>
  <si>
    <t>Sardis in the age of Croesus.</t>
  </si>
  <si>
    <t>Pedley, John Griffiths.</t>
  </si>
  <si>
    <t>Norman, University of Oklahoma Press [1968]</t>
  </si>
  <si>
    <t>The Centers of civilization series</t>
  </si>
  <si>
    <t>2002-10-12</t>
  </si>
  <si>
    <t>1460470:eng</t>
  </si>
  <si>
    <t>411993</t>
  </si>
  <si>
    <t>991002718899702656</t>
  </si>
  <si>
    <t>2264650650002656</t>
  </si>
  <si>
    <t>32285002455086</t>
  </si>
  <si>
    <t>893498469</t>
  </si>
  <si>
    <t>DS175 .L35 1978</t>
  </si>
  <si>
    <t>0                      DS 0175000L  35          1978</t>
  </si>
  <si>
    <t>Armenia, cradle of civilization / by David Marshall Lang.</t>
  </si>
  <si>
    <t>Lang, David Marshall.</t>
  </si>
  <si>
    <t>London ; Boston : Allen &amp; Unwin, c1978.</t>
  </si>
  <si>
    <t>2d ed., corr.</t>
  </si>
  <si>
    <t>2008-06-25</t>
  </si>
  <si>
    <t>2909413193:eng</t>
  </si>
  <si>
    <t>4158025</t>
  </si>
  <si>
    <t>991004598379702656</t>
  </si>
  <si>
    <t>2255131340002656</t>
  </si>
  <si>
    <t>9780049560086</t>
  </si>
  <si>
    <t>32285000335215</t>
  </si>
  <si>
    <t>893901416</t>
  </si>
  <si>
    <t>DS181 .K47</t>
  </si>
  <si>
    <t>0                      DS 0181000K  47</t>
  </si>
  <si>
    <t>Armênia e Roma, relações políticas nos anos de 190-A.C. - 387-D.C. / Yessai Ohannes Kerouzian. --</t>
  </si>
  <si>
    <t>Kerouzian, Yessai Ohannes.</t>
  </si>
  <si>
    <t>Saõ Paulo : Facvldade de Filosofia, Ciências e Letras da Universidade de Saõ Paulo, 1977.</t>
  </si>
  <si>
    <t>por</t>
  </si>
  <si>
    <t xml:space="preserve">bl </t>
  </si>
  <si>
    <t>Saõ Paulo, Brazil (City). Universidade. Faculdade de Filosofia, Ciências e Letras. Boletim no.8 nova série.</t>
  </si>
  <si>
    <t>1993-01-21</t>
  </si>
  <si>
    <t>14675127:por</t>
  </si>
  <si>
    <t>5709873</t>
  </si>
  <si>
    <t>991004623339702656</t>
  </si>
  <si>
    <t>2265023840002656</t>
  </si>
  <si>
    <t>32285000335223</t>
  </si>
  <si>
    <t>893810604</t>
  </si>
  <si>
    <t>DS181 .P3813 1989</t>
  </si>
  <si>
    <t>0                      DS 0181000P  3813        1989</t>
  </si>
  <si>
    <t>The epic histories attributed to Pʻawstos Buzand (Buzandaran patmutʻiwnkʻ) / translation and commentary by Nina G. Garsoïan.</t>
  </si>
  <si>
    <t>Pʻawstos, Buzandatsʻi.</t>
  </si>
  <si>
    <t>Cambridge, Mass. : Distributed for the Dept. of Near Eastern Languages and Civilizations, Harvard University by Harvard University Press, 1989.</t>
  </si>
  <si>
    <t>Harvard Armenian texts and studies ; 8</t>
  </si>
  <si>
    <t>2004-04-14</t>
  </si>
  <si>
    <t>1992-02-10</t>
  </si>
  <si>
    <t>4916655211:eng</t>
  </si>
  <si>
    <t>22544415</t>
  </si>
  <si>
    <t>991001791799702656</t>
  </si>
  <si>
    <t>2270461940002656</t>
  </si>
  <si>
    <t>9780674258655</t>
  </si>
  <si>
    <t>32285000869395</t>
  </si>
  <si>
    <t>893529237</t>
  </si>
  <si>
    <t>DS19 .L3 1940</t>
  </si>
  <si>
    <t>0                      DS 0019000L  3           1940</t>
  </si>
  <si>
    <t>The march of the barbarians / by Harold Lamb.</t>
  </si>
  <si>
    <t>Lamb, Harold, 1892-1962.</t>
  </si>
  <si>
    <t>New York : Doubleday, Doran &amp; Company, inc., 1940.</t>
  </si>
  <si>
    <t>1998-02-16</t>
  </si>
  <si>
    <t>1994-12-01</t>
  </si>
  <si>
    <t>1407413:eng</t>
  </si>
  <si>
    <t>247956</t>
  </si>
  <si>
    <t>991001928509702656</t>
  </si>
  <si>
    <t>2257946190002656</t>
  </si>
  <si>
    <t>32285001969905</t>
  </si>
  <si>
    <t>893250619</t>
  </si>
  <si>
    <t>DS19 .S27</t>
  </si>
  <si>
    <t>0                      DS 0019000S  27</t>
  </si>
  <si>
    <t>The history of the Mongol conquests / J. J. Saunders.</t>
  </si>
  <si>
    <t>Saunders, J. J. (John Joseph), 1910-1972.</t>
  </si>
  <si>
    <t>London : Routledge &amp; K. Paul, c1971.</t>
  </si>
  <si>
    <t>1403421:eng</t>
  </si>
  <si>
    <t>246988</t>
  </si>
  <si>
    <t>991001926809702656</t>
  </si>
  <si>
    <t>2257523070002656</t>
  </si>
  <si>
    <t>9780710070739</t>
  </si>
  <si>
    <t>32285000291186</t>
  </si>
  <si>
    <t>893316171</t>
  </si>
  <si>
    <t>DS194 .W34 1980</t>
  </si>
  <si>
    <t>0                      DS 0194000W  34          1980</t>
  </si>
  <si>
    <t>Armenia, the survival of a nation / Christopher J. Walker.</t>
  </si>
  <si>
    <t>Walker, Christopher J., 1942-2017.</t>
  </si>
  <si>
    <t>12697116:eng</t>
  </si>
  <si>
    <t>6280619</t>
  </si>
  <si>
    <t>991004957259702656</t>
  </si>
  <si>
    <t>2256107040002656</t>
  </si>
  <si>
    <t>9780312049478</t>
  </si>
  <si>
    <t>32285000335231</t>
  </si>
  <si>
    <t>893501134</t>
  </si>
  <si>
    <t>DS195 .F45 1987</t>
  </si>
  <si>
    <t>0                      DS 0195000F  45          1987</t>
  </si>
  <si>
    <t>A myth of terror : Armenian extremism: its causes and its historical context : an illustrated exposé / by Erich Feigl.</t>
  </si>
  <si>
    <t>Feigl, Erich.</t>
  </si>
  <si>
    <t>Freilassing [West Germany] ; Salzburg : Edition Zeitgeschichte, [1987?]</t>
  </si>
  <si>
    <t xml:space="preserve">au </t>
  </si>
  <si>
    <t>17162465:eng</t>
  </si>
  <si>
    <t>24848929</t>
  </si>
  <si>
    <t>991001244179702656</t>
  </si>
  <si>
    <t>2258276580002656</t>
  </si>
  <si>
    <t>32285000335249</t>
  </si>
  <si>
    <t>893891426</t>
  </si>
  <si>
    <t>DS203 .R39 2001</t>
  </si>
  <si>
    <t>0                      DS 0203000R  39          2001</t>
  </si>
  <si>
    <t>Living &amp; working in Saudi Arabia : your guide to a successful short or long-term stay / Rosalie Rayburn.</t>
  </si>
  <si>
    <t>Rayburn, Rosalie.</t>
  </si>
  <si>
    <t>Oxford : How To Books, 2001.</t>
  </si>
  <si>
    <t>How to books</t>
  </si>
  <si>
    <t>2002-04-02</t>
  </si>
  <si>
    <t>693929:eng</t>
  </si>
  <si>
    <t>47271887</t>
  </si>
  <si>
    <t>991003716519702656</t>
  </si>
  <si>
    <t>2263298890002656</t>
  </si>
  <si>
    <t>9781857036763</t>
  </si>
  <si>
    <t>32285004459128</t>
  </si>
  <si>
    <t>893258762</t>
  </si>
  <si>
    <t>DS204 .A68 1986</t>
  </si>
  <si>
    <t>0                      DS 0204000A  68          1986</t>
  </si>
  <si>
    <t>Arabia and the Gulf : from traditional society to modern states / edited by Ian Richard Netton.</t>
  </si>
  <si>
    <t>Totowa, N.J. : Barnes &amp; Noble, 1986.</t>
  </si>
  <si>
    <t>2006-10-03</t>
  </si>
  <si>
    <t>836647155:eng</t>
  </si>
  <si>
    <t>13793770</t>
  </si>
  <si>
    <t>991000872379702656</t>
  </si>
  <si>
    <t>2272080700002656</t>
  </si>
  <si>
    <t>9780389206583</t>
  </si>
  <si>
    <t>32285000335256</t>
  </si>
  <si>
    <t>893346050</t>
  </si>
  <si>
    <t>DS204 .C5</t>
  </si>
  <si>
    <t>0                      DS 0204000C  5</t>
  </si>
  <si>
    <t>Saudi Arabia / Frank A. Clements.</t>
  </si>
  <si>
    <t>Clements, Frank, 1942-</t>
  </si>
  <si>
    <t>Oxford, Eng. ; Santa Barbara, Calif. : Clio Press, c1979.</t>
  </si>
  <si>
    <t>World bibliographical series ; v. 5</t>
  </si>
  <si>
    <t>2004-02-16</t>
  </si>
  <si>
    <t>1998-04-02</t>
  </si>
  <si>
    <t>1063341:eng</t>
  </si>
  <si>
    <t>5382313</t>
  </si>
  <si>
    <t>991001755629702656</t>
  </si>
  <si>
    <t>2267257940002656</t>
  </si>
  <si>
    <t>9780903450157</t>
  </si>
  <si>
    <t>32285003371258</t>
  </si>
  <si>
    <t>893703301</t>
  </si>
  <si>
    <t>DS204 .K56 1990</t>
  </si>
  <si>
    <t>0                      DS 0204000K  56          1990</t>
  </si>
  <si>
    <t>The Kingdom of Saudi Arabia.</t>
  </si>
  <si>
    <t>London ; Atlantic Highlands, NJ : Stacey International, 1990.</t>
  </si>
  <si>
    <t>2003-12-01</t>
  </si>
  <si>
    <t>1990-10-26</t>
  </si>
  <si>
    <t>375127110:eng</t>
  </si>
  <si>
    <t>20824961</t>
  </si>
  <si>
    <t>991001621479702656</t>
  </si>
  <si>
    <t>2259950620002656</t>
  </si>
  <si>
    <t>9780905743592</t>
  </si>
  <si>
    <t>32285000311679</t>
  </si>
  <si>
    <t>893322088</t>
  </si>
  <si>
    <t>DS204 .L5</t>
  </si>
  <si>
    <t>0                      DS 0204000L  5</t>
  </si>
  <si>
    <t>Saudi Arabia, its people, its society, its culture / George A. Lipsky ; in collaboration with Moukhtar Ani ... [et al.].</t>
  </si>
  <si>
    <t>Lipsky, George A. (George Arthur), 1912-</t>
  </si>
  <si>
    <t>New Haven : HRAF Press, c1959.</t>
  </si>
  <si>
    <t>Survey of world cultures ; 4</t>
  </si>
  <si>
    <t>1993-01-23</t>
  </si>
  <si>
    <t>1455003:eng</t>
  </si>
  <si>
    <t>410748</t>
  </si>
  <si>
    <t>991002713979702656</t>
  </si>
  <si>
    <t>2262577860002656</t>
  </si>
  <si>
    <t>32285001477032</t>
  </si>
  <si>
    <t>893603913</t>
  </si>
  <si>
    <t>DS204 .M23 1987</t>
  </si>
  <si>
    <t>0                      DS 0204000M  23          1987</t>
  </si>
  <si>
    <t>The Saudis : inside the desert kingdom / Sandra Mackey.</t>
  </si>
  <si>
    <t>Mackey, Sandra, 1937-</t>
  </si>
  <si>
    <t>2003-10-27</t>
  </si>
  <si>
    <t>793858509:eng</t>
  </si>
  <si>
    <t>15018174</t>
  </si>
  <si>
    <t>991000979449702656</t>
  </si>
  <si>
    <t>2262977950002656</t>
  </si>
  <si>
    <t>9780395411650</t>
  </si>
  <si>
    <t>32285000181668</t>
  </si>
  <si>
    <t>893321542</t>
  </si>
  <si>
    <t>DS204 .M29</t>
  </si>
  <si>
    <t>0                      DS 0204000M  29</t>
  </si>
  <si>
    <t>The new Arabians / by Peter Mansfield.</t>
  </si>
  <si>
    <t>Mansfield, Peter, 1928-</t>
  </si>
  <si>
    <t>Chicago : J.G. Ferguson Pub. Co. ; New York : Distributed by Doubleday, 1981.</t>
  </si>
  <si>
    <t>6255219:eng</t>
  </si>
  <si>
    <t>8196643</t>
  </si>
  <si>
    <t>991005217759702656</t>
  </si>
  <si>
    <t>2267760180002656</t>
  </si>
  <si>
    <t>9780385179119</t>
  </si>
  <si>
    <t>32285000335280</t>
  </si>
  <si>
    <t>893326394</t>
  </si>
  <si>
    <t>DS204 .S28 1993</t>
  </si>
  <si>
    <t>0                      DS 0204000S  28          1993</t>
  </si>
  <si>
    <t>Saudi Arabia : a kingdom in transition.</t>
  </si>
  <si>
    <t>Beltsville, Maryland. : Amana Publications, 1993.</t>
  </si>
  <si>
    <t>2004-06-28</t>
  </si>
  <si>
    <t>1995-02-01</t>
  </si>
  <si>
    <t>55895947:eng</t>
  </si>
  <si>
    <t>31906290</t>
  </si>
  <si>
    <t>991002437499702656</t>
  </si>
  <si>
    <t>2260477710002656</t>
  </si>
  <si>
    <t>32285001974913</t>
  </si>
  <si>
    <t>893591345</t>
  </si>
  <si>
    <t>DS204.25 .W96 2004</t>
  </si>
  <si>
    <t>0                      DS 0204250W  96          2004</t>
  </si>
  <si>
    <t>A brief history of Saudi Arabia / James Wynbrandt ; foreword by Fawaz A. Gerges.</t>
  </si>
  <si>
    <t>Wynbrandt, James.</t>
  </si>
  <si>
    <t>New York : Facts On File, c2004.</t>
  </si>
  <si>
    <t>2008-05-19</t>
  </si>
  <si>
    <t>709029:eng</t>
  </si>
  <si>
    <t>53223452</t>
  </si>
  <si>
    <t>991005223329702656</t>
  </si>
  <si>
    <t>2263780730002656</t>
  </si>
  <si>
    <t>9780816052035</t>
  </si>
  <si>
    <t>32285005409619</t>
  </si>
  <si>
    <t>893412524</t>
  </si>
  <si>
    <t>DS207 .B964</t>
  </si>
  <si>
    <t>0                      DS 0207000B  964</t>
  </si>
  <si>
    <t>Personal narrative of a pilgrimage to al-Madinah &amp; Meccah, by Sir Richard F. Burton. Edited by his wife, Isabel Burton.</t>
  </si>
  <si>
    <t>Burton, Richard Francis, Sir, 1821-1890.</t>
  </si>
  <si>
    <t>New York, Dover Publications [1964]</t>
  </si>
  <si>
    <t>Memorial ed.</t>
  </si>
  <si>
    <t>2000-11-21</t>
  </si>
  <si>
    <t>5620535543:eng</t>
  </si>
  <si>
    <t>186144</t>
  </si>
  <si>
    <t>991001158489702656</t>
  </si>
  <si>
    <t>2269418470002656</t>
  </si>
  <si>
    <t>9780486212173</t>
  </si>
  <si>
    <t>32285002455136</t>
  </si>
  <si>
    <t>893334111</t>
  </si>
  <si>
    <t>DS207 .B964 V.2</t>
  </si>
  <si>
    <t>0                      DS 0207000B  964                                                     V.2</t>
  </si>
  <si>
    <t>V.2*</t>
  </si>
  <si>
    <t>32285002455144</t>
  </si>
  <si>
    <t>893340200</t>
  </si>
  <si>
    <t>DS207 .S4 1930a</t>
  </si>
  <si>
    <t>0                      DS 0207000S  4           1930a</t>
  </si>
  <si>
    <t>Adventures in Arabia among the Bedouins, Druses, whirling dervishes, &amp; Yezidee devil worshipers / by W. B. Seabrook.</t>
  </si>
  <si>
    <t>Seabrook, William, 1884-1945.</t>
  </si>
  <si>
    <t>New York : Blue Ribbon Books, c1930.</t>
  </si>
  <si>
    <t>1930</t>
  </si>
  <si>
    <t>1998-04-04</t>
  </si>
  <si>
    <t>9398594836:eng</t>
  </si>
  <si>
    <t>7233579</t>
  </si>
  <si>
    <t>991005091969702656</t>
  </si>
  <si>
    <t>2264926880002656</t>
  </si>
  <si>
    <t>32285002455193</t>
  </si>
  <si>
    <t>893628531</t>
  </si>
  <si>
    <t>DS208 .R32</t>
  </si>
  <si>
    <t>0                      DS 0208000R  32</t>
  </si>
  <si>
    <t>Arabia : a journey through the labyrinth / by Jonathan Raban.</t>
  </si>
  <si>
    <t>Raban, Jonathan.</t>
  </si>
  <si>
    <t>New York : Simon and Schuster, c1979.</t>
  </si>
  <si>
    <t>2003-07-14</t>
  </si>
  <si>
    <t>3944313765:eng</t>
  </si>
  <si>
    <t>5101408</t>
  </si>
  <si>
    <t>991004776569702656</t>
  </si>
  <si>
    <t>2259258880002656</t>
  </si>
  <si>
    <t>9780671250584</t>
  </si>
  <si>
    <t>32285000210277</t>
  </si>
  <si>
    <t>893436743</t>
  </si>
  <si>
    <t>DS215 .C35 2006</t>
  </si>
  <si>
    <t>0                      DS 0215000C  35          2006</t>
  </si>
  <si>
    <t>Twilight in the kingdom : understanding the Saudis / Mark A. Caudill ; foreword by Steve Coll.</t>
  </si>
  <si>
    <t>Caudill, Mark A., 1963-</t>
  </si>
  <si>
    <t>Westport, Conn. : Praeger Security International, 2006.</t>
  </si>
  <si>
    <t>2006-10-17</t>
  </si>
  <si>
    <t>52368901:eng</t>
  </si>
  <si>
    <t>67869970</t>
  </si>
  <si>
    <t>991004937769702656</t>
  </si>
  <si>
    <t>2265586370002656</t>
  </si>
  <si>
    <t>9780275992521</t>
  </si>
  <si>
    <t>32285005229561</t>
  </si>
  <si>
    <t>893694524</t>
  </si>
  <si>
    <t>DS215 .F3 1963</t>
  </si>
  <si>
    <t>0                      DS 0215000F  3           1963</t>
  </si>
  <si>
    <t>The Arab heritage / by Philip K. Hitti ... [et. al.] ; edited by Nabih Amin Faris.</t>
  </si>
  <si>
    <t>New York : Russell &amp; Russell, 1963.</t>
  </si>
  <si>
    <t>2000-03-05</t>
  </si>
  <si>
    <t>954951329:eng</t>
  </si>
  <si>
    <t>11633955</t>
  </si>
  <si>
    <t>991000569509702656</t>
  </si>
  <si>
    <t>2258861120002656</t>
  </si>
  <si>
    <t>32285002455219</t>
  </si>
  <si>
    <t>893413485</t>
  </si>
  <si>
    <t>DS215 .K56 1979</t>
  </si>
  <si>
    <t>0                      DS 0215000K  56          1979</t>
  </si>
  <si>
    <t>The Kingdom of Saudi Arabia / [editorial direction and research, Anna Dowson ... et al. ; principal contributors, Sir Norman Anderson ... et al.].</t>
  </si>
  <si>
    <t>London : Stacey International ; Dallas, TX : Inter-Crescent Publishing, 1979, c1977.</t>
  </si>
  <si>
    <t>[4th ed. (fully rev.)]</t>
  </si>
  <si>
    <t>1993-04-10</t>
  </si>
  <si>
    <t>12177215</t>
  </si>
  <si>
    <t>991000651829702656</t>
  </si>
  <si>
    <t>2270945090002656</t>
  </si>
  <si>
    <t>9780905743042</t>
  </si>
  <si>
    <t>32285000335306</t>
  </si>
  <si>
    <t>893432168</t>
  </si>
  <si>
    <t>DS219.B4 M8 1978</t>
  </si>
  <si>
    <t>0                      DS 0219000B  4                  M  8           1978</t>
  </si>
  <si>
    <t>The manners and customs of the Rwala Bedouins / by Alois Musil.</t>
  </si>
  <si>
    <t>Musil, Alois, 1868-1944.</t>
  </si>
  <si>
    <t>New York : AMS Press, 1978.</t>
  </si>
  <si>
    <t>1995-12-04</t>
  </si>
  <si>
    <t>2313462:eng</t>
  </si>
  <si>
    <t>3275283</t>
  </si>
  <si>
    <t>991004394589702656</t>
  </si>
  <si>
    <t>2255589610002656</t>
  </si>
  <si>
    <t>32285000335314</t>
  </si>
  <si>
    <t>893229309</t>
  </si>
  <si>
    <t>DS22 .H813 2000</t>
  </si>
  <si>
    <t>0                      DS 0022000H  813         2000</t>
  </si>
  <si>
    <t>Genghis Khan / Michel Hoang ; translated from the French by Ingrid Cranfield.</t>
  </si>
  <si>
    <t>Hoàng, Michel.</t>
  </si>
  <si>
    <t>London : Saqi Books, 2000, c1990.</t>
  </si>
  <si>
    <t>2004-11-03</t>
  </si>
  <si>
    <t>2003-04-08</t>
  </si>
  <si>
    <t>4922586845:eng</t>
  </si>
  <si>
    <t>48379187</t>
  </si>
  <si>
    <t>991004019139702656</t>
  </si>
  <si>
    <t>2267808000002656</t>
  </si>
  <si>
    <t>9780863562884</t>
  </si>
  <si>
    <t>32285004740162</t>
  </si>
  <si>
    <t>893869181</t>
  </si>
  <si>
    <t>DS22 .L3</t>
  </si>
  <si>
    <t>0                      DS 0022000L  3</t>
  </si>
  <si>
    <t>Genghis Khan, the emperor of all men / by Harold Lamb.</t>
  </si>
  <si>
    <t>New York : R.M. McBride, 1927.</t>
  </si>
  <si>
    <t>1927</t>
  </si>
  <si>
    <t>1994-04-27</t>
  </si>
  <si>
    <t>762774:eng</t>
  </si>
  <si>
    <t>7487406</t>
  </si>
  <si>
    <t>991005119479702656</t>
  </si>
  <si>
    <t>2271050600002656</t>
  </si>
  <si>
    <t>32285001893774</t>
  </si>
  <si>
    <t>893625479</t>
  </si>
  <si>
    <t>DS223 .H57 2010</t>
  </si>
  <si>
    <t>0                      DS 0223000H  57          2010</t>
  </si>
  <si>
    <t>A history of the Arabian Peninsula / edited by Fahd al-Semmari ; translated by Salma K. Jayyusi.</t>
  </si>
  <si>
    <t>London ; New York : I.B. Tauris Publishers ; [Riyadh, Saudi Arabia] : In association with the King Abdul Aziz Foundation ; New York : Distributed in the United States and Canada exclusively by Palgrave Macmillan, 2010.</t>
  </si>
  <si>
    <t>898603377:eng</t>
  </si>
  <si>
    <t>314632732</t>
  </si>
  <si>
    <t>991005381199702656</t>
  </si>
  <si>
    <t>2263027900002656</t>
  </si>
  <si>
    <t>9781845116880</t>
  </si>
  <si>
    <t>32285005562730</t>
  </si>
  <si>
    <t>893320548</t>
  </si>
  <si>
    <t>DS223 .W3</t>
  </si>
  <si>
    <t>0                      DS 0223000W  3</t>
  </si>
  <si>
    <t>A history of Islamic Spain / [by] W. Montgomery Watt, with additional sections on literature by Pierre Cachia.</t>
  </si>
  <si>
    <t>Watt, W. Montgomery (William Montgomery)</t>
  </si>
  <si>
    <t>Edinburgh : Edinburgh U.P., [1965]</t>
  </si>
  <si>
    <t>Islamic surveys ; 4</t>
  </si>
  <si>
    <t>8942302473:eng</t>
  </si>
  <si>
    <t>391773</t>
  </si>
  <si>
    <t>991002661859702656</t>
  </si>
  <si>
    <t>2260789390002656</t>
  </si>
  <si>
    <t>32285001853117</t>
  </si>
  <si>
    <t>893773878</t>
  </si>
  <si>
    <t>DS227 .A572 1991</t>
  </si>
  <si>
    <t>0                      DS 0227000A  572         1991</t>
  </si>
  <si>
    <t>Politics in an Arabian oasis : the Rashidi tribal dynasty / Madawi Al Rasheed.</t>
  </si>
  <si>
    <t>Al-Rasheed, Madawi.</t>
  </si>
  <si>
    <t>London : I.B. Tauris, 1991.</t>
  </si>
  <si>
    <t>1992-06-22</t>
  </si>
  <si>
    <t>140029843:eng</t>
  </si>
  <si>
    <t>24718134</t>
  </si>
  <si>
    <t>991001955159702656</t>
  </si>
  <si>
    <t>2271927300002656</t>
  </si>
  <si>
    <t>9781850433200</t>
  </si>
  <si>
    <t>32285001155372</t>
  </si>
  <si>
    <t>893791880</t>
  </si>
  <si>
    <t>DS227 .M4613 2005</t>
  </si>
  <si>
    <t>0                      DS 0227000M  4613        2005</t>
  </si>
  <si>
    <t>The Saudi enigma : a history / Pascal Ménoret ; translated by Patrick Camiller.</t>
  </si>
  <si>
    <t>Ménoret, Pascal, 1976-</t>
  </si>
  <si>
    <t>New York : Zed Books, 2005.</t>
  </si>
  <si>
    <t>2006-02-03</t>
  </si>
  <si>
    <t>911367:eng</t>
  </si>
  <si>
    <t>57613452</t>
  </si>
  <si>
    <t>991004715379702656</t>
  </si>
  <si>
    <t>2269317330002656</t>
  </si>
  <si>
    <t>9781842776049</t>
  </si>
  <si>
    <t>32285005156780</t>
  </si>
  <si>
    <t>893795196</t>
  </si>
  <si>
    <t>DS227 .R37</t>
  </si>
  <si>
    <t>0                      DS 0227000R  37</t>
  </si>
  <si>
    <t>Documents on the history of Saudi Arabia / edited by Ibrahim al-Rashid.</t>
  </si>
  <si>
    <t>Rashid, Ibrahim.</t>
  </si>
  <si>
    <t>Salisbury, N. C. : Documentary Publications, 1976-</t>
  </si>
  <si>
    <t>1996-03-04</t>
  </si>
  <si>
    <t>3373799144:eng</t>
  </si>
  <si>
    <t>2694653</t>
  </si>
  <si>
    <t>991004214449702656</t>
  </si>
  <si>
    <t>2266330570002656</t>
  </si>
  <si>
    <t>32285000335330</t>
  </si>
  <si>
    <t>893888428</t>
  </si>
  <si>
    <t>32285000335348</t>
  </si>
  <si>
    <t>893869441</t>
  </si>
  <si>
    <t>32285000335371</t>
  </si>
  <si>
    <t>893894715</t>
  </si>
  <si>
    <t>32285000335355</t>
  </si>
  <si>
    <t>893869442</t>
  </si>
  <si>
    <t>32285000335363</t>
  </si>
  <si>
    <t>893888429</t>
  </si>
  <si>
    <t>DS228.I7 F87 2002</t>
  </si>
  <si>
    <t>0                      DS 0228000I  7                  F  87          2002</t>
  </si>
  <si>
    <t>Iran's rivalry with Saudi Arabia between the Gulf wars / Henner Fürtig ; with a foreword by Anoushiravan Ehteshami.</t>
  </si>
  <si>
    <t>Fürtig, Henner.</t>
  </si>
  <si>
    <t>Reading, UK : Ithaca Press, c2002.</t>
  </si>
  <si>
    <t>Durham Middle East monographs series</t>
  </si>
  <si>
    <t>2003-12-15</t>
  </si>
  <si>
    <t>1029854:eng</t>
  </si>
  <si>
    <t>49787102</t>
  </si>
  <si>
    <t>991004189709702656</t>
  </si>
  <si>
    <t>2255712040002656</t>
  </si>
  <si>
    <t>9780863722875</t>
  </si>
  <si>
    <t>32285004847157</t>
  </si>
  <si>
    <t>893775740</t>
  </si>
  <si>
    <t>DS234 .A4 1983</t>
  </si>
  <si>
    <t>0                      DS 0234000A  4           1983</t>
  </si>
  <si>
    <t>The early caliphate / by Maulānā Muḥammad ʻAlī.</t>
  </si>
  <si>
    <t>Ali, Muhammad, 1875 December-1951.</t>
  </si>
  <si>
    <t>Lahore, Pakistan : Aḥmadiyya anjuman is̲h̲ āʻat Isl ām, 1983.</t>
  </si>
  <si>
    <t>4th ed.</t>
  </si>
  <si>
    <t xml:space="preserve">pk </t>
  </si>
  <si>
    <t>2001-11-20</t>
  </si>
  <si>
    <t>2044462:eng</t>
  </si>
  <si>
    <t>13204729</t>
  </si>
  <si>
    <t>991000797459702656</t>
  </si>
  <si>
    <t>2258527360002656</t>
  </si>
  <si>
    <t>32285000335397</t>
  </si>
  <si>
    <t>893589746</t>
  </si>
  <si>
    <t>DS236 .B5</t>
  </si>
  <si>
    <t>0                      DS 0236000B  5</t>
  </si>
  <si>
    <t>Islamic history of the Middle East; backgrounds, development, and fall of the Arab Empire [by] Wilson B. Bishai.</t>
  </si>
  <si>
    <t>Bishai, Wilson B., 1923-2008.</t>
  </si>
  <si>
    <t>Boston, Allyn and Bacon [1968]</t>
  </si>
  <si>
    <t>1558807:eng</t>
  </si>
  <si>
    <t>437569</t>
  </si>
  <si>
    <t>991002772699702656</t>
  </si>
  <si>
    <t>2267930500002656</t>
  </si>
  <si>
    <t>32285002455268</t>
  </si>
  <si>
    <t>893805019</t>
  </si>
  <si>
    <t>DS236 .O2 1894</t>
  </si>
  <si>
    <t>0                      DS 0236000O  2           1894</t>
  </si>
  <si>
    <t>The history of the Saracens : comprising the lives of Mohammed and his successors, to the death of Abdalmelik, the eleventh caliph : with an account of their most remarkable battles, sieges, revolts, &amp;c. / collected from authentic sources, especially Arabic mss. by Simon Ockley.</t>
  </si>
  <si>
    <t>Ockley, Simon, 1678-1720.</t>
  </si>
  <si>
    <t>London ; New York : G. Bell &amp; sons, 1894.</t>
  </si>
  <si>
    <t>1894</t>
  </si>
  <si>
    <t>Bohn's standard library</t>
  </si>
  <si>
    <t>2003-08-10</t>
  </si>
  <si>
    <t>3835899:eng</t>
  </si>
  <si>
    <t>2216942</t>
  </si>
  <si>
    <t>991004052879702656</t>
  </si>
  <si>
    <t>2257513800002656</t>
  </si>
  <si>
    <t>32285001853091</t>
  </si>
  <si>
    <t>893253186</t>
  </si>
  <si>
    <t>DS238.A4 B3 1973</t>
  </si>
  <si>
    <t>0                      DS 0238000A  4                  B  3           1973</t>
  </si>
  <si>
    <t>Hazrat Abu Bakr, the first caliph of Islam / by Nawab Sadr Yar Jung Bahadur M. Muhammad Habibur Rahman Khan Sherwani ; translated by Syed Moinul Haq.</t>
  </si>
  <si>
    <t>Sherwani, Muhammad Habibur Rahman Khan.</t>
  </si>
  <si>
    <t>Lahore : Sh. Muhammad Ashraf, 1947, 1973 printing.</t>
  </si>
  <si>
    <t>3d ed. [rev.]</t>
  </si>
  <si>
    <t>193939705:eng</t>
  </si>
  <si>
    <t>2517248</t>
  </si>
  <si>
    <t>991004148019702656</t>
  </si>
  <si>
    <t>2257695890002656</t>
  </si>
  <si>
    <t>32285001853083</t>
  </si>
  <si>
    <t>893781906</t>
  </si>
  <si>
    <t>DS241 .W5</t>
  </si>
  <si>
    <t>0                      DS 0241000W  5</t>
  </si>
  <si>
    <t>Saudi Arabia in the nineteenth century.</t>
  </si>
  <si>
    <t>Winder, R. Bayly (Richard Bayly), 1920-1988.</t>
  </si>
  <si>
    <t>London : Macmillan ; New York : St. Martin's Press, 1965.</t>
  </si>
  <si>
    <t>2004-06-21</t>
  </si>
  <si>
    <t>155301348:eng</t>
  </si>
  <si>
    <t>7100412</t>
  </si>
  <si>
    <t>991005074969702656</t>
  </si>
  <si>
    <t>2256656950002656</t>
  </si>
  <si>
    <t>32285001853059</t>
  </si>
  <si>
    <t>893418333</t>
  </si>
  <si>
    <t>DS242 .H29 2000</t>
  </si>
  <si>
    <t>0                      DS 0242000H  29          2000</t>
  </si>
  <si>
    <t>The history of Saudi Arabia / Alexei Vassiliev.</t>
  </si>
  <si>
    <t>Vasilʹev, A. M. (Alekseĭ Mikhaĭlovich)</t>
  </si>
  <si>
    <t>New York : New York University Press, 2000.</t>
  </si>
  <si>
    <t>2002-05-22</t>
  </si>
  <si>
    <t>33594889:eng</t>
  </si>
  <si>
    <t>44131798</t>
  </si>
  <si>
    <t>991003811809702656</t>
  </si>
  <si>
    <t>2270719450002656</t>
  </si>
  <si>
    <t>9780814788097</t>
  </si>
  <si>
    <t>32285004489505</t>
  </si>
  <si>
    <t>893445873</t>
  </si>
  <si>
    <t>DS243 .A57 1997</t>
  </si>
  <si>
    <t>0                      DS 0243000A  57          1997</t>
  </si>
  <si>
    <t>The Ottoman Gulf : the creation of Kuwait, Saudi Arabia, and Qatar / Frederick F. Anscombe.</t>
  </si>
  <si>
    <t>Anscombe, Frederick F.</t>
  </si>
  <si>
    <t>2005-06-29</t>
  </si>
  <si>
    <t>836924472:eng</t>
  </si>
  <si>
    <t>36621924</t>
  </si>
  <si>
    <t>991002788219702656</t>
  </si>
  <si>
    <t>2265326990002656</t>
  </si>
  <si>
    <t>9780231108386</t>
  </si>
  <si>
    <t>32285003490181</t>
  </si>
  <si>
    <t>893257707</t>
  </si>
  <si>
    <t>DS244 .A26 1995</t>
  </si>
  <si>
    <t>0                      DS 0244000A  26          1995</t>
  </si>
  <si>
    <t>The rise, corruption, and coming fall of the House of Saud / Saïd K. Aburish.</t>
  </si>
  <si>
    <t>New York : St. Martin's Press, 1995.</t>
  </si>
  <si>
    <t>1st St. Martin's ed.</t>
  </si>
  <si>
    <t>1995-08-22</t>
  </si>
  <si>
    <t>20877855:eng</t>
  </si>
  <si>
    <t>32166894</t>
  </si>
  <si>
    <t>991002468939702656</t>
  </si>
  <si>
    <t>2266264280002656</t>
  </si>
  <si>
    <t>9780312125417</t>
  </si>
  <si>
    <t>32285002078771</t>
  </si>
  <si>
    <t>893257326</t>
  </si>
  <si>
    <t>DS244 .H44 1981</t>
  </si>
  <si>
    <t>0                      DS 0244000H  44          1981</t>
  </si>
  <si>
    <t>The cohesion of Saudi Arabia : evolution of political identity / Christine Moss Helms.</t>
  </si>
  <si>
    <t>Helms, Christine Moss.</t>
  </si>
  <si>
    <t>Baltimore : Johns Hopkins University Press, 1981.</t>
  </si>
  <si>
    <t>1995-10-30</t>
  </si>
  <si>
    <t>452289:eng</t>
  </si>
  <si>
    <t>6355346</t>
  </si>
  <si>
    <t>991004968199702656</t>
  </si>
  <si>
    <t>2256512270002656</t>
  </si>
  <si>
    <t>9780801824753</t>
  </si>
  <si>
    <t>32285000335413</t>
  </si>
  <si>
    <t>893242031</t>
  </si>
  <si>
    <t>DS244 .T73 1976</t>
  </si>
  <si>
    <t>0                      DS 0244000T  73          1976</t>
  </si>
  <si>
    <t>The birth of Saudi Arabia : Britain and the rise of the House of Sa'ud / Gary Troeller.</t>
  </si>
  <si>
    <t>Troeller, Gary.</t>
  </si>
  <si>
    <t>London : F. Cass, 1976.</t>
  </si>
  <si>
    <t>2004-06-17</t>
  </si>
  <si>
    <t>2698081:eng</t>
  </si>
  <si>
    <t>2312091</t>
  </si>
  <si>
    <t>991004073609702656</t>
  </si>
  <si>
    <t>2260604640002656</t>
  </si>
  <si>
    <t>9780714630625</t>
  </si>
  <si>
    <t>32285002455284</t>
  </si>
  <si>
    <t>893888281</t>
  </si>
  <si>
    <t>DS244.52 .F37 1990</t>
  </si>
  <si>
    <t>0                      DS 0244520F  37          1990</t>
  </si>
  <si>
    <t>Modernity and tradition : the Saudi equation / Fouad al-Farsy.</t>
  </si>
  <si>
    <t>Farsy, Fouad, 1946-</t>
  </si>
  <si>
    <t>London : Kegan Paul, 1990.</t>
  </si>
  <si>
    <t>1991-01-30</t>
  </si>
  <si>
    <t>17367858:eng</t>
  </si>
  <si>
    <t>22277630</t>
  </si>
  <si>
    <t>991001666269702656</t>
  </si>
  <si>
    <t>2269375020002656</t>
  </si>
  <si>
    <t>9780710303950</t>
  </si>
  <si>
    <t>32285000462142</t>
  </si>
  <si>
    <t>893322133</t>
  </si>
  <si>
    <t>DS244.52 .H64 1982</t>
  </si>
  <si>
    <t>0                      DS 0244520H  64          1982</t>
  </si>
  <si>
    <t>The house of Saud : the rise and rule of the most powerful dynasty in the Arab world / by David Holden, Richard Johns.</t>
  </si>
  <si>
    <t>Holden, David.</t>
  </si>
  <si>
    <t>New York : Holt, Rinehart, and Winston, 1982, c1981.</t>
  </si>
  <si>
    <t>1995-11-14</t>
  </si>
  <si>
    <t>5090500088:eng</t>
  </si>
  <si>
    <t>7575513</t>
  </si>
  <si>
    <t>991005134409702656</t>
  </si>
  <si>
    <t>2265652890002656</t>
  </si>
  <si>
    <t>9780030437311</t>
  </si>
  <si>
    <t>32285000181676</t>
  </si>
  <si>
    <t>893236340</t>
  </si>
  <si>
    <t>DS244.53 .A76 1998</t>
  </si>
  <si>
    <t>0                      DS 0244530A  76          1998</t>
  </si>
  <si>
    <t>Lord of Arabia : Ibn Saud / by H.C. Armstrong.</t>
  </si>
  <si>
    <t>Armstrong, H. C. (Harold Courtenay), 1891-1943.</t>
  </si>
  <si>
    <t>New York : Kegan Paul International, 1998.</t>
  </si>
  <si>
    <t>The Kegan Paul Arabia library ; 4</t>
  </si>
  <si>
    <t>1999-11-03</t>
  </si>
  <si>
    <t>3901023670:eng</t>
  </si>
  <si>
    <t>35548917</t>
  </si>
  <si>
    <t>991002710899702656</t>
  </si>
  <si>
    <t>2271690880002656</t>
  </si>
  <si>
    <t>9780710305688</t>
  </si>
  <si>
    <t>32285003617957</t>
  </si>
  <si>
    <t>893341753</t>
  </si>
  <si>
    <t>DS244.63 .C43 1991</t>
  </si>
  <si>
    <t>0                      DS 0244630C  43          1991</t>
  </si>
  <si>
    <t>Desert Shield fact book / from the staff of GDW ; [written and researched by Frank Chadwick].</t>
  </si>
  <si>
    <t>Chadwick, Frank.</t>
  </si>
  <si>
    <t>Bloomington, IL : GDW Games, c1991.</t>
  </si>
  <si>
    <t>2006-03-27</t>
  </si>
  <si>
    <t>1991-08-14</t>
  </si>
  <si>
    <t>5610078786:eng</t>
  </si>
  <si>
    <t>22997856</t>
  </si>
  <si>
    <t>991001844389702656</t>
  </si>
  <si>
    <t>2266762700002656</t>
  </si>
  <si>
    <t>9781558780934</t>
  </si>
  <si>
    <t>32285000700905</t>
  </si>
  <si>
    <t>893684697</t>
  </si>
  <si>
    <t>DS244.63 .F36 2001</t>
  </si>
  <si>
    <t>0                      DS 0244630F  36          2001</t>
  </si>
  <si>
    <t>Saudi Arabia and the politics of dissent / Mamoun Fandy.</t>
  </si>
  <si>
    <t>Fandy, Mamoun, 1961-</t>
  </si>
  <si>
    <t>New York, N.Y. : Palgrave, 2001.</t>
  </si>
  <si>
    <t>2004-11-08</t>
  </si>
  <si>
    <t>2001-12-06</t>
  </si>
  <si>
    <t>26425646:eng</t>
  </si>
  <si>
    <t>46990131</t>
  </si>
  <si>
    <t>991003651559702656</t>
  </si>
  <si>
    <t>2271304520002656</t>
  </si>
  <si>
    <t>9780312238827</t>
  </si>
  <si>
    <t>32285004426358</t>
  </si>
  <si>
    <t>893505817</t>
  </si>
  <si>
    <t>DS247 .D28 2008</t>
  </si>
  <si>
    <t>0                      DS 0247000D  28          2008</t>
  </si>
  <si>
    <t>Dubai : the vulnerability of success / Davidson, Christopher M .</t>
  </si>
  <si>
    <t>Davidson, Christopher M.</t>
  </si>
  <si>
    <t>New York, NY : Columbia University Press, 2008.</t>
  </si>
  <si>
    <t>2010-01-14</t>
  </si>
  <si>
    <t>892323632:eng</t>
  </si>
  <si>
    <t>300031068</t>
  </si>
  <si>
    <t>991005349569702656</t>
  </si>
  <si>
    <t>2270328370002656</t>
  </si>
  <si>
    <t>9780231700351</t>
  </si>
  <si>
    <t>32285005557300</t>
  </si>
  <si>
    <t>893808229</t>
  </si>
  <si>
    <t>DS247.9.N35 A44 2002</t>
  </si>
  <si>
    <t>0                      DS 0247900N  35                 A  44          2002</t>
  </si>
  <si>
    <t>Najd before the Salafi reform movement : social, political, and religious conditions during the three centuries preceding the rise of the Saudi state / Uwaidah M. Al Juhany.</t>
  </si>
  <si>
    <t>Al-Juhany, Uwidah Metaireek.</t>
  </si>
  <si>
    <t>Reading, UK : Ithaca Press, 2002.</t>
  </si>
  <si>
    <t>2009-01-27</t>
  </si>
  <si>
    <t>438043595:eng</t>
  </si>
  <si>
    <t>50798377</t>
  </si>
  <si>
    <t>991005292309702656</t>
  </si>
  <si>
    <t>2268531650002656</t>
  </si>
  <si>
    <t>9780863724015</t>
  </si>
  <si>
    <t>32285005500730</t>
  </si>
  <si>
    <t>893808147</t>
  </si>
  <si>
    <t>DS247.K88 A87 1990</t>
  </si>
  <si>
    <t>0                      DS 0247000K  88                 A  87          1990</t>
  </si>
  <si>
    <t>Kuwait's foreign policy : city-state in world politics / Abdul-Reda Assiri.</t>
  </si>
  <si>
    <t>Assiri, Abdul-Reda.</t>
  </si>
  <si>
    <t>Boulder, Colo. : Westview Press, 1990.</t>
  </si>
  <si>
    <t>Westview special studies on the Middle East</t>
  </si>
  <si>
    <t>1990-09-10</t>
  </si>
  <si>
    <t>364248564:eng</t>
  </si>
  <si>
    <t>18135869</t>
  </si>
  <si>
    <t>991001310099702656</t>
  </si>
  <si>
    <t>2260381690002656</t>
  </si>
  <si>
    <t>9780813376363</t>
  </si>
  <si>
    <t>32285000277045</t>
  </si>
  <si>
    <t>893225784</t>
  </si>
  <si>
    <t>DS247.K88 C79 1990</t>
  </si>
  <si>
    <t>0                      DS 0247000K  88                 C  79          1990</t>
  </si>
  <si>
    <t>Oil and politics in the Gulf : rulers and merchants in Kuwait and Qatar / Jill Crystal.</t>
  </si>
  <si>
    <t>Crystal, Jill.</t>
  </si>
  <si>
    <t>Cambridge [England] ; New York : Cambridge University Press, 1990.</t>
  </si>
  <si>
    <t>Cambridge Middle East library ; 24</t>
  </si>
  <si>
    <t>2006-04-22</t>
  </si>
  <si>
    <t>1990-11-20</t>
  </si>
  <si>
    <t>795527020:eng</t>
  </si>
  <si>
    <t>19722357</t>
  </si>
  <si>
    <t>991001490299702656</t>
  </si>
  <si>
    <t>2256420900002656</t>
  </si>
  <si>
    <t>9780521366397</t>
  </si>
  <si>
    <t>32285000356195</t>
  </si>
  <si>
    <t>893590398</t>
  </si>
  <si>
    <t>DS247.K88 J69 1998</t>
  </si>
  <si>
    <t>0                      DS 0247000K  88                 J  69          1998</t>
  </si>
  <si>
    <t>Kuwait, 1945-1996 : an Anglo-American perspective / Miriam Joyce.</t>
  </si>
  <si>
    <t>Joyce, Miriam.</t>
  </si>
  <si>
    <t>London ; Portland, OR. : Frank Cass, 1998.</t>
  </si>
  <si>
    <t>2006-09-27</t>
  </si>
  <si>
    <t>1999-05-05</t>
  </si>
  <si>
    <t>38781703:eng</t>
  </si>
  <si>
    <t>38112788</t>
  </si>
  <si>
    <t>991002892609702656</t>
  </si>
  <si>
    <t>2271753650002656</t>
  </si>
  <si>
    <t>9780714644202</t>
  </si>
  <si>
    <t>32285003559225</t>
  </si>
  <si>
    <t>893415775</t>
  </si>
  <si>
    <t>DS247.O65 K43 1995</t>
  </si>
  <si>
    <t>0                      DS 0247000O  65                 K  43          1995</t>
  </si>
  <si>
    <t>Oman and the world : the emergence of an independent foreign policy / Joseph A. Kechichian.</t>
  </si>
  <si>
    <t>Kechichian, Joseph A.</t>
  </si>
  <si>
    <t>Santa Monica, CA (P.O. Box 2138, Santa Monica 90407-2138) : Rand, 1995.</t>
  </si>
  <si>
    <t>364524575:eng</t>
  </si>
  <si>
    <t>33806893</t>
  </si>
  <si>
    <t>991002579289702656</t>
  </si>
  <si>
    <t>2264913290002656</t>
  </si>
  <si>
    <t>9780833023322</t>
  </si>
  <si>
    <t>32285002210986</t>
  </si>
  <si>
    <t>893616297</t>
  </si>
  <si>
    <t>DS247.O68 P47 1978</t>
  </si>
  <si>
    <t>0                      DS 0247000O  68                 P  47          1978</t>
  </si>
  <si>
    <t>Oman in the twentieth century : political foundations of an emerging state / J. E. Peterson.</t>
  </si>
  <si>
    <t>Peterson, John, 1947-</t>
  </si>
  <si>
    <t>London : Croom Helm ; New York : Barnes &amp; Noble Books, 1978.</t>
  </si>
  <si>
    <t>1991-12-10</t>
  </si>
  <si>
    <t>11652976:eng</t>
  </si>
  <si>
    <t>3627536</t>
  </si>
  <si>
    <t>991004481179702656</t>
  </si>
  <si>
    <t>2269304690002656</t>
  </si>
  <si>
    <t>9780064955225</t>
  </si>
  <si>
    <t>32285000875418</t>
  </si>
  <si>
    <t>893446237</t>
  </si>
  <si>
    <t>DS247.O68 T68</t>
  </si>
  <si>
    <t>0                      DS 0247000O  68                 T  68</t>
  </si>
  <si>
    <t>Oman : the making of the modern state / John Townsend.</t>
  </si>
  <si>
    <t>Townsend, John, 1928-</t>
  </si>
  <si>
    <t>London : C. Helm, c1977.</t>
  </si>
  <si>
    <t>9330286:eng</t>
  </si>
  <si>
    <t>3559485</t>
  </si>
  <si>
    <t>991004464209702656</t>
  </si>
  <si>
    <t>2264144660002656</t>
  </si>
  <si>
    <t>9780856644467</t>
  </si>
  <si>
    <t>32285000335454</t>
  </si>
  <si>
    <t>893331606</t>
  </si>
  <si>
    <t>DS247.T82 R64 1995</t>
  </si>
  <si>
    <t>0                      DS 0247000T  82                 R  64          1995</t>
  </si>
  <si>
    <t>The Emirates : Abu Dhabi, Dubai, Sharjah, Ras Al Khaimah, Fujairah, Umm Al Qaiwain, Ajman / photographs by Hélène Rogers with a text by Kevin Higgins.</t>
  </si>
  <si>
    <t>Rogers, Helene.</t>
  </si>
  <si>
    <t>[S.l.] : Garnet Pub. ; Concord, Mass. : Distributed by Paul &amp; Co., c1995.</t>
  </si>
  <si>
    <t>2009-02-09</t>
  </si>
  <si>
    <t>836989496:eng</t>
  </si>
  <si>
    <t>37443063</t>
  </si>
  <si>
    <t>991005292349702656</t>
  </si>
  <si>
    <t>2264124910002656</t>
  </si>
  <si>
    <t>9781859640692</t>
  </si>
  <si>
    <t>32285005503221</t>
  </si>
  <si>
    <t>893607153</t>
  </si>
  <si>
    <t>DS247.T87 H38 1971</t>
  </si>
  <si>
    <t>0                      DS 0247000T  87                 H  38          1971</t>
  </si>
  <si>
    <t>The Trucial States.</t>
  </si>
  <si>
    <t>Hawley, Don, 1923-</t>
  </si>
  <si>
    <t>New York, Twayne Publishers [1971, c1970]</t>
  </si>
  <si>
    <t>1176587:eng</t>
  </si>
  <si>
    <t>424823</t>
  </si>
  <si>
    <t>991002751519702656</t>
  </si>
  <si>
    <t>2268398770002656</t>
  </si>
  <si>
    <t>9780049530058</t>
  </si>
  <si>
    <t>32285002455318</t>
  </si>
  <si>
    <t>893804986</t>
  </si>
  <si>
    <t>DS247.T88 K44 1979</t>
  </si>
  <si>
    <t>0                      DS 0247000T  88                 K  44          1979</t>
  </si>
  <si>
    <t>The United Arab Emirates : unity in fragmentation / Ali Mohammed Khalifa.</t>
  </si>
  <si>
    <t>Khalifa, Ali Mohammed.</t>
  </si>
  <si>
    <t>Boulder, Colo. : Westview Press, 1979.</t>
  </si>
  <si>
    <t>2007-11-13</t>
  </si>
  <si>
    <t>795185009:eng</t>
  </si>
  <si>
    <t>4804639</t>
  </si>
  <si>
    <t>991004721579702656</t>
  </si>
  <si>
    <t>2270238420002656</t>
  </si>
  <si>
    <t>9780891583943</t>
  </si>
  <si>
    <t>32285000335462</t>
  </si>
  <si>
    <t>893513588</t>
  </si>
  <si>
    <t>DS247.T88 Z34 1978</t>
  </si>
  <si>
    <t>0                      DS 0247000T  88                 Z  34          1978</t>
  </si>
  <si>
    <t>The origins of the United Arab Emirates : a political and social history of the Trucial States / Rosemarie Said Zahlan.</t>
  </si>
  <si>
    <t>Zahlan, Rosemarie Said.</t>
  </si>
  <si>
    <t>New York : St. Martin's Press, c1978.</t>
  </si>
  <si>
    <t>2008-02-27</t>
  </si>
  <si>
    <t>890398428:eng</t>
  </si>
  <si>
    <t>3843556</t>
  </si>
  <si>
    <t>991004526159702656</t>
  </si>
  <si>
    <t>2266421510002656</t>
  </si>
  <si>
    <t>9780312588823</t>
  </si>
  <si>
    <t>32285000335470</t>
  </si>
  <si>
    <t>893687832</t>
  </si>
  <si>
    <t>DS247.U45 A12</t>
  </si>
  <si>
    <t>0                      DS 0247000U  45                 A  12</t>
  </si>
  <si>
    <t>The United Arab Emirates : a modern history / Muhammad Morsy Abdullah.</t>
  </si>
  <si>
    <t>ʻAbd Allāh, Muḥammad Mursī.</t>
  </si>
  <si>
    <t>London : Croom Helm ; New York : Barnes &amp; Noble, 1978.</t>
  </si>
  <si>
    <t>890368222:eng</t>
  </si>
  <si>
    <t>4099463</t>
  </si>
  <si>
    <t>991004587819702656</t>
  </si>
  <si>
    <t>2256023550002656</t>
  </si>
  <si>
    <t>9780856643149</t>
  </si>
  <si>
    <t>32285000335488</t>
  </si>
  <si>
    <t>893807246</t>
  </si>
  <si>
    <t>DS247.U6 W57 2004</t>
  </si>
  <si>
    <t>0                      DS 0247000U  6                  W  57          2004</t>
  </si>
  <si>
    <t>With united strength : H.H. Shaikh Zayid Bin Sultan Al Nahyan, the leader and the nation / Emirates Center for Strategic Studies and Research.</t>
  </si>
  <si>
    <t>Abu Dhabi : Emirates Center for Strategic Studies and Research, 2004.</t>
  </si>
  <si>
    <t xml:space="preserve">ts </t>
  </si>
  <si>
    <t>2006-01-24</t>
  </si>
  <si>
    <t>479240202:eng</t>
  </si>
  <si>
    <t>59665704</t>
  </si>
  <si>
    <t>991004714799702656</t>
  </si>
  <si>
    <t>2259763930002656</t>
  </si>
  <si>
    <t>9789948004004</t>
  </si>
  <si>
    <t>32285005156236</t>
  </si>
  <si>
    <t>893612682</t>
  </si>
  <si>
    <t>DS247.Y42 H34 1991</t>
  </si>
  <si>
    <t>0                      DS 0247000Y  42                 H  34          1991</t>
  </si>
  <si>
    <t>Motoring with Mohammed : journeys to Yemen and the Red Sea / Eric Hansen.</t>
  </si>
  <si>
    <t>Hansen, Eric.</t>
  </si>
  <si>
    <t>Boston : Houghton Mifflin Co., 1991.</t>
  </si>
  <si>
    <t>1991-06-06</t>
  </si>
  <si>
    <t>24590085:eng</t>
  </si>
  <si>
    <t>22596517</t>
  </si>
  <si>
    <t>991001794859702656</t>
  </si>
  <si>
    <t>2262438590002656</t>
  </si>
  <si>
    <t>9780395483473</t>
  </si>
  <si>
    <t>32285000593797</t>
  </si>
  <si>
    <t>893316074</t>
  </si>
  <si>
    <t>DS247.Y42 M295 2000</t>
  </si>
  <si>
    <t>0                      DS 0247000Y  42                 M  295         2000</t>
  </si>
  <si>
    <t>Yemen : the unknown Arabia / Tim Mackintosh-Smith ; with etchings by Martin Yeoman.</t>
  </si>
  <si>
    <t>Mackintosh-Smith, Tim, 1961-</t>
  </si>
  <si>
    <t>Woodstock, NY : Overlook Press, 2000.</t>
  </si>
  <si>
    <t>2001-01-16</t>
  </si>
  <si>
    <t>2000-07-24</t>
  </si>
  <si>
    <t>3769695993:eng</t>
  </si>
  <si>
    <t>43036808</t>
  </si>
  <si>
    <t>991003212859702656</t>
  </si>
  <si>
    <t>2263322580002656</t>
  </si>
  <si>
    <t>9781585670017</t>
  </si>
  <si>
    <t>32285003711826</t>
  </si>
  <si>
    <t>893880925</t>
  </si>
  <si>
    <t>DS247.Y44 C38 2005</t>
  </si>
  <si>
    <t>0                      DS 0247000Y  44                 C  38          2005</t>
  </si>
  <si>
    <t>Yemen chronicle : an anthropology of war and mediation / Steven C. Caton.</t>
  </si>
  <si>
    <t>Caton, Steven Charles, 1950-</t>
  </si>
  <si>
    <t>New York : Hill and Wang, 2005.</t>
  </si>
  <si>
    <t>2005-11-09</t>
  </si>
  <si>
    <t>2005-10-26</t>
  </si>
  <si>
    <t>890748968:eng</t>
  </si>
  <si>
    <t>57429034</t>
  </si>
  <si>
    <t>991004647229702656</t>
  </si>
  <si>
    <t>2269161690002656</t>
  </si>
  <si>
    <t>9780809027255</t>
  </si>
  <si>
    <t>32285005142400</t>
  </si>
  <si>
    <t>893319482</t>
  </si>
  <si>
    <t>DS247.Y45 P52 1978</t>
  </si>
  <si>
    <t>0                      DS 0247000Y  45                 P  52          1978</t>
  </si>
  <si>
    <t>A history of Arabia Felix or Yemen, from the commencement of the Christian era to the present time : including an account of the British settlement of Aden / by R. L. Playfair.</t>
  </si>
  <si>
    <t>Playfair, R. Lambert (Robert Lambert), Sir, 1828-1899.</t>
  </si>
  <si>
    <t>Salisbury, N.C. : Documentary Publications, 1978.</t>
  </si>
  <si>
    <t>Selections from the records of the Bombay Government ; new ser., no. 49</t>
  </si>
  <si>
    <t>1998-07-20</t>
  </si>
  <si>
    <t>376901134:eng</t>
  </si>
  <si>
    <t>5848156</t>
  </si>
  <si>
    <t>991004888729702656</t>
  </si>
  <si>
    <t>2256172470002656</t>
  </si>
  <si>
    <t>9780897120692</t>
  </si>
  <si>
    <t>32285000335496</t>
  </si>
  <si>
    <t>893350471</t>
  </si>
  <si>
    <t>DS247.Y48 K68 1996</t>
  </si>
  <si>
    <t>0                      DS 0247000Y  48                 K  68          1996</t>
  </si>
  <si>
    <t>Yemen : the tortuous quest for unity, 1990-94 / Joseph Kostiner.</t>
  </si>
  <si>
    <t>Kostiner, Joseph.</t>
  </si>
  <si>
    <t>[London] : The Royal Institute of International Affairs : Pinter [publisher], 1996.</t>
  </si>
  <si>
    <t>Chatham House papers</t>
  </si>
  <si>
    <t>2008-08-04</t>
  </si>
  <si>
    <t>1997-04-29</t>
  </si>
  <si>
    <t>837061123:eng</t>
  </si>
  <si>
    <t>36225437</t>
  </si>
  <si>
    <t>991002761959702656</t>
  </si>
  <si>
    <t>2272582830002656</t>
  </si>
  <si>
    <t>9781855673489</t>
  </si>
  <si>
    <t>32285002542719</t>
  </si>
  <si>
    <t>893239455</t>
  </si>
  <si>
    <t>DS247.Y48 P47 1982</t>
  </si>
  <si>
    <t>0                      DS 0247000Y  48                 P  47          1982</t>
  </si>
  <si>
    <t>Yemen, the search for a modern state / J.E. Peterson.</t>
  </si>
  <si>
    <t>Baltimore : Johns Hopkins University Press, 1982.</t>
  </si>
  <si>
    <t>452564:eng</t>
  </si>
  <si>
    <t>7946995</t>
  </si>
  <si>
    <t>991005182249702656</t>
  </si>
  <si>
    <t>2272378210002656</t>
  </si>
  <si>
    <t>9780801827846</t>
  </si>
  <si>
    <t>32285000335504</t>
  </si>
  <si>
    <t>893688734</t>
  </si>
  <si>
    <t>DS25 .I9</t>
  </si>
  <si>
    <t>0                      DS 0025000I  9</t>
  </si>
  <si>
    <t>Essays on Tatar history.</t>
  </si>
  <si>
    <t>Izhboldin, Borīs S.</t>
  </si>
  <si>
    <t>New Delhi, New Book Society of India [1963]</t>
  </si>
  <si>
    <t>3945663299:eng</t>
  </si>
  <si>
    <t>851957</t>
  </si>
  <si>
    <t>991003323239702656</t>
  </si>
  <si>
    <t>2264404830002656</t>
  </si>
  <si>
    <t>32285002209426</t>
  </si>
  <si>
    <t>893410169</t>
  </si>
  <si>
    <t>DS258 .S78 1983</t>
  </si>
  <si>
    <t>0                      DS 0258000S  78          1983</t>
  </si>
  <si>
    <t>The valleys of the Assassins and other Persian travels / Freya Stark.</t>
  </si>
  <si>
    <t>Stark, Freya.</t>
  </si>
  <si>
    <t>Los Angeles, CA : J.P. Tarcher ; Boston : Distributed by Houghton Mifflin Co., 1983.</t>
  </si>
  <si>
    <t>Library of travel classics</t>
  </si>
  <si>
    <t>2010-08-14</t>
  </si>
  <si>
    <t>1420821:eng</t>
  </si>
  <si>
    <t>9370809</t>
  </si>
  <si>
    <t>991000178619702656</t>
  </si>
  <si>
    <t>2267499020002656</t>
  </si>
  <si>
    <t>9780874772616</t>
  </si>
  <si>
    <t>32285000335546</t>
  </si>
  <si>
    <t>893496002</t>
  </si>
  <si>
    <t>DS259 .H44</t>
  </si>
  <si>
    <t>0                      DS 0259000H  44</t>
  </si>
  <si>
    <t>An ambassador's wife in Iran / Cynthia Helms.</t>
  </si>
  <si>
    <t>Helms, Cynthia.</t>
  </si>
  <si>
    <t>New York : Dodd, Mead, c1981.</t>
  </si>
  <si>
    <t>2001-02-21</t>
  </si>
  <si>
    <t>4455262:eng</t>
  </si>
  <si>
    <t>6864218</t>
  </si>
  <si>
    <t>991005050309702656</t>
  </si>
  <si>
    <t>2269697470002656</t>
  </si>
  <si>
    <t>9780396078814</t>
  </si>
  <si>
    <t>32285000335553</t>
  </si>
  <si>
    <t>893236196</t>
  </si>
  <si>
    <t>DS259 .W64</t>
  </si>
  <si>
    <t>0                      DS 0259000W  64</t>
  </si>
  <si>
    <t>Persia/Iran : a pictorial treasury of twenty-five centuries / [by] A.E. Woolley.</t>
  </si>
  <si>
    <t>Woolley, A. E. (Al E.), 1926-1997.</t>
  </si>
  <si>
    <t>Philadelphia : Chilton Books, [1965]</t>
  </si>
  <si>
    <t>2005-08-16</t>
  </si>
  <si>
    <t>1807845:eng</t>
  </si>
  <si>
    <t>644766</t>
  </si>
  <si>
    <t>991003094969702656</t>
  </si>
  <si>
    <t>2261284040002656</t>
  </si>
  <si>
    <t>32285000155043</t>
  </si>
  <si>
    <t>893336136</t>
  </si>
  <si>
    <t>DS259.2 .D43 2005</t>
  </si>
  <si>
    <t>0                      DS 0259200D  43          2005</t>
  </si>
  <si>
    <t>In the rose garden of the martyrs : a memoir of Iran / Christopher de Bellaigue.</t>
  </si>
  <si>
    <t>De Bellaigue, Christopher, 1971-</t>
  </si>
  <si>
    <t>New York : HarperCollins, 2005.</t>
  </si>
  <si>
    <t>2005-12-07</t>
  </si>
  <si>
    <t>866849515:eng</t>
  </si>
  <si>
    <t>56809552</t>
  </si>
  <si>
    <t>991004482309702656</t>
  </si>
  <si>
    <t>2258909980002656</t>
  </si>
  <si>
    <t>9780066209807</t>
  </si>
  <si>
    <t>32285005030019</t>
  </si>
  <si>
    <t>893350060</t>
  </si>
  <si>
    <t>DS259.2 .S53 1997</t>
  </si>
  <si>
    <t>0                      DS 0259200S  53          1997</t>
  </si>
  <si>
    <t>Know thine enemy : a spy's journey into revolutionary Iran / Edward Shirley.</t>
  </si>
  <si>
    <t>Shirley, Edward, 1949-</t>
  </si>
  <si>
    <t>New York : Farrar, Straus, and Giroux, 1997.</t>
  </si>
  <si>
    <t>2007-05-09</t>
  </si>
  <si>
    <t>1997-07-15</t>
  </si>
  <si>
    <t>42243303:eng</t>
  </si>
  <si>
    <t>36485769</t>
  </si>
  <si>
    <t>991002778609702656</t>
  </si>
  <si>
    <t>2265267840002656</t>
  </si>
  <si>
    <t>9780374182199</t>
  </si>
  <si>
    <t>32285002882263</t>
  </si>
  <si>
    <t>893892990</t>
  </si>
  <si>
    <t>DS259.2 .W43 2000</t>
  </si>
  <si>
    <t>0                      DS 0259200W  43          2000</t>
  </si>
  <si>
    <t>Honeymoon in purdah : an Iranian journey / Alison Wearing.</t>
  </si>
  <si>
    <t>Wearing, Alison, 1967-</t>
  </si>
  <si>
    <t>New York : Picador USA, 2000.</t>
  </si>
  <si>
    <t>1st Picador USA ed.</t>
  </si>
  <si>
    <t>2002-12-13</t>
  </si>
  <si>
    <t>2001-01-04</t>
  </si>
  <si>
    <t>44153:eng</t>
  </si>
  <si>
    <t>45015399</t>
  </si>
  <si>
    <t>991003362479702656</t>
  </si>
  <si>
    <t>2263417400002656</t>
  </si>
  <si>
    <t>9780312261818</t>
  </si>
  <si>
    <t>32285004279948</t>
  </si>
  <si>
    <t>893705158</t>
  </si>
  <si>
    <t>DS26 .P65 2005</t>
  </si>
  <si>
    <t>0                      DS 0026000P  65          2005</t>
  </si>
  <si>
    <t>Sons of the conquerors : the rise of the Turkic world / Hugh Pope.</t>
  </si>
  <si>
    <t>Pope, Hugh.</t>
  </si>
  <si>
    <t>New York : Overlook Duckworth, 2005.</t>
  </si>
  <si>
    <t>2005-07-07</t>
  </si>
  <si>
    <t>871840319:eng</t>
  </si>
  <si>
    <t>57406224</t>
  </si>
  <si>
    <t>991004581979702656</t>
  </si>
  <si>
    <t>2264981780002656</t>
  </si>
  <si>
    <t>9781585676415</t>
  </si>
  <si>
    <t>32285005095376</t>
  </si>
  <si>
    <t>893687890</t>
  </si>
  <si>
    <t>DS261 .H852</t>
  </si>
  <si>
    <t>0                      DS 0261000H  852</t>
  </si>
  <si>
    <t>Persia. English translation by H. S. B. Harrison.</t>
  </si>
  <si>
    <t>Huot, Jean-Louis.</t>
  </si>
  <si>
    <t>Geneva, Nagel Publishers [1965-67]</t>
  </si>
  <si>
    <t>5608965711:eng</t>
  </si>
  <si>
    <t>1251968</t>
  </si>
  <si>
    <t>991003648809702656</t>
  </si>
  <si>
    <t>2260700700002656</t>
  </si>
  <si>
    <t>32285002272713</t>
  </si>
  <si>
    <t>893535562</t>
  </si>
  <si>
    <t>32285002272721</t>
  </si>
  <si>
    <t>893505814</t>
  </si>
  <si>
    <t>DS261 .M38 1973</t>
  </si>
  <si>
    <t>0                      DS 0261000M  38          1973</t>
  </si>
  <si>
    <t>Persia: an archaeological guide [by] Sylvia A. Matheson.</t>
  </si>
  <si>
    <t>Matheson, Sylvia A.</t>
  </si>
  <si>
    <t>Park Ridge, N.J., Noyes Press [1973, c1972]</t>
  </si>
  <si>
    <t>[1st U.S. ed.]</t>
  </si>
  <si>
    <t>Archaeological guides</t>
  </si>
  <si>
    <t>2010-11-15</t>
  </si>
  <si>
    <t>1765412:eng</t>
  </si>
  <si>
    <t>589147</t>
  </si>
  <si>
    <t>991003024929702656</t>
  </si>
  <si>
    <t>2259321350002656</t>
  </si>
  <si>
    <t>9780815550105</t>
  </si>
  <si>
    <t>32285002455342</t>
  </si>
  <si>
    <t>893257999</t>
  </si>
  <si>
    <t>DS266 .D43</t>
  </si>
  <si>
    <t>0                      DS 0266000D  43</t>
  </si>
  <si>
    <t>The world of the Persians / texts by J.-A. de Gobineau.</t>
  </si>
  <si>
    <t>Gobineau, Arthur, comte de, 1816-1882.</t>
  </si>
  <si>
    <t>[Genève] : Minerva, [c1971]</t>
  </si>
  <si>
    <t>1445062:eng</t>
  </si>
  <si>
    <t>756692</t>
  </si>
  <si>
    <t>991003232069702656</t>
  </si>
  <si>
    <t>2271309020002656</t>
  </si>
  <si>
    <t>32285002272739</t>
  </si>
  <si>
    <t>893441051</t>
  </si>
  <si>
    <t>DS266 .M484 2004</t>
  </si>
  <si>
    <t>0                      DS 0266000M  484         2004</t>
  </si>
  <si>
    <t>Lost wisdom : rethinking modernity in Iran / by Abbas Milani.</t>
  </si>
  <si>
    <t>Milani, Abbas.</t>
  </si>
  <si>
    <t>Washington, D.C. : Mage Publishers, 2004.</t>
  </si>
  <si>
    <t>2005-04-11</t>
  </si>
  <si>
    <t>249762531:eng</t>
  </si>
  <si>
    <t>53138674</t>
  </si>
  <si>
    <t>991004504099702656</t>
  </si>
  <si>
    <t>2266276650002656</t>
  </si>
  <si>
    <t>9780934211895</t>
  </si>
  <si>
    <t>32285005049324</t>
  </si>
  <si>
    <t>893700329</t>
  </si>
  <si>
    <t>DS266 .P486 1998</t>
  </si>
  <si>
    <t>0                      DS 0266000P  486         1998</t>
  </si>
  <si>
    <t>The Persian presence in the Islamic world / edited by Richard G. Hovannisian and Georges Sabagh.</t>
  </si>
  <si>
    <t>Cambridge, U.K. ; New York : Cambridge University Press, 1998.</t>
  </si>
  <si>
    <t>Giorgio Levi Della Vida conferences ; 13th conference</t>
  </si>
  <si>
    <t>2010-11-19</t>
  </si>
  <si>
    <t>353721197:eng</t>
  </si>
  <si>
    <t>35990274</t>
  </si>
  <si>
    <t>991002740679702656</t>
  </si>
  <si>
    <t>2264397930002656</t>
  </si>
  <si>
    <t>9780521591850</t>
  </si>
  <si>
    <t>32285003670154</t>
  </si>
  <si>
    <t>893227218</t>
  </si>
  <si>
    <t>DS272 .A94 2008</t>
  </si>
  <si>
    <t>0                      DS 0272000A  94          2008</t>
  </si>
  <si>
    <t>A history of Iran : empire of the mind / Michael Axworthy.</t>
  </si>
  <si>
    <t>Axworthy, Michael.</t>
  </si>
  <si>
    <t>New York : Basic Books, c2008.</t>
  </si>
  <si>
    <t>2009-05-22</t>
  </si>
  <si>
    <t>2009-05-12</t>
  </si>
  <si>
    <t>377924123:eng</t>
  </si>
  <si>
    <t>182779666</t>
  </si>
  <si>
    <t>991005313629702656</t>
  </si>
  <si>
    <t>2263279220002656</t>
  </si>
  <si>
    <t>9780465008889</t>
  </si>
  <si>
    <t>32285005532113</t>
  </si>
  <si>
    <t>893720168</t>
  </si>
  <si>
    <t>DS272 .B3813</t>
  </si>
  <si>
    <t>0                      DS 0272000B  3813</t>
  </si>
  <si>
    <t>The Persians, from the earliest days to the twentieth century; translated from the Italian by J. B. Donne.</t>
  </si>
  <si>
    <t>Bausani, Alessandro, 1921-1988.</t>
  </si>
  <si>
    <t>London, Elek, 1971.</t>
  </si>
  <si>
    <t>2010-11-17</t>
  </si>
  <si>
    <t>17821017:eng</t>
  </si>
  <si>
    <t>147054</t>
  </si>
  <si>
    <t>991000829239702656</t>
  </si>
  <si>
    <t>2259080250002656</t>
  </si>
  <si>
    <t>9780236177608</t>
  </si>
  <si>
    <t>32285002455383</t>
  </si>
  <si>
    <t>893444480</t>
  </si>
  <si>
    <t>DS272 .D67 1990</t>
  </si>
  <si>
    <t>0                      DS 0272000D  67          1990</t>
  </si>
  <si>
    <t>From Zarathustra to Khomeini : populism and dissent in Iran / Manochehr Dorraj.</t>
  </si>
  <si>
    <t>Dorraj, Manochehr.</t>
  </si>
  <si>
    <t>Boulder : Lynne Rienner Publishers, c1990.</t>
  </si>
  <si>
    <t>2006-03-15</t>
  </si>
  <si>
    <t>1995-02-16</t>
  </si>
  <si>
    <t>364722863:eng</t>
  </si>
  <si>
    <t>20319164</t>
  </si>
  <si>
    <t>991001563449702656</t>
  </si>
  <si>
    <t>2254788650002656</t>
  </si>
  <si>
    <t>9781555871819</t>
  </si>
  <si>
    <t>32285001999308</t>
  </si>
  <si>
    <t>893803681</t>
  </si>
  <si>
    <t>DS272 .G27 2005</t>
  </si>
  <si>
    <t>0                      DS 0272000G  27          2005</t>
  </si>
  <si>
    <t>The Persians / Gene R. Garthwaite.</t>
  </si>
  <si>
    <t>Garthwaite, Gene R. (Gene Ralph), 1933-</t>
  </si>
  <si>
    <t>Malden, MA : Blackwell Pub., 2005.</t>
  </si>
  <si>
    <t>Peoples of Asia</t>
  </si>
  <si>
    <t>2010-10-25</t>
  </si>
  <si>
    <t>2006-07-24</t>
  </si>
  <si>
    <t>859464:eng</t>
  </si>
  <si>
    <t>54805969</t>
  </si>
  <si>
    <t>991004853679702656</t>
  </si>
  <si>
    <t>2262539200002656</t>
  </si>
  <si>
    <t>9781557868602</t>
  </si>
  <si>
    <t>32285005197461</t>
  </si>
  <si>
    <t>893606534</t>
  </si>
  <si>
    <t>DS272 .H8 1969</t>
  </si>
  <si>
    <t>0                      DS 0272000H  8           1969</t>
  </si>
  <si>
    <t>Ancient Persia and Iranian civilization, by Clʹement Huart...With four plates, thirty-five illustrations, and a map.</t>
  </si>
  <si>
    <t>Huart, Clément, 1854-1926.</t>
  </si>
  <si>
    <t>London, K. Paul, Trench, Truber; New York, Knopf, 1927.</t>
  </si>
  <si>
    <t>The history of civilization</t>
  </si>
  <si>
    <t>2004-11-30</t>
  </si>
  <si>
    <t>9463148871:eng</t>
  </si>
  <si>
    <t>781970</t>
  </si>
  <si>
    <t>991003256589702656</t>
  </si>
  <si>
    <t>2260800100002656</t>
  </si>
  <si>
    <t>9780389044574</t>
  </si>
  <si>
    <t>32285002455391</t>
  </si>
  <si>
    <t>893874586</t>
  </si>
  <si>
    <t>DS272 .S8 1969</t>
  </si>
  <si>
    <t>0                      DS 0272000S  8           1969</t>
  </si>
  <si>
    <t>A history of Persia.</t>
  </si>
  <si>
    <t>Sykes, Percy, Sir, 1867-1945.</t>
  </si>
  <si>
    <t>New York, Barnes &amp; Noble, 1969.</t>
  </si>
  <si>
    <t>3d ed. with supplementary essays.</t>
  </si>
  <si>
    <t>2004-11-10</t>
  </si>
  <si>
    <t>10792690554:eng</t>
  </si>
  <si>
    <t>34317</t>
  </si>
  <si>
    <t>991000087679702656</t>
  </si>
  <si>
    <t>2259922600002656</t>
  </si>
  <si>
    <t>32285002455417</t>
  </si>
  <si>
    <t>893796397</t>
  </si>
  <si>
    <t>DS272 .S8 1969 V.2</t>
  </si>
  <si>
    <t>0                      DS 0272000S  8           1969                                        V.2</t>
  </si>
  <si>
    <t>1998-11-07</t>
  </si>
  <si>
    <t>32285002455425</t>
  </si>
  <si>
    <t>893771366</t>
  </si>
  <si>
    <t>DS273.3 .F37 2007</t>
  </si>
  <si>
    <t>0                      DS 0273300F  37          2007</t>
  </si>
  <si>
    <t>Shadows in the desert : ancient Persia at war / Kaveh Farrokh.</t>
  </si>
  <si>
    <t>Farrokh, Kaveh.</t>
  </si>
  <si>
    <t>Oxford : Osprey, 2007.</t>
  </si>
  <si>
    <t>2008-12-09</t>
  </si>
  <si>
    <t>864308210:eng</t>
  </si>
  <si>
    <t>76936414</t>
  </si>
  <si>
    <t>991005281929702656</t>
  </si>
  <si>
    <t>2265926110002656</t>
  </si>
  <si>
    <t>9781846031083</t>
  </si>
  <si>
    <t>32285005471304</t>
  </si>
  <si>
    <t>893896181</t>
  </si>
  <si>
    <t>DS274 .C48</t>
  </si>
  <si>
    <t>0                      DS 0274000C  48</t>
  </si>
  <si>
    <t>The foreign relations of Iran : a developing state in a zone of great-power conflict / Shahram Chubin and Sepehr Zabih ; with a foreword by Paul Seabury.</t>
  </si>
  <si>
    <t>Chubin, Shahram.</t>
  </si>
  <si>
    <t>Berkeley : University of California Press, c1974.</t>
  </si>
  <si>
    <t>2007-04-27</t>
  </si>
  <si>
    <t>1994-12-19</t>
  </si>
  <si>
    <t>836702476:eng</t>
  </si>
  <si>
    <t>1219525</t>
  </si>
  <si>
    <t>991001699579702656</t>
  </si>
  <si>
    <t>2271494200002656</t>
  </si>
  <si>
    <t>9780520026834</t>
  </si>
  <si>
    <t>32285000875400</t>
  </si>
  <si>
    <t>893497294</t>
  </si>
  <si>
    <t>DS274 .F38 1952</t>
  </si>
  <si>
    <t>0                      DS 0274000F  38          1952</t>
  </si>
  <si>
    <t>Diplomatic history of Persia, 1917-1923 : Anglo-Russian power politics in Iran / Nasrollah Saifpour Fatemi.</t>
  </si>
  <si>
    <t>Fatemi, Nasrollah S. (Nasrollah Saifpour), 1910-1990.</t>
  </si>
  <si>
    <t>New York : Russell F. Moore, c1952.</t>
  </si>
  <si>
    <t>1952</t>
  </si>
  <si>
    <t>1993-04-20</t>
  </si>
  <si>
    <t>1991-03-06</t>
  </si>
  <si>
    <t>343822623:eng</t>
  </si>
  <si>
    <t>1244038</t>
  </si>
  <si>
    <t>991003644519702656</t>
  </si>
  <si>
    <t>2261767190002656</t>
  </si>
  <si>
    <t>32285000299973</t>
  </si>
  <si>
    <t>893900211</t>
  </si>
  <si>
    <t>DS274 .W35 1987</t>
  </si>
  <si>
    <t>0                      DS 0274000W  35          1987</t>
  </si>
  <si>
    <t>Iran, the Arabs, and the West : the story of twenty-five centuries / Salim Wakim.</t>
  </si>
  <si>
    <t>Wakim, Salim.</t>
  </si>
  <si>
    <t>New York : Vantage Press, c1987.</t>
  </si>
  <si>
    <t>475733958:eng</t>
  </si>
  <si>
    <t>18078333</t>
  </si>
  <si>
    <t>991001303749702656</t>
  </si>
  <si>
    <t>2266331210002656</t>
  </si>
  <si>
    <t>32285000335652</t>
  </si>
  <si>
    <t>893702923</t>
  </si>
  <si>
    <t>DS274.2.I57 I85 1982</t>
  </si>
  <si>
    <t>0                      DS 0274200I  57                 I  85          1982</t>
  </si>
  <si>
    <t>Iraq and Iran : roots of conflict / Tareq Y. Ismael.</t>
  </si>
  <si>
    <t>Ismael, Tareq Y.</t>
  </si>
  <si>
    <t>Syracuse, N.Y. : Syracuse University Press, 1982.</t>
  </si>
  <si>
    <t>2003-03-18</t>
  </si>
  <si>
    <t>915614177:eng</t>
  </si>
  <si>
    <t>8667511</t>
  </si>
  <si>
    <t>991000044339702656</t>
  </si>
  <si>
    <t>2270936160002656</t>
  </si>
  <si>
    <t>9780815622796</t>
  </si>
  <si>
    <t>32285000181684</t>
  </si>
  <si>
    <t>893406879</t>
  </si>
  <si>
    <t>DS274.2.I7 G46 1994</t>
  </si>
  <si>
    <t>0                      DS 0274200I  7                  G  46          1994</t>
  </si>
  <si>
    <t>Barbarian Asia and the Greek experience : from the archaic period to the age of Xenophon / Pericles Georges.</t>
  </si>
  <si>
    <t>Georges, Pericles.</t>
  </si>
  <si>
    <t>Baltimore : Johns Hopkins University Press, c1994.</t>
  </si>
  <si>
    <t>Ancient society and history</t>
  </si>
  <si>
    <t>2004-11-02</t>
  </si>
  <si>
    <t>1995-03-19</t>
  </si>
  <si>
    <t>807612121:eng</t>
  </si>
  <si>
    <t>28848513</t>
  </si>
  <si>
    <t>991002236909702656</t>
  </si>
  <si>
    <t>2266893340002656</t>
  </si>
  <si>
    <t>9780801847349</t>
  </si>
  <si>
    <t>32285002002987</t>
  </si>
  <si>
    <t>893703840</t>
  </si>
  <si>
    <t>DS274.2.I72 K48 1988</t>
  </si>
  <si>
    <t>0                      DS 0274200I  72                 K  48          1988</t>
  </si>
  <si>
    <t>The Gulf war : the origins and implications of the Iraq-Iran conflict / Majid Khadduri.</t>
  </si>
  <si>
    <t>Khadduri, Majid, 1908-2007.</t>
  </si>
  <si>
    <t>New York : Oxford University Press, 1988.</t>
  </si>
  <si>
    <t>1998-04-16</t>
  </si>
  <si>
    <t>836754490:eng</t>
  </si>
  <si>
    <t>17354195</t>
  </si>
  <si>
    <t>991001206999702656</t>
  </si>
  <si>
    <t>2268204660002656</t>
  </si>
  <si>
    <t>9780195045291</t>
  </si>
  <si>
    <t>32285000131853</t>
  </si>
  <si>
    <t>893590108</t>
  </si>
  <si>
    <t>DS275 .C3 1968</t>
  </si>
  <si>
    <t>0                      DS 0275000C  3           1968</t>
  </si>
  <si>
    <t>History of early Iran, by George G. Cameron.</t>
  </si>
  <si>
    <t>Cameron, George G. (George Glenn), 1905-1979.</t>
  </si>
  <si>
    <t>New York, Greenwood Press [1968, c1936]</t>
  </si>
  <si>
    <t>2004-10-22</t>
  </si>
  <si>
    <t>417990:eng</t>
  </si>
  <si>
    <t>2833</t>
  </si>
  <si>
    <t>991005435119702656</t>
  </si>
  <si>
    <t>2262891180002656</t>
  </si>
  <si>
    <t>32285002455466</t>
  </si>
  <si>
    <t>893508264</t>
  </si>
  <si>
    <t>DS281 .A3 1983</t>
  </si>
  <si>
    <t>0                      DS 0281000A  3           1983</t>
  </si>
  <si>
    <t>Achaemenid history. I : sources, structures and synthesis ; proceedings of the Groningen 1983 Achaemenid History Workshop / edited by Heleen Sancisi-Weerdenburg.</t>
  </si>
  <si>
    <t>Achaemenid History Workshop (1983 : Groningen, Netherlands)</t>
  </si>
  <si>
    <t>Leiden : Nederlands Instituut voor het Nabije Oosten, 1987.</t>
  </si>
  <si>
    <t>1995-05-09</t>
  </si>
  <si>
    <t>1992-06-24</t>
  </si>
  <si>
    <t>727585234:eng</t>
  </si>
  <si>
    <t>19452660</t>
  </si>
  <si>
    <t>991001460519702656</t>
  </si>
  <si>
    <t>2256299970002656</t>
  </si>
  <si>
    <t>9789062584017</t>
  </si>
  <si>
    <t>32285001156156</t>
  </si>
  <si>
    <t>893703048</t>
  </si>
  <si>
    <t>DS281 .A3 1985</t>
  </si>
  <si>
    <t>0                      DS 0281000A  3           1985</t>
  </si>
  <si>
    <t>Achaemenid history. III, Method and theory : proceedings of the London 1985 Achaemenid History Workshop / edited by Amélie Kuhrt &amp; Heleen Sancisi-Weerdenburg.</t>
  </si>
  <si>
    <t>Achaemenid History Workshop.</t>
  </si>
  <si>
    <t>Leiden : Nederlands Instituut voor het Nabije Oosten, 1988.</t>
  </si>
  <si>
    <t>1993-02-07</t>
  </si>
  <si>
    <t>478734167:eng</t>
  </si>
  <si>
    <t>20477758</t>
  </si>
  <si>
    <t>991001579829702656</t>
  </si>
  <si>
    <t>2267334330002656</t>
  </si>
  <si>
    <t>9789062584031</t>
  </si>
  <si>
    <t>32285001156164</t>
  </si>
  <si>
    <t>893529008</t>
  </si>
  <si>
    <t>DS288 .F79 1975b</t>
  </si>
  <si>
    <t>0                      DS 0288000F  79          1975b</t>
  </si>
  <si>
    <t>The golden age of Persia : the Arabs in the East / Richard N. Frye.</t>
  </si>
  <si>
    <t>Frye, Richard N. (Richard Nelson), 1920-2014.</t>
  </si>
  <si>
    <t>London : Weidenfeld and Nicolson, 1975.</t>
  </si>
  <si>
    <t>History of civilisation</t>
  </si>
  <si>
    <t>2006-10-22</t>
  </si>
  <si>
    <t>2415253:eng</t>
  </si>
  <si>
    <t>1498904</t>
  </si>
  <si>
    <t>991003783669702656</t>
  </si>
  <si>
    <t>2269037130002656</t>
  </si>
  <si>
    <t>9780297768715</t>
  </si>
  <si>
    <t>32285001910289</t>
  </si>
  <si>
    <t>893693155</t>
  </si>
  <si>
    <t>DS292 .N39 2006</t>
  </si>
  <si>
    <t>0                      DS 0292000N  39          2006</t>
  </si>
  <si>
    <t>Safavid Iran : rebirth of a Persian empire / Andrew J. Newman.</t>
  </si>
  <si>
    <t>Newman, Andrew J.</t>
  </si>
  <si>
    <t>London ; New York : I.B. Tauris : New York ; Distributed in the U.S.A. by Palgrave Macmillan, 2006.</t>
  </si>
  <si>
    <t>Library of Middle East history ; v. 5</t>
  </si>
  <si>
    <t>2010-07-13</t>
  </si>
  <si>
    <t>801642115:eng</t>
  </si>
  <si>
    <t>60838413</t>
  </si>
  <si>
    <t>991005066129702656</t>
  </si>
  <si>
    <t>2268194080002656</t>
  </si>
  <si>
    <t>9781860646676</t>
  </si>
  <si>
    <t>32285005288161</t>
  </si>
  <si>
    <t>893418319</t>
  </si>
  <si>
    <t>DS292 .S26</t>
  </si>
  <si>
    <t>0                      DS 0292000S  26</t>
  </si>
  <si>
    <t>Iran under the Safavids / Roger Savory.</t>
  </si>
  <si>
    <t>Savory, Roger.</t>
  </si>
  <si>
    <t>Cambridge ; New York : Cambridge University Press, 1980.</t>
  </si>
  <si>
    <t>1998-11-04</t>
  </si>
  <si>
    <t>504106:eng</t>
  </si>
  <si>
    <t>5354386</t>
  </si>
  <si>
    <t>991004826209702656</t>
  </si>
  <si>
    <t>2258930000002656</t>
  </si>
  <si>
    <t>9780521224833</t>
  </si>
  <si>
    <t>32285000335686</t>
  </si>
  <si>
    <t>893430536</t>
  </si>
  <si>
    <t>DS3.A2 A82 no.36</t>
  </si>
  <si>
    <t>0                      DS 0003000A  2                  A  82                                no.36</t>
  </si>
  <si>
    <t>A history of Indian Buddhism : from Śākyamuni to early Mahāyāna / Hirakawa Akira ; translated and edited by Paul Groner.</t>
  </si>
  <si>
    <t>no.36*</t>
  </si>
  <si>
    <t>Hirakawa, Akira, 1915-2002.</t>
  </si>
  <si>
    <t>[Honolulu] : University of Hawaii Press, c1990.</t>
  </si>
  <si>
    <t>hiu</t>
  </si>
  <si>
    <t>Asian studies at Hawaii ; no. 36</t>
  </si>
  <si>
    <t>1997-10-06</t>
  </si>
  <si>
    <t>505286468:eng</t>
  </si>
  <si>
    <t>20827339</t>
  </si>
  <si>
    <t>991001624009702656</t>
  </si>
  <si>
    <t>2261692740002656</t>
  </si>
  <si>
    <t>9780824812034</t>
  </si>
  <si>
    <t>32285001911691</t>
  </si>
  <si>
    <t>893703135</t>
  </si>
  <si>
    <t>DS313 .M36 1989b</t>
  </si>
  <si>
    <t>0                      DS 0313000M  36          1989b</t>
  </si>
  <si>
    <t>Islam and modernism : the Iranian revolution of 1906 / Vanessa Martin.</t>
  </si>
  <si>
    <t>Martin, Vanessa.</t>
  </si>
  <si>
    <t>London : Tauris, c1989.</t>
  </si>
  <si>
    <t>2002-04-20</t>
  </si>
  <si>
    <t>15720720:eng</t>
  </si>
  <si>
    <t>17619896</t>
  </si>
  <si>
    <t>991001241349702656</t>
  </si>
  <si>
    <t>2257904630002656</t>
  </si>
  <si>
    <t>9781850431015</t>
  </si>
  <si>
    <t>32285000015288</t>
  </si>
  <si>
    <t>893778669</t>
  </si>
  <si>
    <t>DS315 .U75</t>
  </si>
  <si>
    <t>0                      DS 0315000U  75</t>
  </si>
  <si>
    <t>The history of modern Iran; an interpretation.</t>
  </si>
  <si>
    <t>Upton, Joseph M.</t>
  </si>
  <si>
    <t>Cambridge, Distrubuted for the Center for Middle Eastern Studies of Harvard University by Harvard University Press, 1960.</t>
  </si>
  <si>
    <t>Harvard Middle Eastern monographs ; 2</t>
  </si>
  <si>
    <t>2006-10-04</t>
  </si>
  <si>
    <t>1356111:eng</t>
  </si>
  <si>
    <t>6347640</t>
  </si>
  <si>
    <t>991004967609702656</t>
  </si>
  <si>
    <t>2270722170002656</t>
  </si>
  <si>
    <t>32285002455524</t>
  </si>
  <si>
    <t>893782851</t>
  </si>
  <si>
    <t>DS316.3 .I7</t>
  </si>
  <si>
    <t>0                      DS 0316300I  7</t>
  </si>
  <si>
    <t>Iran under the Pahlavis / George Lenczowski, editor.</t>
  </si>
  <si>
    <t>Stanford, Calif. : Hoover Institution Press, c1978.</t>
  </si>
  <si>
    <t>Hoover Institution publication ; 164</t>
  </si>
  <si>
    <t>12973452:eng</t>
  </si>
  <si>
    <t>3828879</t>
  </si>
  <si>
    <t>991004522449702656</t>
  </si>
  <si>
    <t>2260327700002656</t>
  </si>
  <si>
    <t>9780817966416</t>
  </si>
  <si>
    <t>32285000335694</t>
  </si>
  <si>
    <t>893319338</t>
  </si>
  <si>
    <t>DS316.3 .K42</t>
  </si>
  <si>
    <t>0                      DS 0316300K  42</t>
  </si>
  <si>
    <t>Roots of revolution : an interpretive history of modern Iran / Nikki R. Keddie ; with a section by Yann Richard.</t>
  </si>
  <si>
    <t>Keddie, Nikki R.</t>
  </si>
  <si>
    <t>New Haven : Yale University Press, c1981.</t>
  </si>
  <si>
    <t>2009-11-08</t>
  </si>
  <si>
    <t>3856071643:eng</t>
  </si>
  <si>
    <t>7554626</t>
  </si>
  <si>
    <t>991005127639702656</t>
  </si>
  <si>
    <t>2264559880002656</t>
  </si>
  <si>
    <t>9780300026061</t>
  </si>
  <si>
    <t>32285000335702</t>
  </si>
  <si>
    <t>893332436</t>
  </si>
  <si>
    <t>DS316.3 .K42 2003</t>
  </si>
  <si>
    <t>0                      DS 0316300K  42          2003</t>
  </si>
  <si>
    <t>Modern Iran : roots and results of revolution / Nikki R. Keddie ; with a section by Yann Richard.</t>
  </si>
  <si>
    <t>New Haven, Conn. : Yale University Press, 2003.</t>
  </si>
  <si>
    <t>2010-03-28</t>
  </si>
  <si>
    <t>2004-05-11</t>
  </si>
  <si>
    <t>796396005:eng</t>
  </si>
  <si>
    <t>52203239</t>
  </si>
  <si>
    <t>991004284599702656</t>
  </si>
  <si>
    <t>2259488110002656</t>
  </si>
  <si>
    <t>9780300098563</t>
  </si>
  <si>
    <t>32285004904610</t>
  </si>
  <si>
    <t>893436106</t>
  </si>
  <si>
    <t>DS316.6 .G47 2006</t>
  </si>
  <si>
    <t>0                      DS 0316600G  47          2006</t>
  </si>
  <si>
    <t>Democracy in Iran : history and the quest for liberty / Ali Gheissari, Vali Nasr.</t>
  </si>
  <si>
    <t>Gheissari, Ali, 1954-</t>
  </si>
  <si>
    <t>Oxford ; New York : Oxford University Press, 2006.</t>
  </si>
  <si>
    <t>2007-07-23</t>
  </si>
  <si>
    <t>793885974:eng</t>
  </si>
  <si>
    <t>62281868</t>
  </si>
  <si>
    <t>991004859779702656</t>
  </si>
  <si>
    <t>2258350240002656</t>
  </si>
  <si>
    <t>9780195189674</t>
  </si>
  <si>
    <t>32285005197412</t>
  </si>
  <si>
    <t>893606540</t>
  </si>
  <si>
    <t>DS316.9.M67 K38 1999</t>
  </si>
  <si>
    <t>0                      DS 0316900M  67                 K  38          1999</t>
  </si>
  <si>
    <t>Musaddiq and the struggle for power in Iran / Homa Katouzian.</t>
  </si>
  <si>
    <t>Katouzian, Homa.</t>
  </si>
  <si>
    <t>London ; New York : I.B. Tauris ; New York ; Distributed in U.S. and Canada by St. Martin's Press, 1999.</t>
  </si>
  <si>
    <t>Rev. pbk. ed.</t>
  </si>
  <si>
    <t>2009-11-06</t>
  </si>
  <si>
    <t>23215062:eng</t>
  </si>
  <si>
    <t>42703506</t>
  </si>
  <si>
    <t>991003214399702656</t>
  </si>
  <si>
    <t>2265854020002656</t>
  </si>
  <si>
    <t>9781860642906</t>
  </si>
  <si>
    <t>32285003741724</t>
  </si>
  <si>
    <t>893592298</t>
  </si>
  <si>
    <t>DS317 .G45 1998</t>
  </si>
  <si>
    <t>0                      DS 0317000G  45          1998</t>
  </si>
  <si>
    <t>Iran and the rise of Reza Shah : from Qajar collapse to Pahlavi rule / Cyrus Ghani.</t>
  </si>
  <si>
    <t>Ghanī, Sīrūs.</t>
  </si>
  <si>
    <t>London ; New York : I.B. Tauris, 1998.</t>
  </si>
  <si>
    <t>24117225:eng</t>
  </si>
  <si>
    <t>40517452</t>
  </si>
  <si>
    <t>991003214279702656</t>
  </si>
  <si>
    <t>2255683320002656</t>
  </si>
  <si>
    <t>9781860642586</t>
  </si>
  <si>
    <t>32285003741682</t>
  </si>
  <si>
    <t>893787083</t>
  </si>
  <si>
    <t>DS317 .S494 1988</t>
  </si>
  <si>
    <t>0                      DS 0317000S  494         1988</t>
  </si>
  <si>
    <t>The Shah's last ride : the fate of an ally / William Shawcross.</t>
  </si>
  <si>
    <t>Shawcross, William.</t>
  </si>
  <si>
    <t>New York : Simon and Schuster, c1988.</t>
  </si>
  <si>
    <t>8907235045:eng</t>
  </si>
  <si>
    <t>17918074</t>
  </si>
  <si>
    <t>991001281259702656</t>
  </si>
  <si>
    <t>2270871600002656</t>
  </si>
  <si>
    <t>9780671552312</t>
  </si>
  <si>
    <t>32285000107879</t>
  </si>
  <si>
    <t>893772475</t>
  </si>
  <si>
    <t>DS317 .W54</t>
  </si>
  <si>
    <t>0                      DS 0317000W  54</t>
  </si>
  <si>
    <t>Riza Shah Pahlavi : the resurrection and reconstruction of Iran / Donald N. Wilber.</t>
  </si>
  <si>
    <t>Wilber, Donald Newton.</t>
  </si>
  <si>
    <t>Hicksville, N.Y. : Exposition Press, [1975]</t>
  </si>
  <si>
    <t>An Exposition-university book</t>
  </si>
  <si>
    <t>1992-05-27</t>
  </si>
  <si>
    <t>432038:eng</t>
  </si>
  <si>
    <t>1558429</t>
  </si>
  <si>
    <t>991003821019702656</t>
  </si>
  <si>
    <t>2266872830002656</t>
  </si>
  <si>
    <t>9780682482066</t>
  </si>
  <si>
    <t>32285001113199</t>
  </si>
  <si>
    <t>893252824</t>
  </si>
  <si>
    <t>DS318 .A94 1989</t>
  </si>
  <si>
    <t>0                      DS 0318000A  94          1989</t>
  </si>
  <si>
    <t>Iran : the crisis of democracy / Fakhreddin Azimi.</t>
  </si>
  <si>
    <t>Azimi, Fakhreddin.</t>
  </si>
  <si>
    <t>New York : St. Martin's Press, 1989.</t>
  </si>
  <si>
    <t>1990-01-15</t>
  </si>
  <si>
    <t>21346083:eng</t>
  </si>
  <si>
    <t>19514392</t>
  </si>
  <si>
    <t>991001467069702656</t>
  </si>
  <si>
    <t>2259889320002656</t>
  </si>
  <si>
    <t>9780312031923</t>
  </si>
  <si>
    <t>32285000028398</t>
  </si>
  <si>
    <t>893602621</t>
  </si>
  <si>
    <t>DS318 .B335</t>
  </si>
  <si>
    <t>0                      DS 0318000B  335</t>
  </si>
  <si>
    <t>The crowned cannibals : writings on repression in Iran / Reza Baraheni, with an introduction by E. L. Doctorow.</t>
  </si>
  <si>
    <t>Baraheni, Reza, 1935-</t>
  </si>
  <si>
    <t>New York : Vintage Books, 1977.</t>
  </si>
  <si>
    <t>287468113:eng</t>
  </si>
  <si>
    <t>2967799</t>
  </si>
  <si>
    <t>991004300029702656</t>
  </si>
  <si>
    <t>2269466110002656</t>
  </si>
  <si>
    <t>9780394723570</t>
  </si>
  <si>
    <t>32285002455540</t>
  </si>
  <si>
    <t>893253523</t>
  </si>
  <si>
    <t>DS318 .H6713 1980</t>
  </si>
  <si>
    <t>0                      DS 0318000H  6713        1980</t>
  </si>
  <si>
    <t>The fall of the Shah / Fereydoun Hoveyda ; translated by Roger Liddell.</t>
  </si>
  <si>
    <t>Hoveyda, Fereydoun.</t>
  </si>
  <si>
    <t>New York : Wyndham Books, c1980.</t>
  </si>
  <si>
    <t>2003-11-29</t>
  </si>
  <si>
    <t>519278:eng</t>
  </si>
  <si>
    <t>5992123</t>
  </si>
  <si>
    <t>991004910979702656</t>
  </si>
  <si>
    <t>2261396080002656</t>
  </si>
  <si>
    <t>9780671610036</t>
  </si>
  <si>
    <t>32285000335777</t>
  </si>
  <si>
    <t>893332170</t>
  </si>
  <si>
    <t>DS318 .H87 1985</t>
  </si>
  <si>
    <t>0                      DS 0318000H  87          1985</t>
  </si>
  <si>
    <t>Islamic Iran : revolution and counter-revolution / Asaf Hussain.</t>
  </si>
  <si>
    <t>Hussain, Asaf.</t>
  </si>
  <si>
    <t>New York : St. Martin's Press, 1985.</t>
  </si>
  <si>
    <t>2007-04-04</t>
  </si>
  <si>
    <t>836656540:eng</t>
  </si>
  <si>
    <t>11841591</t>
  </si>
  <si>
    <t>991000601509702656</t>
  </si>
  <si>
    <t>2266231510002656</t>
  </si>
  <si>
    <t>9780312437459</t>
  </si>
  <si>
    <t>32285000181692</t>
  </si>
  <si>
    <t>893865517</t>
  </si>
  <si>
    <t>DS318 .I68</t>
  </si>
  <si>
    <t>0                      DS 0318000I  68</t>
  </si>
  <si>
    <t>Iran erupts / edited by Ali-Reza Nobari.</t>
  </si>
  <si>
    <t>Stanford : Iran-America Documentation Group, Stanford University, c1978.</t>
  </si>
  <si>
    <t>Independence : news and analysis of the Iranian National Movement ; v. 1</t>
  </si>
  <si>
    <t>2008-12-01</t>
  </si>
  <si>
    <t>865177677:eng</t>
  </si>
  <si>
    <t>4767949</t>
  </si>
  <si>
    <t>991004711079702656</t>
  </si>
  <si>
    <t>2260993070002656</t>
  </si>
  <si>
    <t>32285000335785</t>
  </si>
  <si>
    <t>893344165</t>
  </si>
  <si>
    <t>DS318 .K49 2003</t>
  </si>
  <si>
    <t>0                      DS 0318000K  49          2003</t>
  </si>
  <si>
    <t>All the Shah's men : an American coup and the roots of Middle East terror / Stephen Kinzer.</t>
  </si>
  <si>
    <t>Kinzer, Stephen.</t>
  </si>
  <si>
    <t>Hoboken, N.J. : J. Wiley &amp; Sons, c2003.</t>
  </si>
  <si>
    <t>2004-09-23</t>
  </si>
  <si>
    <t>14383706:eng</t>
  </si>
  <si>
    <t>52165724</t>
  </si>
  <si>
    <t>991004360429702656</t>
  </si>
  <si>
    <t>2261508320002656</t>
  </si>
  <si>
    <t>9780471265177</t>
  </si>
  <si>
    <t>32285004988977</t>
  </si>
  <si>
    <t>893775930</t>
  </si>
  <si>
    <t>DS318 .M58413</t>
  </si>
  <si>
    <t>0                      DS 0318000M  58413</t>
  </si>
  <si>
    <t>Answer to history / Mohammad Reza Pahlavi ; [translation, Michael Joseph Ltd.].</t>
  </si>
  <si>
    <t>Mohammad Reza Pahlavi, Shah of Iran, 1919-1980.</t>
  </si>
  <si>
    <t>New York : Stein and Day, 1980.</t>
  </si>
  <si>
    <t>140529146:eng</t>
  </si>
  <si>
    <t>6695257</t>
  </si>
  <si>
    <t>991005025739702656</t>
  </si>
  <si>
    <t>2266069340002656</t>
  </si>
  <si>
    <t>32285000335819</t>
  </si>
  <si>
    <t>893905178</t>
  </si>
  <si>
    <t>DS318 .M6 1961a</t>
  </si>
  <si>
    <t>0                      DS 0318000M  6           1961a</t>
  </si>
  <si>
    <t>Mission for my country / His Imperial Majesty Mohammed Reza Shah Pahlavi, Shahanshah of Iran. --</t>
  </si>
  <si>
    <t>London : Hutchinson, 1961, c1960.</t>
  </si>
  <si>
    <t>140529030:eng</t>
  </si>
  <si>
    <t>2768440</t>
  </si>
  <si>
    <t>991004235929702656</t>
  </si>
  <si>
    <t>2257064580002656</t>
  </si>
  <si>
    <t>32285000335827</t>
  </si>
  <si>
    <t>893423547</t>
  </si>
  <si>
    <t>DS318 .S52 1990</t>
  </si>
  <si>
    <t>0                      DS 0318000S  52          1990</t>
  </si>
  <si>
    <t>Liberal nationalism in Iran : the failure of a movement / Sussan Siavoshi.</t>
  </si>
  <si>
    <t>Siavoshi, Sussan.</t>
  </si>
  <si>
    <t>Boulder : Westview Press, 1990, c1986.</t>
  </si>
  <si>
    <t>2008-11-19</t>
  </si>
  <si>
    <t>9865579:eng</t>
  </si>
  <si>
    <t>15654928</t>
  </si>
  <si>
    <t>991001051459702656</t>
  </si>
  <si>
    <t>2265436810002656</t>
  </si>
  <si>
    <t>9780813374130</t>
  </si>
  <si>
    <t>32285001127629</t>
  </si>
  <si>
    <t>893432555</t>
  </si>
  <si>
    <t>DS318 .Z33</t>
  </si>
  <si>
    <t>0                      DS 0318000Z  33</t>
  </si>
  <si>
    <t>The Mossadegh era : roots of the Iranian revolution / Sepehr Zabih.</t>
  </si>
  <si>
    <t>Zabih, Sepehr.</t>
  </si>
  <si>
    <t>Chicago, Ill. : Lake View Press, c1982.</t>
  </si>
  <si>
    <t>585165:eng</t>
  </si>
  <si>
    <t>8277065</t>
  </si>
  <si>
    <t>991005224599702656</t>
  </si>
  <si>
    <t>2265978210002656</t>
  </si>
  <si>
    <t>9780941702003</t>
  </si>
  <si>
    <t>32285000210301</t>
  </si>
  <si>
    <t>893248572</t>
  </si>
  <si>
    <t>DS318.8 .B46 1984</t>
  </si>
  <si>
    <t>0                      DS 0318800B  46          1984</t>
  </si>
  <si>
    <t>"The government of God" : Iran's Islamic republic / Cheryl Benard and Zalmay Khalilzad.</t>
  </si>
  <si>
    <t>Benard, Cheryl, 1953-</t>
  </si>
  <si>
    <t>New York : Columbia University Press, 1984.</t>
  </si>
  <si>
    <t>The Modern Middle East series ; no. 15</t>
  </si>
  <si>
    <t>836634428:eng</t>
  </si>
  <si>
    <t>10022790</t>
  </si>
  <si>
    <t>991000301449702656</t>
  </si>
  <si>
    <t>2268520940002656</t>
  </si>
  <si>
    <t>9780231053761</t>
  </si>
  <si>
    <t>32285000672385</t>
  </si>
  <si>
    <t>893255322</t>
  </si>
  <si>
    <t>DS318.8 .H865 1992</t>
  </si>
  <si>
    <t>0                      DS 0318800H  865         1992</t>
  </si>
  <si>
    <t>Iran after Khomeini / Shireen T. Hunter ; foreword by David D. Newsom.</t>
  </si>
  <si>
    <t>Hunter, Shireen.</t>
  </si>
  <si>
    <t>New York : Praeger, 1992.</t>
  </si>
  <si>
    <t>The Washington papers, 0278-937X ; 156</t>
  </si>
  <si>
    <t>1995-01-10</t>
  </si>
  <si>
    <t>2571207:eng</t>
  </si>
  <si>
    <t>25247197</t>
  </si>
  <si>
    <t>991001988039702656</t>
  </si>
  <si>
    <t>2258711440002656</t>
  </si>
  <si>
    <t>9780275942922</t>
  </si>
  <si>
    <t>32285001992311</t>
  </si>
  <si>
    <t>893603069</t>
  </si>
  <si>
    <t>DS318.8 .I72 1986</t>
  </si>
  <si>
    <t>0                      DS 0318800I  72          1986</t>
  </si>
  <si>
    <t>The Iranian revolution &amp; the Islamic Republic / edited by Nikki R. Keddie and Eric Hooglund.</t>
  </si>
  <si>
    <t>Syracuse, N.Y. : Syracuse University Press, 1986.</t>
  </si>
  <si>
    <t>New ed.</t>
  </si>
  <si>
    <t>434551374:eng</t>
  </si>
  <si>
    <t>13903363</t>
  </si>
  <si>
    <t>991005225679702656</t>
  </si>
  <si>
    <t>2270166680002656</t>
  </si>
  <si>
    <t>9780815623878</t>
  </si>
  <si>
    <t>32285005440416</t>
  </si>
  <si>
    <t>893783239</t>
  </si>
  <si>
    <t>DS318.8 .K87 2004</t>
  </si>
  <si>
    <t>0                      DS 0318800K  87          2004</t>
  </si>
  <si>
    <t>The unthinkable revolution in Iran / Charles Kurzman.</t>
  </si>
  <si>
    <t>Kurzman, Charles.</t>
  </si>
  <si>
    <t>Cambridge, Mass. : Harvard University Press, 2004.</t>
  </si>
  <si>
    <t>2005-02-22</t>
  </si>
  <si>
    <t>10732527:eng</t>
  </si>
  <si>
    <t>53306064</t>
  </si>
  <si>
    <t>991004463039702656</t>
  </si>
  <si>
    <t>2261012690002656</t>
  </si>
  <si>
    <t>9780674013285</t>
  </si>
  <si>
    <t>32285005025894</t>
  </si>
  <si>
    <t>893500601</t>
  </si>
  <si>
    <t>DS318.8 .M3 1996</t>
  </si>
  <si>
    <t>0                      DS 0318800M  3           1996</t>
  </si>
  <si>
    <t>The Iranians : Persia, Islam and the soul of a nation / Sandra Mackey ; W. Scott Harrop, research assistant.</t>
  </si>
  <si>
    <t>New York : Dutton, c1996.</t>
  </si>
  <si>
    <t>2008-08-08</t>
  </si>
  <si>
    <t>1996-05-17</t>
  </si>
  <si>
    <t>38377176:eng</t>
  </si>
  <si>
    <t>33245278</t>
  </si>
  <si>
    <t>991002558279702656</t>
  </si>
  <si>
    <t>2257159270002656</t>
  </si>
  <si>
    <t>9780525940050</t>
  </si>
  <si>
    <t>32285002175197</t>
  </si>
  <si>
    <t>893779953</t>
  </si>
  <si>
    <t>DS318.8 .T44 1980</t>
  </si>
  <si>
    <t>0                      DS 0318800T  44          1980</t>
  </si>
  <si>
    <t>Tell the American people : perspectives on the Iranian revolution / edited with introd. and chronology by David H. Albert.</t>
  </si>
  <si>
    <t>Philadelphia, Pa. : Movement for a New Society, 1980.</t>
  </si>
  <si>
    <t>New rev. and enl. ed.</t>
  </si>
  <si>
    <t>2003-10-12</t>
  </si>
  <si>
    <t>54403031:eng</t>
  </si>
  <si>
    <t>7113501</t>
  </si>
  <si>
    <t>991005075989702656</t>
  </si>
  <si>
    <t>2262070760002656</t>
  </si>
  <si>
    <t>9780865710016</t>
  </si>
  <si>
    <t>32285000335850</t>
  </si>
  <si>
    <t>893889629</t>
  </si>
  <si>
    <t>DS318.8 .Z32 1982</t>
  </si>
  <si>
    <t>0                      DS 0318800Z  32          1982</t>
  </si>
  <si>
    <t>Iran since the revolution / Sepehr Zabih.</t>
  </si>
  <si>
    <t>Baltimore, Md. : Johns Hopkins University Press, 1982.</t>
  </si>
  <si>
    <t>2008-04-20</t>
  </si>
  <si>
    <t>452649:eng</t>
  </si>
  <si>
    <t>8451225</t>
  </si>
  <si>
    <t>991005244279702656</t>
  </si>
  <si>
    <t>2266021380002656</t>
  </si>
  <si>
    <t>9780801828881</t>
  </si>
  <si>
    <t>32285000335868</t>
  </si>
  <si>
    <t>893783272</t>
  </si>
  <si>
    <t>DS318.825 .B6 2005</t>
  </si>
  <si>
    <t>0                      DS 0318825B  6           2005</t>
  </si>
  <si>
    <t>A nation under siege : nukes, mullahs, and the ultimate nightmare / M. Blake.</t>
  </si>
  <si>
    <t>Blake, M.</t>
  </si>
  <si>
    <t>San Francisco : Blake Press, c2005.</t>
  </si>
  <si>
    <t>2009-08-24</t>
  </si>
  <si>
    <t>2006-05-04</t>
  </si>
  <si>
    <t>1043425291:eng</t>
  </si>
  <si>
    <t>60791783</t>
  </si>
  <si>
    <t>991004799669702656</t>
  </si>
  <si>
    <t>2261226470002656</t>
  </si>
  <si>
    <t>9780976415503</t>
  </si>
  <si>
    <t>32285005184550</t>
  </si>
  <si>
    <t>893430506</t>
  </si>
  <si>
    <t>DS318.825 .I65 1992</t>
  </si>
  <si>
    <t>0                      DS 0318825I  65          1992</t>
  </si>
  <si>
    <t>Iran : political culture in the Islamic republic / edited by Samih K. Farsoun and Mehrdad Mashayekhi.</t>
  </si>
  <si>
    <t>London ; New York : Routledge, 1992.</t>
  </si>
  <si>
    <t>9415450211:eng</t>
  </si>
  <si>
    <t>24668707</t>
  </si>
  <si>
    <t>991001951359702656</t>
  </si>
  <si>
    <t>2256902580002656</t>
  </si>
  <si>
    <t>9780415031424</t>
  </si>
  <si>
    <t>32285001582583</t>
  </si>
  <si>
    <t>893510105</t>
  </si>
  <si>
    <t>DS318.825 .P47 2008</t>
  </si>
  <si>
    <t>0                      DS 0318825P  47          2008</t>
  </si>
  <si>
    <t>Engaging Iran and building peace in the Persian Gulf Region : a report to the Trilateral Commission / European author Volker Perthes, North American author Ray Takeyh, Pacific Asian author Hitoshi Tanaka.</t>
  </si>
  <si>
    <t>Perthes, Volker.</t>
  </si>
  <si>
    <t>Washington, D.C. : Trilateral Commission, 2008.</t>
  </si>
  <si>
    <t>The triangle papers ; 62</t>
  </si>
  <si>
    <t>2010-12-14</t>
  </si>
  <si>
    <t>892051663:eng</t>
  </si>
  <si>
    <t>244695407</t>
  </si>
  <si>
    <t>991000384829702656</t>
  </si>
  <si>
    <t>2267940490002656</t>
  </si>
  <si>
    <t>9780930503918</t>
  </si>
  <si>
    <t>32285005650691</t>
  </si>
  <si>
    <t>893407132</t>
  </si>
  <si>
    <t>DS318.825 .R44 1992</t>
  </si>
  <si>
    <t>0                      DS 0318825R  44          1992</t>
  </si>
  <si>
    <t>Reconstruction and regional diplomacy in the Persian Gulf / edited by Hooshang Amirahmadi and Nader Entessar.</t>
  </si>
  <si>
    <t>2002-04-07</t>
  </si>
  <si>
    <t>1060424058:eng</t>
  </si>
  <si>
    <t>25509564</t>
  </si>
  <si>
    <t>991002007029702656</t>
  </si>
  <si>
    <t>2271943860002656</t>
  </si>
  <si>
    <t>9780415064859</t>
  </si>
  <si>
    <t>32285001498640</t>
  </si>
  <si>
    <t>893709762</t>
  </si>
  <si>
    <t>DS318.825 .T355 2006</t>
  </si>
  <si>
    <t>0                      DS 0318825T  355         2006</t>
  </si>
  <si>
    <t>Hidden Iran : paradox and power in the Islamic Republic / Ray Takeyh.</t>
  </si>
  <si>
    <t>Takeyh, Ray, 1966-</t>
  </si>
  <si>
    <t>New York : Times Book, 2006.</t>
  </si>
  <si>
    <t>2010-06-22</t>
  </si>
  <si>
    <t>2006-10-16</t>
  </si>
  <si>
    <t>552211952:eng</t>
  </si>
  <si>
    <t>65400761</t>
  </si>
  <si>
    <t>991004909459702656</t>
  </si>
  <si>
    <t>2258332740002656</t>
  </si>
  <si>
    <t>9780805079760</t>
  </si>
  <si>
    <t>32285005230338</t>
  </si>
  <si>
    <t>893430602</t>
  </si>
  <si>
    <t>DS318.83 .I736 2008</t>
  </si>
  <si>
    <t>0                      DS 0318830I  736         2008</t>
  </si>
  <si>
    <t>Iran's foreign policy : from Khatami to Ahmadinejad / edited by Anoushiravan Ehteshami and Mahjoob Zweiri.</t>
  </si>
  <si>
    <t>Reading, Berkshire, U.K. : Ithaca Press, 2008.</t>
  </si>
  <si>
    <t>2009-03-26</t>
  </si>
  <si>
    <t>866243979:eng</t>
  </si>
  <si>
    <t>233705005</t>
  </si>
  <si>
    <t>991005299969702656</t>
  </si>
  <si>
    <t>2258132570002656</t>
  </si>
  <si>
    <t>9780863723247</t>
  </si>
  <si>
    <t>32285005510507</t>
  </si>
  <si>
    <t>893507936</t>
  </si>
  <si>
    <t>DS318.84.K48 T34 1985</t>
  </si>
  <si>
    <t>0                      DS 0318840K  48                 T  34          1985</t>
  </si>
  <si>
    <t>The spirit of Allah : Khomeini and the Islamic revolution / Amir Taheri.</t>
  </si>
  <si>
    <t>Taheri, Amir.</t>
  </si>
  <si>
    <t>London : Hutchinson, [1985].</t>
  </si>
  <si>
    <t>5048158:eng</t>
  </si>
  <si>
    <t>59083775</t>
  </si>
  <si>
    <t>991000625309702656</t>
  </si>
  <si>
    <t>2254722300002656</t>
  </si>
  <si>
    <t>9780091603205</t>
  </si>
  <si>
    <t>32285000210319</t>
  </si>
  <si>
    <t>893683599</t>
  </si>
  <si>
    <t>DS318.85 .B3613 1991</t>
  </si>
  <si>
    <t>0                      DS 0318850B  3613        1991</t>
  </si>
  <si>
    <t>My turn to speak : Iran, the revolution &amp; secret deals with the U.S. / Abol Hassan Bani-Sadr ; from a series of interviews by Jean-Charles Deniau ; foreword by L. Bruce Laingen.</t>
  </si>
  <si>
    <t>Banī Ṣadr, Abū al-Ḥasan.</t>
  </si>
  <si>
    <t>Washington : Brassey's (US), c1991.</t>
  </si>
  <si>
    <t>1991-10-24</t>
  </si>
  <si>
    <t>23899001:eng</t>
  </si>
  <si>
    <t>22452500</t>
  </si>
  <si>
    <t>991001780289702656</t>
  </si>
  <si>
    <t>2260300070002656</t>
  </si>
  <si>
    <t>9780080405636</t>
  </si>
  <si>
    <t>32285000727890</t>
  </si>
  <si>
    <t>893791695</t>
  </si>
  <si>
    <t>DS318.85 .B84 1989</t>
  </si>
  <si>
    <t>0                      DS 0318850B  84          1989</t>
  </si>
  <si>
    <t>The Gulf War : its origins, history and consequences / John Bulloch and Harvey Morris.</t>
  </si>
  <si>
    <t>Bulloch, John.</t>
  </si>
  <si>
    <t>London : Methuen London, 1989.</t>
  </si>
  <si>
    <t>1991-09-24</t>
  </si>
  <si>
    <t>836914264:eng</t>
  </si>
  <si>
    <t>26096939</t>
  </si>
  <si>
    <t>991001804869702656</t>
  </si>
  <si>
    <t>2260023520002656</t>
  </si>
  <si>
    <t>9780413613707</t>
  </si>
  <si>
    <t>32285000704998</t>
  </si>
  <si>
    <t>893797845</t>
  </si>
  <si>
    <t>DS318.85 .M68 2001</t>
  </si>
  <si>
    <t>0                      DS 0318850M  68          2001</t>
  </si>
  <si>
    <t>The origins of the Gulf wars / Morris M. Mottale.</t>
  </si>
  <si>
    <t>Mottale, Morris Mehrdad, 1947-</t>
  </si>
  <si>
    <t>Lanham, Md. : University Press of America, c2001.</t>
  </si>
  <si>
    <t>2002-04-25</t>
  </si>
  <si>
    <t>20409887:eng</t>
  </si>
  <si>
    <t>47927637</t>
  </si>
  <si>
    <t>991003781469702656</t>
  </si>
  <si>
    <t>2268171120002656</t>
  </si>
  <si>
    <t>9780761821281</t>
  </si>
  <si>
    <t>32285004483649</t>
  </si>
  <si>
    <t>893410702</t>
  </si>
  <si>
    <t>DS318.9 .A23 2003</t>
  </si>
  <si>
    <t>0                      DS 0318900A  23          2003</t>
  </si>
  <si>
    <t>Answering only to God : faith and freedom in twenty-first-century Iran / Geneive Abdo and Jonathan Lyons.</t>
  </si>
  <si>
    <t>Abdo, Geneive, 1960-</t>
  </si>
  <si>
    <t>New York : Henry Holt, 2003.</t>
  </si>
  <si>
    <t>2003-06-09</t>
  </si>
  <si>
    <t>234018350:eng</t>
  </si>
  <si>
    <t>50606444</t>
  </si>
  <si>
    <t>991004058819702656</t>
  </si>
  <si>
    <t>2263404500002656</t>
  </si>
  <si>
    <t>9780805072990</t>
  </si>
  <si>
    <t>32285004751250</t>
  </si>
  <si>
    <t>893611861</t>
  </si>
  <si>
    <t>DS318.9 .D43 2007</t>
  </si>
  <si>
    <t>0                      DS 0318900D  43          2007</t>
  </si>
  <si>
    <t>The struggle for Iran / by Christopher de Bellaigue.</t>
  </si>
  <si>
    <t>New York, NY : New York Review Books, 2007.</t>
  </si>
  <si>
    <t>New York Review Book</t>
  </si>
  <si>
    <t>66007897:eng</t>
  </si>
  <si>
    <t>81150623</t>
  </si>
  <si>
    <t>991005390569702656</t>
  </si>
  <si>
    <t>2257478370002656</t>
  </si>
  <si>
    <t>9781590172384</t>
  </si>
  <si>
    <t>32285005582795</t>
  </si>
  <si>
    <t>893594975</t>
  </si>
  <si>
    <t>DS318.9 .T39 2009</t>
  </si>
  <si>
    <t>0                      DS 0318900T  39          2009</t>
  </si>
  <si>
    <t>Khatami's Iran : the Islamic Republic and the turbulent path to reform / Ghoncheh Tazmini.</t>
  </si>
  <si>
    <t>Tazmini, Ghoncheh, 1974-</t>
  </si>
  <si>
    <t>London ; New York : Tauris Academic Studies ; New York : Distributed in the U.S. by Palgrave Macmillan, 2009.</t>
  </si>
  <si>
    <t>International library of Iranian studies ; 12</t>
  </si>
  <si>
    <t>2010-04-14</t>
  </si>
  <si>
    <t>793133748:eng</t>
  </si>
  <si>
    <t>280430398</t>
  </si>
  <si>
    <t>991005381259702656</t>
  </si>
  <si>
    <t>2266658600002656</t>
  </si>
  <si>
    <t>9781845115944</t>
  </si>
  <si>
    <t>32285005564298</t>
  </si>
  <si>
    <t>893707816</t>
  </si>
  <si>
    <t>DS326 .B83</t>
  </si>
  <si>
    <t>0                      DS 0326000B  83</t>
  </si>
  <si>
    <t>Britain and the Persian Gulf, 1894-1914.</t>
  </si>
  <si>
    <t>Busch, Briton Cooper.</t>
  </si>
  <si>
    <t>Berkeley, University of California Press, 1967.</t>
  </si>
  <si>
    <t>1997-04-06</t>
  </si>
  <si>
    <t>346939570:eng</t>
  </si>
  <si>
    <t>626554</t>
  </si>
  <si>
    <t>991003072299702656</t>
  </si>
  <si>
    <t>2257266840002656</t>
  </si>
  <si>
    <t>32285002455565</t>
  </si>
  <si>
    <t>893530820</t>
  </si>
  <si>
    <t>DS326 .C46</t>
  </si>
  <si>
    <t>0                      DS 0326000C  46</t>
  </si>
  <si>
    <t>The Changing balance of power in the Persian Gulf; the report of an international seminar at the Center for Mediterranean Studies, Rome, June 26th to July 1st, 1972. Elizabeth Monroe, rapporteuse.</t>
  </si>
  <si>
    <t>New York, American Universities Field Staff [1972]</t>
  </si>
  <si>
    <t>1566040:eng</t>
  </si>
  <si>
    <t>540040</t>
  </si>
  <si>
    <t>991002953169702656</t>
  </si>
  <si>
    <t>2270250180002656</t>
  </si>
  <si>
    <t>9780910116862</t>
  </si>
  <si>
    <t>32285002455573</t>
  </si>
  <si>
    <t>893685999</t>
  </si>
  <si>
    <t>DS326 .C76 1988</t>
  </si>
  <si>
    <t>0                      DS 0326000C  76          1988</t>
  </si>
  <si>
    <t>Crosscurrents in the Gulf : Arab, regional and global interests / edited by H. Richard Sindelar, III and J.E. Peterson for the Middle East Institute, Washington.</t>
  </si>
  <si>
    <t>London ; New York : Routledge, 1988.</t>
  </si>
  <si>
    <t>2000-04-26</t>
  </si>
  <si>
    <t>836866326:eng</t>
  </si>
  <si>
    <t>17840689</t>
  </si>
  <si>
    <t>991001269609702656</t>
  </si>
  <si>
    <t>2269449760002656</t>
  </si>
  <si>
    <t>9780415000321</t>
  </si>
  <si>
    <t>32285000335900</t>
  </si>
  <si>
    <t>893231852</t>
  </si>
  <si>
    <t>DS326 .G659 1990</t>
  </si>
  <si>
    <t>0                      DS 0326000G  659         1990</t>
  </si>
  <si>
    <t>The turbulent Gulf / Liesl Graz.</t>
  </si>
  <si>
    <t>Graz, Liesl.</t>
  </si>
  <si>
    <t>London ; New York : I.B. Tauris ; New York, NY : St. Martin's Press [U.S. distributor], c1990.</t>
  </si>
  <si>
    <t>1997-04-08</t>
  </si>
  <si>
    <t>1991-09-06</t>
  </si>
  <si>
    <t>25115682:eng</t>
  </si>
  <si>
    <t>23770173</t>
  </si>
  <si>
    <t>991001888529702656</t>
  </si>
  <si>
    <t>2255221260002656</t>
  </si>
  <si>
    <t>9781850431992</t>
  </si>
  <si>
    <t>32285000702935</t>
  </si>
  <si>
    <t>893238413</t>
  </si>
  <si>
    <t>DS326 .G84</t>
  </si>
  <si>
    <t>0                      DS 0326000G  84</t>
  </si>
  <si>
    <t>The Gulf; implications of British withdrawal.</t>
  </si>
  <si>
    <t>Washington, Center for Strategic and International Studies, Georgetown University, 1969.</t>
  </si>
  <si>
    <t>Georgetown University. Center for Strategic and International Studies. Special report series, no. 8</t>
  </si>
  <si>
    <t>2001-03-29</t>
  </si>
  <si>
    <t>1230395:eng</t>
  </si>
  <si>
    <t>114317</t>
  </si>
  <si>
    <t>991000654139702656</t>
  </si>
  <si>
    <t>2259844110002656</t>
  </si>
  <si>
    <t>32285002455599</t>
  </si>
  <si>
    <t>893614377</t>
  </si>
  <si>
    <t>DS326 .K83 1984</t>
  </si>
  <si>
    <t>0                      DS 0326000K  83          1984</t>
  </si>
  <si>
    <t>The Persian Gulf and United States policy : a guide to issues and references / Bruce R. Kuniholm.</t>
  </si>
  <si>
    <t>Kuniholm, Bruce Robellet, 1942-</t>
  </si>
  <si>
    <t>Claremont, Calif. : Regina Books, c1984.</t>
  </si>
  <si>
    <t>Guides to contemporary issues ; 3</t>
  </si>
  <si>
    <t>2002-04-05</t>
  </si>
  <si>
    <t>3401030:eng</t>
  </si>
  <si>
    <t>10777844</t>
  </si>
  <si>
    <t>991000429579702656</t>
  </si>
  <si>
    <t>2265474980002656</t>
  </si>
  <si>
    <t>9780941690119</t>
  </si>
  <si>
    <t>32285000335918</t>
  </si>
  <si>
    <t>893884374</t>
  </si>
  <si>
    <t>DS326 .M53 1991</t>
  </si>
  <si>
    <t>0                      DS 0326000M  53          1991</t>
  </si>
  <si>
    <t>Victory Desert Storm / Eric Micheletti &amp; Yves Debay.</t>
  </si>
  <si>
    <t>Micheletti, Eric.</t>
  </si>
  <si>
    <t>London : Windrow &amp; Greene ; [Osceola, Wis.] : Sole USA distribution by Motorbooks International, c1991.</t>
  </si>
  <si>
    <t>1998-11-27</t>
  </si>
  <si>
    <t>1992-12-23</t>
  </si>
  <si>
    <t>1402910729:eng</t>
  </si>
  <si>
    <t>23728600</t>
  </si>
  <si>
    <t>991001880109702656</t>
  </si>
  <si>
    <t>2258666040002656</t>
  </si>
  <si>
    <t>9781872004310</t>
  </si>
  <si>
    <t>32285001453041</t>
  </si>
  <si>
    <t>893444837</t>
  </si>
  <si>
    <t>DS326 .N68</t>
  </si>
  <si>
    <t>0                      DS 0326000N  68</t>
  </si>
  <si>
    <t>The clouded lens : Persian Gulf security and U.S. policy / James H. Noyes ; foreword by William J. Porter.</t>
  </si>
  <si>
    <t>Noyes, James H.</t>
  </si>
  <si>
    <t>Stanford, Calif. : Hoover Institution Press, c1979.</t>
  </si>
  <si>
    <t>Hoover Institution publication ; 206</t>
  </si>
  <si>
    <t>9593139998:eng</t>
  </si>
  <si>
    <t>5153395</t>
  </si>
  <si>
    <t>991004787229702656</t>
  </si>
  <si>
    <t>2257173090002656</t>
  </si>
  <si>
    <t>9780817970628</t>
  </si>
  <si>
    <t>32285000335926</t>
  </si>
  <si>
    <t>893430492</t>
  </si>
  <si>
    <t>DS326 .P36 1992</t>
  </si>
  <si>
    <t>0                      DS 0326000P  36          1992</t>
  </si>
  <si>
    <t>Guardians of the Gulf : a history of America's expanding role in the Persian Gulf, 1833-1992 / Michael A. Palmer.</t>
  </si>
  <si>
    <t>Palmer, Michael A.</t>
  </si>
  <si>
    <t>New York : Free Press ; Toronto : Maxwell Macmillan Canada ; New York : Maxwell Macmillan International, c1992.</t>
  </si>
  <si>
    <t>2001-01-28</t>
  </si>
  <si>
    <t>1992-09-28</t>
  </si>
  <si>
    <t>234959023:eng</t>
  </si>
  <si>
    <t>25712311</t>
  </si>
  <si>
    <t>991002021469702656</t>
  </si>
  <si>
    <t>2266532160002656</t>
  </si>
  <si>
    <t>9780029238431</t>
  </si>
  <si>
    <t>32285001289247</t>
  </si>
  <si>
    <t>893414731</t>
  </si>
  <si>
    <t>DS326 .P38 2005</t>
  </si>
  <si>
    <t>0                      DS 0326000P  38          2005</t>
  </si>
  <si>
    <t>US foreign policy and the Persian Gulf : safeguarding American interests through selective multilateralism / Robert J. Pauly, Jr.</t>
  </si>
  <si>
    <t>Pauly, Robert J., 1967-</t>
  </si>
  <si>
    <t>Aldershot, Hants, England ; Burlington, VT : Ashgate, c2005.</t>
  </si>
  <si>
    <t>US foreign policy and conflict in the Islamic world series</t>
  </si>
  <si>
    <t>2009-01-07</t>
  </si>
  <si>
    <t>421317:eng</t>
  </si>
  <si>
    <t>57010216</t>
  </si>
  <si>
    <t>991005285449702656</t>
  </si>
  <si>
    <t>2265843690002656</t>
  </si>
  <si>
    <t>9780754635338</t>
  </si>
  <si>
    <t>32285005475875</t>
  </si>
  <si>
    <t>893527234</t>
  </si>
  <si>
    <t>DS326 .P48</t>
  </si>
  <si>
    <t>0                      DS 0326000P  48</t>
  </si>
  <si>
    <t>The Persian Gulf States : a general survey / Alvin J. Cottrell, general editor, C. E. Bosworth.</t>
  </si>
  <si>
    <t>Baltimore : Johns Hopkins University Press, c1980.</t>
  </si>
  <si>
    <t>[et al.], editors.</t>
  </si>
  <si>
    <t>1993-10-07</t>
  </si>
  <si>
    <t>889816633:eng</t>
  </si>
  <si>
    <t>5310646</t>
  </si>
  <si>
    <t>991004816619702656</t>
  </si>
  <si>
    <t>2264428610002656</t>
  </si>
  <si>
    <t>9780801822049</t>
  </si>
  <si>
    <t>32285000335959</t>
  </si>
  <si>
    <t>893241873</t>
  </si>
  <si>
    <t>DS326 .P65 2009</t>
  </si>
  <si>
    <t>0                      DS 0326000P  65          2009</t>
  </si>
  <si>
    <t>Political liberalization in the Persian Gulf / Joshua Teitelbaum, editor.</t>
  </si>
  <si>
    <t>New York : Columbia University Press, c2009.</t>
  </si>
  <si>
    <t>136199504:eng</t>
  </si>
  <si>
    <t>226360277</t>
  </si>
  <si>
    <t>991005349599702656</t>
  </si>
  <si>
    <t>2268369590002656</t>
  </si>
  <si>
    <t>9780231700863</t>
  </si>
  <si>
    <t>32285005557151</t>
  </si>
  <si>
    <t>893883705</t>
  </si>
  <si>
    <t>DS326 .Y48 1995</t>
  </si>
  <si>
    <t>0                      DS 0326000Y  48          1995</t>
  </si>
  <si>
    <t>America and the Persian Gulf : the third party dimension in world politics / Steve A. Yetiv.</t>
  </si>
  <si>
    <t>Yetiv, Steven A.</t>
  </si>
  <si>
    <t>Westport, CT : Praeger, 1995.</t>
  </si>
  <si>
    <t>1996-08-28</t>
  </si>
  <si>
    <t>2574203:eng</t>
  </si>
  <si>
    <t>31708924</t>
  </si>
  <si>
    <t>991002431729702656</t>
  </si>
  <si>
    <t>2269950210002656</t>
  </si>
  <si>
    <t>9780275949730</t>
  </si>
  <si>
    <t>32285002189313</t>
  </si>
  <si>
    <t>893239028</t>
  </si>
  <si>
    <t>DS326 .Y6 1977</t>
  </si>
  <si>
    <t>0                      DS 0326000Y  6           1977</t>
  </si>
  <si>
    <t>In the direction of the Persian Gulf : the Soviet Union and the Persian Gulf / A. Yodfat and M. Abir. --</t>
  </si>
  <si>
    <t>Yodfat, Aryeh, 1923-</t>
  </si>
  <si>
    <t>London : Cass ; Totowa, N.J. : Biblio Distribution Center, 1977.</t>
  </si>
  <si>
    <t>2001-04-05</t>
  </si>
  <si>
    <t>868748628:eng</t>
  </si>
  <si>
    <t>3064436</t>
  </si>
  <si>
    <t>991004332119702656</t>
  </si>
  <si>
    <t>2263078850002656</t>
  </si>
  <si>
    <t>9780714630717</t>
  </si>
  <si>
    <t>32285000335975</t>
  </si>
  <si>
    <t>893506720</t>
  </si>
  <si>
    <t>DS326 .Z35 1989</t>
  </si>
  <si>
    <t>0                      DS 0326000Z  35          1989</t>
  </si>
  <si>
    <t>The making of the modern Gulf states : Kuwait, Bahrain, Qatar, the United Arab Emirates and Oman / Rosemarie Said Zahlan.</t>
  </si>
  <si>
    <t>London ; Boston, Mass., USA : Unwin Hyman, 1989.</t>
  </si>
  <si>
    <t>Making of the Middle East</t>
  </si>
  <si>
    <t>836721256:eng</t>
  </si>
  <si>
    <t>20800343</t>
  </si>
  <si>
    <t>991001505719702656</t>
  </si>
  <si>
    <t>2266652790002656</t>
  </si>
  <si>
    <t>9780044452935</t>
  </si>
  <si>
    <t>32285000010438</t>
  </si>
  <si>
    <t>893528967</t>
  </si>
  <si>
    <t>DS329.4 .A37 1993</t>
  </si>
  <si>
    <t>0                      DS 0329400A  37          1993</t>
  </si>
  <si>
    <t>Central Asia in world history / S.A.M. Adshead.</t>
  </si>
  <si>
    <t>Adshead, Samuel Adrian M. (Samuel Adrian Miles)</t>
  </si>
  <si>
    <t>New York : St. Martin's Press, 1993.</t>
  </si>
  <si>
    <t>2008-05-09</t>
  </si>
  <si>
    <t>29122182:eng</t>
  </si>
  <si>
    <t>25748003</t>
  </si>
  <si>
    <t>991002024559702656</t>
  </si>
  <si>
    <t>2272132260002656</t>
  </si>
  <si>
    <t>9780312085476</t>
  </si>
  <si>
    <t>32285001584407</t>
  </si>
  <si>
    <t>893626917</t>
  </si>
  <si>
    <t>DS329.4 .C4813 2004</t>
  </si>
  <si>
    <t>0                      DS 0329400C  4813        2004</t>
  </si>
  <si>
    <t>Nomadic empires : from Mongolia to the Danube / Gerard Chaliand ; translated from the French by A.M. Berrett.</t>
  </si>
  <si>
    <t>Chaliand, Gérard, 1934-</t>
  </si>
  <si>
    <t>New Brunswick, U.S.A. : Transaction Publishers, c2004.</t>
  </si>
  <si>
    <t>2005-09-28</t>
  </si>
  <si>
    <t>502900212:eng</t>
  </si>
  <si>
    <t>52348837</t>
  </si>
  <si>
    <t>991004542959702656</t>
  </si>
  <si>
    <t>2261975080002656</t>
  </si>
  <si>
    <t>9780765802040</t>
  </si>
  <si>
    <t>32285005085849</t>
  </si>
  <si>
    <t>893331724</t>
  </si>
  <si>
    <t>DS329.4 .H67 1992</t>
  </si>
  <si>
    <t>0                      DS 0329400H  67          1992</t>
  </si>
  <si>
    <t>The great game : the struggle for empire in central Asia / Peter Hopkirk.</t>
  </si>
  <si>
    <t>Hopkirk, Peter.</t>
  </si>
  <si>
    <t>Tokyo ; New York : Kodansha International, 1992.</t>
  </si>
  <si>
    <t xml:space="preserve">ja </t>
  </si>
  <si>
    <t>2007-02-11</t>
  </si>
  <si>
    <t>1992-11-09</t>
  </si>
  <si>
    <t>13179812:eng</t>
  </si>
  <si>
    <t>25873772</t>
  </si>
  <si>
    <t>991002032349702656</t>
  </si>
  <si>
    <t>2269571950002656</t>
  </si>
  <si>
    <t>9784770017031</t>
  </si>
  <si>
    <t>32285001361467</t>
  </si>
  <si>
    <t>893497646</t>
  </si>
  <si>
    <t>DS329.4 .M46 2003</t>
  </si>
  <si>
    <t>0                      DS 0329400M  46          2003</t>
  </si>
  <si>
    <t>The dust of empire : the race for mastery in the Asian heartland / by Karl E. Meyer.</t>
  </si>
  <si>
    <t>Meyer, Karl E. (Karl Ernest), 1928-</t>
  </si>
  <si>
    <t>New York : PublicAffairs, c2003.</t>
  </si>
  <si>
    <t>2005-02-15</t>
  </si>
  <si>
    <t>2003-07-16</t>
  </si>
  <si>
    <t>839978228:eng</t>
  </si>
  <si>
    <t>51216548</t>
  </si>
  <si>
    <t>991004076949702656</t>
  </si>
  <si>
    <t>2270503270002656</t>
  </si>
  <si>
    <t>9781586480486</t>
  </si>
  <si>
    <t>32285004756069</t>
  </si>
  <si>
    <t>893882036</t>
  </si>
  <si>
    <t>DS329.4 .N48 1994</t>
  </si>
  <si>
    <t>0                      DS 0329400N  48          1994</t>
  </si>
  <si>
    <t>The New geopolitics of Central Asia and its borderlands / edited by Ali Banuazizi and Myron Weiner.</t>
  </si>
  <si>
    <t>Bloomington : Indiana University Press, c1994.</t>
  </si>
  <si>
    <t>2010-03-27</t>
  </si>
  <si>
    <t>1995-11-30</t>
  </si>
  <si>
    <t>353646358:eng</t>
  </si>
  <si>
    <t>30436779</t>
  </si>
  <si>
    <t>991002337839702656</t>
  </si>
  <si>
    <t>2258878000002656</t>
  </si>
  <si>
    <t>9780253209184</t>
  </si>
  <si>
    <t>32285002106978</t>
  </si>
  <si>
    <t>893697660</t>
  </si>
  <si>
    <t>DS329.B2 R3 1969</t>
  </si>
  <si>
    <t>0                      DS 0329000B  2                  R  3           1969</t>
  </si>
  <si>
    <t>Bactria; the history of forgotten empire, by H. G. Rawlinson.</t>
  </si>
  <si>
    <t>Rawlinson, H. G. (Hugh George), 1880-1957.</t>
  </si>
  <si>
    <t>New York, AMS Press [1969]</t>
  </si>
  <si>
    <t>Probsthain's oriental series ; v. 6</t>
  </si>
  <si>
    <t>2007-06-19</t>
  </si>
  <si>
    <t>8908997208:eng</t>
  </si>
  <si>
    <t>44943</t>
  </si>
  <si>
    <t>991000101959702656</t>
  </si>
  <si>
    <t>2261534470002656</t>
  </si>
  <si>
    <t>32285002455631</t>
  </si>
  <si>
    <t>893314675</t>
  </si>
  <si>
    <t>DS329.P2 D42</t>
  </si>
  <si>
    <t>0                      DS 0329000P  2                  D  42</t>
  </si>
  <si>
    <t>A political history of Parthia, by Neilson C. Debevoise.</t>
  </si>
  <si>
    <t>Debevoise, Neilson Carel, 1903-</t>
  </si>
  <si>
    <t>Chicago, Ill., University of Chicago Press [c1938]</t>
  </si>
  <si>
    <t>1938</t>
  </si>
  <si>
    <t>2003-03-08</t>
  </si>
  <si>
    <t>193748225:eng</t>
  </si>
  <si>
    <t>2745091</t>
  </si>
  <si>
    <t>991004230409702656</t>
  </si>
  <si>
    <t>2256166290002656</t>
  </si>
  <si>
    <t>32285002455649</t>
  </si>
  <si>
    <t>893712303</t>
  </si>
  <si>
    <t>DS33 .P3 1969</t>
  </si>
  <si>
    <t>0                      DS 0033000P  3           1969</t>
  </si>
  <si>
    <t>Asia and Western dominance / by K. M. Panikkar.</t>
  </si>
  <si>
    <t>Panikkar, K. M. (Kavalam Madhava), 1896-1963.</t>
  </si>
  <si>
    <t>[New York] : Collier Books, [1969]</t>
  </si>
  <si>
    <t>1990-09-13</t>
  </si>
  <si>
    <t>4916832833:eng</t>
  </si>
  <si>
    <t>15362</t>
  </si>
  <si>
    <t>991000011989702656</t>
  </si>
  <si>
    <t>2262649290002656</t>
  </si>
  <si>
    <t>32285000291202</t>
  </si>
  <si>
    <t>893419116</t>
  </si>
  <si>
    <t>DS33 .W36 1992</t>
  </si>
  <si>
    <t>0                      DS 0033000W  36          1992</t>
  </si>
  <si>
    <t>Community and nation : China, Southeast Asia and Australia / Wang Gungwu.</t>
  </si>
  <si>
    <t>Wang, Gungwu.</t>
  </si>
  <si>
    <t>North Sydney : Allen &amp; Unwin in association with the Asian Studies Association of Australia, 1992.</t>
  </si>
  <si>
    <t>Southeast Asia publications series ; no. 23</t>
  </si>
  <si>
    <t>1997-12-01</t>
  </si>
  <si>
    <t>1993-08-16</t>
  </si>
  <si>
    <t>3856772211:eng</t>
  </si>
  <si>
    <t>30700819</t>
  </si>
  <si>
    <t>991002144419702656</t>
  </si>
  <si>
    <t>2272615260002656</t>
  </si>
  <si>
    <t>9781863733724</t>
  </si>
  <si>
    <t>32285001726776</t>
  </si>
  <si>
    <t>893516938</t>
  </si>
  <si>
    <t>DS33.1 .S5655 2007</t>
  </si>
  <si>
    <t>0                      DS 0033100S  5655        2007</t>
  </si>
  <si>
    <t>The Silk Road and beyond : travel, trade, and transformation / [edited by Karen Manchester ; with contributions by James Cuno ... [et al.]].</t>
  </si>
  <si>
    <t>New Haven, Conn. ; London : Yale University Press, 2007.</t>
  </si>
  <si>
    <t>Museum studies</t>
  </si>
  <si>
    <t>2009-11-16</t>
  </si>
  <si>
    <t>363032480:eng</t>
  </si>
  <si>
    <t>80331813</t>
  </si>
  <si>
    <t>991005340899702656</t>
  </si>
  <si>
    <t>2259057840002656</t>
  </si>
  <si>
    <t>9780300124286</t>
  </si>
  <si>
    <t>32285005551303</t>
  </si>
  <si>
    <t>893713891</t>
  </si>
  <si>
    <t>DS33.1 .W66 2004</t>
  </si>
  <si>
    <t>0                      DS 0033100W  66          2004</t>
  </si>
  <si>
    <t>The Silk Road : two thousand years in the heart of Asia / Frances Wood.</t>
  </si>
  <si>
    <t>Wood, Frances, 1948-</t>
  </si>
  <si>
    <t>Berkeley ; Los Angeles : University of California Press ; London : British Library, [2004], c2002.</t>
  </si>
  <si>
    <t>2009-04-13</t>
  </si>
  <si>
    <t>2005-05-25</t>
  </si>
  <si>
    <t>865950868:eng</t>
  </si>
  <si>
    <t>57724356</t>
  </si>
  <si>
    <t>991004544059702656</t>
  </si>
  <si>
    <t>2266230980002656</t>
  </si>
  <si>
    <t>9780520243408</t>
  </si>
  <si>
    <t>32285005090815</t>
  </si>
  <si>
    <t>893247703</t>
  </si>
  <si>
    <t>DS33.3 .J39 1986</t>
  </si>
  <si>
    <t>0                      DS 0033300J  39          1986</t>
  </si>
  <si>
    <t>Feminism and nationalism in the Third World / Kumari Jayawardena.</t>
  </si>
  <si>
    <t>Jayawardena, Kumari.</t>
  </si>
  <si>
    <t>London : Zed, 1986.</t>
  </si>
  <si>
    <t>7125334:eng</t>
  </si>
  <si>
    <t>13218081</t>
  </si>
  <si>
    <t>991000799589702656</t>
  </si>
  <si>
    <t>2260690080002656</t>
  </si>
  <si>
    <t>9780862322656</t>
  </si>
  <si>
    <t>32285000291210</t>
  </si>
  <si>
    <t>893878366</t>
  </si>
  <si>
    <t>DS33.4.C5 C46 1995</t>
  </si>
  <si>
    <t>0                      DS 0033400C  5                  C  46          1995</t>
  </si>
  <si>
    <t>China as a great power : myths, realities and challenges in the Asia-Pacific region / edited by Stuart Harris &amp; Gary Klintworth.</t>
  </si>
  <si>
    <t>New York : St. Martin's Press ; Melbourne, Australia : Longman, 1995.</t>
  </si>
  <si>
    <t>1996-05-06</t>
  </si>
  <si>
    <t>900964486:eng</t>
  </si>
  <si>
    <t>32429563</t>
  </si>
  <si>
    <t>991002491919702656</t>
  </si>
  <si>
    <t>2260464660002656</t>
  </si>
  <si>
    <t>9780312121068</t>
  </si>
  <si>
    <t>32285002158904</t>
  </si>
  <si>
    <t>893445193</t>
  </si>
  <si>
    <t>DS33.4.R8 R85 1999</t>
  </si>
  <si>
    <t>0                      DS 0033400R  8                  R  85          1999</t>
  </si>
  <si>
    <t>Russia and Asia : the emerging security agenda / edited by Gennady Chufrin.</t>
  </si>
  <si>
    <t>Oxford, UK ; New York : Oxford University Press, 1999.</t>
  </si>
  <si>
    <t>SIPRI</t>
  </si>
  <si>
    <t>2001-05-30</t>
  </si>
  <si>
    <t>837000885:eng</t>
  </si>
  <si>
    <t>42786332</t>
  </si>
  <si>
    <t>991003510879702656</t>
  </si>
  <si>
    <t>2267179820002656</t>
  </si>
  <si>
    <t>9780198296546</t>
  </si>
  <si>
    <t>32285004319215</t>
  </si>
  <si>
    <t>893228116</t>
  </si>
  <si>
    <t>DS33.4.U6 A64 2000</t>
  </si>
  <si>
    <t>0                      DS 0033400U  6                  A  64          2000</t>
  </si>
  <si>
    <t>America's Asian alliance / Robert D. Blackwill and Paul Dibb, editors.</t>
  </si>
  <si>
    <t>Cambridge, Mass. : MIT Press, c2000.</t>
  </si>
  <si>
    <t>BCSIA studies in international security</t>
  </si>
  <si>
    <t>2006-01-23</t>
  </si>
  <si>
    <t>2000-11-30</t>
  </si>
  <si>
    <t>351561127:eng</t>
  </si>
  <si>
    <t>43930150</t>
  </si>
  <si>
    <t>991003343059702656</t>
  </si>
  <si>
    <t>2255020260002656</t>
  </si>
  <si>
    <t>9780262024891</t>
  </si>
  <si>
    <t>32285004268230</t>
  </si>
  <si>
    <t>893434917</t>
  </si>
  <si>
    <t>DS33.4.U6 U394 1997</t>
  </si>
  <si>
    <t>0                      DS 0033400U  6                  U  394         1997</t>
  </si>
  <si>
    <t>The U.S. role in the Asian century : a panel of experts looks at national interest in the new environment / Sol Sanders, editor.</t>
  </si>
  <si>
    <t>Lanham, Md. : University Press of America, c1997.</t>
  </si>
  <si>
    <t>1997-12-13</t>
  </si>
  <si>
    <t>45606646:eng</t>
  </si>
  <si>
    <t>35742017</t>
  </si>
  <si>
    <t>991002725149702656</t>
  </si>
  <si>
    <t>2261116050002656</t>
  </si>
  <si>
    <t>9780761806189</t>
  </si>
  <si>
    <t>32285002750304</t>
  </si>
  <si>
    <t>893610207</t>
  </si>
  <si>
    <t>DS335 .C3</t>
  </si>
  <si>
    <t>0                      DS 0335000C  3</t>
  </si>
  <si>
    <t>South Asian history, 1750-1950; a guide to periodicals, dissertations, and newspapers [by] Margaret H. Case.</t>
  </si>
  <si>
    <t>Case, Margaret H.</t>
  </si>
  <si>
    <t>Princeton, N.J., Princeton University Press, 1968.</t>
  </si>
  <si>
    <t>376854494:eng</t>
  </si>
  <si>
    <t>587139</t>
  </si>
  <si>
    <t>991003022419702656</t>
  </si>
  <si>
    <t>2267076000002656</t>
  </si>
  <si>
    <t>32285002455664</t>
  </si>
  <si>
    <t>893616903</t>
  </si>
  <si>
    <t>DS335 .P64</t>
  </si>
  <si>
    <t>0                      DS 0335000P  64</t>
  </si>
  <si>
    <t>Political identity in South Asia / edited by David Taylor and Malcolm Yapp.</t>
  </si>
  <si>
    <t>London : Curzon Press ; Atlantic Highlands, NJ : Humanities Press, 1979.</t>
  </si>
  <si>
    <t>Collected papers on South Asia, 0141-0156 ; no. 2</t>
  </si>
  <si>
    <t>1995-09-26</t>
  </si>
  <si>
    <t>918378940:eng</t>
  </si>
  <si>
    <t>6413788</t>
  </si>
  <si>
    <t>991004977929702656</t>
  </si>
  <si>
    <t>2271663450002656</t>
  </si>
  <si>
    <t>9780391010055</t>
  </si>
  <si>
    <t>32285000335983</t>
  </si>
  <si>
    <t>893807684</t>
  </si>
  <si>
    <t>DS336.3.U6 W54</t>
  </si>
  <si>
    <t>0                      DS 0336300U  6                  W  54</t>
  </si>
  <si>
    <t>The emergence of Bangladesh; problems and opportunities for a redefined American policy in South Asia [by] Wayne Wilcox.</t>
  </si>
  <si>
    <t>Wilcox, Wayne Ayres.</t>
  </si>
  <si>
    <t>Washington, American Enterprise Institute for Public Policy Research [1973]</t>
  </si>
  <si>
    <t>Foreign affairs study ; 7</t>
  </si>
  <si>
    <t>1998-04-03</t>
  </si>
  <si>
    <t>231784003:eng</t>
  </si>
  <si>
    <t>762826</t>
  </si>
  <si>
    <t>991003239499702656</t>
  </si>
  <si>
    <t>2265273130002656</t>
  </si>
  <si>
    <t>9780844731124</t>
  </si>
  <si>
    <t>32285002455722</t>
  </si>
  <si>
    <t>893246165</t>
  </si>
  <si>
    <t>DS337 .M58 2006</t>
  </si>
  <si>
    <t>0                      DS 0337000M  58          2006</t>
  </si>
  <si>
    <t>Temptations of the West : how to be modern in India, Pakistan, Tibet and beyond / Pankaj Mishra.</t>
  </si>
  <si>
    <t>Mishra, Pankaj.</t>
  </si>
  <si>
    <t>New York : Farrar, Straus, and Giroux, 2006.</t>
  </si>
  <si>
    <t>2008-02-11</t>
  </si>
  <si>
    <t>2006-06-26</t>
  </si>
  <si>
    <t>117680528:eng</t>
  </si>
  <si>
    <t>67240266</t>
  </si>
  <si>
    <t>991004833569702656</t>
  </si>
  <si>
    <t>2260926460002656</t>
  </si>
  <si>
    <t>9780374173210</t>
  </si>
  <si>
    <t>32285005192488</t>
  </si>
  <si>
    <t>893501004</t>
  </si>
  <si>
    <t>DS34 .E38 1968</t>
  </si>
  <si>
    <t>0                      DS 0034000E  38          1968</t>
  </si>
  <si>
    <t>The West in Asia, 1850-1914 / Michael Edwardes.</t>
  </si>
  <si>
    <t>Edwardes, Michael.</t>
  </si>
  <si>
    <t>New York : Capricorn Books, 1968, c1967.</t>
  </si>
  <si>
    <t>2005-11-26</t>
  </si>
  <si>
    <t>1405069:eng</t>
  </si>
  <si>
    <t>2690712</t>
  </si>
  <si>
    <t>991004213369702656</t>
  </si>
  <si>
    <t>2271082260002656</t>
  </si>
  <si>
    <t>32285002209475</t>
  </si>
  <si>
    <t>893712285</t>
  </si>
  <si>
    <t>DS340 .S675 2001</t>
  </si>
  <si>
    <t>0                      DS 0340000S  675         2001</t>
  </si>
  <si>
    <t>The South Asian century, 1900-1999 / edited by Zubeida Mustafa ; with a foreword by Ahmad Ali Khan.</t>
  </si>
  <si>
    <t>Karachi : Oxford University Press, 2001.</t>
  </si>
  <si>
    <t>2005-03-20</t>
  </si>
  <si>
    <t>2001-10-29</t>
  </si>
  <si>
    <t>35943227:eng</t>
  </si>
  <si>
    <t>46872443</t>
  </si>
  <si>
    <t>991003639529702656</t>
  </si>
  <si>
    <t>2271866890002656</t>
  </si>
  <si>
    <t>9780195795868</t>
  </si>
  <si>
    <t>32285004415237</t>
  </si>
  <si>
    <t>893228261</t>
  </si>
  <si>
    <t>DS35 .A55 1998</t>
  </si>
  <si>
    <t>0                      DS 0035000A  55          1998</t>
  </si>
  <si>
    <t>America's wars in Asia : a cultural approach to history and memory / edited by Philip West, Steven I. Levine, Jackie Hiltz.</t>
  </si>
  <si>
    <t>Armonk, N.Y. : M.E. Sharpe, 1998.</t>
  </si>
  <si>
    <t>799745881:eng</t>
  </si>
  <si>
    <t>37322484</t>
  </si>
  <si>
    <t>991002833949702656</t>
  </si>
  <si>
    <t>2269324520002656</t>
  </si>
  <si>
    <t>9780765602367</t>
  </si>
  <si>
    <t>32285003488102</t>
  </si>
  <si>
    <t>893530542</t>
  </si>
  <si>
    <t>DS35 .A75</t>
  </si>
  <si>
    <t>0                      DS 0035000A  75</t>
  </si>
  <si>
    <t>Asia and the western Pacific : towards a new international order / edited by Hedley Bull.</t>
  </si>
  <si>
    <t>Sydney : Nelson in association with the Australian Institute of International Affairs, 1975.</t>
  </si>
  <si>
    <t>2000-05-30</t>
  </si>
  <si>
    <t>901787944:eng</t>
  </si>
  <si>
    <t>2119982</t>
  </si>
  <si>
    <t>991005369369702656</t>
  </si>
  <si>
    <t>2267897900002656</t>
  </si>
  <si>
    <t>9780170050463</t>
  </si>
  <si>
    <t>32285002467206</t>
  </si>
  <si>
    <t>893707782</t>
  </si>
  <si>
    <t>DS35 .B3</t>
  </si>
  <si>
    <t>0                      DS 0035000B  3</t>
  </si>
  <si>
    <t>Communist strategies in Asia; a comparative analysis of governments and parties.</t>
  </si>
  <si>
    <t>Barnett, A. Doak editor.</t>
  </si>
  <si>
    <t>New York, Praeger [1963]</t>
  </si>
  <si>
    <t>Praeger publications in Russian history and world communism ; no. 132</t>
  </si>
  <si>
    <t>195446071:eng</t>
  </si>
  <si>
    <t>398241</t>
  </si>
  <si>
    <t>991005355169702656</t>
  </si>
  <si>
    <t>2259629460002656</t>
  </si>
  <si>
    <t>32285002467214</t>
  </si>
  <si>
    <t>893437575</t>
  </si>
  <si>
    <t>DS35 .C66 1979</t>
  </si>
  <si>
    <t>0                      DS 0035000C  66          1979</t>
  </si>
  <si>
    <t>Asian security in the 1980s : problems and policies for a time of transition / Richard H. Solomon, editor.</t>
  </si>
  <si>
    <t>Conference on East Asian Security in the 1980s (1979 : Santa Monica, Calif.)</t>
  </si>
  <si>
    <t>Cambridge, Mass. : Oelgeschlager, Gunn &amp; Hain, c1980.</t>
  </si>
  <si>
    <t>477855733:eng</t>
  </si>
  <si>
    <t>6421173</t>
  </si>
  <si>
    <t>991004979389702656</t>
  </si>
  <si>
    <t>2270551810002656</t>
  </si>
  <si>
    <t>9780899460376</t>
  </si>
  <si>
    <t>32285000291251</t>
  </si>
  <si>
    <t>893801552</t>
  </si>
  <si>
    <t>DS35 .G57 1997</t>
  </si>
  <si>
    <t>0                      DS 0035000G  57          1997</t>
  </si>
  <si>
    <t>The new Asian renaissance : from colonialism to the post-Cold War / François Godement ; translated by Elisabeth J. Parcell.</t>
  </si>
  <si>
    <t>Godement, François.</t>
  </si>
  <si>
    <t>London ; New York : Routledge, 1997.</t>
  </si>
  <si>
    <t>1997-10-04</t>
  </si>
  <si>
    <t>1151771290:eng</t>
  </si>
  <si>
    <t>34767420</t>
  </si>
  <si>
    <t>991002659559702656</t>
  </si>
  <si>
    <t>2270782580002656</t>
  </si>
  <si>
    <t>9780415118569</t>
  </si>
  <si>
    <t>32285002750288</t>
  </si>
  <si>
    <t>893245456</t>
  </si>
  <si>
    <t>DS35 .J37</t>
  </si>
  <si>
    <t>0                      DS 0035000J  37</t>
  </si>
  <si>
    <t>International politics of Asia: readings, edited by George P. Jan.</t>
  </si>
  <si>
    <t>Jan, George P., compiler.</t>
  </si>
  <si>
    <t>Belmont, Calif., Wadsworth Pub. Co. [1969]</t>
  </si>
  <si>
    <t>1996-04-24</t>
  </si>
  <si>
    <t>1146681:eng</t>
  </si>
  <si>
    <t>24469</t>
  </si>
  <si>
    <t>991000060509702656</t>
  </si>
  <si>
    <t>2266715330002656</t>
  </si>
  <si>
    <t>32285002120979</t>
  </si>
  <si>
    <t>893871371</t>
  </si>
  <si>
    <t>DS35 .J38 1996</t>
  </si>
  <si>
    <t>0                      DS 0035000J  38          1996</t>
  </si>
  <si>
    <t>The Japanese wartime empire, 1931-1945 / edited by Peter Duus, Ramon H. Myers, and Mark R. Peattie ; contributors Wan-yao Chou ... [et al.].</t>
  </si>
  <si>
    <t>Princeton, N.J. : Princeton University Press, c1996.</t>
  </si>
  <si>
    <t>1117774225:eng</t>
  </si>
  <si>
    <t>33102557</t>
  </si>
  <si>
    <t>991005422229702656</t>
  </si>
  <si>
    <t>2272061110002656</t>
  </si>
  <si>
    <t>9780691043821</t>
  </si>
  <si>
    <t>32285002477957</t>
  </si>
  <si>
    <t>893254986</t>
  </si>
  <si>
    <t>DS35.2 .K735 2002</t>
  </si>
  <si>
    <t>0                      DS 0035200K  735         2002</t>
  </si>
  <si>
    <t>The carpet wars : from Kabul to Baghdad : a ten-year journey along ancient trade routes / Christopher Kremmer.</t>
  </si>
  <si>
    <t>Kremmer, Christopher.</t>
  </si>
  <si>
    <t>New York : Ecco, c2002.</t>
  </si>
  <si>
    <t>2002-06-12</t>
  </si>
  <si>
    <t>10278562340:eng</t>
  </si>
  <si>
    <t>48892863</t>
  </si>
  <si>
    <t>991003800509702656</t>
  </si>
  <si>
    <t>2269204970002656</t>
  </si>
  <si>
    <t>9780060097325</t>
  </si>
  <si>
    <t>32285004489596</t>
  </si>
  <si>
    <t>893246748</t>
  </si>
  <si>
    <t>DS35.2 .S43 2004</t>
  </si>
  <si>
    <t>0                      DS 0035200S  43          2004</t>
  </si>
  <si>
    <t>Searching for peace in Asia Pacific : an overview of conflict prevention and peacebuilding activities / edited by Annelies Heijmans, Nicola Simmonds, and Hans van de Veen.</t>
  </si>
  <si>
    <t>Boulder, Colo. : Lynne Rienner Publishers, 2004.</t>
  </si>
  <si>
    <t>2004-11-22</t>
  </si>
  <si>
    <t>891461841:eng</t>
  </si>
  <si>
    <t>55044455</t>
  </si>
  <si>
    <t>991004375359702656</t>
  </si>
  <si>
    <t>2266334630002656</t>
  </si>
  <si>
    <t>9781588262141</t>
  </si>
  <si>
    <t>32285005012314</t>
  </si>
  <si>
    <t>893800902</t>
  </si>
  <si>
    <t>DS35.3 .K43 2001</t>
  </si>
  <si>
    <t>0                      DS 0035300K  43          2001</t>
  </si>
  <si>
    <t>Reasserting international Islam : a focus on the Organization of the Islamic Conference and other Islamic institutions / Saad S. Khan ; foreword by John L. Esposito.</t>
  </si>
  <si>
    <t>Khan, Saad S.</t>
  </si>
  <si>
    <t>Karachi ; New York : Oxford University Press, 2001.</t>
  </si>
  <si>
    <t>2002-04-11</t>
  </si>
  <si>
    <t>366913950:eng</t>
  </si>
  <si>
    <t>48375024</t>
  </si>
  <si>
    <t>991003742809702656</t>
  </si>
  <si>
    <t>2265603530002656</t>
  </si>
  <si>
    <t>9780195794113</t>
  </si>
  <si>
    <t>32285004463005</t>
  </si>
  <si>
    <t>893605149</t>
  </si>
  <si>
    <t>DS35.57 .H68 2005</t>
  </si>
  <si>
    <t>0                      DS 0035570H  68          2005</t>
  </si>
  <si>
    <t>House of tears : westerners' adventures in Islamic lands / edited and with an introduction by John Hughes.</t>
  </si>
  <si>
    <t>Guilford, Conn. : Lyons Press, c2005.</t>
  </si>
  <si>
    <t>1202169:eng</t>
  </si>
  <si>
    <t>61211354</t>
  </si>
  <si>
    <t>991004708059702656</t>
  </si>
  <si>
    <t>2256219580002656</t>
  </si>
  <si>
    <t>9781592287994</t>
  </si>
  <si>
    <t>32285005154819</t>
  </si>
  <si>
    <t>893795180</t>
  </si>
  <si>
    <t>DS35.62 .I58 2000</t>
  </si>
  <si>
    <t>0                      DS 0035620I  58          2000</t>
  </si>
  <si>
    <t>Intellectual traditions in Islam / edited by Farhad Daftary.</t>
  </si>
  <si>
    <t>London ; New York : I.B. Tauris in association with The Institute of Ismaili Studies ; New York : in the United States of America and Canada distributed by St. Martins Press, 2000.</t>
  </si>
  <si>
    <t>2005-10-23</t>
  </si>
  <si>
    <t>2002-03-21</t>
  </si>
  <si>
    <t>56541315:eng</t>
  </si>
  <si>
    <t>43842278</t>
  </si>
  <si>
    <t>991003736799702656</t>
  </si>
  <si>
    <t>2270759600002656</t>
  </si>
  <si>
    <t>9781860644351</t>
  </si>
  <si>
    <t>32285004463948</t>
  </si>
  <si>
    <t>893627739</t>
  </si>
  <si>
    <t>DS35.625.A1 M87</t>
  </si>
  <si>
    <t>0                      DS 0035625A  1                  M  87</t>
  </si>
  <si>
    <t>Muslim peoples : a world ethnographic survey / Richard V. Weekes, editor-in-chief.</t>
  </si>
  <si>
    <t>Westport, Conn. : Greenwood Press, 1978.</t>
  </si>
  <si>
    <t>2000-02-22</t>
  </si>
  <si>
    <t>4714763546:eng</t>
  </si>
  <si>
    <t>3447003</t>
  </si>
  <si>
    <t>991004437009702656</t>
  </si>
  <si>
    <t>2268757710002656</t>
  </si>
  <si>
    <t>9780837198804</t>
  </si>
  <si>
    <t>32285002467347</t>
  </si>
  <si>
    <t>893319225</t>
  </si>
  <si>
    <t>DS35.63 .H55 2003</t>
  </si>
  <si>
    <t>0                      DS 0035630H  55          2003</t>
  </si>
  <si>
    <t>A history of the Islamic world / Fred James Hill &amp; Nicholas Awde.</t>
  </si>
  <si>
    <t>Hill, Fred James.</t>
  </si>
  <si>
    <t>New York : Hippocrene Books, c2003.</t>
  </si>
  <si>
    <t>Illustrated histories (Hippocrene Books (Firm))</t>
  </si>
  <si>
    <t>2004-08-10</t>
  </si>
  <si>
    <t>4186089755:eng</t>
  </si>
  <si>
    <t>53880221</t>
  </si>
  <si>
    <t>991004303459702656</t>
  </si>
  <si>
    <t>2264524930002656</t>
  </si>
  <si>
    <t>9780781810159</t>
  </si>
  <si>
    <t>32285004980776</t>
  </si>
  <si>
    <t>893888538</t>
  </si>
  <si>
    <t>DS35.7 .M87 2002</t>
  </si>
  <si>
    <t>0                      DS 0035700M  87          2002</t>
  </si>
  <si>
    <t>Sword of Islam : Muslim extremism from the Arab conquests to the attack on America / John F. Murphy, Jr.</t>
  </si>
  <si>
    <t>Murphy, John Francis, 1937-</t>
  </si>
  <si>
    <t>Amherst, N.Y. : Prometheus Books, 2002.</t>
  </si>
  <si>
    <t>2002-10-01</t>
  </si>
  <si>
    <t>948695:eng</t>
  </si>
  <si>
    <t>48966687</t>
  </si>
  <si>
    <t>991003873139702656</t>
  </si>
  <si>
    <t>2270251370002656</t>
  </si>
  <si>
    <t>9781591020103</t>
  </si>
  <si>
    <t>32285004650635</t>
  </si>
  <si>
    <t>893699525</t>
  </si>
  <si>
    <t>DS35.74.E85 F85 1995</t>
  </si>
  <si>
    <t>0                      DS 0035740E  85                 F  85          1995</t>
  </si>
  <si>
    <t>A sense of siege : the geopolitics of Islam and the West / Graham E. Fuller and Ian O. Lesser.</t>
  </si>
  <si>
    <t>Fuller, Graham E., 1937-</t>
  </si>
  <si>
    <t>Boulder : Westview Press, 1995.</t>
  </si>
  <si>
    <t>2005-11-08</t>
  </si>
  <si>
    <t>198852382:eng</t>
  </si>
  <si>
    <t>32137482</t>
  </si>
  <si>
    <t>991002467759702656</t>
  </si>
  <si>
    <t>2256843370002656</t>
  </si>
  <si>
    <t>9780813321486</t>
  </si>
  <si>
    <t>32285002141587</t>
  </si>
  <si>
    <t>893704114</t>
  </si>
  <si>
    <t>DS35.74.F7 W38 2003</t>
  </si>
  <si>
    <t>0                      DS 0035740F  7                  W  38          2003</t>
  </si>
  <si>
    <t>Tricolor and crescent : France and the Islamic world / William E. Watson.</t>
  </si>
  <si>
    <t>Watson, William E.</t>
  </si>
  <si>
    <t>Westport, Conn. : Praeger, 2003.</t>
  </si>
  <si>
    <t>Perspectives on the twentieth century, 1538-9626</t>
  </si>
  <si>
    <t>2006-03-01</t>
  </si>
  <si>
    <t>2006-02-15</t>
  </si>
  <si>
    <t>995820:eng</t>
  </si>
  <si>
    <t>50322732</t>
  </si>
  <si>
    <t>991004742539702656</t>
  </si>
  <si>
    <t>2254894860002656</t>
  </si>
  <si>
    <t>9780275974701</t>
  </si>
  <si>
    <t>32285005161202</t>
  </si>
  <si>
    <t>893241789</t>
  </si>
  <si>
    <t>DS35.74.U6 I535 1991</t>
  </si>
  <si>
    <t>0                      DS 0035740U  6                  I  535         1991</t>
  </si>
  <si>
    <t>Indian Muslims in North America / edited by Omar Khalidi.</t>
  </si>
  <si>
    <t>Watertown, MA : South Asia Press, [1991?]</t>
  </si>
  <si>
    <t>1993-07-06</t>
  </si>
  <si>
    <t>422898988:eng</t>
  </si>
  <si>
    <t>24551066</t>
  </si>
  <si>
    <t>991001944339702656</t>
  </si>
  <si>
    <t>2260270740002656</t>
  </si>
  <si>
    <t>9780962459511</t>
  </si>
  <si>
    <t>32285001701548</t>
  </si>
  <si>
    <t>893621740</t>
  </si>
  <si>
    <t>DS35.74.U6 L48 2005</t>
  </si>
  <si>
    <t>0                      DS 0035740U  6                  L  48          2005</t>
  </si>
  <si>
    <t>Why they don't hate us : lifting the veil on the axis of evil / Mark LeVine.</t>
  </si>
  <si>
    <t>LeVine, Mark, 1966-</t>
  </si>
  <si>
    <t>Oxford : Oneworld, c2005.</t>
  </si>
  <si>
    <t>2007-11-01</t>
  </si>
  <si>
    <t>803321194:eng</t>
  </si>
  <si>
    <t>59878541</t>
  </si>
  <si>
    <t>991005139079702656</t>
  </si>
  <si>
    <t>2263023750002656</t>
  </si>
  <si>
    <t>9781851683659</t>
  </si>
  <si>
    <t>32285005364285</t>
  </si>
  <si>
    <t>893600685</t>
  </si>
  <si>
    <t>DS351.5 .D87</t>
  </si>
  <si>
    <t>0                      DS 0351500D  87</t>
  </si>
  <si>
    <t>Afghanistan in the 1970s / edited by Louis Dupree [and] Linette Albert. Foreword by Phillips Talbot.</t>
  </si>
  <si>
    <t>Dupree, Louis, 1925-1989.</t>
  </si>
  <si>
    <t>New York : Praeger, [1974]</t>
  </si>
  <si>
    <t>Praeger special studies in international economics and development</t>
  </si>
  <si>
    <t>2006-04-04</t>
  </si>
  <si>
    <t>1992-03-25</t>
  </si>
  <si>
    <t>2863594391:eng</t>
  </si>
  <si>
    <t>914551</t>
  </si>
  <si>
    <t>991003377899702656</t>
  </si>
  <si>
    <t>2262718680002656</t>
  </si>
  <si>
    <t>9780275287450</t>
  </si>
  <si>
    <t>32285001028595</t>
  </si>
  <si>
    <t>893228013</t>
  </si>
  <si>
    <t>DS352 .E45 2001</t>
  </si>
  <si>
    <t>0                      DS 0352000E  45          2001</t>
  </si>
  <si>
    <t>An unexpected light : travels in Afghanistan / Jason Elliot.</t>
  </si>
  <si>
    <t>Elliot, Jason, 1965-</t>
  </si>
  <si>
    <t>New York, N.Y. : Picador USA, c1999, 2001.</t>
  </si>
  <si>
    <t>2001-09-11</t>
  </si>
  <si>
    <t>897523:eng</t>
  </si>
  <si>
    <t>45452152</t>
  </si>
  <si>
    <t>991003452449702656</t>
  </si>
  <si>
    <t>2259349400002656</t>
  </si>
  <si>
    <t>9780312274597</t>
  </si>
  <si>
    <t>32285004278957</t>
  </si>
  <si>
    <t>893705231</t>
  </si>
  <si>
    <t>DS352 .L36 2002</t>
  </si>
  <si>
    <t>0                      DS 0352000L  36          2002</t>
  </si>
  <si>
    <t>The sewing circles of Herat : a personal voyage through Afghanistan / Christina Lamb.</t>
  </si>
  <si>
    <t>Lamb, Christina.</t>
  </si>
  <si>
    <t>New York : HarperCollins, 2002.</t>
  </si>
  <si>
    <t>2003-04-10</t>
  </si>
  <si>
    <t>2003-02-19</t>
  </si>
  <si>
    <t>3373578937:eng</t>
  </si>
  <si>
    <t>51179948</t>
  </si>
  <si>
    <t>991003973999702656</t>
  </si>
  <si>
    <t>2268167420002656</t>
  </si>
  <si>
    <t>9780060505264</t>
  </si>
  <si>
    <t>32285004699616</t>
  </si>
  <si>
    <t>893259153</t>
  </si>
  <si>
    <t>DS352 .S74 2006</t>
  </si>
  <si>
    <t>0                      DS 0352000S  74          2006</t>
  </si>
  <si>
    <t>The places in between / Rory Stewart.</t>
  </si>
  <si>
    <t>Stewart, Rory.</t>
  </si>
  <si>
    <t>Orlando : Harcourt, Inc., c2006.</t>
  </si>
  <si>
    <t>flu</t>
  </si>
  <si>
    <t>15777626:eng</t>
  </si>
  <si>
    <t>62282105</t>
  </si>
  <si>
    <t>991004841979702656</t>
  </si>
  <si>
    <t>2261976820002656</t>
  </si>
  <si>
    <t>9780156031561</t>
  </si>
  <si>
    <t>32285005194724</t>
  </si>
  <si>
    <t>893782716</t>
  </si>
  <si>
    <t>DS352 .T6713 2004</t>
  </si>
  <si>
    <t>0                      DS 0352000T  6713        2004</t>
  </si>
  <si>
    <t>The silenced cry : one woman's diary of a journey to Afghanistan / Ana Tortajada ; translated by Ezra E.Fitz.</t>
  </si>
  <si>
    <t>Tortajada, Anna, 1957-</t>
  </si>
  <si>
    <t>New York : Thomas Dunne Books/St. Martin's Press, 2004.</t>
  </si>
  <si>
    <t>2007-11-29</t>
  </si>
  <si>
    <t>2004-08-26</t>
  </si>
  <si>
    <t>13038158:eng</t>
  </si>
  <si>
    <t>54035011</t>
  </si>
  <si>
    <t>991004318789702656</t>
  </si>
  <si>
    <t>2258094060002656</t>
  </si>
  <si>
    <t>9780312303518</t>
  </si>
  <si>
    <t>32285004983382</t>
  </si>
  <si>
    <t>893331440</t>
  </si>
  <si>
    <t>DS352 .W3</t>
  </si>
  <si>
    <t>0                      DS 0352000W  3</t>
  </si>
  <si>
    <t>Afghanistan : land in transition / by Mary Bradley Watkins ; map by Dorothy deFontaine.</t>
  </si>
  <si>
    <t>Watkins, Mary Bradley.</t>
  </si>
  <si>
    <t>Princeton : Van Nostrand, c1963.</t>
  </si>
  <si>
    <t>The Asia Library.</t>
  </si>
  <si>
    <t>2007-10-07</t>
  </si>
  <si>
    <t>836661906:eng</t>
  </si>
  <si>
    <t>1019263516</t>
  </si>
  <si>
    <t>991000895089702656</t>
  </si>
  <si>
    <t>2264245630002656</t>
  </si>
  <si>
    <t>32285002455755</t>
  </si>
  <si>
    <t>893327687</t>
  </si>
  <si>
    <t>DS354.6.A7 B37 1981</t>
  </si>
  <si>
    <t>0                      DS 0354600A  7                  B  37          1981</t>
  </si>
  <si>
    <t>The central Asian Arabs of Afghanistan : pastoral nomadism in transition / by Thomas J. Barfield.</t>
  </si>
  <si>
    <t>Barfield, Thomas J. (Thomas Jefferson), 1950-</t>
  </si>
  <si>
    <t>Austin : University of Texas Press, c1981.</t>
  </si>
  <si>
    <t>2001-12-12</t>
  </si>
  <si>
    <t>571760:eng</t>
  </si>
  <si>
    <t>7597447</t>
  </si>
  <si>
    <t>991005139629702656</t>
  </si>
  <si>
    <t>2254813660002656</t>
  </si>
  <si>
    <t>9780292710665</t>
  </si>
  <si>
    <t>32285000336056</t>
  </si>
  <si>
    <t>893625508</t>
  </si>
  <si>
    <t>DS356 .A356 2001</t>
  </si>
  <si>
    <t>0                      DS 0356000A  356         2001</t>
  </si>
  <si>
    <t>Afghanistan : history, issues, bibliography / Cary Gladstone, editor.</t>
  </si>
  <si>
    <t>Huntington, N.Y. : Novinka Books, c2001.</t>
  </si>
  <si>
    <t>2007-10-06</t>
  </si>
  <si>
    <t>2002-04-22</t>
  </si>
  <si>
    <t>56746401:eng</t>
  </si>
  <si>
    <t>48223135</t>
  </si>
  <si>
    <t>991003721849702656</t>
  </si>
  <si>
    <t>2255458980002656</t>
  </si>
  <si>
    <t>9781590331057</t>
  </si>
  <si>
    <t>32285004478599</t>
  </si>
  <si>
    <t>893410598</t>
  </si>
  <si>
    <t>DS356 .F57</t>
  </si>
  <si>
    <t>0                      DS 0356000F  57</t>
  </si>
  <si>
    <t>Afghanistan, highway of conquest.</t>
  </si>
  <si>
    <t>Fletcher, Arnold.</t>
  </si>
  <si>
    <t>Ithaca, N.Y., Cornell University Press [1965]</t>
  </si>
  <si>
    <t>230810541:eng</t>
  </si>
  <si>
    <t>408840</t>
  </si>
  <si>
    <t>991002709929702656</t>
  </si>
  <si>
    <t>2264273870002656</t>
  </si>
  <si>
    <t>32285002455771</t>
  </si>
  <si>
    <t>893239401</t>
  </si>
  <si>
    <t>DS356 .W55 1962</t>
  </si>
  <si>
    <t>0                      DS 0356000W  55          1962</t>
  </si>
  <si>
    <t>Afghanistan: its people, its society, its culture. In collaboration with Elizabeth E. Bacon [and others]</t>
  </si>
  <si>
    <t>New Haven, HRAF Press [1962]</t>
  </si>
  <si>
    <t>Survey of world cultures ; 11</t>
  </si>
  <si>
    <t>2007-10-04</t>
  </si>
  <si>
    <t>1455964:eng</t>
  </si>
  <si>
    <t>410960</t>
  </si>
  <si>
    <t>991002714789702656</t>
  </si>
  <si>
    <t>2262563700002656</t>
  </si>
  <si>
    <t>32285002455797</t>
  </si>
  <si>
    <t>893780125</t>
  </si>
  <si>
    <t>DS36.2 .H35</t>
  </si>
  <si>
    <t>0                      DS 0036200H  35</t>
  </si>
  <si>
    <t>The League of Arab States and regional disputes : a study of Middle East conflicts / by Hussein A. Hassouna.</t>
  </si>
  <si>
    <t>Hassouna, Hussein A., 1937-</t>
  </si>
  <si>
    <t>Dobbs Ferry, N.Y. : Oceana Publications, 1975.</t>
  </si>
  <si>
    <t>2006-11-10</t>
  </si>
  <si>
    <t>150518624:eng</t>
  </si>
  <si>
    <t>1735429</t>
  </si>
  <si>
    <t>991003885479702656</t>
  </si>
  <si>
    <t>2256267920002656</t>
  </si>
  <si>
    <t>9780379002904</t>
  </si>
  <si>
    <t>32285002467354</t>
  </si>
  <si>
    <t>893234750</t>
  </si>
  <si>
    <t>DS36.2 .M3</t>
  </si>
  <si>
    <t>0                      DS 0036200M  3</t>
  </si>
  <si>
    <t>The League of Arab States; a study in the dynamics of regional organization, by Robert W. Macdonald.</t>
  </si>
  <si>
    <t>MacDonald, Robert W.</t>
  </si>
  <si>
    <t>Princeton, N.J., Princeton University Press, 1965.</t>
  </si>
  <si>
    <t>500391744:eng</t>
  </si>
  <si>
    <t>398083</t>
  </si>
  <si>
    <t>991002679719702656</t>
  </si>
  <si>
    <t>2257273210002656</t>
  </si>
  <si>
    <t>32285002467388</t>
  </si>
  <si>
    <t>893716779</t>
  </si>
  <si>
    <t>DS36.7 .F47 1997</t>
  </si>
  <si>
    <t>0                      DS 0036700F  47          1997</t>
  </si>
  <si>
    <t>The Arab world : forty years of change / Elizabeth Warnock Fernea &amp; Robert A. Fernea ; photographs by Thomas Hartwell.</t>
  </si>
  <si>
    <t>Fernea, Elizabeth Warnock, 1927-2008.</t>
  </si>
  <si>
    <t>New York : Anchor Books/Doubleday, 1997.</t>
  </si>
  <si>
    <t>Updated &amp; expanded.</t>
  </si>
  <si>
    <t>1997-11-03</t>
  </si>
  <si>
    <t>196793171:eng</t>
  </si>
  <si>
    <t>35969202</t>
  </si>
  <si>
    <t>991002738879702656</t>
  </si>
  <si>
    <t>2256618030002656</t>
  </si>
  <si>
    <t>9780385485203</t>
  </si>
  <si>
    <t>32285003259438</t>
  </si>
  <si>
    <t>893317196</t>
  </si>
  <si>
    <t>DS36.7 .L35 1987</t>
  </si>
  <si>
    <t>0                      DS 0036700L  35          1987</t>
  </si>
  <si>
    <t>The Arabs : journeys beyond the mirage / David Lamb.</t>
  </si>
  <si>
    <t>Lamb, David.</t>
  </si>
  <si>
    <t>New York : Random House, c1987.</t>
  </si>
  <si>
    <t>1999-04-01</t>
  </si>
  <si>
    <t>1990-04-06</t>
  </si>
  <si>
    <t>7493666:eng</t>
  </si>
  <si>
    <t>13580998</t>
  </si>
  <si>
    <t>991000848889702656</t>
  </si>
  <si>
    <t>2257697110002656</t>
  </si>
  <si>
    <t>9780394544335</t>
  </si>
  <si>
    <t>32285000111616</t>
  </si>
  <si>
    <t>893528441</t>
  </si>
  <si>
    <t>DS36.77 .N93 2006</t>
  </si>
  <si>
    <t>0                      DS 0036770N  93          2006</t>
  </si>
  <si>
    <t>Understanding Arabs : a guide for modern times / Margaret K. Nydell.</t>
  </si>
  <si>
    <t>Nydell, Margaret K. (Margaret Kleffner)</t>
  </si>
  <si>
    <t>Yarmouth, ME : Intercultural Press, 2006.</t>
  </si>
  <si>
    <t>meu</t>
  </si>
  <si>
    <t>2010-10-24</t>
  </si>
  <si>
    <t>2006-08-02</t>
  </si>
  <si>
    <t>3835675252:eng</t>
  </si>
  <si>
    <t>60824215</t>
  </si>
  <si>
    <t>991004844189702656</t>
  </si>
  <si>
    <t>2270637020002656</t>
  </si>
  <si>
    <t>9781931930253</t>
  </si>
  <si>
    <t>32285005199533</t>
  </si>
  <si>
    <t>893344328</t>
  </si>
  <si>
    <t>DS36.77 .P79 1989</t>
  </si>
  <si>
    <t>0                      DS 0036770P  79          1989</t>
  </si>
  <si>
    <t>The closed circle : an interpretation of the Arabs / David Pryce-Jones.</t>
  </si>
  <si>
    <t>Pryce-Jones, David, 1936-</t>
  </si>
  <si>
    <t>2004-12-08</t>
  </si>
  <si>
    <t>1990-12-28</t>
  </si>
  <si>
    <t>1050864:eng</t>
  </si>
  <si>
    <t>18415898</t>
  </si>
  <si>
    <t>991001347669702656</t>
  </si>
  <si>
    <t>2258757760002656</t>
  </si>
  <si>
    <t>9780060160470</t>
  </si>
  <si>
    <t>32285000405620</t>
  </si>
  <si>
    <t>893509562</t>
  </si>
  <si>
    <t>DS36.8 .B4413</t>
  </si>
  <si>
    <t>0                      DS 0036800B  4413</t>
  </si>
  <si>
    <t>Cultural expression in Arab society today = Langages arabes du présent / by Jacques Berque ; translated by Robert W. Stookey ; poetry translated by Basima Bezirgan &amp; Elizabeth Fernea.</t>
  </si>
  <si>
    <t>Berque, Jacques.</t>
  </si>
  <si>
    <t>Austin : University of Texas Press, c1978.</t>
  </si>
  <si>
    <t>Modern Middle East series ; no. 3</t>
  </si>
  <si>
    <t>2009-08-26</t>
  </si>
  <si>
    <t>1993-02-05</t>
  </si>
  <si>
    <t>432839:eng</t>
  </si>
  <si>
    <t>3397275</t>
  </si>
  <si>
    <t>991004425799702656</t>
  </si>
  <si>
    <t>2267154290002656</t>
  </si>
  <si>
    <t>9780292703308</t>
  </si>
  <si>
    <t>32285001484236</t>
  </si>
  <si>
    <t>893513228</t>
  </si>
  <si>
    <t>DS36.82.G7 R6713</t>
  </si>
  <si>
    <t>0                      DS 0036820G  7                  R  6713</t>
  </si>
  <si>
    <t>The classical heritage in Islam / [edited] by Franz Rosenthal ; translated from the German by Emile and Jenny Marmorstein.</t>
  </si>
  <si>
    <t>Rosenthal, Franz, 1914-2003.</t>
  </si>
  <si>
    <t>Berkeley : University of California Press, [1975]</t>
  </si>
  <si>
    <t>The Islamic world series</t>
  </si>
  <si>
    <t>2001-04-27</t>
  </si>
  <si>
    <t>116831746:eng</t>
  </si>
  <si>
    <t>1464913</t>
  </si>
  <si>
    <t>991003768689702656</t>
  </si>
  <si>
    <t>2259595540002656</t>
  </si>
  <si>
    <t>9780520019973</t>
  </si>
  <si>
    <t>32285002467420</t>
  </si>
  <si>
    <t>893252762</t>
  </si>
  <si>
    <t>DS36.85 .A39 1986</t>
  </si>
  <si>
    <t>0                      DS 0036850A  39          1986</t>
  </si>
  <si>
    <t>The cultural atlas of Islam / Ismaʼil R. al Fārūqī and Lois Lamyāʼ al Fārūqī.</t>
  </si>
  <si>
    <t>Al-Faruqi, Ismaʼil R., 1921-1986.</t>
  </si>
  <si>
    <t>New York : Macmillan, c1986.</t>
  </si>
  <si>
    <t>49032323:eng</t>
  </si>
  <si>
    <t>12839975</t>
  </si>
  <si>
    <t>991000745649702656</t>
  </si>
  <si>
    <t>2269598960002656</t>
  </si>
  <si>
    <t>9780029101902</t>
  </si>
  <si>
    <t>32285000274240</t>
  </si>
  <si>
    <t>893528361</t>
  </si>
  <si>
    <t>DS36.85 .B67 1982</t>
  </si>
  <si>
    <t>0                      DS 0036850B  67          1982</t>
  </si>
  <si>
    <t>Medieval Arabic culture and administration / C.E. Bosworth.</t>
  </si>
  <si>
    <t>Bosworth, Clifford Edmund.</t>
  </si>
  <si>
    <t>London : Variorum Reprints, 1982.</t>
  </si>
  <si>
    <t>Variorum reprint ; CS165</t>
  </si>
  <si>
    <t>1996-10-28</t>
  </si>
  <si>
    <t>43104603:eng</t>
  </si>
  <si>
    <t>9969325</t>
  </si>
  <si>
    <t>991000291029702656</t>
  </si>
  <si>
    <t>2265656400002656</t>
  </si>
  <si>
    <t>9780860781134</t>
  </si>
  <si>
    <t>32285000291343</t>
  </si>
  <si>
    <t>893508670</t>
  </si>
  <si>
    <t>DS36.85 .I75 1976</t>
  </si>
  <si>
    <t>0                      DS 0036850I  75          1976</t>
  </si>
  <si>
    <t>Islam and the Arab world : faith, people, culture / texts by Bernard Lewis ... [et al.] ; edited by Bernard Lewis.</t>
  </si>
  <si>
    <t>New York : Knopf : distributed by Random House, c1976.</t>
  </si>
  <si>
    <t>1997-02-21</t>
  </si>
  <si>
    <t>480563521:eng</t>
  </si>
  <si>
    <t>2337006</t>
  </si>
  <si>
    <t>991004088079702656</t>
  </si>
  <si>
    <t>2260553800002656</t>
  </si>
  <si>
    <t>32285002467446</t>
  </si>
  <si>
    <t>893693495</t>
  </si>
  <si>
    <t>DS36.85 .I8 no. 2, 1971</t>
  </si>
  <si>
    <t>0                      DS 0036850I  8                                                       no. 2, 1971</t>
  </si>
  <si>
    <t>A history of Islamic law / N. J. Coulson.</t>
  </si>
  <si>
    <t>no. 2, 1971*</t>
  </si>
  <si>
    <t>Coulson, Noel J. (Noel James)</t>
  </si>
  <si>
    <t>Edinburgh : University Press, c1964, 1971 printing.</t>
  </si>
  <si>
    <t>Islamic surveys ; 2</t>
  </si>
  <si>
    <t>1991-12-23</t>
  </si>
  <si>
    <t>9176884364:eng</t>
  </si>
  <si>
    <t>2614779</t>
  </si>
  <si>
    <t>991004185419702656</t>
  </si>
  <si>
    <t>2265646030002656</t>
  </si>
  <si>
    <t>9780852241110</t>
  </si>
  <si>
    <t>32285000896422</t>
  </si>
  <si>
    <t>893788381</t>
  </si>
  <si>
    <t>DS36.85 .W365 1998</t>
  </si>
  <si>
    <t>0                      DS 0036850W  365         1998</t>
  </si>
  <si>
    <t>Islamic political thought / W. Montgomery Watt.</t>
  </si>
  <si>
    <t>Edinburgh : Edinburgh University Press, 1998.</t>
  </si>
  <si>
    <t>Islamic surveys ; 6</t>
  </si>
  <si>
    <t>19625996:eng</t>
  </si>
  <si>
    <t>42969099</t>
  </si>
  <si>
    <t>991003050849702656</t>
  </si>
  <si>
    <t>2266506890002656</t>
  </si>
  <si>
    <t>9780748610983</t>
  </si>
  <si>
    <t>32285003643151</t>
  </si>
  <si>
    <t>893233779</t>
  </si>
  <si>
    <t>DS36.855 .A7 1977</t>
  </si>
  <si>
    <t>0                      DS 0036855A  7           1977</t>
  </si>
  <si>
    <t>Aspects of Islamic civilization as depicted in the original texts / by A. J. Arberry.</t>
  </si>
  <si>
    <t>Arberry, A. J. (Arthur John), 1905-1969.</t>
  </si>
  <si>
    <t>Westport, Conn. : Greenwood Press, 1977.</t>
  </si>
  <si>
    <t>1997-11-19</t>
  </si>
  <si>
    <t>490637:eng</t>
  </si>
  <si>
    <t>2799139</t>
  </si>
  <si>
    <t>991004248069702656</t>
  </si>
  <si>
    <t>2271387740002656</t>
  </si>
  <si>
    <t>9780837194943</t>
  </si>
  <si>
    <t>32285001244077</t>
  </si>
  <si>
    <t>893513006</t>
  </si>
  <si>
    <t>DS36.855 .I77 1987</t>
  </si>
  <si>
    <t>0                      DS 0036855I  77          1987</t>
  </si>
  <si>
    <t>Islam : from the Prophet Muhammad to the capture of Constantinople / edited and translated by Bernard Lewis.</t>
  </si>
  <si>
    <t>New York : Oxford University Press, 1987.</t>
  </si>
  <si>
    <t>1996-04-17</t>
  </si>
  <si>
    <t>9375251:eng</t>
  </si>
  <si>
    <t>14931561</t>
  </si>
  <si>
    <t>991000967829702656</t>
  </si>
  <si>
    <t>2257178360002656</t>
  </si>
  <si>
    <t>9780195050875</t>
  </si>
  <si>
    <t>32285002153822</t>
  </si>
  <si>
    <t>893255897</t>
  </si>
  <si>
    <t>1997-08-03</t>
  </si>
  <si>
    <t>32285002153814</t>
  </si>
  <si>
    <t>893231586</t>
  </si>
  <si>
    <t>DS36.9.B4 S765 1994</t>
  </si>
  <si>
    <t>0                      DS 0036900B  4                  S  765         1994</t>
  </si>
  <si>
    <t>Honor / Frank Henderson Stewart.</t>
  </si>
  <si>
    <t>Stewart, Frank Henderson.</t>
  </si>
  <si>
    <t>Chicago : University of Chicago Press, 1994.</t>
  </si>
  <si>
    <t>1996-01-10</t>
  </si>
  <si>
    <t>32296833:eng</t>
  </si>
  <si>
    <t>30516636</t>
  </si>
  <si>
    <t>991002343499702656</t>
  </si>
  <si>
    <t>2259056470002656</t>
  </si>
  <si>
    <t>9780226774077</t>
  </si>
  <si>
    <t>32285002016409</t>
  </si>
  <si>
    <t>893716329</t>
  </si>
  <si>
    <t>DS36.9.D47 B3813 1996</t>
  </si>
  <si>
    <t>0                      DS 0036900D  47                 B  3813        1996</t>
  </si>
  <si>
    <t>The decline of Eastern Christianity under Islam : from Jihad to Dhimmitude : seventh-twentieth century / Bat Ye'or ; with a foreword by Jacques Ellul ; translated from the French by Miriam Kochan and David Littman.</t>
  </si>
  <si>
    <t>Bat Yeʼor.</t>
  </si>
  <si>
    <t>Madison, NJ : Fairleigh Dickinson University Press, 1996.</t>
  </si>
  <si>
    <t>2007-10-01</t>
  </si>
  <si>
    <t>1997-01-17</t>
  </si>
  <si>
    <t>34987676:eng</t>
  </si>
  <si>
    <t>33276531</t>
  </si>
  <si>
    <t>991002559749702656</t>
  </si>
  <si>
    <t>2257833690002656</t>
  </si>
  <si>
    <t>9780838636787</t>
  </si>
  <si>
    <t>32285002408986</t>
  </si>
  <si>
    <t>893347633</t>
  </si>
  <si>
    <t>DS36.9.D47 B395 2002</t>
  </si>
  <si>
    <t>0                      DS 0036900D  47                 B  395         2002</t>
  </si>
  <si>
    <t>Islam and Dhimmitude : where civilizations collide / Bat Yeʼor ; translated from the French by Miriam Kochan and David Littman.</t>
  </si>
  <si>
    <t>Madison [N.J.] : Fairleigh Dickinson University Press ; Cranbury, NJ : Associated University Presses ; Lancaster, UK : Gazelle Book Services, c2002.</t>
  </si>
  <si>
    <t>2006-05-15</t>
  </si>
  <si>
    <t>892563690:eng</t>
  </si>
  <si>
    <t>47054791</t>
  </si>
  <si>
    <t>991003742129702656</t>
  </si>
  <si>
    <t>2269159100002656</t>
  </si>
  <si>
    <t>9780838639429</t>
  </si>
  <si>
    <t>32285004463278</t>
  </si>
  <si>
    <t>893623846</t>
  </si>
  <si>
    <t>DS36.96 .C73 1983</t>
  </si>
  <si>
    <t>0                      DS 0036960C  73          1983</t>
  </si>
  <si>
    <t>Los Arabes en Europa / Gabriele Crespi ; introducción de Francesco Gabrieli.</t>
  </si>
  <si>
    <t>Crespi, Gabriele.</t>
  </si>
  <si>
    <t>Madrid : Ediciones Encuentro, 1983, c1982.</t>
  </si>
  <si>
    <t>1a ed. española.</t>
  </si>
  <si>
    <t>3933264:spa</t>
  </si>
  <si>
    <t>12769130</t>
  </si>
  <si>
    <t>991000735609702656</t>
  </si>
  <si>
    <t>2267674570002656</t>
  </si>
  <si>
    <t>9788474900743</t>
  </si>
  <si>
    <t>32285000291491</t>
  </si>
  <si>
    <t>893595829</t>
  </si>
  <si>
    <t>DS361 .G75</t>
  </si>
  <si>
    <t>0                      DS 0361000G  75</t>
  </si>
  <si>
    <t>Afghanistan : key to a continent / John C. Griffiths.</t>
  </si>
  <si>
    <t>Griffiths, John C.</t>
  </si>
  <si>
    <t>Boulder, Colo. : Westview Press, 1981.</t>
  </si>
  <si>
    <t>2006-10-23</t>
  </si>
  <si>
    <t>3901849462:eng</t>
  </si>
  <si>
    <t>7369020</t>
  </si>
  <si>
    <t>991005108099702656</t>
  </si>
  <si>
    <t>2254825370002656</t>
  </si>
  <si>
    <t>9780865310803</t>
  </si>
  <si>
    <t>32285000336122</t>
  </si>
  <si>
    <t>893350724</t>
  </si>
  <si>
    <t>DS363 .W35 1990</t>
  </si>
  <si>
    <t>0                      DS 0363000W  35          1990</t>
  </si>
  <si>
    <t>Beyond the Khyber Pass : the road to British disaster in the First Afghan War / by John H. Waller.</t>
  </si>
  <si>
    <t>Waller, John H.</t>
  </si>
  <si>
    <t>New York : Random House, 1990.</t>
  </si>
  <si>
    <t>2009-12-22</t>
  </si>
  <si>
    <t>1990-08-06</t>
  </si>
  <si>
    <t>22710470:eng</t>
  </si>
  <si>
    <t>20593803</t>
  </si>
  <si>
    <t>991001592339702656</t>
  </si>
  <si>
    <t>2267065730002656</t>
  </si>
  <si>
    <t>9780394569345</t>
  </si>
  <si>
    <t>32285000242296</t>
  </si>
  <si>
    <t>893328224</t>
  </si>
  <si>
    <t>DS365 .K32 1979</t>
  </si>
  <si>
    <t>0                      DS 0365000K  32          1979</t>
  </si>
  <si>
    <t>Government and society in Afghanistan / the reign of Amir ʼAbd al-Bahman Khan / by Hasan Kawun Kakar.</t>
  </si>
  <si>
    <t>Kakar, M. Hasan.</t>
  </si>
  <si>
    <t>Austin : University of Texas Press, c1979.</t>
  </si>
  <si>
    <t>Modern Middle East series ; no. 5</t>
  </si>
  <si>
    <t>2006-10-02</t>
  </si>
  <si>
    <t>111825499:eng</t>
  </si>
  <si>
    <t>4549633</t>
  </si>
  <si>
    <t>991004678249702656</t>
  </si>
  <si>
    <t>2272657960002656</t>
  </si>
  <si>
    <t>9780292727182</t>
  </si>
  <si>
    <t>32285000336130</t>
  </si>
  <si>
    <t>893600110</t>
  </si>
  <si>
    <t>DS369.4 .N44</t>
  </si>
  <si>
    <t>0                      DS 0369400N  44</t>
  </si>
  <si>
    <t>The politics of Afghanistan [by] Richard S. Newell.</t>
  </si>
  <si>
    <t>Newell, Richard S., 1933-</t>
  </si>
  <si>
    <t>Ithaca [N.Y.] Cornell University Press [1972]</t>
  </si>
  <si>
    <t>South Asian political systems</t>
  </si>
  <si>
    <t>450060:eng</t>
  </si>
  <si>
    <t>203135</t>
  </si>
  <si>
    <t>991001230609702656</t>
  </si>
  <si>
    <t>2256022420002656</t>
  </si>
  <si>
    <t>9780801406881</t>
  </si>
  <si>
    <t>32285002455854</t>
  </si>
  <si>
    <t>893803464</t>
  </si>
  <si>
    <t>DS37 .S57 1985</t>
  </si>
  <si>
    <t>0                      DS 0037000S  57          1985</t>
  </si>
  <si>
    <t>Interpretations of Islam : past and present / by Emmanuel Sivan.</t>
  </si>
  <si>
    <t>Sivan, Emmanuel.</t>
  </si>
  <si>
    <t>Princeton, N.J. : Darwin Press, c1985.</t>
  </si>
  <si>
    <t>2001-10-11</t>
  </si>
  <si>
    <t>1996-10-01</t>
  </si>
  <si>
    <t>287695025:eng</t>
  </si>
  <si>
    <t>11754588</t>
  </si>
  <si>
    <t>991000582739702656</t>
  </si>
  <si>
    <t>2270167140002656</t>
  </si>
  <si>
    <t>9780878500499</t>
  </si>
  <si>
    <t>32285002321627</t>
  </si>
  <si>
    <t>893878186</t>
  </si>
  <si>
    <t>DS37.7 .H58 1970</t>
  </si>
  <si>
    <t>0                      DS 0037700H  58          1970</t>
  </si>
  <si>
    <t>History of the Arabs, from the earliest times to the present / [by] Philip K. Hitti.</t>
  </si>
  <si>
    <t>Hitti, Philip K. (Philip Khuri), 1886-1978.</t>
  </si>
  <si>
    <t>London : Macmillan ; New York : St Martin's Press, c1970, 1980 printing.</t>
  </si>
  <si>
    <t>10th ed.</t>
  </si>
  <si>
    <t>4917818526:eng</t>
  </si>
  <si>
    <t>94509</t>
  </si>
  <si>
    <t>991000567499702656</t>
  </si>
  <si>
    <t>2266058420002656</t>
  </si>
  <si>
    <t>32285000291517</t>
  </si>
  <si>
    <t>893225118</t>
  </si>
  <si>
    <t>DS37.7 .M33 1976</t>
  </si>
  <si>
    <t>0                      DS 0037700M  33          1976</t>
  </si>
  <si>
    <t>The Arab world : a comprehensive history / Peter Mansfield.</t>
  </si>
  <si>
    <t>New York : Crowell, c1976.</t>
  </si>
  <si>
    <t>3943777225:eng</t>
  </si>
  <si>
    <t>2508267</t>
  </si>
  <si>
    <t>991004145319702656</t>
  </si>
  <si>
    <t>2255035800002656</t>
  </si>
  <si>
    <t>9780690011708</t>
  </si>
  <si>
    <t>32285002467461</t>
  </si>
  <si>
    <t>893429711</t>
  </si>
  <si>
    <t>DS37.8 .J36 1997</t>
  </si>
  <si>
    <t>0                      DS 0037800J  36          1997</t>
  </si>
  <si>
    <t>Militarism in Arab society : an historiographical and bibliographical sourcebook / John Walter Jandora.</t>
  </si>
  <si>
    <t>Jandora, John Walter.</t>
  </si>
  <si>
    <t>Westport, Conn. : Greenwood Press, 1997.</t>
  </si>
  <si>
    <t>2008-01-21</t>
  </si>
  <si>
    <t>1999-04-15</t>
  </si>
  <si>
    <t>2627321:eng</t>
  </si>
  <si>
    <t>35285394</t>
  </si>
  <si>
    <t>991002702579702656</t>
  </si>
  <si>
    <t>2259201840002656</t>
  </si>
  <si>
    <t>9780313293702</t>
  </si>
  <si>
    <t>32285003552782</t>
  </si>
  <si>
    <t>893511077</t>
  </si>
  <si>
    <t>DS371.2 .B65 1987</t>
  </si>
  <si>
    <t>0                      DS 0371200B  65          1987</t>
  </si>
  <si>
    <t>Among the Afghans / Arthur Bonner.</t>
  </si>
  <si>
    <t>Bonner, Arthur.</t>
  </si>
  <si>
    <t>Durham : Duke University Press, 1987.</t>
  </si>
  <si>
    <t>Central Asia book series</t>
  </si>
  <si>
    <t>12514470:eng</t>
  </si>
  <si>
    <t>16527254</t>
  </si>
  <si>
    <t>991001116829702656</t>
  </si>
  <si>
    <t>2257724120002656</t>
  </si>
  <si>
    <t>9780822307945</t>
  </si>
  <si>
    <t>32285000210343</t>
  </si>
  <si>
    <t>893534440</t>
  </si>
  <si>
    <t>DS371.2 .B67 1990</t>
  </si>
  <si>
    <t>0                      DS 0371200B  67          1990</t>
  </si>
  <si>
    <t>The hidden war : a Russian journalist's account of the Soviet War in Afghanistan / Artyom Borovik.</t>
  </si>
  <si>
    <t>Borovik, Artem, 1960-2000.</t>
  </si>
  <si>
    <t>New York : Atlantic Monthly Press, c1990.</t>
  </si>
  <si>
    <t>2006-09-20</t>
  </si>
  <si>
    <t>1991-03-07</t>
  </si>
  <si>
    <t>141289983:eng</t>
  </si>
  <si>
    <t>22004854</t>
  </si>
  <si>
    <t>991001741189702656</t>
  </si>
  <si>
    <t>2272055730002656</t>
  </si>
  <si>
    <t>9780871132833</t>
  </si>
  <si>
    <t>32285000493303</t>
  </si>
  <si>
    <t>893250436</t>
  </si>
  <si>
    <t>DS371.2 .C4613</t>
  </si>
  <si>
    <t>0                      DS 0371200C  4613</t>
  </si>
  <si>
    <t>Report from Afghanistan / Gérard Chaliand ; translated by Tamar Jacoby.</t>
  </si>
  <si>
    <t>New York : Viking Press, 1982.</t>
  </si>
  <si>
    <t>30029755:eng</t>
  </si>
  <si>
    <t>8052460</t>
  </si>
  <si>
    <t>991005197949702656</t>
  </si>
  <si>
    <t>2256364520002656</t>
  </si>
  <si>
    <t>9780670594733</t>
  </si>
  <si>
    <t>32285000210350</t>
  </si>
  <si>
    <t>893338695</t>
  </si>
  <si>
    <t>DS371.2 .G38 1996</t>
  </si>
  <si>
    <t>0                      DS 0371200G  38          1996</t>
  </si>
  <si>
    <t>Searching for Saleem : an Afghan woman's odyssey / Farooka Gauhari ; foreword by Nancy Dupree.</t>
  </si>
  <si>
    <t>Gauhari, Farooka, 1947-</t>
  </si>
  <si>
    <t>Lincoln : University of Nebraska Press, 1996.</t>
  </si>
  <si>
    <t>2006-11-07</t>
  </si>
  <si>
    <t>1997-03-10</t>
  </si>
  <si>
    <t>141744680:eng</t>
  </si>
  <si>
    <t>34192814</t>
  </si>
  <si>
    <t>991002610699702656</t>
  </si>
  <si>
    <t>2260100990002656</t>
  </si>
  <si>
    <t>9780803221567</t>
  </si>
  <si>
    <t>32285002441078</t>
  </si>
  <si>
    <t>893227069</t>
  </si>
  <si>
    <t>DS371.2 .G74 2001b</t>
  </si>
  <si>
    <t>0                      DS 0371200G  74          2001b</t>
  </si>
  <si>
    <t>Reaping the whirlwind : the Taliban movement in Afghanistan / Michael Griffin.</t>
  </si>
  <si>
    <t>Griffin, Michael.</t>
  </si>
  <si>
    <t>London ; Sterling, Va. : Pluto Press, 2001.</t>
  </si>
  <si>
    <t>2001-11-15</t>
  </si>
  <si>
    <t>34625654:eng</t>
  </si>
  <si>
    <t>45791314</t>
  </si>
  <si>
    <t>991003628529702656</t>
  </si>
  <si>
    <t>2255818050002656</t>
  </si>
  <si>
    <t>9780745312743</t>
  </si>
  <si>
    <t>32285004412010</t>
  </si>
  <si>
    <t>893512160</t>
  </si>
  <si>
    <t>DS371.2 .K366 2001</t>
  </si>
  <si>
    <t>0                      DS 0371200K  366         2001</t>
  </si>
  <si>
    <t>Soldiers of God : with Islamic warriors in Afghanistan and Pakistan / Robert D. Kaplan.</t>
  </si>
  <si>
    <t>Kaplan, Robert D., 1952-</t>
  </si>
  <si>
    <t>New York : Vintage Books, 2001.</t>
  </si>
  <si>
    <t>1st Vintage Departures ed.</t>
  </si>
  <si>
    <t>1104352212:eng</t>
  </si>
  <si>
    <t>48367823</t>
  </si>
  <si>
    <t>991005226569702656</t>
  </si>
  <si>
    <t>2260038400002656</t>
  </si>
  <si>
    <t>9781400030255</t>
  </si>
  <si>
    <t>32285005440788</t>
  </si>
  <si>
    <t>893701235</t>
  </si>
  <si>
    <t>DS371.2 .L47 1987</t>
  </si>
  <si>
    <t>0                      DS 0371200L  47          1987</t>
  </si>
  <si>
    <t>The wind blows away our words : and other documents relating to the Afghan resistance / Doris Lessing.</t>
  </si>
  <si>
    <t>Lessing, Doris, 1919-2013.</t>
  </si>
  <si>
    <t>New York : Vintage Books, 1987.</t>
  </si>
  <si>
    <t>20783102:eng</t>
  </si>
  <si>
    <t>15316973</t>
  </si>
  <si>
    <t>991001015149702656</t>
  </si>
  <si>
    <t>2258659830002656</t>
  </si>
  <si>
    <t>9780394755045</t>
  </si>
  <si>
    <t>32285000210384</t>
  </si>
  <si>
    <t>893426251</t>
  </si>
  <si>
    <t>DS371.2 .M28 2002</t>
  </si>
  <si>
    <t>0                      DS 0371200M  28          2002</t>
  </si>
  <si>
    <t>Afghanistan : Mullah, Marx and Mujahid / Ralph H. Magnus and Eden Naby ; [foreword by Dan Rather].</t>
  </si>
  <si>
    <t>Magnus, Ralph H.</t>
  </si>
  <si>
    <t>Boulder, Colo. : Oxford : Westview Press, c2002.</t>
  </si>
  <si>
    <t>[Rev. &amp; updated ed.]</t>
  </si>
  <si>
    <t>Nations of the modern world. Middle East</t>
  </si>
  <si>
    <t>27481919:eng</t>
  </si>
  <si>
    <t>49849929</t>
  </si>
  <si>
    <t>991003873119702656</t>
  </si>
  <si>
    <t>2258627840002656</t>
  </si>
  <si>
    <t>9780813340197</t>
  </si>
  <si>
    <t>32285004657143</t>
  </si>
  <si>
    <t>893775323</t>
  </si>
  <si>
    <t>DS371.2 .M34 1982</t>
  </si>
  <si>
    <t>0                      DS 0371200M  34          1982</t>
  </si>
  <si>
    <t>Revolutionary Afghanistan : a reappraisal / Beverley Male.</t>
  </si>
  <si>
    <t>Male, Beverley.</t>
  </si>
  <si>
    <t>New York : St. Martin's Press, 1982.</t>
  </si>
  <si>
    <t>443859:eng</t>
  </si>
  <si>
    <t>7795817</t>
  </si>
  <si>
    <t>991005162119702656</t>
  </si>
  <si>
    <t>2268054720002656</t>
  </si>
  <si>
    <t>9780312679972</t>
  </si>
  <si>
    <t>32285000336155</t>
  </si>
  <si>
    <t>893446613</t>
  </si>
  <si>
    <t>DS371.2 .N48</t>
  </si>
  <si>
    <t>0                      DS 0371200N  48</t>
  </si>
  <si>
    <t>The struggle for Afghanistan / Nancy Peabody Newell, Richard S. Newell.</t>
  </si>
  <si>
    <t>Newell, Nancy Peabody, 1932-</t>
  </si>
  <si>
    <t>Ithaca : Cornell University Press, 1981.</t>
  </si>
  <si>
    <t>27002795:eng</t>
  </si>
  <si>
    <t>7306333</t>
  </si>
  <si>
    <t>991005102569702656</t>
  </si>
  <si>
    <t>2257807410002656</t>
  </si>
  <si>
    <t>9780801413896</t>
  </si>
  <si>
    <t>32285000210392</t>
  </si>
  <si>
    <t>893810855</t>
  </si>
  <si>
    <t>DS371.3 .H85 2005</t>
  </si>
  <si>
    <t>0                      DS 0371300H  85          2005</t>
  </si>
  <si>
    <t>Blood-stained hands : past atrocities in Kabul and Afghanistan's legacy of impunity.</t>
  </si>
  <si>
    <t>New York : Human Rights Watch, c2005.</t>
  </si>
  <si>
    <t>2005-12-06</t>
  </si>
  <si>
    <t>2864350262:eng</t>
  </si>
  <si>
    <t>60934477</t>
  </si>
  <si>
    <t>991004675509702656</t>
  </si>
  <si>
    <t>2261966360002656</t>
  </si>
  <si>
    <t>9781564323347</t>
  </si>
  <si>
    <t>32285005151104</t>
  </si>
  <si>
    <t>893810639</t>
  </si>
  <si>
    <t>DS371.3 .M37 2000</t>
  </si>
  <si>
    <t>0                      DS 0371300M  37          2000</t>
  </si>
  <si>
    <t>War at the top of the world : the struggle for Afghanistan, Kashmir, and Tibet / Eric S. Margolis.</t>
  </si>
  <si>
    <t>Margolis, Eric S.</t>
  </si>
  <si>
    <t>New York : Routledge, 2000.</t>
  </si>
  <si>
    <t>2008-04-28</t>
  </si>
  <si>
    <t>801240387:eng</t>
  </si>
  <si>
    <t>42780425</t>
  </si>
  <si>
    <t>991003651489702656</t>
  </si>
  <si>
    <t>2258508290002656</t>
  </si>
  <si>
    <t>9780415927123</t>
  </si>
  <si>
    <t>32285004426572</t>
  </si>
  <si>
    <t>893699239</t>
  </si>
  <si>
    <t>DS371.4 .A48 2002</t>
  </si>
  <si>
    <t>0                      DS 0371400A  48          2002</t>
  </si>
  <si>
    <t>Afghanistan, looking toward the future : Georgetown University hosts The Afghanistan-America Summit on Recovery and Reconstruction, Georgetown University, Washington , D.C, July 2002.</t>
  </si>
  <si>
    <t>Afghanistan-America Summit on Recovery and Reconstruction (2002 : Georgetown University)</t>
  </si>
  <si>
    <t>Washington, D.C. : Georgetown University, 2002.</t>
  </si>
  <si>
    <t>2007-10-02</t>
  </si>
  <si>
    <t>2003-02-20</t>
  </si>
  <si>
    <t>9663109:eng</t>
  </si>
  <si>
    <t>51638354</t>
  </si>
  <si>
    <t>991004000129702656</t>
  </si>
  <si>
    <t>2270346250002656</t>
  </si>
  <si>
    <t>32285004680194</t>
  </si>
  <si>
    <t>893806528</t>
  </si>
  <si>
    <t>DS371.4 .C43 2006</t>
  </si>
  <si>
    <t>0                      DS 0371400C  43          2006</t>
  </si>
  <si>
    <t>The punishment of virtue : inside Afghanistan after the Taliban / Sarah Chayes.</t>
  </si>
  <si>
    <t>Chayes, Sarah, 1962-</t>
  </si>
  <si>
    <t>New York : Penguin Press, 2006.</t>
  </si>
  <si>
    <t>2009-03-03</t>
  </si>
  <si>
    <t>62618046:eng</t>
  </si>
  <si>
    <t>65400739</t>
  </si>
  <si>
    <t>991004932349702656</t>
  </si>
  <si>
    <t>2258330160002656</t>
  </si>
  <si>
    <t>9781594200960</t>
  </si>
  <si>
    <t>32285005228787</t>
  </si>
  <si>
    <t>893870264</t>
  </si>
  <si>
    <t>DS371.4 .D43 2009</t>
  </si>
  <si>
    <t>0                      DS 0371400D  43          2009</t>
  </si>
  <si>
    <t>Decoding the new Taliban : insights from the Afghan field / editor, Antonio Giustozzi.</t>
  </si>
  <si>
    <t>2010-01-28</t>
  </si>
  <si>
    <t>1076495830:eng</t>
  </si>
  <si>
    <t>318971971</t>
  </si>
  <si>
    <t>991005349559702656</t>
  </si>
  <si>
    <t>2269620020002656</t>
  </si>
  <si>
    <t>9780231701129</t>
  </si>
  <si>
    <t>32285005557250</t>
  </si>
  <si>
    <t>893533594</t>
  </si>
  <si>
    <t>DS371.4 .R34 2008</t>
  </si>
  <si>
    <t>0                      DS 0371400R  34          2008</t>
  </si>
  <si>
    <t>Recovering the frontier state : war, ethnicity, and state in Afghanistan / Rasul Bakhsh Rais.</t>
  </si>
  <si>
    <t>Rais, Rasul Bux.</t>
  </si>
  <si>
    <t>Lanham, MD : Lexington Books, c2008.</t>
  </si>
  <si>
    <t>2009-03-04</t>
  </si>
  <si>
    <t>197652192:eng</t>
  </si>
  <si>
    <t>181368883</t>
  </si>
  <si>
    <t>991005297979702656</t>
  </si>
  <si>
    <t>2259563200002656</t>
  </si>
  <si>
    <t>9780739109564</t>
  </si>
  <si>
    <t>32285005507362</t>
  </si>
  <si>
    <t>893783374</t>
  </si>
  <si>
    <t>DS371.4 .R37 2009</t>
  </si>
  <si>
    <t>0                      DS 0371400R  37          2009</t>
  </si>
  <si>
    <t>Descent into chaos : the U.S. and the disaster in Pakistan, Afghanistan, and Central Asia / Ahmed Rashid.</t>
  </si>
  <si>
    <t>Rashid, Ahmed.</t>
  </si>
  <si>
    <t>New York : Penguin Books, 2009.</t>
  </si>
  <si>
    <t>2009-10-09</t>
  </si>
  <si>
    <t>2009-09-28</t>
  </si>
  <si>
    <t>348884820:eng</t>
  </si>
  <si>
    <t>262428574</t>
  </si>
  <si>
    <t>991005333679702656</t>
  </si>
  <si>
    <t>2263760900002656</t>
  </si>
  <si>
    <t>9780143115571</t>
  </si>
  <si>
    <t>32285005545602</t>
  </si>
  <si>
    <t>893260928</t>
  </si>
  <si>
    <t>DS371.4 .S36 2009</t>
  </si>
  <si>
    <t>0                      DS 0371400S  36          2009</t>
  </si>
  <si>
    <t>Reconciliation in Afghanistan / Michael Semple.</t>
  </si>
  <si>
    <t>Semple, Michael.</t>
  </si>
  <si>
    <t>Washington, DC : United States Institute of Peace Press, 2009.</t>
  </si>
  <si>
    <t>Perspectives series</t>
  </si>
  <si>
    <t>195617954:eng</t>
  </si>
  <si>
    <t>318534320</t>
  </si>
  <si>
    <t>991005381139702656</t>
  </si>
  <si>
    <t>2263414430002656</t>
  </si>
  <si>
    <t>9781601270429</t>
  </si>
  <si>
    <t>32285005562847</t>
  </si>
  <si>
    <t>893613607</t>
  </si>
  <si>
    <t>DS371.412 .J665 2009</t>
  </si>
  <si>
    <t>0                      DS 0371412J  665         2009</t>
  </si>
  <si>
    <t>In the graveyard of empires : America's war in Afghanistan / Seth G. Jones.</t>
  </si>
  <si>
    <t>Jones, Seth G., 1972-</t>
  </si>
  <si>
    <t>New York : W.W. Norton &amp; Co., c2009.</t>
  </si>
  <si>
    <t>2010-04-15</t>
  </si>
  <si>
    <t>820253041:eng</t>
  </si>
  <si>
    <t>286488778</t>
  </si>
  <si>
    <t>991005359159702656</t>
  </si>
  <si>
    <t>2255130690002656</t>
  </si>
  <si>
    <t>9780393068986</t>
  </si>
  <si>
    <t>32285005564553</t>
  </si>
  <si>
    <t>893707734</t>
  </si>
  <si>
    <t>DS374.B28 H65 1989</t>
  </si>
  <si>
    <t>0                      DS 0374000B  28                 H  65          1989</t>
  </si>
  <si>
    <t>Alexander the Great and Bactria : the formation of a Greek frontier in central Asia / by Frank L. Holt.</t>
  </si>
  <si>
    <t>Holt, Frank Lee.</t>
  </si>
  <si>
    <t>Leiden ; New York : E.J. Brill, 1989.</t>
  </si>
  <si>
    <t>Supplement to Muemosyne, 0169-8958 ; 104</t>
  </si>
  <si>
    <t>2009-09-18</t>
  </si>
  <si>
    <t>1992-04-13</t>
  </si>
  <si>
    <t>15022587:eng</t>
  </si>
  <si>
    <t>17439144</t>
  </si>
  <si>
    <t>991001217059702656</t>
  </si>
  <si>
    <t>2265733000002656</t>
  </si>
  <si>
    <t>9789004086128</t>
  </si>
  <si>
    <t>32285001009785</t>
  </si>
  <si>
    <t>893503206</t>
  </si>
  <si>
    <t>DS375.K2 J66 2006</t>
  </si>
  <si>
    <t>0                      DS 0375000K  2                  J  66          2006</t>
  </si>
  <si>
    <t>Kabul in winter : life without peace in Afghanistan / Ann Jones.</t>
  </si>
  <si>
    <t>Jones, Ann, 1937-</t>
  </si>
  <si>
    <t>New York : Metropolitan, 2006.</t>
  </si>
  <si>
    <t>2007-09-25</t>
  </si>
  <si>
    <t>139463085:eng</t>
  </si>
  <si>
    <t>61253984</t>
  </si>
  <si>
    <t>991004837019702656</t>
  </si>
  <si>
    <t>2260840620002656</t>
  </si>
  <si>
    <t>9780805078848</t>
  </si>
  <si>
    <t>32285005193379</t>
  </si>
  <si>
    <t>893795316</t>
  </si>
  <si>
    <t>DS379 .I39</t>
  </si>
  <si>
    <t>0                      DS 0379000I  39</t>
  </si>
  <si>
    <t>The cultural heritage of Pakistan, edited by S. M. Ikram and Percival Spear.</t>
  </si>
  <si>
    <t>Ikram, S. M. (Sheikh Mohamad), 1908-1973, editor.</t>
  </si>
  <si>
    <t>[Karachi, New York] Oxford University Press [1955]</t>
  </si>
  <si>
    <t>1446626:eng</t>
  </si>
  <si>
    <t>409290</t>
  </si>
  <si>
    <t>991002711109702656</t>
  </si>
  <si>
    <t>2262177930002656</t>
  </si>
  <si>
    <t>32285002455896</t>
  </si>
  <si>
    <t>893233324</t>
  </si>
  <si>
    <t>DS38 .F295</t>
  </si>
  <si>
    <t>0                      DS 0038000F  295</t>
  </si>
  <si>
    <t>On Arabism.</t>
  </si>
  <si>
    <t>Amsterdam, Djambatan [c1962-</t>
  </si>
  <si>
    <t>3768682249:dut</t>
  </si>
  <si>
    <t>1400659</t>
  </si>
  <si>
    <t>991005222049702656</t>
  </si>
  <si>
    <t>2266454650002656</t>
  </si>
  <si>
    <t>32285002467487</t>
  </si>
  <si>
    <t>893443613</t>
  </si>
  <si>
    <t>DS38 .O38 1979</t>
  </si>
  <si>
    <t>0                      DS 0038000O  38          1979</t>
  </si>
  <si>
    <t>How Greek science passed to the Arabs / by De Lacy O'Leary.</t>
  </si>
  <si>
    <t>O'Leary, De Lacy, 1872-1957.</t>
  </si>
  <si>
    <t>Chicago : Ares Publishers, 1979.</t>
  </si>
  <si>
    <t>2001-02-28</t>
  </si>
  <si>
    <t>445520:eng</t>
  </si>
  <si>
    <t>7839699</t>
  </si>
  <si>
    <t>991005169559702656</t>
  </si>
  <si>
    <t>2263290030002656</t>
  </si>
  <si>
    <t>32285000291541</t>
  </si>
  <si>
    <t>893260660</t>
  </si>
  <si>
    <t>DS38 .S3</t>
  </si>
  <si>
    <t>0                      DS 0038000S  3</t>
  </si>
  <si>
    <t>Introduction to the history of the Muslim East: a bibliographical guide. Based on the 2d ed. as recast by Claude Cahen.</t>
  </si>
  <si>
    <t>Sauvaget, Jean, 1901-1950.</t>
  </si>
  <si>
    <t>Berkeley, University of California Press, 1965.</t>
  </si>
  <si>
    <t>2864965709:eng</t>
  </si>
  <si>
    <t>577029</t>
  </si>
  <si>
    <t>991003009789702656</t>
  </si>
  <si>
    <t>2259310520002656</t>
  </si>
  <si>
    <t>32285002467545</t>
  </si>
  <si>
    <t>893352640</t>
  </si>
  <si>
    <t>DS38 .S56</t>
  </si>
  <si>
    <t>0                      DS 0038000S  56</t>
  </si>
  <si>
    <t>Islam in modern history.</t>
  </si>
  <si>
    <t>Smith, Wilfred Cantwell, 1916-2000.</t>
  </si>
  <si>
    <t>Princeton, Princeton University Press, 1957.</t>
  </si>
  <si>
    <t>1957</t>
  </si>
  <si>
    <t>1998-01-19</t>
  </si>
  <si>
    <t>57997537:eng</t>
  </si>
  <si>
    <t>397585</t>
  </si>
  <si>
    <t>991002678169702656</t>
  </si>
  <si>
    <t>2261691770002656</t>
  </si>
  <si>
    <t>32285002467560</t>
  </si>
  <si>
    <t>893511053</t>
  </si>
  <si>
    <t>DS38 .V6</t>
  </si>
  <si>
    <t>0                      DS 0038000V  6</t>
  </si>
  <si>
    <t>Unity and variety in Muslim civilization. Edited by Gustave E. von Grunebaum, with papers by Armand Abel [and others.</t>
  </si>
  <si>
    <t>Grunebaum, Gustave E. von (Gustave Edmund), 1909-1972 editor.</t>
  </si>
  <si>
    <t>Chicago] University of Chicago Press, [1955]</t>
  </si>
  <si>
    <t>Comparative studies of cultures and civilizations ; no. 7</t>
  </si>
  <si>
    <t>2004-06-15</t>
  </si>
  <si>
    <t>1074879540:eng</t>
  </si>
  <si>
    <t>4872395</t>
  </si>
  <si>
    <t>991004739059702656</t>
  </si>
  <si>
    <t>2262427210002656</t>
  </si>
  <si>
    <t>32285002209509</t>
  </si>
  <si>
    <t>893260113</t>
  </si>
  <si>
    <t>DS38.1 .I78 2001</t>
  </si>
  <si>
    <t>0                      DS 0038100I  78          2001</t>
  </si>
  <si>
    <t>Diplomacy and diplomatic practice in the early Islamic era / Yasin Istanbuli.</t>
  </si>
  <si>
    <t>Istanbuli, Yasin.</t>
  </si>
  <si>
    <t>2008-01-18</t>
  </si>
  <si>
    <t>36087406:eng</t>
  </si>
  <si>
    <t>46733718</t>
  </si>
  <si>
    <t>991003742749702656</t>
  </si>
  <si>
    <t>2260834860002656</t>
  </si>
  <si>
    <t>9780195793031</t>
  </si>
  <si>
    <t>32285004464896</t>
  </si>
  <si>
    <t>893258793</t>
  </si>
  <si>
    <t>DS38.1 .W3642 1981</t>
  </si>
  <si>
    <t>0                      DS 0038100W  3642        1981</t>
  </si>
  <si>
    <t>History of Muhammad's campaigns / by Aboo ʼAbd Ollah Mohammad ʼbin Omar al-Wákidy ; edited by Alfred von Kremer.</t>
  </si>
  <si>
    <t>Wāqidī, Muḥammad ibn ʻUmar, 747 or 748-823.</t>
  </si>
  <si>
    <t>Osnabrück : Biblio Verlag, 1981.</t>
  </si>
  <si>
    <t>Bibliotheca Indica ; 28</t>
  </si>
  <si>
    <t>2007-02-08</t>
  </si>
  <si>
    <t>2945960553:eng</t>
  </si>
  <si>
    <t>11839257</t>
  </si>
  <si>
    <t>991000599989702656</t>
  </si>
  <si>
    <t>2269662740002656</t>
  </si>
  <si>
    <t>32285000291566</t>
  </si>
  <si>
    <t>893249496</t>
  </si>
  <si>
    <t>DS38.3 .B67 1996</t>
  </si>
  <si>
    <t>0                      DS 0038300B  67          1996</t>
  </si>
  <si>
    <t>The Arabs, Byzantium, and Iran : studies in early Islamic history and culture / C.E. Bosworth.</t>
  </si>
  <si>
    <t>Brookfield, Vt. : Variorum, 1996.</t>
  </si>
  <si>
    <t>Collected studies series ; CS529</t>
  </si>
  <si>
    <t>1997-11-20</t>
  </si>
  <si>
    <t>39278377:eng</t>
  </si>
  <si>
    <t>34077204</t>
  </si>
  <si>
    <t>991002600859702656</t>
  </si>
  <si>
    <t>2271953910002656</t>
  </si>
  <si>
    <t>9780860785835</t>
  </si>
  <si>
    <t>32285003272399</t>
  </si>
  <si>
    <t>893892754</t>
  </si>
  <si>
    <t>DS38.3 .S84 1984</t>
  </si>
  <si>
    <t>0                      DS 0038300S  84          1984</t>
  </si>
  <si>
    <t>History and culture in the medieval Muslim world / S.M. Stern.</t>
  </si>
  <si>
    <t>Stern, S. M. (Samuel Miklos), 1920-1969.</t>
  </si>
  <si>
    <t>London : Variorum Reprints, 1984.</t>
  </si>
  <si>
    <t>Variorum reprint ; CS200</t>
  </si>
  <si>
    <t>2009-10-26</t>
  </si>
  <si>
    <t>5002034:eng</t>
  </si>
  <si>
    <t>12418810</t>
  </si>
  <si>
    <t>991000682989702656</t>
  </si>
  <si>
    <t>2262518430002656</t>
  </si>
  <si>
    <t>9780860781486</t>
  </si>
  <si>
    <t>32285000274273</t>
  </si>
  <si>
    <t>893339786</t>
  </si>
  <si>
    <t>DS38.3 .V6413 1970b</t>
  </si>
  <si>
    <t>0                      DS 0038300V  6413        1970b</t>
  </si>
  <si>
    <t>Classical Islam; a history, 600-1258, by G. E. Von Grunebaum. Translated by Katherine Watson.</t>
  </si>
  <si>
    <t>Grunebaum, Gustave E. von (Gustave Edmund), 1909-1972.</t>
  </si>
  <si>
    <t>Chicago, Aldine Pub. Co. [1970]</t>
  </si>
  <si>
    <t>1997-11-12</t>
  </si>
  <si>
    <t>2286622600:eng</t>
  </si>
  <si>
    <t>103604</t>
  </si>
  <si>
    <t>991000624429702656</t>
  </si>
  <si>
    <t>2260334720002656</t>
  </si>
  <si>
    <t>9780202150161</t>
  </si>
  <si>
    <t>32285002467602</t>
  </si>
  <si>
    <t>893327450</t>
  </si>
  <si>
    <t>DS38.4.A2 S8913 1980</t>
  </si>
  <si>
    <t>0                      DS 0038400A  2                  S  8913        1980</t>
  </si>
  <si>
    <t>History of the caliphs / by Jalálu'ddín a's Suyúti ; translated from the original Arabic by H.S. Jarrett.</t>
  </si>
  <si>
    <t>Suyūṭī, 1445-1505.</t>
  </si>
  <si>
    <t>Karachi : Karimsons, 1980 printing, c1977.</t>
  </si>
  <si>
    <t>New impression, Pakistan.</t>
  </si>
  <si>
    <t>1996-12-01</t>
  </si>
  <si>
    <t>4776485954:eng</t>
  </si>
  <si>
    <t>9540017</t>
  </si>
  <si>
    <t>991000211109702656</t>
  </si>
  <si>
    <t>2267385980002656</t>
  </si>
  <si>
    <t>32285000291590</t>
  </si>
  <si>
    <t>893339386</t>
  </si>
  <si>
    <t>DS38.4.A53 B68 1975</t>
  </si>
  <si>
    <t>0                      DS 0038400A  53                 B  68          1975</t>
  </si>
  <si>
    <t>The life and times of ʻAlí ibn ʻĪsà, 'the Good vizie' / by Harold Bowen.</t>
  </si>
  <si>
    <t>Bowen, Harold.</t>
  </si>
  <si>
    <t>New York : AMS Press, 1975.</t>
  </si>
  <si>
    <t>2003-11-21</t>
  </si>
  <si>
    <t>3902393214:eng</t>
  </si>
  <si>
    <t>1506202</t>
  </si>
  <si>
    <t>991003788829702656</t>
  </si>
  <si>
    <t>2254723260002656</t>
  </si>
  <si>
    <t>9780404562151</t>
  </si>
  <si>
    <t>32285002467610</t>
  </si>
  <si>
    <t>893810180</t>
  </si>
  <si>
    <t>DS38.4.S2 G52 1973</t>
  </si>
  <si>
    <t>0                      DS 0038400S  2                  G  52          1973</t>
  </si>
  <si>
    <t>The life of Saladin: from the works of ʻImād ad-Dīn and Bahāʼ ad-Dīn, by Sir Hamilton Gibb.</t>
  </si>
  <si>
    <t>Gibb, H. A. R. (Hamilton Alexander Rosskeen), 1895-1971.</t>
  </si>
  <si>
    <t>Oxford, Clarendon Press, 1973.</t>
  </si>
  <si>
    <t>2006-10-20</t>
  </si>
  <si>
    <t>1722812:eng</t>
  </si>
  <si>
    <t>674160</t>
  </si>
  <si>
    <t>991003131069702656</t>
  </si>
  <si>
    <t>2269355030002656</t>
  </si>
  <si>
    <t>9780198214991</t>
  </si>
  <si>
    <t>32285002467628</t>
  </si>
  <si>
    <t>893233847</t>
  </si>
  <si>
    <t>DS38.4.S2 G55 1974</t>
  </si>
  <si>
    <t>0                      DS 0038400S  2                  G  55          1974</t>
  </si>
  <si>
    <t>Saladin : studies in Islamic history / Sir Hamilton A. R. Gibb ; edited by Yusuf Ibish.</t>
  </si>
  <si>
    <t>Beirut : Arab Institute for Research and Pub., 1974, c1972.</t>
  </si>
  <si>
    <t>4758019927:eng</t>
  </si>
  <si>
    <t>2644858</t>
  </si>
  <si>
    <t>991004196609702656</t>
  </si>
  <si>
    <t>2255243420002656</t>
  </si>
  <si>
    <t>32285002467636</t>
  </si>
  <si>
    <t>893618366</t>
  </si>
  <si>
    <t>DS38.5 .K38 1986</t>
  </si>
  <si>
    <t>0                      DS 0038500K  38          1986</t>
  </si>
  <si>
    <t>The prophet and the age of the caliphates : the Islamic Near East from the sixth to the eleventh century / Hugh Kennedy.</t>
  </si>
  <si>
    <t>Kennedy, Hugh (Hugh N.)</t>
  </si>
  <si>
    <t>London ; New York : Longman, 1986.</t>
  </si>
  <si>
    <t>A History of the Near East</t>
  </si>
  <si>
    <t>1990-07-09</t>
  </si>
  <si>
    <t>808136992:eng</t>
  </si>
  <si>
    <t>12262139</t>
  </si>
  <si>
    <t>991000662529702656</t>
  </si>
  <si>
    <t>2270711990002656</t>
  </si>
  <si>
    <t>9780582493131</t>
  </si>
  <si>
    <t>32285000226620</t>
  </si>
  <si>
    <t>893419666</t>
  </si>
  <si>
    <t>DS38.5 .S5</t>
  </si>
  <si>
    <t>0                      DS 0038500S  5</t>
  </si>
  <si>
    <t>Islamic history A.D. 600-750 (A.H. 132) : a new interpretation.</t>
  </si>
  <si>
    <t>Shaʻbān, Muḥammad ʻAbd al-Ḥayy Muḥammad.</t>
  </si>
  <si>
    <t>Cambridge, [Eng.] : University Press, 1971.</t>
  </si>
  <si>
    <t>9415424537:eng</t>
  </si>
  <si>
    <t>3412266</t>
  </si>
  <si>
    <t>991004428189702656</t>
  </si>
  <si>
    <t>2260971820002656</t>
  </si>
  <si>
    <t>32285001929545</t>
  </si>
  <si>
    <t>893535986</t>
  </si>
  <si>
    <t>DS38.6 .B74 1996</t>
  </si>
  <si>
    <t>0                      DS 0038600B  74          1996</t>
  </si>
  <si>
    <t>Aristocratic violence and holy war : studies in the jihad and the Arab-Byzantine frontier / Michael Bonner.</t>
  </si>
  <si>
    <t>Bonner, Michael, 1952-</t>
  </si>
  <si>
    <t>New Haven, Conn. : American Oriental Society, 1996.</t>
  </si>
  <si>
    <t>American oriental series ; v. 81</t>
  </si>
  <si>
    <t>196207380:eng</t>
  </si>
  <si>
    <t>35153996</t>
  </si>
  <si>
    <t>991002691339702656</t>
  </si>
  <si>
    <t>2254825560002656</t>
  </si>
  <si>
    <t>9780940490116</t>
  </si>
  <si>
    <t>32285003255717</t>
  </si>
  <si>
    <t>893691889</t>
  </si>
  <si>
    <t>DS38.6 .M3213 1985</t>
  </si>
  <si>
    <t>0                      DS 0038600M  3213        1985</t>
  </si>
  <si>
    <t>The crusades through Arab eyes / Amin Maalouf ; translated by Jon Rothschild.</t>
  </si>
  <si>
    <t>Maalouf, Amin.</t>
  </si>
  <si>
    <t>New York : Schocken Books, 1985.</t>
  </si>
  <si>
    <t>2007-09-06</t>
  </si>
  <si>
    <t>2893457199:eng</t>
  </si>
  <si>
    <t>12081005</t>
  </si>
  <si>
    <t>991000635629702656</t>
  </si>
  <si>
    <t>2266257560002656</t>
  </si>
  <si>
    <t>9780805240047</t>
  </si>
  <si>
    <t>32285000291616</t>
  </si>
  <si>
    <t>893255593</t>
  </si>
  <si>
    <t>DS38.6 .S48</t>
  </si>
  <si>
    <t>0                      DS 0038600S  48</t>
  </si>
  <si>
    <t>Islamic history A.D. 750-1055 (A.H. 132-448) : a new interpretation / M. A. Shaban.</t>
  </si>
  <si>
    <t>Cambridge [Eng.] ; New York : Cambridge University Press, c1976.</t>
  </si>
  <si>
    <t>1995-08-24</t>
  </si>
  <si>
    <t>222299805:eng</t>
  </si>
  <si>
    <t>1959491</t>
  </si>
  <si>
    <t>991003953159702656</t>
  </si>
  <si>
    <t>2266112420002656</t>
  </si>
  <si>
    <t>9780521211987</t>
  </si>
  <si>
    <t>32285001929537</t>
  </si>
  <si>
    <t>893718276</t>
  </si>
  <si>
    <t>DS38.9 .M36 1990</t>
  </si>
  <si>
    <t>0                      DS 0038900M  36          1990</t>
  </si>
  <si>
    <t>The Arabs / Peter Mansfield.</t>
  </si>
  <si>
    <t>Harmondsworth, Middlesex, England ; New York, N.Y. : Penguin, 1990, c1985.</t>
  </si>
  <si>
    <t>1992-03-03</t>
  </si>
  <si>
    <t>1991-06-13</t>
  </si>
  <si>
    <t>327148:eng</t>
  </si>
  <si>
    <t>26719613</t>
  </si>
  <si>
    <t>991001836029702656</t>
  </si>
  <si>
    <t>2264807980002656</t>
  </si>
  <si>
    <t>9780140135749</t>
  </si>
  <si>
    <t>32285000655596</t>
  </si>
  <si>
    <t>893433172</t>
  </si>
  <si>
    <t>DS38.9 .S58 1990</t>
  </si>
  <si>
    <t>0                      DS 0038900S  58          1990</t>
  </si>
  <si>
    <t>Between Qur'an and crown : the challenge of political legitimacy in the Arab world / Tamara Sonn.</t>
  </si>
  <si>
    <t>Sonn, Tamara, 1949-</t>
  </si>
  <si>
    <t>Boulder : Westview Press, 1990.</t>
  </si>
  <si>
    <t>1996-04-22</t>
  </si>
  <si>
    <t>1991-07-30</t>
  </si>
  <si>
    <t>22344120:eng</t>
  </si>
  <si>
    <t>21119205</t>
  </si>
  <si>
    <t>991001655389702656</t>
  </si>
  <si>
    <t>2258343820002656</t>
  </si>
  <si>
    <t>9780813375793</t>
  </si>
  <si>
    <t>32285000663194</t>
  </si>
  <si>
    <t>893602767</t>
  </si>
  <si>
    <t>DS380.K34 M34 2001</t>
  </si>
  <si>
    <t>0                      DS 0380000K  34                 M  34          2001</t>
  </si>
  <si>
    <t>Our women are free : gender and ethnicity in the Hindukush / Wynne Maggi.</t>
  </si>
  <si>
    <t>Maggi, Wynne, 1966-</t>
  </si>
  <si>
    <t>Ann Arbor, MI : University of Michigan Press, c2001.</t>
  </si>
  <si>
    <t>140952568:eng</t>
  </si>
  <si>
    <t>47200317</t>
  </si>
  <si>
    <t>991003888489702656</t>
  </si>
  <si>
    <t>2257949180002656</t>
  </si>
  <si>
    <t>9780472067831</t>
  </si>
  <si>
    <t>32285004656343</t>
  </si>
  <si>
    <t>893349328</t>
  </si>
  <si>
    <t>DS380.M83 V47 2004</t>
  </si>
  <si>
    <t>0                      DS 0380000M  83                 V  47          2004</t>
  </si>
  <si>
    <t>Migrants and militants : fun and urban violence in Pakistan / Oskar Verkaaik.</t>
  </si>
  <si>
    <t>Verkaaik, Oskar.</t>
  </si>
  <si>
    <t>Princeton, N.J. : Princeton University Press, c2004.</t>
  </si>
  <si>
    <t>2005-02-28</t>
  </si>
  <si>
    <t>866250245:eng</t>
  </si>
  <si>
    <t>52375031</t>
  </si>
  <si>
    <t>991004462689702656</t>
  </si>
  <si>
    <t>2270046010002656</t>
  </si>
  <si>
    <t>9780691117089</t>
  </si>
  <si>
    <t>32285005027684</t>
  </si>
  <si>
    <t>893882498</t>
  </si>
  <si>
    <t>DS382 .S39 1968</t>
  </si>
  <si>
    <t>0                      DS 0382000S  39          1968</t>
  </si>
  <si>
    <t>Pakistan, the formative phase, 1857-1948 [by] Khalid B. Sayeed; with a foreword by George Cunningham.</t>
  </si>
  <si>
    <t>Sayeed, Khalid B., 1926-</t>
  </si>
  <si>
    <t>London, New York [etc.] Oxford University Press, 1968.</t>
  </si>
  <si>
    <t>30823944:eng</t>
  </si>
  <si>
    <t>460704</t>
  </si>
  <si>
    <t>991002816639702656</t>
  </si>
  <si>
    <t>2258121830002656</t>
  </si>
  <si>
    <t>32285002434586</t>
  </si>
  <si>
    <t>893716954</t>
  </si>
  <si>
    <t>DS382 .T35 1998</t>
  </si>
  <si>
    <t>0                      DS 0382000T  35          1998</t>
  </si>
  <si>
    <t>Pakistan : a modern history / Ian Talbot.</t>
  </si>
  <si>
    <t>Talbot, Ian.</t>
  </si>
  <si>
    <t>New York : St. Martin's Press, c1998.</t>
  </si>
  <si>
    <t>1999-10-25</t>
  </si>
  <si>
    <t>1001712:eng</t>
  </si>
  <si>
    <t>38739043</t>
  </si>
  <si>
    <t>991002920219702656</t>
  </si>
  <si>
    <t>2256981490002656</t>
  </si>
  <si>
    <t>9780312216061</t>
  </si>
  <si>
    <t>32285003612925</t>
  </si>
  <si>
    <t>893445444</t>
  </si>
  <si>
    <t>DS383.5.A2 A75 2000</t>
  </si>
  <si>
    <t>0                      DS 0383500A  2                  A  75          2000</t>
  </si>
  <si>
    <t>Pakistan's foreign policy : a reappraisal / Shahid M. Amin.</t>
  </si>
  <si>
    <t>Amin, Shahid M., 1936-</t>
  </si>
  <si>
    <t>Oxford ; New York : Oxford University Press, 2000.</t>
  </si>
  <si>
    <t>2001-08-13</t>
  </si>
  <si>
    <t>663504:eng</t>
  </si>
  <si>
    <t>45901280</t>
  </si>
  <si>
    <t>991003537479702656</t>
  </si>
  <si>
    <t>2272549260002656</t>
  </si>
  <si>
    <t>9780195793987</t>
  </si>
  <si>
    <t>32285004377346</t>
  </si>
  <si>
    <t>893692814</t>
  </si>
  <si>
    <t>DS383.5.A2 S55 1970</t>
  </si>
  <si>
    <t>0                      DS 0383500A  2                  S  55          1970</t>
  </si>
  <si>
    <t>Pakistan's foreign policy : an appraisal.</t>
  </si>
  <si>
    <t>Singh, Sangat, 1932-</t>
  </si>
  <si>
    <t>New York, Asia Pub. House [1970]</t>
  </si>
  <si>
    <t>1998-03-22</t>
  </si>
  <si>
    <t>1278764:eng</t>
  </si>
  <si>
    <t>93028</t>
  </si>
  <si>
    <t>991000554379702656</t>
  </si>
  <si>
    <t>2265585420002656</t>
  </si>
  <si>
    <t>32285002463189</t>
  </si>
  <si>
    <t>893255528</t>
  </si>
  <si>
    <t>DS383.5.I5 P73 2001</t>
  </si>
  <si>
    <t>0                      DS 0383500I  5                  P  73          2001</t>
  </si>
  <si>
    <t>Terrorism : an instrument of foreign policy / Kshitij Prabha.</t>
  </si>
  <si>
    <t>Prabha, Kshitij.</t>
  </si>
  <si>
    <t>Colorado Springs, CO : International Academic Publishers, c2001.</t>
  </si>
  <si>
    <t>2002-08-21</t>
  </si>
  <si>
    <t>34335757:eng</t>
  </si>
  <si>
    <t>44905104</t>
  </si>
  <si>
    <t>991003849569702656</t>
  </si>
  <si>
    <t>2265682010002656</t>
  </si>
  <si>
    <t>9781588680761</t>
  </si>
  <si>
    <t>32285004644570</t>
  </si>
  <si>
    <t>893699488</t>
  </si>
  <si>
    <t>DS384 .A27 2005</t>
  </si>
  <si>
    <t>0                      DS 0384000A  27          2005</t>
  </si>
  <si>
    <t>Pakistan's drift into extremism : Allah, the army, and America's war on terror / Hassan Abbas ; foreword by Jessica Stern.</t>
  </si>
  <si>
    <t>Abbas, Hassan, 1969-</t>
  </si>
  <si>
    <t>Armonk, N.Y. ; London : M.E. Sharpe, c2005.</t>
  </si>
  <si>
    <t>2005-10-03</t>
  </si>
  <si>
    <t>203214975:eng</t>
  </si>
  <si>
    <t>54913173</t>
  </si>
  <si>
    <t>991004644429702656</t>
  </si>
  <si>
    <t>2272305000002656</t>
  </si>
  <si>
    <t>9780765614964</t>
  </si>
  <si>
    <t>32285005086607</t>
  </si>
  <si>
    <t>893618901</t>
  </si>
  <si>
    <t>DS384 .A786 2001</t>
  </si>
  <si>
    <t>0                      DS 0384000A  786         2001</t>
  </si>
  <si>
    <t>Khaki shadows : Pakistan 1947-1997 / K.M. Arif.</t>
  </si>
  <si>
    <t>Arif, K. M. (Khalid Mahmud), 1930-</t>
  </si>
  <si>
    <t>2001-12-07</t>
  </si>
  <si>
    <t>2001-11-27</t>
  </si>
  <si>
    <t>3901867569:eng</t>
  </si>
  <si>
    <t>47870022</t>
  </si>
  <si>
    <t>991003639249702656</t>
  </si>
  <si>
    <t>2257002190002656</t>
  </si>
  <si>
    <t>9780195793963</t>
  </si>
  <si>
    <t>32285004414164</t>
  </si>
  <si>
    <t>893699228</t>
  </si>
  <si>
    <t>DS384 .A9</t>
  </si>
  <si>
    <t>0                      DS 0384000A  9</t>
  </si>
  <si>
    <t>Pakistan perspective; a collection of important articles and excerpts from major addresses.</t>
  </si>
  <si>
    <t>Ayub Khan, Mohammad, 1907-1974.</t>
  </si>
  <si>
    <t>[Washington, D.C., Embassy of Pakistan, 1965]</t>
  </si>
  <si>
    <t>3855398370:eng</t>
  </si>
  <si>
    <t>351805</t>
  </si>
  <si>
    <t>991002446889702656</t>
  </si>
  <si>
    <t>2266889850002656</t>
  </si>
  <si>
    <t>32285002456019</t>
  </si>
  <si>
    <t>893892557</t>
  </si>
  <si>
    <t>DS384 .M2716 2008</t>
  </si>
  <si>
    <t>0                      DS 0384000M  2716        2008</t>
  </si>
  <si>
    <t>The history of Pakistan / Iftikhar H. Malik.</t>
  </si>
  <si>
    <t>Malik, Iftikhar Haider, 1949-</t>
  </si>
  <si>
    <t>Westport, Conn. : Greenwood Press, 2008.</t>
  </si>
  <si>
    <t>The Greenwood histories of the modern nations, 1096-2905</t>
  </si>
  <si>
    <t>2009-07-09</t>
  </si>
  <si>
    <t>2009-06-16</t>
  </si>
  <si>
    <t>131473639:eng</t>
  </si>
  <si>
    <t>213602275</t>
  </si>
  <si>
    <t>991005320979702656</t>
  </si>
  <si>
    <t>2267182070002656</t>
  </si>
  <si>
    <t>9780313341373</t>
  </si>
  <si>
    <t>32285005535322</t>
  </si>
  <si>
    <t>893607204</t>
  </si>
  <si>
    <t>DS384 .P326 1997</t>
  </si>
  <si>
    <t>0                      DS 0384000P  326         1997</t>
  </si>
  <si>
    <t>Pakistan in perspective, 1947-1997 / edited by Rafi Raza.</t>
  </si>
  <si>
    <t>Karachi ; New York : Oxford University Press, 1997.</t>
  </si>
  <si>
    <t>[The Jubilee series]</t>
  </si>
  <si>
    <t>56320412:eng</t>
  </si>
  <si>
    <t>39741728</t>
  </si>
  <si>
    <t>991002969129702656</t>
  </si>
  <si>
    <t>2259633830002656</t>
  </si>
  <si>
    <t>9780195778427</t>
  </si>
  <si>
    <t>32285003505913</t>
  </si>
  <si>
    <t>893335970</t>
  </si>
  <si>
    <t>DS384 .S2195 2000</t>
  </si>
  <si>
    <t>0                      DS 0384000S  2195        2000</t>
  </si>
  <si>
    <t>Pakistan : political roots and development, 1947-1999 / Safdar Mahmood.</t>
  </si>
  <si>
    <t>Safdar Mahmood, 1941-</t>
  </si>
  <si>
    <t>Karachi : Oxford University Press, 2000.</t>
  </si>
  <si>
    <t>2001-02-05</t>
  </si>
  <si>
    <t>836946923:eng</t>
  </si>
  <si>
    <t>45270649</t>
  </si>
  <si>
    <t>991003362519702656</t>
  </si>
  <si>
    <t>2272279830002656</t>
  </si>
  <si>
    <t>9780195793734</t>
  </si>
  <si>
    <t>32285004293659</t>
  </si>
  <si>
    <t>893717588</t>
  </si>
  <si>
    <t>DS384 .T9</t>
  </si>
  <si>
    <t>0                      DS 0384000T  9</t>
  </si>
  <si>
    <t>Twenty years of Pakistan, 1947-67. Introd. by Altaf Gauhar.</t>
  </si>
  <si>
    <t>[Karachi, Pakistan Publications, 1967]</t>
  </si>
  <si>
    <t>2000-11-03</t>
  </si>
  <si>
    <t>1544513:eng</t>
  </si>
  <si>
    <t>474657</t>
  </si>
  <si>
    <t>991002823979702656</t>
  </si>
  <si>
    <t>2256699990002656</t>
  </si>
  <si>
    <t>32285002456076</t>
  </si>
  <si>
    <t>893886778</t>
  </si>
  <si>
    <t>DS384 .W54 1966</t>
  </si>
  <si>
    <t>0                      DS 0384000W  54          1966</t>
  </si>
  <si>
    <t>State development programming; an explanation of the development programming process and its potential application as an instrument of implementation for the California State Development Plan, [by] William E. Spangle and Harold F. Wise. [Prepared for the] California State Office of Planning.</t>
  </si>
  <si>
    <t>William Spangle and Associates.</t>
  </si>
  <si>
    <t>66858386:eng</t>
  </si>
  <si>
    <t>13895074</t>
  </si>
  <si>
    <t>991000887689702656</t>
  </si>
  <si>
    <t>2264406880002656</t>
  </si>
  <si>
    <t>32285002456092</t>
  </si>
  <si>
    <t>893509196</t>
  </si>
  <si>
    <t>DS384 .Z572 1999</t>
  </si>
  <si>
    <t>0                      DS 0384000Z  572         1999</t>
  </si>
  <si>
    <t>Pakistan in the twentieth century : a political history / Lawrence Ziring.</t>
  </si>
  <si>
    <t>Ziring, Lawrence, 1928-</t>
  </si>
  <si>
    <t>Karachi ; New York : Oxford University Press, 1999, c1997.</t>
  </si>
  <si>
    <t>638591:eng</t>
  </si>
  <si>
    <t>43956338</t>
  </si>
  <si>
    <t>991003643629702656</t>
  </si>
  <si>
    <t>2256031530002656</t>
  </si>
  <si>
    <t>9780195792768</t>
  </si>
  <si>
    <t>32285004412002</t>
  </si>
  <si>
    <t>893505805</t>
  </si>
  <si>
    <t>DS388 .H28</t>
  </si>
  <si>
    <t>0                      DS 0388000H  28</t>
  </si>
  <si>
    <t>The process of priority formulation : U.S. foreign policy in the Indo-Pakistani War of 1971 / Dan Haendel.</t>
  </si>
  <si>
    <t>Haendel, Dan, 1950-</t>
  </si>
  <si>
    <t>Boulder, Colo. : Westview Press, 1977.</t>
  </si>
  <si>
    <t>A Westview replica edition</t>
  </si>
  <si>
    <t>1998-02-05</t>
  </si>
  <si>
    <t>8313905:eng</t>
  </si>
  <si>
    <t>3202761</t>
  </si>
  <si>
    <t>991004373209702656</t>
  </si>
  <si>
    <t>2270472740002656</t>
  </si>
  <si>
    <t>9780891583226</t>
  </si>
  <si>
    <t>32285002456175</t>
  </si>
  <si>
    <t>893259653</t>
  </si>
  <si>
    <t>DS388 .P34 1972b</t>
  </si>
  <si>
    <t>0                      DS 0388000P  34          1972b</t>
  </si>
  <si>
    <t>The lightning campaign; the Indo-Pakistan war, 1971 [by] D. K. Palit.</t>
  </si>
  <si>
    <t>Palit, D. K.</t>
  </si>
  <si>
    <t>New Delhi, Thomson Press (India) [1972]</t>
  </si>
  <si>
    <t>2008-03-10</t>
  </si>
  <si>
    <t>1470654:eng</t>
  </si>
  <si>
    <t>1143804</t>
  </si>
  <si>
    <t>991003568999702656</t>
  </si>
  <si>
    <t>2260827210002656</t>
  </si>
  <si>
    <t>32285002456183</t>
  </si>
  <si>
    <t>893435140</t>
  </si>
  <si>
    <t>DS389 .M46 1996</t>
  </si>
  <si>
    <t>0                      DS 0389000M  46          1996</t>
  </si>
  <si>
    <t>Pakistan : Islamic nation in crisis / Ali Nawaz Memon.</t>
  </si>
  <si>
    <t>Memon, Ali Nawaz, 1941-</t>
  </si>
  <si>
    <t>Beltsville, Md. : Amana Publications, c1996.</t>
  </si>
  <si>
    <t>2010-02-23</t>
  </si>
  <si>
    <t>1999-03-22</t>
  </si>
  <si>
    <t>654428:eng</t>
  </si>
  <si>
    <t>36074594</t>
  </si>
  <si>
    <t>991005425419702656</t>
  </si>
  <si>
    <t>2263950260002656</t>
  </si>
  <si>
    <t>9780915957668</t>
  </si>
  <si>
    <t>32285004926423</t>
  </si>
  <si>
    <t>893695304</t>
  </si>
  <si>
    <t>DS39 .H294 2005</t>
  </si>
  <si>
    <t>0                      DS 0039000H  294         2005</t>
  </si>
  <si>
    <t>100 myths about the Middle East / Fred Halliday.</t>
  </si>
  <si>
    <t>Halliday, Fred.</t>
  </si>
  <si>
    <t>Berkeley ; Los Angeles : University of California Press, 2005.</t>
  </si>
  <si>
    <t>2007-08-06</t>
  </si>
  <si>
    <t>3901219129:eng</t>
  </si>
  <si>
    <t>61247490</t>
  </si>
  <si>
    <t>991004631839702656</t>
  </si>
  <si>
    <t>2272129560002656</t>
  </si>
  <si>
    <t>9780520247208</t>
  </si>
  <si>
    <t>32285005084818</t>
  </si>
  <si>
    <t>893513489</t>
  </si>
  <si>
    <t>DS39 .I844 1995</t>
  </si>
  <si>
    <t>0                      DS 0039000I  844         1995</t>
  </si>
  <si>
    <t>The Islamist dilemma : the political role of Islamist movements in the contemporary Arab world / edited by Laura Guazzone.</t>
  </si>
  <si>
    <t>Reading, Berkshire : Ithaca Press, c1995.</t>
  </si>
  <si>
    <t>International politics of the Middle East series ; 3</t>
  </si>
  <si>
    <t>1996-05-30</t>
  </si>
  <si>
    <t>836928762:eng</t>
  </si>
  <si>
    <t>34481785</t>
  </si>
  <si>
    <t>991002631199702656</t>
  </si>
  <si>
    <t>2265173410002656</t>
  </si>
  <si>
    <t>9780863721984</t>
  </si>
  <si>
    <t>32285002185410</t>
  </si>
  <si>
    <t>893698039</t>
  </si>
  <si>
    <t>DS39 .M53 1999</t>
  </si>
  <si>
    <t>0                      DS 0039000M  53          1999</t>
  </si>
  <si>
    <t>Middle East dilemma : the politics and economics of Arab integration / Michael C. Hudson, editor.</t>
  </si>
  <si>
    <t>New York : Columbia University Press, c1999.</t>
  </si>
  <si>
    <t>2009-03-16</t>
  </si>
  <si>
    <t>837066002:eng</t>
  </si>
  <si>
    <t>39069455</t>
  </si>
  <si>
    <t>991002937149702656</t>
  </si>
  <si>
    <t>2259773640002656</t>
  </si>
  <si>
    <t>9780231111386</t>
  </si>
  <si>
    <t>32285003633137</t>
  </si>
  <si>
    <t>893805237</t>
  </si>
  <si>
    <t>DS39.2.A2 K48</t>
  </si>
  <si>
    <t>0                      DS 0039200A  2                  K  48</t>
  </si>
  <si>
    <t>Arab contemporaries : the role of personalities in politics.</t>
  </si>
  <si>
    <t>Baltimore : Johns Hopkins University Press, [1973]</t>
  </si>
  <si>
    <t>1999-04-09</t>
  </si>
  <si>
    <t>1991-12-09</t>
  </si>
  <si>
    <t>131698934:eng</t>
  </si>
  <si>
    <t>516321</t>
  </si>
  <si>
    <t>991002899919702656</t>
  </si>
  <si>
    <t>2256533270002656</t>
  </si>
  <si>
    <t>9780801814532</t>
  </si>
  <si>
    <t>32285000849751</t>
  </si>
  <si>
    <t>893591933</t>
  </si>
  <si>
    <t>DS392.F43 P35 2009</t>
  </si>
  <si>
    <t>0                      DS 0392000F  43                 P  35          2009</t>
  </si>
  <si>
    <t>Pakistan's troubled frontier / edited by Hassan Abbas.</t>
  </si>
  <si>
    <t>Washington, DC : Jamestown Foundation, 2009.</t>
  </si>
  <si>
    <t>2010-12-16</t>
  </si>
  <si>
    <t>255984542:eng</t>
  </si>
  <si>
    <t>368050663</t>
  </si>
  <si>
    <t>991000386999702656</t>
  </si>
  <si>
    <t>2267129980002656</t>
  </si>
  <si>
    <t>9780981690520</t>
  </si>
  <si>
    <t>32285005651574</t>
  </si>
  <si>
    <t>893339497</t>
  </si>
  <si>
    <t>DS392.S58 A57 1992</t>
  </si>
  <si>
    <t>0                      DS 0392000S  58                 A  57          1992</t>
  </si>
  <si>
    <t>Sufi saints and state power : the pirs of Sind, 1843-1947 / Sarah F.D. Ansari.</t>
  </si>
  <si>
    <t>Ansari, Sarah F. D.</t>
  </si>
  <si>
    <t>Cambridge [England] ; New York : Cambridge University Press, 1992.</t>
  </si>
  <si>
    <t>Cambridge South Asian studies ; 50</t>
  </si>
  <si>
    <t>2001-09-24</t>
  </si>
  <si>
    <t>1992-04-22</t>
  </si>
  <si>
    <t>836864223:eng</t>
  </si>
  <si>
    <t>23694258</t>
  </si>
  <si>
    <t>991001879179702656</t>
  </si>
  <si>
    <t>2260801360002656</t>
  </si>
  <si>
    <t>9780521405300</t>
  </si>
  <si>
    <t>32285001037018</t>
  </si>
  <si>
    <t>893529302</t>
  </si>
  <si>
    <t>DS406 .M44</t>
  </si>
  <si>
    <t>0                      DS 0406000M  44</t>
  </si>
  <si>
    <t>Coming to India and to Delhi : the gateway to modern India for foreign scholars / [by] P. R. Mehendiratta. [Editor: Ashok Kumar Butani.</t>
  </si>
  <si>
    <t>Mehendiratta, Pradeep R., 1933-</t>
  </si>
  <si>
    <t>New Delhi : Promilla, [1972]</t>
  </si>
  <si>
    <t>2000-01-30</t>
  </si>
  <si>
    <t>1994-03-01</t>
  </si>
  <si>
    <t>308892986:eng</t>
  </si>
  <si>
    <t>627076</t>
  </si>
  <si>
    <t>991003072899702656</t>
  </si>
  <si>
    <t>2257766930002656</t>
  </si>
  <si>
    <t>32285001851061</t>
  </si>
  <si>
    <t>893874398</t>
  </si>
  <si>
    <t>DS407 .F55 1983</t>
  </si>
  <si>
    <t>0                      DS 0407000F  55          1983</t>
  </si>
  <si>
    <t>Gandhi's children / Trevor Fishlock.</t>
  </si>
  <si>
    <t>Fishlock, Trevor, 1941-</t>
  </si>
  <si>
    <t>New York : Universe Books, c1983.</t>
  </si>
  <si>
    <t>42995233:eng</t>
  </si>
  <si>
    <t>9555744</t>
  </si>
  <si>
    <t>991000212649702656</t>
  </si>
  <si>
    <t>2268107640002656</t>
  </si>
  <si>
    <t>9780876634363</t>
  </si>
  <si>
    <t>32285000210418</t>
  </si>
  <si>
    <t>893708211</t>
  </si>
  <si>
    <t>DS407 .N26</t>
  </si>
  <si>
    <t>0                      DS 0407000N  26</t>
  </si>
  <si>
    <t>India : a wounded civilization / V. S. Naipaul.</t>
  </si>
  <si>
    <t>Naipaul, V. S. (Vidiadhar Surajprasad), 1932-2018.</t>
  </si>
  <si>
    <t>New York : Knopf, 1977.</t>
  </si>
  <si>
    <t>2009-04-05</t>
  </si>
  <si>
    <t>1994-03-16</t>
  </si>
  <si>
    <t>3943310594:eng</t>
  </si>
  <si>
    <t>3002613</t>
  </si>
  <si>
    <t>991004313889702656</t>
  </si>
  <si>
    <t>2272161350002656</t>
  </si>
  <si>
    <t>9780394402918</t>
  </si>
  <si>
    <t>32285001853885</t>
  </si>
  <si>
    <t>893532250</t>
  </si>
  <si>
    <t>DS407 .R38</t>
  </si>
  <si>
    <t>0                      DS 0407000R  38</t>
  </si>
  <si>
    <t>India : a short cultural history.</t>
  </si>
  <si>
    <t>New York : F. A. Praeger, [1952]</t>
  </si>
  <si>
    <t>The Cresset historical series</t>
  </si>
  <si>
    <t>1992-05-11</t>
  </si>
  <si>
    <t>1348832:eng</t>
  </si>
  <si>
    <t>710636</t>
  </si>
  <si>
    <t>991003175299702656</t>
  </si>
  <si>
    <t>2262492140002656</t>
  </si>
  <si>
    <t>32285001116747</t>
  </si>
  <si>
    <t>893409985</t>
  </si>
  <si>
    <t>DS413 .F58</t>
  </si>
  <si>
    <t>0                      DS 0413000F  58</t>
  </si>
  <si>
    <t>India of the princes / by Rosita Forbes.</t>
  </si>
  <si>
    <t>Forbes, Rosita.</t>
  </si>
  <si>
    <t>London : The Book Club, 1939.</t>
  </si>
  <si>
    <t>1939</t>
  </si>
  <si>
    <t>2005-02-01</t>
  </si>
  <si>
    <t>2318622:eng</t>
  </si>
  <si>
    <t>5268059</t>
  </si>
  <si>
    <t>991004809799702656</t>
  </si>
  <si>
    <t>2258342870002656</t>
  </si>
  <si>
    <t>32285002456308</t>
  </si>
  <si>
    <t>893411979</t>
  </si>
  <si>
    <t>DS414 .C36513 1987</t>
  </si>
  <si>
    <t>0                      DS 0414000C  36513       1987</t>
  </si>
  <si>
    <t>Henri Cartier-Bresson in India / Henri Cartier-Bresson ; foreword by Satyajit Ray ; introduction by Yves Véquaud.</t>
  </si>
  <si>
    <t>Cartier-Bresson, Henri, 1908-2004.</t>
  </si>
  <si>
    <t>New York, N.Y. : Thames and Hudson, 1987.</t>
  </si>
  <si>
    <t>2004-04-28</t>
  </si>
  <si>
    <t>1990-05-23</t>
  </si>
  <si>
    <t>2999341460:eng</t>
  </si>
  <si>
    <t>17155033</t>
  </si>
  <si>
    <t>991001182179702656</t>
  </si>
  <si>
    <t>2259257410002656</t>
  </si>
  <si>
    <t>9780500541241</t>
  </si>
  <si>
    <t>32285000137892</t>
  </si>
  <si>
    <t>893334137</t>
  </si>
  <si>
    <t>DS414 .E96</t>
  </si>
  <si>
    <t>0                      DS 0414000E  96</t>
  </si>
  <si>
    <t>An Exploration of India : geographical perspectives on society and culture / edited by David E. Sopher.</t>
  </si>
  <si>
    <t>Ithaca, N.Y. : Cornell University Press, 1980.</t>
  </si>
  <si>
    <t>2003-09-03</t>
  </si>
  <si>
    <t>889884199:eng</t>
  </si>
  <si>
    <t>5170922</t>
  </si>
  <si>
    <t>991004790309702656</t>
  </si>
  <si>
    <t>2259300070002656</t>
  </si>
  <si>
    <t>9780801412585</t>
  </si>
  <si>
    <t>32285000336239</t>
  </si>
  <si>
    <t>893325790</t>
  </si>
  <si>
    <t>DS414 .M52 1985</t>
  </si>
  <si>
    <t>0                      DS 0414000M  52          1985</t>
  </si>
  <si>
    <t>India of one thousand and one nights / Roland and Sabrina Michaud ; [translated from the French by Mary Feeney].</t>
  </si>
  <si>
    <t>Michaud, Roland.</t>
  </si>
  <si>
    <t>Boston : Little, Brown, 1985.</t>
  </si>
  <si>
    <t>1st United States ed.</t>
  </si>
  <si>
    <t>4390265034:eng</t>
  </si>
  <si>
    <t>13042639</t>
  </si>
  <si>
    <t>991000772849702656</t>
  </si>
  <si>
    <t>2269346790002656</t>
  </si>
  <si>
    <t>9780821216095</t>
  </si>
  <si>
    <t>32285000336247</t>
  </si>
  <si>
    <t>893771951</t>
  </si>
  <si>
    <t>DS414.2 .B54 1992</t>
  </si>
  <si>
    <t>0                      DS 0414200B  54          1992</t>
  </si>
  <si>
    <t>Arrow of the Blue-skinned God : retracing the Ramayana through India / Jonah Blank.</t>
  </si>
  <si>
    <t>Blank, Jonah.</t>
  </si>
  <si>
    <t>Boston : Houghton Mifflin, 1992.</t>
  </si>
  <si>
    <t>1992-10-08</t>
  </si>
  <si>
    <t>50664:eng</t>
  </si>
  <si>
    <t>25789074</t>
  </si>
  <si>
    <t>991002027619702656</t>
  </si>
  <si>
    <t>2254886660002656</t>
  </si>
  <si>
    <t>9780395562673</t>
  </si>
  <si>
    <t>32285001316354</t>
  </si>
  <si>
    <t>893773136</t>
  </si>
  <si>
    <t>DS414.2 .M44 1997</t>
  </si>
  <si>
    <t>0                      DS 0414200M  44          1997</t>
  </si>
  <si>
    <t>Snakes and ladders : glimpses of India / Gita Mehta.</t>
  </si>
  <si>
    <t>Mehta, Gita.</t>
  </si>
  <si>
    <t>New York : N.A. Talese, 1997.</t>
  </si>
  <si>
    <t>1999-09-05</t>
  </si>
  <si>
    <t>1997-07-17</t>
  </si>
  <si>
    <t>2542065657:eng</t>
  </si>
  <si>
    <t>35911261</t>
  </si>
  <si>
    <t>991002736049702656</t>
  </si>
  <si>
    <t>2262500290002656</t>
  </si>
  <si>
    <t>9780385474955</t>
  </si>
  <si>
    <t>32285002882933</t>
  </si>
  <si>
    <t>893341779</t>
  </si>
  <si>
    <t>DS414.2 .M87 2001</t>
  </si>
  <si>
    <t>0                      DS 0414200M  87          2001</t>
  </si>
  <si>
    <t>Two wheels in the dust : from Kathmandu to Kandy / Anne Mustoe.</t>
  </si>
  <si>
    <t>Mustoe, Anne.</t>
  </si>
  <si>
    <t>London : Virgin, 2001.</t>
  </si>
  <si>
    <t>2009-12-03</t>
  </si>
  <si>
    <t>836999212:eng</t>
  </si>
  <si>
    <t>45580437</t>
  </si>
  <si>
    <t>991003684389702656</t>
  </si>
  <si>
    <t>2264738490002656</t>
  </si>
  <si>
    <t>9781852279264</t>
  </si>
  <si>
    <t>32285004451018</t>
  </si>
  <si>
    <t>893893988</t>
  </si>
  <si>
    <t>DS414.2 .N35 1991</t>
  </si>
  <si>
    <t>0                      DS 0414200N  35          1991</t>
  </si>
  <si>
    <t>India : a million mutinies now / V.S. Naipaul.</t>
  </si>
  <si>
    <t>New York, N.Y., U.S.A. : Viking, 1991.</t>
  </si>
  <si>
    <t>1992-06-12</t>
  </si>
  <si>
    <t>24032620:eng</t>
  </si>
  <si>
    <t>22310756</t>
  </si>
  <si>
    <t>991001767019702656</t>
  </si>
  <si>
    <t>2265721020002656</t>
  </si>
  <si>
    <t>9780670837021</t>
  </si>
  <si>
    <t>32285001128700</t>
  </si>
  <si>
    <t>893866461</t>
  </si>
  <si>
    <t>DS414.2 .T46 1985</t>
  </si>
  <si>
    <t>0                      DS 0414200T  46          1985</t>
  </si>
  <si>
    <t>The imperial way / Paul Theroux and Steve McCurry.</t>
  </si>
  <si>
    <t>Theroux, Paul.</t>
  </si>
  <si>
    <t>Boston : Houghton Mifflin, 1985.</t>
  </si>
  <si>
    <t>2004-10-27</t>
  </si>
  <si>
    <t>3901037688:eng</t>
  </si>
  <si>
    <t>12133644</t>
  </si>
  <si>
    <t>991000646139702656</t>
  </si>
  <si>
    <t>2263198620002656</t>
  </si>
  <si>
    <t>9780395393901</t>
  </si>
  <si>
    <t>32285000336270</t>
  </si>
  <si>
    <t>893321220</t>
  </si>
  <si>
    <t>DS414.2 .W45 1997</t>
  </si>
  <si>
    <t>0                      DS 0414200W  45          1997</t>
  </si>
  <si>
    <t>Days and nights on the Grand Trunk Road / Anthony Weller.</t>
  </si>
  <si>
    <t>Weller, Anthony, 1957-</t>
  </si>
  <si>
    <t>New York : Marlowe, c1997.</t>
  </si>
  <si>
    <t>2009-06-11</t>
  </si>
  <si>
    <t>1997-11-24</t>
  </si>
  <si>
    <t>1151830989:eng</t>
  </si>
  <si>
    <t>37044064</t>
  </si>
  <si>
    <t>991002819929702656</t>
  </si>
  <si>
    <t>2255300760002656</t>
  </si>
  <si>
    <t>9781569247518</t>
  </si>
  <si>
    <t>32285003272936</t>
  </si>
  <si>
    <t>893257758</t>
  </si>
  <si>
    <t>DS418 .A46</t>
  </si>
  <si>
    <t>0                      DS 0418000A  46</t>
  </si>
  <si>
    <t>Archaeological remains, monuments &amp; museums.</t>
  </si>
  <si>
    <t>Archæological Survey of India.</t>
  </si>
  <si>
    <t>2000-03-22</t>
  </si>
  <si>
    <t>1992-01-22</t>
  </si>
  <si>
    <t>2643463826:eng</t>
  </si>
  <si>
    <t>932208</t>
  </si>
  <si>
    <t>991003393819702656</t>
  </si>
  <si>
    <t>2272359810002656</t>
  </si>
  <si>
    <t>32285000898113</t>
  </si>
  <si>
    <t>893531153</t>
  </si>
  <si>
    <t>DS418 .F24 1975</t>
  </si>
  <si>
    <t>0                      DS 0418000F  24          1975</t>
  </si>
  <si>
    <t>The roots of ancient India / Walter A. Fairservis, Jr.</t>
  </si>
  <si>
    <t>Fairservis, Walter Ashlin, 1921-1994.</t>
  </si>
  <si>
    <t>Chicago : University of Chicago Press, 1975.</t>
  </si>
  <si>
    <t>2d ed., rev.</t>
  </si>
  <si>
    <t>2004-02-04</t>
  </si>
  <si>
    <t>5608978548:eng</t>
  </si>
  <si>
    <t>1256128</t>
  </si>
  <si>
    <t>991003652389702656</t>
  </si>
  <si>
    <t>2258198000002656</t>
  </si>
  <si>
    <t>9780226234298</t>
  </si>
  <si>
    <t>32285000898121</t>
  </si>
  <si>
    <t>893598804</t>
  </si>
  <si>
    <t>DS418 .F35 1995</t>
  </si>
  <si>
    <t>0                      DS 0418000F  35          1995</t>
  </si>
  <si>
    <t>In search of the cradle of civilization : new light on ancient India / Georg Feuerstein, Subhash Kak, and David Frawley.</t>
  </si>
  <si>
    <t>Feuerstein, Georg.</t>
  </si>
  <si>
    <t>Wheaton, IL : Quest Books, 1995.</t>
  </si>
  <si>
    <t>1st Quest ed.</t>
  </si>
  <si>
    <t>2008-06-27</t>
  </si>
  <si>
    <t>1077061:eng</t>
  </si>
  <si>
    <t>32051035</t>
  </si>
  <si>
    <t>991002459649702656</t>
  </si>
  <si>
    <t>2270273570002656</t>
  </si>
  <si>
    <t>9780835607209</t>
  </si>
  <si>
    <t>32285003661260</t>
  </si>
  <si>
    <t>893316837</t>
  </si>
  <si>
    <t>DS42.4 .N6 1963</t>
  </si>
  <si>
    <t>0                      DS 0042400N  6           1963</t>
  </si>
  <si>
    <t>The modern Middle East.</t>
  </si>
  <si>
    <t>Nolte, Richard H. editor.</t>
  </si>
  <si>
    <t>New York, Atherton Press, 1963.</t>
  </si>
  <si>
    <t>The American Association for Middle East Studies series</t>
  </si>
  <si>
    <t>1997-10-30</t>
  </si>
  <si>
    <t>1439180:eng</t>
  </si>
  <si>
    <t>407425</t>
  </si>
  <si>
    <t>991002706959702656</t>
  </si>
  <si>
    <t>2261749540002656</t>
  </si>
  <si>
    <t>32285002468568</t>
  </si>
  <si>
    <t>893530352</t>
  </si>
  <si>
    <t>DS42.5 .A55</t>
  </si>
  <si>
    <t>0                      DS 0042500A  55</t>
  </si>
  <si>
    <t>History, archaeology, and Christian humanism.</t>
  </si>
  <si>
    <t>New York McGraw-Hill [1964]</t>
  </si>
  <si>
    <t>2010-03-31</t>
  </si>
  <si>
    <t>3857980360:eng</t>
  </si>
  <si>
    <t>397592</t>
  </si>
  <si>
    <t>991002678209702656</t>
  </si>
  <si>
    <t>2261692820002656</t>
  </si>
  <si>
    <t>32285002468576</t>
  </si>
  <si>
    <t>893698104</t>
  </si>
  <si>
    <t>DS421 .G34</t>
  </si>
  <si>
    <t>0                      DS 0421000G  34</t>
  </si>
  <si>
    <t>The legacy of India, edited by G. T. Garratt; with an introduction by the Marquess of Zetland.</t>
  </si>
  <si>
    <t>Garratt, G. T. (Geoffrey Theodore), 1888-1942, editor.</t>
  </si>
  <si>
    <t>Oxford, The Clarendon Press, 1937.</t>
  </si>
  <si>
    <t>1937</t>
  </si>
  <si>
    <t>1998-04-21</t>
  </si>
  <si>
    <t>2542043222:eng</t>
  </si>
  <si>
    <t>411364</t>
  </si>
  <si>
    <t>991002716269702656</t>
  </si>
  <si>
    <t>2265053070002656</t>
  </si>
  <si>
    <t>32285002456365</t>
  </si>
  <si>
    <t>893880305</t>
  </si>
  <si>
    <t>DS421 .J6 1996</t>
  </si>
  <si>
    <t>0                      DS 0421000J  6           1996</t>
  </si>
  <si>
    <t>Cultural atlas of India : India, Pakistan, Nepal, Bhutan, Bangladesh &amp; Sri Lanka / Gordon Johnson.</t>
  </si>
  <si>
    <t>Johnson, Gordon, 1943-</t>
  </si>
  <si>
    <t>New York, NY : Facts on File, 1996.</t>
  </si>
  <si>
    <t>2009-02-15</t>
  </si>
  <si>
    <t>2008-06-12</t>
  </si>
  <si>
    <t>10678586077:eng</t>
  </si>
  <si>
    <t>31078912</t>
  </si>
  <si>
    <t>991005234759702656</t>
  </si>
  <si>
    <t>2270931440002656</t>
  </si>
  <si>
    <t>9780816030132</t>
  </si>
  <si>
    <t>32285005445159</t>
  </si>
  <si>
    <t>893431098</t>
  </si>
  <si>
    <t>DS421 .M4 1969</t>
  </si>
  <si>
    <t>0                      DS 0421000M  4           1969</t>
  </si>
  <si>
    <t>Mother India.</t>
  </si>
  <si>
    <t>Mayo, Katherine, 1868?-1940.</t>
  </si>
  <si>
    <t>New York : Greenwood Press, [1969, c1927]</t>
  </si>
  <si>
    <t>2002-11-08</t>
  </si>
  <si>
    <t>1993-05-18</t>
  </si>
  <si>
    <t>1233042:eng</t>
  </si>
  <si>
    <t>66931</t>
  </si>
  <si>
    <t>991000216359702656</t>
  </si>
  <si>
    <t>2258660620002656</t>
  </si>
  <si>
    <t>9780837123097</t>
  </si>
  <si>
    <t>32285001658573</t>
  </si>
  <si>
    <t>893419302</t>
  </si>
  <si>
    <t>DS421 .S47 1971</t>
  </si>
  <si>
    <t>0                      DS 0421000S  47          1971</t>
  </si>
  <si>
    <t>Voiceless India / [by] Gertrude Emerson (Gertrude Sen)</t>
  </si>
  <si>
    <t>Sen, Gertrude Emerson, -1982.</t>
  </si>
  <si>
    <t>Westport, Conn. : Greenwood Press, [1971]</t>
  </si>
  <si>
    <t>1993-09-28</t>
  </si>
  <si>
    <t>1993-04-26</t>
  </si>
  <si>
    <t>1261447:eng</t>
  </si>
  <si>
    <t>159551</t>
  </si>
  <si>
    <t>991000910439702656</t>
  </si>
  <si>
    <t>2259023400002656</t>
  </si>
  <si>
    <t>9780837144818</t>
  </si>
  <si>
    <t>32285001624302</t>
  </si>
  <si>
    <t>893589856</t>
  </si>
  <si>
    <t>DS421 .W73 1971</t>
  </si>
  <si>
    <t>0                      DS 0421000W  73          1971</t>
  </si>
  <si>
    <t>Behind mud walls, 1930-1960 / by William H. Wiser and Charlotte Viall Wiser. With a foreword by David G. Mandelbaum.</t>
  </si>
  <si>
    <t>Wiser, Charlotte Viall.</t>
  </si>
  <si>
    <t>Berkeley : University of California Press, 1971.</t>
  </si>
  <si>
    <t>2003-11-02</t>
  </si>
  <si>
    <t>1461036:eng</t>
  </si>
  <si>
    <t>495552</t>
  </si>
  <si>
    <t>991002865759702656</t>
  </si>
  <si>
    <t>2256710120002656</t>
  </si>
  <si>
    <t>9780520020931</t>
  </si>
  <si>
    <t>32285000336288</t>
  </si>
  <si>
    <t>893530572</t>
  </si>
  <si>
    <t>DS422.C3 A83</t>
  </si>
  <si>
    <t>0                      DS 0422000C  3                  A  83</t>
  </si>
  <si>
    <t>The changing frontiers of caste / foreword by S. C. Dube.</t>
  </si>
  <si>
    <t>Atal, Yogesh.</t>
  </si>
  <si>
    <t>Delhi : National [Pub. House, 1968]</t>
  </si>
  <si>
    <t>2000-10-12</t>
  </si>
  <si>
    <t>1274936:eng</t>
  </si>
  <si>
    <t>84336</t>
  </si>
  <si>
    <t>991000512939702656</t>
  </si>
  <si>
    <t>2271154310002656</t>
  </si>
  <si>
    <t>32285000879287</t>
  </si>
  <si>
    <t>893884457</t>
  </si>
  <si>
    <t>DS422.C3 B4</t>
  </si>
  <si>
    <t>0                      DS 0422000C  3                  B  4</t>
  </si>
  <si>
    <t>Caste, class, and power : changing patterns of stratification in a Tanjore village.</t>
  </si>
  <si>
    <t>Béteille, André.</t>
  </si>
  <si>
    <t>Berkeley : University of California Press, 1965.</t>
  </si>
  <si>
    <t>2002-09-08</t>
  </si>
  <si>
    <t>1090458675:eng</t>
  </si>
  <si>
    <t>411150</t>
  </si>
  <si>
    <t>991002715429702656</t>
  </si>
  <si>
    <t>2265123270002656</t>
  </si>
  <si>
    <t>32285000410109</t>
  </si>
  <si>
    <t>893886614</t>
  </si>
  <si>
    <t>DS422.C3 B6513 1971</t>
  </si>
  <si>
    <t>0                      DS 0422000C  3                  B  6513        1971</t>
  </si>
  <si>
    <t>Essays on the caste system / translated with an introd. by D. F. Pocock.</t>
  </si>
  <si>
    <t>Bouglé, Célestin Charles Alfred, 1870-1940.</t>
  </si>
  <si>
    <t>European understanding of India</t>
  </si>
  <si>
    <t>2005-10-18</t>
  </si>
  <si>
    <t>4776456173:eng</t>
  </si>
  <si>
    <t>160094</t>
  </si>
  <si>
    <t>991000913539702656</t>
  </si>
  <si>
    <t>2267332170002656</t>
  </si>
  <si>
    <t>9780521080934</t>
  </si>
  <si>
    <t>32285000879279</t>
  </si>
  <si>
    <t>893315347</t>
  </si>
  <si>
    <t>DS422.C3 D3613 1999</t>
  </si>
  <si>
    <t>0                      DS 0422000C  3                  D  3613        1999</t>
  </si>
  <si>
    <t>The untouchables of India / Robert Deliège ; translated from the French by Nora Scott.</t>
  </si>
  <si>
    <t>Deliège, Robert.</t>
  </si>
  <si>
    <t>Oxford ; New York : Berg, 1999.</t>
  </si>
  <si>
    <t>2000-07-31</t>
  </si>
  <si>
    <t>6359769:eng</t>
  </si>
  <si>
    <t>59388903</t>
  </si>
  <si>
    <t>991003225049702656</t>
  </si>
  <si>
    <t>2268266970002656</t>
  </si>
  <si>
    <t>9781859732090</t>
  </si>
  <si>
    <t>32285003743753</t>
  </si>
  <si>
    <t>893893495</t>
  </si>
  <si>
    <t>DS422.C3 F73</t>
  </si>
  <si>
    <t>0                      DS 0422000C  3                  F  73</t>
  </si>
  <si>
    <t>Untouchable : an Indian life history / James M. Freeman.</t>
  </si>
  <si>
    <t>Freeman, James M., 1936-</t>
  </si>
  <si>
    <t>Stanford, Calif. : Stanford University Press, 1979.</t>
  </si>
  <si>
    <t>2005-09-17</t>
  </si>
  <si>
    <t>836716508:eng</t>
  </si>
  <si>
    <t>4913024</t>
  </si>
  <si>
    <t>991004746699702656</t>
  </si>
  <si>
    <t>2271340410002656</t>
  </si>
  <si>
    <t>9780804710015</t>
  </si>
  <si>
    <t>32285000131861</t>
  </si>
  <si>
    <t>893229780</t>
  </si>
  <si>
    <t>DS422.C3 H8 1963</t>
  </si>
  <si>
    <t>0                      DS 0422000C  3                  H  8           1963</t>
  </si>
  <si>
    <t>Caste in India : its nature, function and origins / [by] J.H. Hutton.</t>
  </si>
  <si>
    <t>Hutton, J. H. (John Henry), 1885-1968.</t>
  </si>
  <si>
    <t>London ; Bombay : Oxford University Press, 1963.</t>
  </si>
  <si>
    <t>1992-01-28</t>
  </si>
  <si>
    <t>1354884:eng</t>
  </si>
  <si>
    <t>231169</t>
  </si>
  <si>
    <t>991001445759702656</t>
  </si>
  <si>
    <t>2270729470002656</t>
  </si>
  <si>
    <t>32285000919703</t>
  </si>
  <si>
    <t>893315786</t>
  </si>
  <si>
    <t>DS422.C3 J325 2003</t>
  </si>
  <si>
    <t>0                      DS 0422000C  3                  J  325         2003</t>
  </si>
  <si>
    <t>India's silent revolution : the rise of the low castes in North Indian politics / Christophe Jaffrelot.</t>
  </si>
  <si>
    <t>Jaffrelot, Christophe.</t>
  </si>
  <si>
    <t>Delhi : Permanent Black, 2003.</t>
  </si>
  <si>
    <t>2005-05-09</t>
  </si>
  <si>
    <t>24776078:eng</t>
  </si>
  <si>
    <t>54811943</t>
  </si>
  <si>
    <t>991004543499702656</t>
  </si>
  <si>
    <t>2262452830002656</t>
  </si>
  <si>
    <t>9788178240503</t>
  </si>
  <si>
    <t>32285005035943</t>
  </si>
  <si>
    <t>893506976</t>
  </si>
  <si>
    <t>DS422.C3 J83</t>
  </si>
  <si>
    <t>0                      DS 0422000C  3                  J  83</t>
  </si>
  <si>
    <t>Religion as social vision : the movement against untouchability in 20th century Punjab / Mark Juergensmeyer.</t>
  </si>
  <si>
    <t>Juergensmeyer, Mark.</t>
  </si>
  <si>
    <t>Berkeley, CA : University of California Press, c1982.</t>
  </si>
  <si>
    <t>836664360:eng</t>
  </si>
  <si>
    <t>6816028</t>
  </si>
  <si>
    <t>991005044659702656</t>
  </si>
  <si>
    <t>2258499790002656</t>
  </si>
  <si>
    <t>9780520043015</t>
  </si>
  <si>
    <t>32285000165737</t>
  </si>
  <si>
    <t>893430753</t>
  </si>
  <si>
    <t>DS422.C3 K64 1985</t>
  </si>
  <si>
    <t>0                      DS 0422000C  3                  K  64          1985</t>
  </si>
  <si>
    <t>Caste in contemporary India : beyond organic solidarity / Pauline Kolenda.</t>
  </si>
  <si>
    <t>Kolenda, Pauline.</t>
  </si>
  <si>
    <t>Prospect Heights, Ill. : Waveland Press, Inc., 1985.</t>
  </si>
  <si>
    <t>5544559:eng</t>
  </si>
  <si>
    <t>13015613</t>
  </si>
  <si>
    <t>991000771469702656</t>
  </si>
  <si>
    <t>2263946170002656</t>
  </si>
  <si>
    <t>9780881331837</t>
  </si>
  <si>
    <t>32285000336296</t>
  </si>
  <si>
    <t>893778220</t>
  </si>
  <si>
    <t>DS422.C3 M3</t>
  </si>
  <si>
    <t>0                      DS 0422000C  3                  M  3</t>
  </si>
  <si>
    <t>Caste and kinship in central India.</t>
  </si>
  <si>
    <t>Mayer, Adrian C.</t>
  </si>
  <si>
    <t>Berkeley : University of California Press, [c1960]</t>
  </si>
  <si>
    <t>2002-02-06</t>
  </si>
  <si>
    <t>881361:eng</t>
  </si>
  <si>
    <t>411100</t>
  </si>
  <si>
    <t>991002715319702656</t>
  </si>
  <si>
    <t>2265030560002656</t>
  </si>
  <si>
    <t>32285000879261</t>
  </si>
  <si>
    <t>893440431</t>
  </si>
  <si>
    <t>DS422.C3 U57</t>
  </si>
  <si>
    <t>0                      DS 0422000C  3                  U  57</t>
  </si>
  <si>
    <t>The Untouchables in contemporary India / J. Michael Mahar, editor. Contributors: S. Chandrasekhar [and others]</t>
  </si>
  <si>
    <t>Tucson : University of Arizona Press, [1972]</t>
  </si>
  <si>
    <t>azu</t>
  </si>
  <si>
    <t>365539443:eng</t>
  </si>
  <si>
    <t>279277</t>
  </si>
  <si>
    <t>991002183009702656</t>
  </si>
  <si>
    <t>2261739510002656</t>
  </si>
  <si>
    <t>9780816502073</t>
  </si>
  <si>
    <t>32285000763721</t>
  </si>
  <si>
    <t>893414917</t>
  </si>
  <si>
    <t>DS422.C3 V49613 1997</t>
  </si>
  <si>
    <t>0                      DS 0422000C  3                  V  49613       1997</t>
  </si>
  <si>
    <t>Viramma, life of an untouchable / Viramma, Josiane Racine and Jean-Luc Racine ; translated by Will Hobson.</t>
  </si>
  <si>
    <t>Viramma.</t>
  </si>
  <si>
    <t>London ; New York : Verso ; Paris : UNESCO Pub., 1997.</t>
  </si>
  <si>
    <t>1998-10-08</t>
  </si>
  <si>
    <t>695644:eng</t>
  </si>
  <si>
    <t>37935089</t>
  </si>
  <si>
    <t>991002878409702656</t>
  </si>
  <si>
    <t>2266222820002656</t>
  </si>
  <si>
    <t>9781859841488</t>
  </si>
  <si>
    <t>32285003473781</t>
  </si>
  <si>
    <t>893428155</t>
  </si>
  <si>
    <t>DS422.C64 A85 1995</t>
  </si>
  <si>
    <t>0                      DS 0422000C  64                 A  85          1995</t>
  </si>
  <si>
    <t>Democracy and violence in India and Sri Lanka / Dennis Austin.</t>
  </si>
  <si>
    <t>Austin, Dennis, 1922-</t>
  </si>
  <si>
    <t>New York, NY : Published in North America for the Royal Institute of International Affairs [by the] Council on Foreign Relations Press, 1995.</t>
  </si>
  <si>
    <t>2007-01-31</t>
  </si>
  <si>
    <t>1995-03-28</t>
  </si>
  <si>
    <t>33351557:eng</t>
  </si>
  <si>
    <t>31607610</t>
  </si>
  <si>
    <t>991002425739702656</t>
  </si>
  <si>
    <t>2264794550002656</t>
  </si>
  <si>
    <t>9780876091746</t>
  </si>
  <si>
    <t>32285002007564</t>
  </si>
  <si>
    <t>893798573</t>
  </si>
  <si>
    <t>DS423 .C716 1989</t>
  </si>
  <si>
    <t>0                      DS 0423000C  716         1989</t>
  </si>
  <si>
    <t>What is civilisation? : and other essays / Ananda K. Coomaraswamy ; foreword by Seyyed Hossein Nasr.</t>
  </si>
  <si>
    <t>Coomaraswamy, Ananda K. (Ananda Kentish), 1877-1947.</t>
  </si>
  <si>
    <t>New Delhi : Indira Gandhi National Centre for the Arts ; Delhi : Oxford University Press, c1989.</t>
  </si>
  <si>
    <t>1991-10-31</t>
  </si>
  <si>
    <t>23106580:eng</t>
  </si>
  <si>
    <t>23613394</t>
  </si>
  <si>
    <t>991001871399702656</t>
  </si>
  <si>
    <t>2270226250002656</t>
  </si>
  <si>
    <t>9780195623734</t>
  </si>
  <si>
    <t>32285000728682</t>
  </si>
  <si>
    <t>893497500</t>
  </si>
  <si>
    <t>DS423 .C84</t>
  </si>
  <si>
    <t>0                      DS 0423000C  84</t>
  </si>
  <si>
    <t>The Cultural heritage of India.</t>
  </si>
  <si>
    <t>Calcutta : The Ramakrishna Mission Institute of Culture, [1958-</t>
  </si>
  <si>
    <t>2nd ed., rev. and enl.</t>
  </si>
  <si>
    <t>2002-09-30</t>
  </si>
  <si>
    <t>1994-02-03</t>
  </si>
  <si>
    <t>5534206486:eng</t>
  </si>
  <si>
    <t>4789863</t>
  </si>
  <si>
    <t>991004718979702656</t>
  </si>
  <si>
    <t>2255674510002656</t>
  </si>
  <si>
    <t>32285001836823</t>
  </si>
  <si>
    <t>893424117</t>
  </si>
  <si>
    <t>1997-12-03</t>
  </si>
  <si>
    <t>32285001837144</t>
  </si>
  <si>
    <t>893411871</t>
  </si>
  <si>
    <t>32285001837151</t>
  </si>
  <si>
    <t>893411870</t>
  </si>
  <si>
    <t>32285001837169</t>
  </si>
  <si>
    <t>893436663</t>
  </si>
  <si>
    <t>DS423 .I496 1990</t>
  </si>
  <si>
    <t>0                      DS 0423000I  496         1990</t>
  </si>
  <si>
    <t>India through Hindu categories / edited by McKim Marriott.</t>
  </si>
  <si>
    <t>New Delhi ; Newbury Park, Calif. : Sage Publications, 1990.</t>
  </si>
  <si>
    <t>Contributions to Indian sociology. Occasional studies ; 5</t>
  </si>
  <si>
    <t>2000-10-26</t>
  </si>
  <si>
    <t>368252079:eng</t>
  </si>
  <si>
    <t>21907375</t>
  </si>
  <si>
    <t>991001728619702656</t>
  </si>
  <si>
    <t>2272380820002656</t>
  </si>
  <si>
    <t>9788170361763</t>
  </si>
  <si>
    <t>32285003312518</t>
  </si>
  <si>
    <t>893522782</t>
  </si>
  <si>
    <t>DS423 .N37</t>
  </si>
  <si>
    <t>0                      DS 0423000N  37</t>
  </si>
  <si>
    <t>The elephant and the lotus; essays in philosophy and culture [by] V. S. Naravane. With a foreward by A. L. Basham.</t>
  </si>
  <si>
    <t>Naravane, Vishwanath S.</t>
  </si>
  <si>
    <t>Bombay, Asia Pub. House [1965]</t>
  </si>
  <si>
    <t>1999-10-02</t>
  </si>
  <si>
    <t>1456890:eng</t>
  </si>
  <si>
    <t>411154</t>
  </si>
  <si>
    <t>991002715459702656</t>
  </si>
  <si>
    <t>2265123310002656</t>
  </si>
  <si>
    <t>32285002272788</t>
  </si>
  <si>
    <t>893329438</t>
  </si>
  <si>
    <t>DS423 .W45</t>
  </si>
  <si>
    <t>0                      DS 0423000W  45</t>
  </si>
  <si>
    <t>The history of India, by J. Talboys Wheeler.</t>
  </si>
  <si>
    <t>V.2 PT.1</t>
  </si>
  <si>
    <t>Wheeler, James Talboys, 1824-1897.</t>
  </si>
  <si>
    <t>Delhi, Cosmo Publications, 1973-</t>
  </si>
  <si>
    <t>Studies in Indian history, 4-5, 7-</t>
  </si>
  <si>
    <t>2009-09-03</t>
  </si>
  <si>
    <t>2999527603:eng</t>
  </si>
  <si>
    <t>738270</t>
  </si>
  <si>
    <t>991003211839702656</t>
  </si>
  <si>
    <t>2255534840002656</t>
  </si>
  <si>
    <t>32285002456456</t>
  </si>
  <si>
    <t>893422288</t>
  </si>
  <si>
    <t>V.2 PT.2</t>
  </si>
  <si>
    <t>32285002456464</t>
  </si>
  <si>
    <t>893422287</t>
  </si>
  <si>
    <t>32285002456449</t>
  </si>
  <si>
    <t>893422289</t>
  </si>
  <si>
    <t>DS423.B33 C8</t>
  </si>
  <si>
    <t>0                      DS 0423000B  33                 C  8</t>
  </si>
  <si>
    <t>The culture of India / by Tara Ali Baig.</t>
  </si>
  <si>
    <t>Baig, Tara Ali.</t>
  </si>
  <si>
    <t>Quezon City : University of the Philippines, 1955.</t>
  </si>
  <si>
    <t xml:space="preserve">ph </t>
  </si>
  <si>
    <t>2001-03-14</t>
  </si>
  <si>
    <t>3037469:eng</t>
  </si>
  <si>
    <t>10070793</t>
  </si>
  <si>
    <t>991000306259702656</t>
  </si>
  <si>
    <t>2264445660002656</t>
  </si>
  <si>
    <t>32285002456415</t>
  </si>
  <si>
    <t>893689603</t>
  </si>
  <si>
    <t>DS425 .A66 1982</t>
  </si>
  <si>
    <t>0                      DS 0425000A  66          1982</t>
  </si>
  <si>
    <t>The rise of civilization in India and Pakistan / Bridget and Raymond Allchin.</t>
  </si>
  <si>
    <t>Allchin, Bridget.</t>
  </si>
  <si>
    <t>Cambridge ; New York : Cambridge University Press, 1982.</t>
  </si>
  <si>
    <t>505705:eng</t>
  </si>
  <si>
    <t>8193940</t>
  </si>
  <si>
    <t>991005393799702656</t>
  </si>
  <si>
    <t>2266766720002656</t>
  </si>
  <si>
    <t>9780521242448</t>
  </si>
  <si>
    <t>32285000336338</t>
  </si>
  <si>
    <t>893326693</t>
  </si>
  <si>
    <t>DS425 .A953 1965</t>
  </si>
  <si>
    <t>0                      DS 0425000A  953         1965</t>
  </si>
  <si>
    <t>Daily life in ancient India : from approximately 200 B.C. to 700 A.D. / translated from the French by Simon Watson Taylor.</t>
  </si>
  <si>
    <t>Auboyer, Jeannine.</t>
  </si>
  <si>
    <t>New York : Macmillan, 1965.</t>
  </si>
  <si>
    <t>[1st American ed.]</t>
  </si>
  <si>
    <t>Daily life series</t>
  </si>
  <si>
    <t>2009-08-30</t>
  </si>
  <si>
    <t>1993-03-26</t>
  </si>
  <si>
    <t>9494196:eng</t>
  </si>
  <si>
    <t>1509398</t>
  </si>
  <si>
    <t>991003790699702656</t>
  </si>
  <si>
    <t>2255716750002656</t>
  </si>
  <si>
    <t>32285001591774</t>
  </si>
  <si>
    <t>893617773</t>
  </si>
  <si>
    <t>DS425 .B33 1959</t>
  </si>
  <si>
    <t>0                      DS 0425000B  33          1959</t>
  </si>
  <si>
    <t>The wonder that was India : a survey of the culture of the Indian sub-continent before the coming of the Muslims.</t>
  </si>
  <si>
    <t>Basham, A. L. (Arthur Llewellyn)</t>
  </si>
  <si>
    <t>New York : Grove Press, [1959]</t>
  </si>
  <si>
    <t>Evergreen encyclopedia ; v. 1 (E-145)</t>
  </si>
  <si>
    <t>1993-07-23</t>
  </si>
  <si>
    <t>1314469:eng</t>
  </si>
  <si>
    <t>445761</t>
  </si>
  <si>
    <t>991005355479702656</t>
  </si>
  <si>
    <t>2263042960002656</t>
  </si>
  <si>
    <t>32285001724995</t>
  </si>
  <si>
    <t>893230570</t>
  </si>
  <si>
    <t>DS425 .B7</t>
  </si>
  <si>
    <t>0                      DS 0425000B  7</t>
  </si>
  <si>
    <t>Man in the universe; some continuities in Indian thought [by] W. Norman Brown.</t>
  </si>
  <si>
    <t>Brown, W. Norman (William Norman), 1892-1975.</t>
  </si>
  <si>
    <t>Berkeley, University of California Press, 1966.</t>
  </si>
  <si>
    <t>The Rabindranath Tagore memorial lectures, 4th ser., 1965</t>
  </si>
  <si>
    <t>2001-04-01</t>
  </si>
  <si>
    <t>198799540:eng</t>
  </si>
  <si>
    <t>370820</t>
  </si>
  <si>
    <t>991002554159702656</t>
  </si>
  <si>
    <t>2259864030002656</t>
  </si>
  <si>
    <t>32285002456480</t>
  </si>
  <si>
    <t>893352388</t>
  </si>
  <si>
    <t>DS425 .C55</t>
  </si>
  <si>
    <t>0                      DS 0425000C  55</t>
  </si>
  <si>
    <t>Traditional India, edited by O. L. Chavarria-Aguilar.</t>
  </si>
  <si>
    <t>Chavarría-Aguilar, Oscar Luis, editor.</t>
  </si>
  <si>
    <t>Englewood Cliffs, N.J., Prentice-Hall [1964]</t>
  </si>
  <si>
    <t>A Spectrum book.</t>
  </si>
  <si>
    <t>2002-04-13</t>
  </si>
  <si>
    <t>1520016:eng</t>
  </si>
  <si>
    <t>426380</t>
  </si>
  <si>
    <t>991002755699702656</t>
  </si>
  <si>
    <t>2265322590002656</t>
  </si>
  <si>
    <t>32285002456498</t>
  </si>
  <si>
    <t>893616534</t>
  </si>
  <si>
    <t>DS425 .D82 1972</t>
  </si>
  <si>
    <t>0                      DS 0425000D  82          1972</t>
  </si>
  <si>
    <t>A history of civilisation in ancient India, based on Sanscrit literature.</t>
  </si>
  <si>
    <t>Dutt, Romesh Chunder, 1848-1909.</t>
  </si>
  <si>
    <t>Delhi, Vishal Publishers [1972]</t>
  </si>
  <si>
    <t>10252838689:eng</t>
  </si>
  <si>
    <t>533262</t>
  </si>
  <si>
    <t>991002936049702656</t>
  </si>
  <si>
    <t>2264378150002656</t>
  </si>
  <si>
    <t>32285002456506</t>
  </si>
  <si>
    <t>893780416</t>
  </si>
  <si>
    <t>32285002456514</t>
  </si>
  <si>
    <t>893805231</t>
  </si>
  <si>
    <t>DS425 .K57</t>
  </si>
  <si>
    <t>0                      DS 0425000K  57</t>
  </si>
  <si>
    <t>Ancient India : a history of its culture and civilization / by D. D. Kosambi.</t>
  </si>
  <si>
    <t>Kosambi, D. D. (Damodar Dharmanand), 1907-1966.</t>
  </si>
  <si>
    <t>New York : Pantheon Books, [1966, c1965]</t>
  </si>
  <si>
    <t>1994-12-20</t>
  </si>
  <si>
    <t>3943364972:eng</t>
  </si>
  <si>
    <t>2083327</t>
  </si>
  <si>
    <t>991004005469702656</t>
  </si>
  <si>
    <t>2257639280002656</t>
  </si>
  <si>
    <t>32285001984953</t>
  </si>
  <si>
    <t>893888214</t>
  </si>
  <si>
    <t>DS425 .M95 1899</t>
  </si>
  <si>
    <t>0                      DS 0425000M  95          1899</t>
  </si>
  <si>
    <t>India : what can it teach us? : A course of lectures delivered before the University of Cambridge / by F. Max Müller.</t>
  </si>
  <si>
    <t>Müller, F. Max (Friedrich Max), 1823-1900.</t>
  </si>
  <si>
    <t>London : Longmans, Green, 1899.</t>
  </si>
  <si>
    <t>1899</t>
  </si>
  <si>
    <t>Collected works of the Right Hon. F. Max Müller, 8</t>
  </si>
  <si>
    <t>1996-05-10</t>
  </si>
  <si>
    <t>10596202811:eng</t>
  </si>
  <si>
    <t>6079428</t>
  </si>
  <si>
    <t>991004924569702656</t>
  </si>
  <si>
    <t>2269850780002656</t>
  </si>
  <si>
    <t>32285002166774</t>
  </si>
  <si>
    <t>893895636</t>
  </si>
  <si>
    <t>DS427 .I42</t>
  </si>
  <si>
    <t>0                      DS 0427000I  42</t>
  </si>
  <si>
    <t>Muslim civilization in India / by S. M. Ikram. Edited by Ainslie T. Embree.</t>
  </si>
  <si>
    <t>Ikram, S. M. (Sheikh Mohamad), 1908-1973.</t>
  </si>
  <si>
    <t>New York : Columbia University Press, 1964.</t>
  </si>
  <si>
    <t>1447066:eng</t>
  </si>
  <si>
    <t>409401</t>
  </si>
  <si>
    <t>991002711419702656</t>
  </si>
  <si>
    <t>2262366090002656</t>
  </si>
  <si>
    <t>32285001032928</t>
  </si>
  <si>
    <t>893341754</t>
  </si>
  <si>
    <t>DS428 .K5 1973</t>
  </si>
  <si>
    <t>0                      DS 0428000K  5           1973</t>
  </si>
  <si>
    <t>British social life in India, 1608-1937. With an introd. by James Lunt; illustrated by Frank Wilson.</t>
  </si>
  <si>
    <t>Kincaid, Dennis, 1905-1937.</t>
  </si>
  <si>
    <t>London, Boston, Routledge &amp; K. Paul [1973]</t>
  </si>
  <si>
    <t>[2d ed.]</t>
  </si>
  <si>
    <t>1295436:eng</t>
  </si>
  <si>
    <t>646370</t>
  </si>
  <si>
    <t>991003096799702656</t>
  </si>
  <si>
    <t>2260196960002656</t>
  </si>
  <si>
    <t>9780710072849</t>
  </si>
  <si>
    <t>32285002456530</t>
  </si>
  <si>
    <t>893868103</t>
  </si>
  <si>
    <t>DS428.2 .B73 1985</t>
  </si>
  <si>
    <t>0                      DS 0428200B  73          1985</t>
  </si>
  <si>
    <t>India, labyrinths in the lotus land / Sasthi Brata.</t>
  </si>
  <si>
    <t>Brata, Sasthi.</t>
  </si>
  <si>
    <t>New York : Morrow, c1985.</t>
  </si>
  <si>
    <t>2002-04-30</t>
  </si>
  <si>
    <t>1989-11-29</t>
  </si>
  <si>
    <t>4815302:eng</t>
  </si>
  <si>
    <t>12104363</t>
  </si>
  <si>
    <t>991000641269702656</t>
  </si>
  <si>
    <t>2260127160002656</t>
  </si>
  <si>
    <t>9780688047801</t>
  </si>
  <si>
    <t>32285000016013</t>
  </si>
  <si>
    <t>893589630</t>
  </si>
  <si>
    <t>DS428.2 .T46 2007</t>
  </si>
  <si>
    <t>0                      DS 0428200T  46          2007</t>
  </si>
  <si>
    <t>The elephant, the tiger, and the cell phone : reflections on India, the emerging 21st-century power / Shashi Tharoor.</t>
  </si>
  <si>
    <t>Tharoor, Shashi, 1956-</t>
  </si>
  <si>
    <t>New York : Arcade Pub. : Distributed by Hachette Book Group USA, c2007.</t>
  </si>
  <si>
    <t>2010-10-01</t>
  </si>
  <si>
    <t>890534334:eng</t>
  </si>
  <si>
    <t>137331516</t>
  </si>
  <si>
    <t>991005138139702656</t>
  </si>
  <si>
    <t>2260957810002656</t>
  </si>
  <si>
    <t>9781559708616</t>
  </si>
  <si>
    <t>32285005367973</t>
  </si>
  <si>
    <t>893412377</t>
  </si>
  <si>
    <t>DS428.2 .T47 1997</t>
  </si>
  <si>
    <t>0                      DS 0428200T  47          1997</t>
  </si>
  <si>
    <t>India : from midnight to the millennium / Shashi Tharoor.</t>
  </si>
  <si>
    <t>New York : Arcade Pub. : Distributed by Little, Brown and Co., c1997.</t>
  </si>
  <si>
    <t>1997-11-21</t>
  </si>
  <si>
    <t>1997-11-04</t>
  </si>
  <si>
    <t>27174171:eng</t>
  </si>
  <si>
    <t>36640655</t>
  </si>
  <si>
    <t>991002789099702656</t>
  </si>
  <si>
    <t>2269969970002656</t>
  </si>
  <si>
    <t>9781559703840</t>
  </si>
  <si>
    <t>32285003275129</t>
  </si>
  <si>
    <t>893511194</t>
  </si>
  <si>
    <t>DS43 .H57 1996</t>
  </si>
  <si>
    <t>0                      DS 0043000H  57          1996</t>
  </si>
  <si>
    <t>Dictionary of the Middle East / Dilip Hiro.</t>
  </si>
  <si>
    <t>Hiro, Dilip.</t>
  </si>
  <si>
    <t>New York : St. Martin's Press, 1996.</t>
  </si>
  <si>
    <t>1997-01-13</t>
  </si>
  <si>
    <t>609543:eng</t>
  </si>
  <si>
    <t>34076807</t>
  </si>
  <si>
    <t>991002741599702656</t>
  </si>
  <si>
    <t>2269714460002656</t>
  </si>
  <si>
    <t>9780312125547</t>
  </si>
  <si>
    <t>32285002406212</t>
  </si>
  <si>
    <t>893504765</t>
  </si>
  <si>
    <t>DS430 .S28</t>
  </si>
  <si>
    <t>0                      DS 0430000S  28</t>
  </si>
  <si>
    <t>Ethnic plurality in India / R. A. Schermerhorn.</t>
  </si>
  <si>
    <t>Schermerhorn, R. A. (Richard Alonzo), 1903-</t>
  </si>
  <si>
    <t>Tucson : University of Arizona Press, c1978.</t>
  </si>
  <si>
    <t>1999-04-25</t>
  </si>
  <si>
    <t>479900:eng</t>
  </si>
  <si>
    <t>3071472</t>
  </si>
  <si>
    <t>991004333969702656</t>
  </si>
  <si>
    <t>2267799800002656</t>
  </si>
  <si>
    <t>9780816506125</t>
  </si>
  <si>
    <t>32285001837045</t>
  </si>
  <si>
    <t>893513103</t>
  </si>
  <si>
    <t>DS432.J25 L9</t>
  </si>
  <si>
    <t>0                      DS 0432000J  25                 L  9</t>
  </si>
  <si>
    <t>The politics of untouchability : social mobility and social change in a city of India / [by] Owen M. Lynch.</t>
  </si>
  <si>
    <t>Lynch, Owen M., 1931-2013.</t>
  </si>
  <si>
    <t>New York : Columbia University Press, 1969.</t>
  </si>
  <si>
    <t>1993-02-17</t>
  </si>
  <si>
    <t>233324867:eng</t>
  </si>
  <si>
    <t>31520</t>
  </si>
  <si>
    <t>991000080979702656</t>
  </si>
  <si>
    <t>2261154420002656</t>
  </si>
  <si>
    <t>32285001502854</t>
  </si>
  <si>
    <t>893514971</t>
  </si>
  <si>
    <t>DS432.M65 D34</t>
  </si>
  <si>
    <t>0                      DS 0432000M  65                 D  34</t>
  </si>
  <si>
    <t>Islamic society on the South Asian frontier : the Māppilas of Malabar, 1498-1922 / by Stephen Frederic Dale.</t>
  </si>
  <si>
    <t>Dale, Stephen Frederic.</t>
  </si>
  <si>
    <t>Oxford : Clarendon Press ; New York : Oxford University Press, 1980.</t>
  </si>
  <si>
    <t>287788645:eng</t>
  </si>
  <si>
    <t>6194476</t>
  </si>
  <si>
    <t>991004941529702656</t>
  </si>
  <si>
    <t>2262711640002656</t>
  </si>
  <si>
    <t>9780198215714</t>
  </si>
  <si>
    <t>32285000336353</t>
  </si>
  <si>
    <t>893707026</t>
  </si>
  <si>
    <t>DS432.M84 L35 1990</t>
  </si>
  <si>
    <t>0                      DS 0432000M  84                 L  35          1990</t>
  </si>
  <si>
    <t>Indian Muslims : who are they / K.S. Lal.</t>
  </si>
  <si>
    <t>Lal, Kishori Saran, 1920-</t>
  </si>
  <si>
    <t>New Delhi : Voice of India, 1990.</t>
  </si>
  <si>
    <t>1995-12-01</t>
  </si>
  <si>
    <t>367534063:eng</t>
  </si>
  <si>
    <t>24232178</t>
  </si>
  <si>
    <t>991001919689702656</t>
  </si>
  <si>
    <t>2260736140002656</t>
  </si>
  <si>
    <t>9788185990101</t>
  </si>
  <si>
    <t>32285002107703</t>
  </si>
  <si>
    <t>893626866</t>
  </si>
  <si>
    <t>DS432.M84 M88 2004</t>
  </si>
  <si>
    <t>0                      DS 0432000M  84                 M  88          2004</t>
  </si>
  <si>
    <t>The Muslims of India : a documentary record / edited by A.G. Noorani.</t>
  </si>
  <si>
    <t>New Delhi ; Oxford ; New York : Oxford University Press, 2004.</t>
  </si>
  <si>
    <t>Oxford India paperbacks</t>
  </si>
  <si>
    <t>2006-09-21</t>
  </si>
  <si>
    <t>795466060:eng</t>
  </si>
  <si>
    <t>55904214</t>
  </si>
  <si>
    <t>991004921939702656</t>
  </si>
  <si>
    <t>2270411010002656</t>
  </si>
  <si>
    <t>9780195670561</t>
  </si>
  <si>
    <t>32285005224539</t>
  </si>
  <si>
    <t>893344405</t>
  </si>
  <si>
    <t>DS432.P3 L85 1996</t>
  </si>
  <si>
    <t>0                      DS 0432000P  3                  L  85          1996</t>
  </si>
  <si>
    <t>The good Parsi : the fate of a colonial elite in a postcolonial society / T.M. Luhrmann.</t>
  </si>
  <si>
    <t>Luhrmann, T. M. (Tanya M.), 1959-</t>
  </si>
  <si>
    <t>Cambridge, Mass. : Harvard University Press, 1996.</t>
  </si>
  <si>
    <t>1997-01-02</t>
  </si>
  <si>
    <t>2680431:eng</t>
  </si>
  <si>
    <t>33947591</t>
  </si>
  <si>
    <t>991002589839702656</t>
  </si>
  <si>
    <t>2261979970002656</t>
  </si>
  <si>
    <t>9780674356757</t>
  </si>
  <si>
    <t>32285002404514</t>
  </si>
  <si>
    <t>893434052</t>
  </si>
  <si>
    <t>DS432.S5 M25</t>
  </si>
  <si>
    <t>0                      DS 0432000S  5                  M  25</t>
  </si>
  <si>
    <t>The evolution of the Sikh community : five essays / W. H. McLeod.</t>
  </si>
  <si>
    <t>McLeod, W. H.</t>
  </si>
  <si>
    <t>Oxford : Clarendon Press, 1976.</t>
  </si>
  <si>
    <t>2010-11-09</t>
  </si>
  <si>
    <t>416176:eng</t>
  </si>
  <si>
    <t>2140005</t>
  </si>
  <si>
    <t>991004027349702656</t>
  </si>
  <si>
    <t>2258746240002656</t>
  </si>
  <si>
    <t>9780198265290</t>
  </si>
  <si>
    <t>32285002456555</t>
  </si>
  <si>
    <t>893881963</t>
  </si>
  <si>
    <t>DS436 .G7 1965</t>
  </si>
  <si>
    <t>0                      DS 0436000G  7           1965</t>
  </si>
  <si>
    <t>Modern India / by Sir Percival Griffiths.</t>
  </si>
  <si>
    <t>Griffiths, Percival, Sir, 1899-1992.</t>
  </si>
  <si>
    <t>New York : F. A. Praeger, [1965]</t>
  </si>
  <si>
    <t>Nations of the modern world</t>
  </si>
  <si>
    <t>1993-04-07</t>
  </si>
  <si>
    <t>1454660:eng</t>
  </si>
  <si>
    <t>410685</t>
  </si>
  <si>
    <t>991002713629702656</t>
  </si>
  <si>
    <t>2262579790002656</t>
  </si>
  <si>
    <t>32285000919695</t>
  </si>
  <si>
    <t>893523962</t>
  </si>
  <si>
    <t>DS436 .N3</t>
  </si>
  <si>
    <t>0                      DS 0436000N  3</t>
  </si>
  <si>
    <t>India : a short introductory history.</t>
  </si>
  <si>
    <t>Naidis, Mark.</t>
  </si>
  <si>
    <t>New York : Macmillan, [1966]</t>
  </si>
  <si>
    <t>1996-02-26</t>
  </si>
  <si>
    <t>1456736:eng</t>
  </si>
  <si>
    <t>411116</t>
  </si>
  <si>
    <t>991002715349702656</t>
  </si>
  <si>
    <t>2265045930002656</t>
  </si>
  <si>
    <t>32285001894954</t>
  </si>
  <si>
    <t>893798917</t>
  </si>
  <si>
    <t>DS436 .S68 1972</t>
  </si>
  <si>
    <t>0                      DS 0436000S  68          1972</t>
  </si>
  <si>
    <t>India : a modern history / by Percival Spear.</t>
  </si>
  <si>
    <t>Spear, Percival, 1901-1982.</t>
  </si>
  <si>
    <t>Ann Arbor : University of Michigan Press, [1972]</t>
  </si>
  <si>
    <t>New ed., rev. and enl.</t>
  </si>
  <si>
    <t>University of Michigan history of the modern world</t>
  </si>
  <si>
    <t>2007-04-02</t>
  </si>
  <si>
    <t>1455114:eng</t>
  </si>
  <si>
    <t>1164714</t>
  </si>
  <si>
    <t>991003583539702656</t>
  </si>
  <si>
    <t>2262920410002656</t>
  </si>
  <si>
    <t>9780472071401</t>
  </si>
  <si>
    <t>32285000802651</t>
  </si>
  <si>
    <t>893705386</t>
  </si>
  <si>
    <t>DS44 .B59 2003</t>
  </si>
  <si>
    <t>0                      DS 0044000B  59          2003</t>
  </si>
  <si>
    <t>The empire of the Raj : India, Eastern Africa and the Middle East, 1858-1947 / Robert J. Blyth.</t>
  </si>
  <si>
    <t>Blyth, Robert J., 1971-</t>
  </si>
  <si>
    <t>Houndmills, Basingstoke, Hampshire ; New York : Palgrave Macmillan, 2003.</t>
  </si>
  <si>
    <t>Cambridge imperial and post-colonial studies series</t>
  </si>
  <si>
    <t>2004-05-18</t>
  </si>
  <si>
    <t>2004-05-04</t>
  </si>
  <si>
    <t>792929728:eng</t>
  </si>
  <si>
    <t>50476828</t>
  </si>
  <si>
    <t>991004264619702656</t>
  </si>
  <si>
    <t>2255490630002656</t>
  </si>
  <si>
    <t>9780333914755</t>
  </si>
  <si>
    <t>32285004903422</t>
  </si>
  <si>
    <t>893506644</t>
  </si>
  <si>
    <t>DS44 .C73 2002</t>
  </si>
  <si>
    <t>0                      DS 0044000C  73          2002</t>
  </si>
  <si>
    <t>Cradle &amp; crucible : history and faith in the Middle East / introduction by Daniel Schorr ; with David Fromkin ... [et al.].</t>
  </si>
  <si>
    <t>Washington, D.C. : National Geographic, c2002.</t>
  </si>
  <si>
    <t>2003-01-29</t>
  </si>
  <si>
    <t>837998547:eng</t>
  </si>
  <si>
    <t>50476900</t>
  </si>
  <si>
    <t>991003968299702656</t>
  </si>
  <si>
    <t>2255550060002656</t>
  </si>
  <si>
    <t>9780792269151</t>
  </si>
  <si>
    <t>32285004696091</t>
  </si>
  <si>
    <t>893337194</t>
  </si>
  <si>
    <t>DS44 .F63</t>
  </si>
  <si>
    <t>0                      DS 0044000F  63</t>
  </si>
  <si>
    <t>Focus on the Middle East. Edited by Alice Taylor.</t>
  </si>
  <si>
    <t>New York, Praeger Publishers [1971]</t>
  </si>
  <si>
    <t>Focus series</t>
  </si>
  <si>
    <t>366186857:eng</t>
  </si>
  <si>
    <t>217381</t>
  </si>
  <si>
    <t>991001288579702656</t>
  </si>
  <si>
    <t>2259489790002656</t>
  </si>
  <si>
    <t>32285002468626</t>
  </si>
  <si>
    <t>893250133</t>
  </si>
  <si>
    <t>DS44 .K43 2003</t>
  </si>
  <si>
    <t>0                      DS 0044000K  43          2003</t>
  </si>
  <si>
    <t>Sowing the wind : the seeds of conflict in the Middle East / John Keay.</t>
  </si>
  <si>
    <t>Keay, John.</t>
  </si>
  <si>
    <t>New York : Norton, 2003.</t>
  </si>
  <si>
    <t>2006-08-09</t>
  </si>
  <si>
    <t>2003-12-11</t>
  </si>
  <si>
    <t>690433:eng</t>
  </si>
  <si>
    <t>52334902</t>
  </si>
  <si>
    <t>991004175889702656</t>
  </si>
  <si>
    <t>2256673240002656</t>
  </si>
  <si>
    <t>9780393058499</t>
  </si>
  <si>
    <t>32285004845896</t>
  </si>
  <si>
    <t>893325028</t>
  </si>
  <si>
    <t>DS44 .L56 1963a</t>
  </si>
  <si>
    <t>0                      DS 0044000L  56          1963a</t>
  </si>
  <si>
    <t>The Middle East: a social geography.</t>
  </si>
  <si>
    <t>Longrigg, Stephen Hemsley.</t>
  </si>
  <si>
    <t>Chicago, Aldine Pub. Co. [1964, c1963]</t>
  </si>
  <si>
    <t>2009-02-16</t>
  </si>
  <si>
    <t>1248008:eng</t>
  </si>
  <si>
    <t>15132199</t>
  </si>
  <si>
    <t>991000994569702656</t>
  </si>
  <si>
    <t>2255150650002656</t>
  </si>
  <si>
    <t>32285002468634</t>
  </si>
  <si>
    <t>893327776</t>
  </si>
  <si>
    <t>DS44 .M5 1973</t>
  </si>
  <si>
    <t>0                      DS 0044000M  5           1973</t>
  </si>
  <si>
    <t>The Middle East; a political and economic survey.</t>
  </si>
  <si>
    <t>London, New York, Oxford University Press, 1973.</t>
  </si>
  <si>
    <t>4th ed., edited by Peter Mansfield.</t>
  </si>
  <si>
    <t>348825519:eng</t>
  </si>
  <si>
    <t>624466</t>
  </si>
  <si>
    <t>991003070259702656</t>
  </si>
  <si>
    <t>2258640700002656</t>
  </si>
  <si>
    <t>9780192159335</t>
  </si>
  <si>
    <t>32285002468642</t>
  </si>
  <si>
    <t>893323733</t>
  </si>
  <si>
    <t>DS44 .M65 1957</t>
  </si>
  <si>
    <t>0                      DS 0044000M  65          1957</t>
  </si>
  <si>
    <t>Islam inflamed : a Middle East picture / by James Morris.</t>
  </si>
  <si>
    <t>Morris, Jan, 1926-</t>
  </si>
  <si>
    <t>[New York] : Pantheon Books, c1957</t>
  </si>
  <si>
    <t>797014942:eng</t>
  </si>
  <si>
    <t>396966</t>
  </si>
  <si>
    <t>991002675909702656</t>
  </si>
  <si>
    <t>2261211210002656</t>
  </si>
  <si>
    <t>32285000291657</t>
  </si>
  <si>
    <t>893610130</t>
  </si>
  <si>
    <t>DS44 .P65 1998</t>
  </si>
  <si>
    <t>0                      DS 0044000P  65          1998</t>
  </si>
  <si>
    <t>Political cartoons in the Middle East / Fatma M*ge G*cek, ed.</t>
  </si>
  <si>
    <t>Princeton, N.J. : Markus Wiener Publishers, 1998.</t>
  </si>
  <si>
    <t>2001-05-10</t>
  </si>
  <si>
    <t>2001-05-01</t>
  </si>
  <si>
    <t>669260:eng</t>
  </si>
  <si>
    <t>37379893</t>
  </si>
  <si>
    <t>991003510279702656</t>
  </si>
  <si>
    <t>2262970450002656</t>
  </si>
  <si>
    <t>9781558761568</t>
  </si>
  <si>
    <t>32285004315445</t>
  </si>
  <si>
    <t>893611119</t>
  </si>
  <si>
    <t>DS44 .R67 2003</t>
  </si>
  <si>
    <t>0                      DS 0044000R  67          2003</t>
  </si>
  <si>
    <t>Nation-building : a Middle East recovery program / Jerry M. Rosenberg.</t>
  </si>
  <si>
    <t>Rosenberg, Jerry Martin.</t>
  </si>
  <si>
    <t>Lanham, Md. : University Press of America, c2003.</t>
  </si>
  <si>
    <t>2010-09-13</t>
  </si>
  <si>
    <t>755070:eng</t>
  </si>
  <si>
    <t>52539957</t>
  </si>
  <si>
    <t>991004149509702656</t>
  </si>
  <si>
    <t>2266279460002656</t>
  </si>
  <si>
    <t>9780761825739</t>
  </si>
  <si>
    <t>32285004791553</t>
  </si>
  <si>
    <t>893800648</t>
  </si>
  <si>
    <t>DS447 .C7 1968</t>
  </si>
  <si>
    <t>0                      DS 0447000C  7           1968</t>
  </si>
  <si>
    <t>The development of self-government in India, 1858-1914.</t>
  </si>
  <si>
    <t>Cross, Cecil Merne Putnam.</t>
  </si>
  <si>
    <t>New York : Greenwood Press, [1968, c1922]</t>
  </si>
  <si>
    <t>1126030:eng</t>
  </si>
  <si>
    <t>2835</t>
  </si>
  <si>
    <t>991005435129702656</t>
  </si>
  <si>
    <t>2262890440002656</t>
  </si>
  <si>
    <t>32285000919661</t>
  </si>
  <si>
    <t>893242746</t>
  </si>
  <si>
    <t>DS447 .K3</t>
  </si>
  <si>
    <t>0                      DS 0447000K  3</t>
  </si>
  <si>
    <t>Continuity and change in Indian politics; a study of the political philosophy of the Indian national movement, 1885-1921 [by] K. P. Karunakaran.</t>
  </si>
  <si>
    <t>Karunakaran, Kotta P., 1925-</t>
  </si>
  <si>
    <t>[New Delhi] People's Pub. House [1964]</t>
  </si>
  <si>
    <t>1207534:eng</t>
  </si>
  <si>
    <t>3877783</t>
  </si>
  <si>
    <t>991004537909702656</t>
  </si>
  <si>
    <t>2272322450002656</t>
  </si>
  <si>
    <t>32285002456738</t>
  </si>
  <si>
    <t>893343957</t>
  </si>
  <si>
    <t>DS448 .B75</t>
  </si>
  <si>
    <t>0                      DS 0448000B  75</t>
  </si>
  <si>
    <t>Mainsprings of Indian and Pakistani foreign policies / S. M. Burke.</t>
  </si>
  <si>
    <t>Burke, S. M.</t>
  </si>
  <si>
    <t>Minneapolis : University of Minnesota Press, [1974]</t>
  </si>
  <si>
    <t>2007-04-23</t>
  </si>
  <si>
    <t>1992-04-07</t>
  </si>
  <si>
    <t>2040272:eng</t>
  </si>
  <si>
    <t>1078251</t>
  </si>
  <si>
    <t>991003518949702656</t>
  </si>
  <si>
    <t>2258694150002656</t>
  </si>
  <si>
    <t>9780816607204</t>
  </si>
  <si>
    <t>32285001055119</t>
  </si>
  <si>
    <t>893240290</t>
  </si>
  <si>
    <t>DS448 .N354 2003</t>
  </si>
  <si>
    <t>0                      DS 0448000N  354         2003</t>
  </si>
  <si>
    <t>India in the world order : searching for major power status / Baldev Raj Nayar, T.V. Paul.</t>
  </si>
  <si>
    <t>Nayar, Baldev Raj.</t>
  </si>
  <si>
    <t>New York : Cambridge University Press, 2003.</t>
  </si>
  <si>
    <t>Contemporary South Asia ; 9</t>
  </si>
  <si>
    <t>2003-03-06</t>
  </si>
  <si>
    <t>908596:eng</t>
  </si>
  <si>
    <t>50291202</t>
  </si>
  <si>
    <t>991004004079702656</t>
  </si>
  <si>
    <t>2270218720002656</t>
  </si>
  <si>
    <t>9780521528757</t>
  </si>
  <si>
    <t>32285004683412</t>
  </si>
  <si>
    <t>893331094</t>
  </si>
  <si>
    <t>DS448 .P38</t>
  </si>
  <si>
    <t>0                      DS 0448000P  38</t>
  </si>
  <si>
    <t>Foundations of Pakistan : All-India Muslim League documents, 1906-1947 / edited by Syed Sharifuddin Pirzada.</t>
  </si>
  <si>
    <t>Pirzada, Syed Sharifuddin, 1923-</t>
  </si>
  <si>
    <t>Karachi : National Pub. House, [1969-</t>
  </si>
  <si>
    <t>1992-03-09</t>
  </si>
  <si>
    <t>1993-08-30</t>
  </si>
  <si>
    <t>3772441858:eng</t>
  </si>
  <si>
    <t>138080</t>
  </si>
  <si>
    <t>991000798679702656</t>
  </si>
  <si>
    <t>2262362800002656</t>
  </si>
  <si>
    <t>32285000993112</t>
  </si>
  <si>
    <t>893522022</t>
  </si>
  <si>
    <t>DS448 .P38 V.2</t>
  </si>
  <si>
    <t>0                      DS 0448000P  38                                                      V.2</t>
  </si>
  <si>
    <t>32285001762680</t>
  </si>
  <si>
    <t>893502817</t>
  </si>
  <si>
    <t>DS448 .S487</t>
  </si>
  <si>
    <t>0                      DS 0448000S  487</t>
  </si>
  <si>
    <t>India, China and Pakistan.</t>
  </si>
  <si>
    <t>Sherwani, Latif Ahmed.</t>
  </si>
  <si>
    <t>Karachi : Council for Pakistan Studies, [1967]</t>
  </si>
  <si>
    <t>1992-11-10</t>
  </si>
  <si>
    <t>1539238:eng</t>
  </si>
  <si>
    <t>473339</t>
  </si>
  <si>
    <t>991002823559702656</t>
  </si>
  <si>
    <t>2255533150002656</t>
  </si>
  <si>
    <t>32285001384360</t>
  </si>
  <si>
    <t>893704571</t>
  </si>
  <si>
    <t>DS450.C5 M4 1974</t>
  </si>
  <si>
    <t>0                      DS 0450000C  5                  M  4           1974</t>
  </si>
  <si>
    <t>The McMahon Line and after: a study of the triangular contest on Indias̓ North-eastern frontier between Britain, China, and Tibet, 1904-47 / Parshotam Mehra.-</t>
  </si>
  <si>
    <t>Mehra, Parshotam.</t>
  </si>
  <si>
    <t>Columbia, Missouri : South Asia Books, 1976, c1974.</t>
  </si>
  <si>
    <t>878477726:eng</t>
  </si>
  <si>
    <t>2395655</t>
  </si>
  <si>
    <t>991004110309702656</t>
  </si>
  <si>
    <t>2271672430002656</t>
  </si>
  <si>
    <t>32285002272820</t>
  </si>
  <si>
    <t>893687377</t>
  </si>
  <si>
    <t>DS450.C5 V3</t>
  </si>
  <si>
    <t>0                      DS 0450000C  5                  V  3</t>
  </si>
  <si>
    <t>Struggle for the Himalayas; a study in Sino-Indian relations.</t>
  </si>
  <si>
    <t>Varma, S. P. (Shanti Prasad), 1910-</t>
  </si>
  <si>
    <t>Jullundur, University Publishers [1965]</t>
  </si>
  <si>
    <t>1999-10-21</t>
  </si>
  <si>
    <t>1361120:eng</t>
  </si>
  <si>
    <t>3296265</t>
  </si>
  <si>
    <t>991004400529702656</t>
  </si>
  <si>
    <t>2258624090002656</t>
  </si>
  <si>
    <t>32285002456837</t>
  </si>
  <si>
    <t>893593645</t>
  </si>
  <si>
    <t>DS450.C6 I523 2004</t>
  </si>
  <si>
    <t>0                      DS 0450000C  6                  I  523         2004</t>
  </si>
  <si>
    <t>The India-China relationship : what the United States needs to know / Francine R. Frankel and Harry Hardling, editors.</t>
  </si>
  <si>
    <t>New York : Columbia University Press, 2004.</t>
  </si>
  <si>
    <t>2006-11-28</t>
  </si>
  <si>
    <t>2004-06-14</t>
  </si>
  <si>
    <t>864066610:eng</t>
  </si>
  <si>
    <t>53223660</t>
  </si>
  <si>
    <t>991004293649702656</t>
  </si>
  <si>
    <t>2263789870002656</t>
  </si>
  <si>
    <t>9780231132367</t>
  </si>
  <si>
    <t>32285004909668</t>
  </si>
  <si>
    <t>893605848</t>
  </si>
  <si>
    <t>DS450.G7 L56</t>
  </si>
  <si>
    <t>0                      DS 0450000G  7                  L  56</t>
  </si>
  <si>
    <t>The erosion of a relationship : India and Britain since 1960 / Michael Lipton and John Firn.</t>
  </si>
  <si>
    <t>Lipton, Michael, 1937-</t>
  </si>
  <si>
    <t>London ; New York : Oxford University Press for the Royal Institute of International Affairs, 1975.</t>
  </si>
  <si>
    <t>1999-01-13</t>
  </si>
  <si>
    <t>3802702:eng</t>
  </si>
  <si>
    <t>2152502</t>
  </si>
  <si>
    <t>991004030839702656</t>
  </si>
  <si>
    <t>2258377690002656</t>
  </si>
  <si>
    <t>9780192183101</t>
  </si>
  <si>
    <t>32285002456852</t>
  </si>
  <si>
    <t>893417140</t>
  </si>
  <si>
    <t>DS450.L29 K494 1992</t>
  </si>
  <si>
    <t>0                      DS 0450000L  29                 K  494         1992</t>
  </si>
  <si>
    <t>Glimpses of Hindu America : story of India's relations with Latin America / N.M. Khilnani.</t>
  </si>
  <si>
    <t>Khilnani, N. M.</t>
  </si>
  <si>
    <t>New Delhi : Anmol Publications, c1992.</t>
  </si>
  <si>
    <t>2000-10-06</t>
  </si>
  <si>
    <t>476483133:eng</t>
  </si>
  <si>
    <t>27232571</t>
  </si>
  <si>
    <t>991002126309702656</t>
  </si>
  <si>
    <t>2259938030002656</t>
  </si>
  <si>
    <t>32285001701597</t>
  </si>
  <si>
    <t>893626967</t>
  </si>
  <si>
    <t>DS450.P18 G36 2001</t>
  </si>
  <si>
    <t>0                      DS 0450000P  18                 G  36          2001</t>
  </si>
  <si>
    <t>Conflict unending : India-Pakistan tensions since 1947 / Sumit Ganguly.</t>
  </si>
  <si>
    <t>Ganguly, Sumit.</t>
  </si>
  <si>
    <t>Washington, D.C. : Woodrow Wilson Center Press ; New York : Columbia University Press, c2001.</t>
  </si>
  <si>
    <t>837144993:eng</t>
  </si>
  <si>
    <t>49276905</t>
  </si>
  <si>
    <t>991003849829702656</t>
  </si>
  <si>
    <t>2255095370002656</t>
  </si>
  <si>
    <t>9780231123686</t>
  </si>
  <si>
    <t>32285004644554</t>
  </si>
  <si>
    <t>893605280</t>
  </si>
  <si>
    <t>DS450.P18 K89 2006</t>
  </si>
  <si>
    <t>0                      DS 0450000P  18                 K  89          2006</t>
  </si>
  <si>
    <t>India-Pakistan negotiations : is past still prologue? / Dennis Kux.</t>
  </si>
  <si>
    <t>Kux, Dennis, 1931-</t>
  </si>
  <si>
    <t>Washington, D.C. : United States Institute of Peace Press, 2006.</t>
  </si>
  <si>
    <t>2007-09-17</t>
  </si>
  <si>
    <t>368220302:eng</t>
  </si>
  <si>
    <t>62897597</t>
  </si>
  <si>
    <t>991005112709702656</t>
  </si>
  <si>
    <t>2268209670002656</t>
  </si>
  <si>
    <t>9781929223879</t>
  </si>
  <si>
    <t>32285005325401</t>
  </si>
  <si>
    <t>893876959</t>
  </si>
  <si>
    <t>DS450.P18 S28 2005</t>
  </si>
  <si>
    <t>0                      DS 0450000P  18                 S  28          2005</t>
  </si>
  <si>
    <t>Uneasy neighbors : India, Pakistan, and US foreign policy / Kanishkan Sathasivam.</t>
  </si>
  <si>
    <t>Sathasivam, Kanishkan.</t>
  </si>
  <si>
    <t>Aldershot, England ; Burlington, VT : Ashgate, c2005.</t>
  </si>
  <si>
    <t>US foreign policy and conflict in the Islamic world</t>
  </si>
  <si>
    <t>2009-01-02</t>
  </si>
  <si>
    <t>945605:eng</t>
  </si>
  <si>
    <t>57414548</t>
  </si>
  <si>
    <t>991005285439702656</t>
  </si>
  <si>
    <t>2270341810002656</t>
  </si>
  <si>
    <t>9780754637622</t>
  </si>
  <si>
    <t>32285005475156</t>
  </si>
  <si>
    <t>893533498</t>
  </si>
  <si>
    <t>DS450.T5 N67 v...</t>
  </si>
  <si>
    <t>0                      DS 0450000T  5                  N  67                                v...</t>
  </si>
  <si>
    <t>The North-eastern frontier : a documentary study of the internecine rivalry between India, Tibet, and China / Parshotam Mehra.</t>
  </si>
  <si>
    <t>Delhi : Oxford University Press, 1979-</t>
  </si>
  <si>
    <t>5342811660:eng</t>
  </si>
  <si>
    <t>6029842</t>
  </si>
  <si>
    <t>991004918159702656</t>
  </si>
  <si>
    <t>2270304860002656</t>
  </si>
  <si>
    <t>32285000336403</t>
  </si>
  <si>
    <t>893350502</t>
  </si>
  <si>
    <t>DS451 .P46 1962</t>
  </si>
  <si>
    <t>0                      DS 0451000P  46          1962</t>
  </si>
  <si>
    <t>Prehistoric India to 1000 B.C.</t>
  </si>
  <si>
    <t>Piggott, Stuart.</t>
  </si>
  <si>
    <t>London : Cassel, [1962]</t>
  </si>
  <si>
    <t>The Belle sauvage library</t>
  </si>
  <si>
    <t>1447044:eng</t>
  </si>
  <si>
    <t>409395</t>
  </si>
  <si>
    <t>991000913039702656</t>
  </si>
  <si>
    <t>2267228690002656</t>
  </si>
  <si>
    <t>32285001837037</t>
  </si>
  <si>
    <t>893614607</t>
  </si>
  <si>
    <t>DS451 .R2 1974</t>
  </si>
  <si>
    <t>0                      DS 0451000R  2           1974</t>
  </si>
  <si>
    <t>Ancient India from the earliest times to the first century A.D. / by E. J. Rapson.</t>
  </si>
  <si>
    <t>Rapson, E. J. (Edward James), 1861-1937.</t>
  </si>
  <si>
    <t>Chicago : Ares Publishers, 1974.</t>
  </si>
  <si>
    <t>1459217:eng</t>
  </si>
  <si>
    <t>1229606</t>
  </si>
  <si>
    <t>991003635079702656</t>
  </si>
  <si>
    <t>2265214910002656</t>
  </si>
  <si>
    <t>9780890050293</t>
  </si>
  <si>
    <t>32285000336411</t>
  </si>
  <si>
    <t>893410486</t>
  </si>
  <si>
    <t>DS451 .T3 1951</t>
  </si>
  <si>
    <t>0                      DS 0451000T  3           1951</t>
  </si>
  <si>
    <t>The Greeks in Bactria &amp; India.</t>
  </si>
  <si>
    <t>Tarn, W. W. (William Woodthorpe), 1869-1957.</t>
  </si>
  <si>
    <t>Cambridge, [Eng.] : University Press, c1951, 1966 printing.</t>
  </si>
  <si>
    <t>1993-06-08</t>
  </si>
  <si>
    <t>1459195:eng</t>
  </si>
  <si>
    <t>411708</t>
  </si>
  <si>
    <t>991002717609702656</t>
  </si>
  <si>
    <t>2264723000002656</t>
  </si>
  <si>
    <t>32285001719730</t>
  </si>
  <si>
    <t>893610193</t>
  </si>
  <si>
    <t>DS452 .A7</t>
  </si>
  <si>
    <t>0                      DS 0452000A  7</t>
  </si>
  <si>
    <t>An advanced history of Muslim rule in Indo-Pakistan / by Md. Arshad.</t>
  </si>
  <si>
    <t>Ashraf, M. Arshad.</t>
  </si>
  <si>
    <t>Dacca : Ideal Publications, [1967]</t>
  </si>
  <si>
    <t>1999-10-04</t>
  </si>
  <si>
    <t>308806821:eng</t>
  </si>
  <si>
    <t>930576</t>
  </si>
  <si>
    <t>991003392229702656</t>
  </si>
  <si>
    <t>2269480090002656</t>
  </si>
  <si>
    <t>32285000993104</t>
  </si>
  <si>
    <t>893604756</t>
  </si>
  <si>
    <t>DS452 .A84 2006</t>
  </si>
  <si>
    <t>0                      DS 0452000A  84          2006</t>
  </si>
  <si>
    <t>India before Europe / Catherine B. Asher and Cynthia Talbot.</t>
  </si>
  <si>
    <t>Asher, Catherine B. (Catherine Blanshard), 1946-</t>
  </si>
  <si>
    <t>New York : Cambridge University Press, 2006.</t>
  </si>
  <si>
    <t>2006-11-14</t>
  </si>
  <si>
    <t>14838821:eng</t>
  </si>
  <si>
    <t>61303480</t>
  </si>
  <si>
    <t>991004948669702656</t>
  </si>
  <si>
    <t>2254990410002656</t>
  </si>
  <si>
    <t>9780521005395</t>
  </si>
  <si>
    <t>32285005238828</t>
  </si>
  <si>
    <t>893905138</t>
  </si>
  <si>
    <t>DS452 .S7</t>
  </si>
  <si>
    <t>0                      DS 0452000S  7</t>
  </si>
  <si>
    <t>The history of India, 1000 A.D.-1707 A.D., by Ashirbadilal Srivastava.</t>
  </si>
  <si>
    <t>Srivastava, Ashirbadi Lal.</t>
  </si>
  <si>
    <t>Agra, Shiva Lal Agarwala [1964]</t>
  </si>
  <si>
    <t>1946999:eng</t>
  </si>
  <si>
    <t>981516</t>
  </si>
  <si>
    <t>991003446099702656</t>
  </si>
  <si>
    <t>2269764330002656</t>
  </si>
  <si>
    <t>32285002456910</t>
  </si>
  <si>
    <t>893692718</t>
  </si>
  <si>
    <t>DS461 .E4 1976</t>
  </si>
  <si>
    <t>0                      DS 0461000E  4           1976</t>
  </si>
  <si>
    <t>Mughal rule in India / by S. M. Edwardes and H. L. O. Garrett.</t>
  </si>
  <si>
    <t>Edwardes, S. M. (Stephen Meredyth), 1873-1927.</t>
  </si>
  <si>
    <t>New York : AMS Press, 1976.</t>
  </si>
  <si>
    <t>475250:eng</t>
  </si>
  <si>
    <t>2387788</t>
  </si>
  <si>
    <t>991004107099702656</t>
  </si>
  <si>
    <t>2258663160002656</t>
  </si>
  <si>
    <t>9780404145378</t>
  </si>
  <si>
    <t>32285001032910</t>
  </si>
  <si>
    <t>893531985</t>
  </si>
  <si>
    <t>DS461 .G3 1971</t>
  </si>
  <si>
    <t>0                      DS 0461000G  3           1971</t>
  </si>
  <si>
    <t>The great Moghuls / [by] Bamber Gascoigne. Photos. by Christina Gascoigne.</t>
  </si>
  <si>
    <t>Gascoigne, Bamber.</t>
  </si>
  <si>
    <t>New York : Harper &amp; Row, [1971]</t>
  </si>
  <si>
    <t>1289112:eng</t>
  </si>
  <si>
    <t>211883</t>
  </si>
  <si>
    <t>991001270579702656</t>
  </si>
  <si>
    <t>2263978030002656</t>
  </si>
  <si>
    <t>9780060114671</t>
  </si>
  <si>
    <t>32285001032902</t>
  </si>
  <si>
    <t>893496963</t>
  </si>
  <si>
    <t>DS461 .H33</t>
  </si>
  <si>
    <t>0                      DS 0461000H  33</t>
  </si>
  <si>
    <t>The Peacock Throne : the drama of Mogul India.</t>
  </si>
  <si>
    <t>Hansen, Waldemar.</t>
  </si>
  <si>
    <t>1999-06-17</t>
  </si>
  <si>
    <t>1993-05-04</t>
  </si>
  <si>
    <t>12672589:eng</t>
  </si>
  <si>
    <t>520949</t>
  </si>
  <si>
    <t>991002909409702656</t>
  </si>
  <si>
    <t>2268140320002656</t>
  </si>
  <si>
    <t>9780030002717</t>
  </si>
  <si>
    <t>32285001633543</t>
  </si>
  <si>
    <t>893342016</t>
  </si>
  <si>
    <t>DS461.3 .L47 1981</t>
  </si>
  <si>
    <t>0                      DS 0461300L  47          1981</t>
  </si>
  <si>
    <t>Letters from the Mughal Court : the first Jesuit mission to Akbar (1580-1583) / edited with an introduction by John Correia-Afonso.</t>
  </si>
  <si>
    <t>St. Louis : Institute of Jesuit Sources ; Anand, India : G.S. Prakash, 1981.</t>
  </si>
  <si>
    <t>Jesuit primary sources, in English translations ; no. 4</t>
  </si>
  <si>
    <t>2010-03-14</t>
  </si>
  <si>
    <t>889334073:eng</t>
  </si>
  <si>
    <t>8744280</t>
  </si>
  <si>
    <t>991000062569702656</t>
  </si>
  <si>
    <t>2260577410002656</t>
  </si>
  <si>
    <t>9780912422572</t>
  </si>
  <si>
    <t>32285000336429</t>
  </si>
  <si>
    <t>893521350</t>
  </si>
  <si>
    <t>DS461.3 .S77 1999</t>
  </si>
  <si>
    <t>0                      DS 0461300S  77          1999</t>
  </si>
  <si>
    <t>The formation of the Mughal Empire / Douglas E. Streusand.</t>
  </si>
  <si>
    <t>Streusand, Douglas E.</t>
  </si>
  <si>
    <t>Delhi ; New York : Oxford University Press, 1999.</t>
  </si>
  <si>
    <t>2004-05-03</t>
  </si>
  <si>
    <t>20162080:eng</t>
  </si>
  <si>
    <t>42414471</t>
  </si>
  <si>
    <t>991003687869702656</t>
  </si>
  <si>
    <t>2272463790002656</t>
  </si>
  <si>
    <t>9780195647884</t>
  </si>
  <si>
    <t>32285004456934</t>
  </si>
  <si>
    <t>893499579</t>
  </si>
  <si>
    <t>DS461.7 .H28</t>
  </si>
  <si>
    <t>0                      DS 0461700H  28</t>
  </si>
  <si>
    <t>The Rajput rebellion against Aurangzeb : a study of the Mughal Empire in seventeenth-century India / Robert C. Hallissey.</t>
  </si>
  <si>
    <t>Hallissey, Robert C., 1941-</t>
  </si>
  <si>
    <t>Columbia : University of Missouri Press, 1977.</t>
  </si>
  <si>
    <t>scu</t>
  </si>
  <si>
    <t>292831112:eng</t>
  </si>
  <si>
    <t>2875916</t>
  </si>
  <si>
    <t>991004270979702656</t>
  </si>
  <si>
    <t>2258111470002656</t>
  </si>
  <si>
    <t>9780826202222</t>
  </si>
  <si>
    <t>32285001633154</t>
  </si>
  <si>
    <t>893599641</t>
  </si>
  <si>
    <t>DS461.8 .G8 1961</t>
  </si>
  <si>
    <t>0                      DS 0461800G  8           1961</t>
  </si>
  <si>
    <t>Marathas and Panipat / edited by Hari Ram Gupta.</t>
  </si>
  <si>
    <t>Gupta, Hari Ram, editor.</t>
  </si>
  <si>
    <t>Chandigarh : Panjab University, 1961.</t>
  </si>
  <si>
    <t>2007-04-14</t>
  </si>
  <si>
    <t>1995-12-21</t>
  </si>
  <si>
    <t>9483122:eng</t>
  </si>
  <si>
    <t>3283470</t>
  </si>
  <si>
    <t>991004397009702656</t>
  </si>
  <si>
    <t>2257692110002656</t>
  </si>
  <si>
    <t>32285002120367</t>
  </si>
  <si>
    <t>893775973</t>
  </si>
  <si>
    <t>DS461.8.S274 F3</t>
  </si>
  <si>
    <t>0                      DS 0461800S  274                F  3</t>
  </si>
  <si>
    <t>Fall of the Mughal Empire.</t>
  </si>
  <si>
    <t>Sarkar, Jadunath, Sir, 1870-1958.</t>
  </si>
  <si>
    <t>New York, AMS Press [1972]</t>
  </si>
  <si>
    <t>2d ed., rev. and corr.</t>
  </si>
  <si>
    <t>2000-09-13</t>
  </si>
  <si>
    <t>2010-01-07</t>
  </si>
  <si>
    <t>9463317375:eng</t>
  </si>
  <si>
    <t>447217</t>
  </si>
  <si>
    <t>991002800769702656</t>
  </si>
  <si>
    <t>2268437890002656</t>
  </si>
  <si>
    <t>9780404055806</t>
  </si>
  <si>
    <t>32285002456928</t>
  </si>
  <si>
    <t>893428050</t>
  </si>
  <si>
    <t>32285002456951</t>
  </si>
  <si>
    <t>893445372</t>
  </si>
  <si>
    <t>32285002456936</t>
  </si>
  <si>
    <t>893428051</t>
  </si>
  <si>
    <t>32285002456944</t>
  </si>
  <si>
    <t>893415668</t>
  </si>
  <si>
    <t>DS461.9.A1 E7 2004</t>
  </si>
  <si>
    <t>0                      DS 0461900A  1                  E  7           2004</t>
  </si>
  <si>
    <t>The Mughal throne : the saga of India's great emperors / Abraham Eraly.</t>
  </si>
  <si>
    <t>Eraly, Abraham.</t>
  </si>
  <si>
    <t>London : Phoenix, 2004.</t>
  </si>
  <si>
    <t>2005-07-22</t>
  </si>
  <si>
    <t>2005-05-19</t>
  </si>
  <si>
    <t>197586918:eng</t>
  </si>
  <si>
    <t>57519526</t>
  </si>
  <si>
    <t>991004458879702656</t>
  </si>
  <si>
    <t>2256399550002656</t>
  </si>
  <si>
    <t>9780753817582</t>
  </si>
  <si>
    <t>32285005037907</t>
  </si>
  <si>
    <t>893888731</t>
  </si>
  <si>
    <t>DS462 .H87</t>
  </si>
  <si>
    <t>0                      DS 0462000H  87</t>
  </si>
  <si>
    <t>European freebooters in Moghul India.</t>
  </si>
  <si>
    <t>Hutchinson, Lester, 1904-</t>
  </si>
  <si>
    <t>London, Asia Pub. House [1964]</t>
  </si>
  <si>
    <t>1459164:eng</t>
  </si>
  <si>
    <t>411702</t>
  </si>
  <si>
    <t>991005355269702656</t>
  </si>
  <si>
    <t>2264723890002656</t>
  </si>
  <si>
    <t>32285002456985</t>
  </si>
  <si>
    <t>893527384</t>
  </si>
  <si>
    <t>DS463 .G63 1975</t>
  </si>
  <si>
    <t>0                      DS 0463000G  63          1975</t>
  </si>
  <si>
    <t>The long afternoon : British India 1601-1947 / by William Golant.</t>
  </si>
  <si>
    <t>Golant, William, 1937-</t>
  </si>
  <si>
    <t>New York : St. Martin's Press, 1975.</t>
  </si>
  <si>
    <t>1999-11-16</t>
  </si>
  <si>
    <t>443078:eng</t>
  </si>
  <si>
    <t>1322115</t>
  </si>
  <si>
    <t>991003690819702656</t>
  </si>
  <si>
    <t>2255009800002656</t>
  </si>
  <si>
    <t>32285002457017</t>
  </si>
  <si>
    <t>893781284</t>
  </si>
  <si>
    <t>DS463 .H37 1972</t>
  </si>
  <si>
    <t>0                      DS 0463000H  37          1972</t>
  </si>
  <si>
    <t>The Muslims of British India [by] P. Hardy.</t>
  </si>
  <si>
    <t>Hardy, Peter, 1922-</t>
  </si>
  <si>
    <t>[London] Cambridge University Press, 1972.</t>
  </si>
  <si>
    <t>Cambridge South Asian studies, no. 13</t>
  </si>
  <si>
    <t>1692249:eng</t>
  </si>
  <si>
    <t>573078</t>
  </si>
  <si>
    <t>991003006099702656</t>
  </si>
  <si>
    <t>2271078530002656</t>
  </si>
  <si>
    <t>9780521084888</t>
  </si>
  <si>
    <t>32285002457025</t>
  </si>
  <si>
    <t>893535301</t>
  </si>
  <si>
    <t>DS463 .L8 1973</t>
  </si>
  <si>
    <t>0                      DS 0463000L  8           1973</t>
  </si>
  <si>
    <t>The rise and expansion of the British dominion in India / by Sir Alfred Lyall. With a new introd. by B. L. Grover.</t>
  </si>
  <si>
    <t>Lyall, Alfred C., Sir, 1835-1911.</t>
  </si>
  <si>
    <t>New Delhi : Oriental Books Reprint Corp. [Distributed by M. Manoharlal, 1973]</t>
  </si>
  <si>
    <t>[1st Indian ed.]</t>
  </si>
  <si>
    <t>1881921:eng</t>
  </si>
  <si>
    <t>1127093</t>
  </si>
  <si>
    <t>991003557909702656</t>
  </si>
  <si>
    <t>2267338960002656</t>
  </si>
  <si>
    <t>32285001893741</t>
  </si>
  <si>
    <t>893717788</t>
  </si>
  <si>
    <t>DS463 .M22</t>
  </si>
  <si>
    <t>0                      DS 0463000M  22</t>
  </si>
  <si>
    <t>The political awakening in India / edited by John R. McLane.</t>
  </si>
  <si>
    <t>McLane, John R., 1935-, compiler.</t>
  </si>
  <si>
    <t>Englewood Cliffs, N.J. : Prentice-Hall, [1970]</t>
  </si>
  <si>
    <t>1994-04-19</t>
  </si>
  <si>
    <t>195484033:eng</t>
  </si>
  <si>
    <t>66069</t>
  </si>
  <si>
    <t>991000209389702656</t>
  </si>
  <si>
    <t>2258755480002656</t>
  </si>
  <si>
    <t>9780136848035</t>
  </si>
  <si>
    <t>32285001761625</t>
  </si>
  <si>
    <t>893802595</t>
  </si>
  <si>
    <t>DS463 .M263 1985</t>
  </si>
  <si>
    <t>0                      DS 0463000M  263         1985</t>
  </si>
  <si>
    <t>The men who ruled India / by Philip Mason.</t>
  </si>
  <si>
    <t>Mason, Philip, 1906-1999.</t>
  </si>
  <si>
    <t>New York : W.W. Norton, c1985.</t>
  </si>
  <si>
    <t>3943273150:eng</t>
  </si>
  <si>
    <t>11318012</t>
  </si>
  <si>
    <t>991000519749702656</t>
  </si>
  <si>
    <t>2256158780002656</t>
  </si>
  <si>
    <t>9780393019469</t>
  </si>
  <si>
    <t>32285000131887</t>
  </si>
  <si>
    <t>893778005</t>
  </si>
  <si>
    <t>DS463 .P46</t>
  </si>
  <si>
    <t>0                      DS 0463000P  46</t>
  </si>
  <si>
    <t>People, princes, and paramount power : society and politics in the Indian princely states / edited by Robin Jeffrey.</t>
  </si>
  <si>
    <t>Delhi : Oxford University Press, 1978.</t>
  </si>
  <si>
    <t>2003-02-18</t>
  </si>
  <si>
    <t>836627635:eng</t>
  </si>
  <si>
    <t>5056324</t>
  </si>
  <si>
    <t>991004770429702656</t>
  </si>
  <si>
    <t>2258266650002656</t>
  </si>
  <si>
    <t>9780195608861</t>
  </si>
  <si>
    <t>32285000336437</t>
  </si>
  <si>
    <t>893500939</t>
  </si>
  <si>
    <t>DS463 .S77 1997</t>
  </si>
  <si>
    <t>0                      DS 0463000S  77          1997</t>
  </si>
  <si>
    <t>A Subaltern studies reader, 1986-1995 / Ranajit Guha, editor.</t>
  </si>
  <si>
    <t>Minneapolis : University of Minnesota Press, c1997.</t>
  </si>
  <si>
    <t>2007-11-05</t>
  </si>
  <si>
    <t>2000-10-25</t>
  </si>
  <si>
    <t>3757042972:eng</t>
  </si>
  <si>
    <t>36768095</t>
  </si>
  <si>
    <t>991003244229702656</t>
  </si>
  <si>
    <t>2261664620002656</t>
  </si>
  <si>
    <t>9780816627585</t>
  </si>
  <si>
    <t>32285004260484</t>
  </si>
  <si>
    <t>893416197</t>
  </si>
  <si>
    <t>DS464 .B46 1982b</t>
  </si>
  <si>
    <t>0                      DS 0464000B  46          1982b</t>
  </si>
  <si>
    <t>The viceroys of India / Mark Bence-Jones.</t>
  </si>
  <si>
    <t>Bence-Jones, Mark.</t>
  </si>
  <si>
    <t>New York : St. Martin's Press, c1982.</t>
  </si>
  <si>
    <t>1993-04-14</t>
  </si>
  <si>
    <t>3241597:eng</t>
  </si>
  <si>
    <t>10765442</t>
  </si>
  <si>
    <t>991000427939702656</t>
  </si>
  <si>
    <t>2263007320002656</t>
  </si>
  <si>
    <t>9780312839109</t>
  </si>
  <si>
    <t>32285000336445</t>
  </si>
  <si>
    <t>893314913</t>
  </si>
  <si>
    <t>DS465 .G34 1972</t>
  </si>
  <si>
    <t>0                      DS 0465000G  34          1972</t>
  </si>
  <si>
    <t>The East India Company : a history.</t>
  </si>
  <si>
    <t>Gardner, Brian.</t>
  </si>
  <si>
    <t>New York : McCall Pub. Co., [1972, c1971]</t>
  </si>
  <si>
    <t>2007-06-20</t>
  </si>
  <si>
    <t>1995-04-11</t>
  </si>
  <si>
    <t>1279963:eng</t>
  </si>
  <si>
    <t>219425</t>
  </si>
  <si>
    <t>991001295539702656</t>
  </si>
  <si>
    <t>2258159070002656</t>
  </si>
  <si>
    <t>9780841501249</t>
  </si>
  <si>
    <t>32285002026432</t>
  </si>
  <si>
    <t>893809028</t>
  </si>
  <si>
    <t>DS465 .R44 1971</t>
  </si>
  <si>
    <t>0                      DS 0465000R  44          1971</t>
  </si>
  <si>
    <t>Commerce and conquest : the story of the Honourable East India Company / by C. Lestock Reid. With a foreword by Lord Birdwood of Anzac.</t>
  </si>
  <si>
    <t>Reid, C. Lestock.</t>
  </si>
  <si>
    <t>Port Washington, N.Y. : Kennikat Press, [1971]</t>
  </si>
  <si>
    <t>2007-04-07</t>
  </si>
  <si>
    <t>1184810:eng</t>
  </si>
  <si>
    <t>105101</t>
  </si>
  <si>
    <t>991000628369702656</t>
  </si>
  <si>
    <t>2263361060002656</t>
  </si>
  <si>
    <t>9780804611190</t>
  </si>
  <si>
    <t>32285002026424</t>
  </si>
  <si>
    <t>893601916</t>
  </si>
  <si>
    <t>DS465 .W56 1972</t>
  </si>
  <si>
    <t>0                      DS 0465000W  56          1972</t>
  </si>
  <si>
    <t>Early records of British India : a history of the English settlements in India, as told in the government records, the works of old travellers and other contemporary documents, from the earliest period down to the rise of British power in India.</t>
  </si>
  <si>
    <t>London : Curzon Press ; New York : Barnes &amp; Noble, 1972.</t>
  </si>
  <si>
    <t>Records of Asian history</t>
  </si>
  <si>
    <t>1633824:eng</t>
  </si>
  <si>
    <t>2751094</t>
  </si>
  <si>
    <t>991004232209702656</t>
  </si>
  <si>
    <t>2262046040002656</t>
  </si>
  <si>
    <t>9780389045137</t>
  </si>
  <si>
    <t>32285002026416</t>
  </si>
  <si>
    <t>893806822</t>
  </si>
  <si>
    <t>DS473 .B45 2000</t>
  </si>
  <si>
    <t>0                      DS 0473000B  45          2000</t>
  </si>
  <si>
    <t>Dawning of the Raj : the life and trials of Warren Hastings / Jeremy Bernstein.</t>
  </si>
  <si>
    <t>Bernstein, Jeremy, 1929-</t>
  </si>
  <si>
    <t>Chicago : Ivan R. Dee, 2000.</t>
  </si>
  <si>
    <t>2002-01-10</t>
  </si>
  <si>
    <t>13035698:eng</t>
  </si>
  <si>
    <t>43036832</t>
  </si>
  <si>
    <t>991003696729702656</t>
  </si>
  <si>
    <t>2263314140002656</t>
  </si>
  <si>
    <t>9781566632812</t>
  </si>
  <si>
    <t>32285004447685</t>
  </si>
  <si>
    <t>893228337</t>
  </si>
  <si>
    <t>DS473 .F4 1967</t>
  </si>
  <si>
    <t>0                      DS 0473000F  4           1967</t>
  </si>
  <si>
    <t>Warren Hastings, by Keith Feiling.</t>
  </si>
  <si>
    <t>Feiling, Keith, 1884-1977.</t>
  </si>
  <si>
    <t>Hamden, Conn., Archon Books, 1967.</t>
  </si>
  <si>
    <t>3768843466:eng</t>
  </si>
  <si>
    <t>933187</t>
  </si>
  <si>
    <t>991003394389702656</t>
  </si>
  <si>
    <t>2271957570002656</t>
  </si>
  <si>
    <t>32285002272895</t>
  </si>
  <si>
    <t>893524778</t>
  </si>
  <si>
    <t>DS475.2 .R63 1999</t>
  </si>
  <si>
    <t>0                      DS 0475200R  63          1999</t>
  </si>
  <si>
    <t>Raja Rammohan Ray : the father of modern India.</t>
  </si>
  <si>
    <t>Robertson, Bruce Carlisle.</t>
  </si>
  <si>
    <t>Delhi ; Oxford : Oxford University Press, 1999.</t>
  </si>
  <si>
    <t>2002-10-07</t>
  </si>
  <si>
    <t>36766615:eng</t>
  </si>
  <si>
    <t>42039102</t>
  </si>
  <si>
    <t>991003866479702656</t>
  </si>
  <si>
    <t>2268571530002656</t>
  </si>
  <si>
    <t>9780195648539</t>
  </si>
  <si>
    <t>32285004652250</t>
  </si>
  <si>
    <t>893800253</t>
  </si>
  <si>
    <t>DS475.3 .C66 2003</t>
  </si>
  <si>
    <t>0                      DS 0475300C  66          2003</t>
  </si>
  <si>
    <t>The Anglo-Maratha campaigns and the contest for India : the struggle for control of the South Asian military economy / Randolf G.S. Cooper.</t>
  </si>
  <si>
    <t>Cooper, Randolf G. S.</t>
  </si>
  <si>
    <t>Cambridge ; New York : Cambridge University Press, 2003.</t>
  </si>
  <si>
    <t>2007-04-21</t>
  </si>
  <si>
    <t>838904172:eng</t>
  </si>
  <si>
    <t>52178625</t>
  </si>
  <si>
    <t>991005068519702656</t>
  </si>
  <si>
    <t>2264927300002656</t>
  </si>
  <si>
    <t>9780521824446</t>
  </si>
  <si>
    <t>32285005286603</t>
  </si>
  <si>
    <t>893810826</t>
  </si>
  <si>
    <t>DS477.1 .C66 1975</t>
  </si>
  <si>
    <t>0                      DS 0477100C  66          1975</t>
  </si>
  <si>
    <t>The Sikh Wars : the British Army in the Punjab, 1845-1849 / by Hugh Cook.</t>
  </si>
  <si>
    <t>Cook, Hugh C. B.</t>
  </si>
  <si>
    <t>London : L. Cooper, 1975.</t>
  </si>
  <si>
    <t>19th century military campaigns</t>
  </si>
  <si>
    <t>2189422:eng</t>
  </si>
  <si>
    <t>1264454</t>
  </si>
  <si>
    <t>991003658099702656</t>
  </si>
  <si>
    <t>2264102110002656</t>
  </si>
  <si>
    <t>9780850521641</t>
  </si>
  <si>
    <t>32285002457181</t>
  </si>
  <si>
    <t>893887716</t>
  </si>
  <si>
    <t>DS479 .L36 1997</t>
  </si>
  <si>
    <t>0                      DS 0479000L  36          1997</t>
  </si>
  <si>
    <t>Legacy of a divided nation : India's Muslims since independence / Mushirul Hasan.</t>
  </si>
  <si>
    <t>Hasan, Mushirul.</t>
  </si>
  <si>
    <t>Delhi : Oxford University Press, 1997.</t>
  </si>
  <si>
    <t>2004-09-22</t>
  </si>
  <si>
    <t>836960642:eng</t>
  </si>
  <si>
    <t>37657552</t>
  </si>
  <si>
    <t>991004373019702656</t>
  </si>
  <si>
    <t>2256648220002656</t>
  </si>
  <si>
    <t>9780195641769</t>
  </si>
  <si>
    <t>32285004988407</t>
  </si>
  <si>
    <t>893319139</t>
  </si>
  <si>
    <t>DS479 .N35 1989</t>
  </si>
  <si>
    <t>0                      DS 0479000N  35          1989</t>
  </si>
  <si>
    <t>Gandhi : pan-Islamism, imperialism, and nationalism in India / B.R. Nanda.</t>
  </si>
  <si>
    <t>Nanda, B. R. (Bal Ram), 1917-2010.</t>
  </si>
  <si>
    <t>Bombay ; New York : Oxford University Press, 1989.</t>
  </si>
  <si>
    <t>2003-04-06</t>
  </si>
  <si>
    <t>1990-07-25</t>
  </si>
  <si>
    <t>3943473954:eng</t>
  </si>
  <si>
    <t>20994992</t>
  </si>
  <si>
    <t>991001638639702656</t>
  </si>
  <si>
    <t>2267528820002656</t>
  </si>
  <si>
    <t>9780195622997</t>
  </si>
  <si>
    <t>32285000240365</t>
  </si>
  <si>
    <t>893715567</t>
  </si>
  <si>
    <t>DS479 .R38 1998</t>
  </si>
  <si>
    <t>0                      DS 0479000R  38          1998</t>
  </si>
  <si>
    <t>The proudest day : India's long road to independence / Anthony Read and David Fisher.</t>
  </si>
  <si>
    <t>New York : W.W. Norton, 1998.</t>
  </si>
  <si>
    <t>1999-04-23</t>
  </si>
  <si>
    <t>1998-06-09</t>
  </si>
  <si>
    <t>15553351:eng</t>
  </si>
  <si>
    <t>38216415</t>
  </si>
  <si>
    <t>991002899349702656</t>
  </si>
  <si>
    <t>2255658150002656</t>
  </si>
  <si>
    <t>9780393045949</t>
  </si>
  <si>
    <t>32285003413936</t>
  </si>
  <si>
    <t>893352583</t>
  </si>
  <si>
    <t>DS480.2 .W6</t>
  </si>
  <si>
    <t>0                      DS 0480200W  6</t>
  </si>
  <si>
    <t>Morley and India, 1906-1910 [by] Stanley A. Wolpert.</t>
  </si>
  <si>
    <t>Wolpert, Stanley, 1927-2019.</t>
  </si>
  <si>
    <t>1937547:eng</t>
  </si>
  <si>
    <t>976475</t>
  </si>
  <si>
    <t>991003440219702656</t>
  </si>
  <si>
    <t>2261537480002656</t>
  </si>
  <si>
    <t>32285002457256</t>
  </si>
  <si>
    <t>893352825</t>
  </si>
  <si>
    <t>DS480.4 .R6 1976</t>
  </si>
  <si>
    <t>0                      DS 0480400R  6           1976</t>
  </si>
  <si>
    <t>The government of India and reform : policies towards politics and the constitution, 1916-1921 / P. G. Robb.</t>
  </si>
  <si>
    <t>Robb, Peter, 1946-</t>
  </si>
  <si>
    <t>Oxford [Eng.] : Oxford University Press, 1976.</t>
  </si>
  <si>
    <t>London oriental series ; v. 32</t>
  </si>
  <si>
    <t>1995-07-02</t>
  </si>
  <si>
    <t>199214701:eng</t>
  </si>
  <si>
    <t>2828399</t>
  </si>
  <si>
    <t>991004256869702656</t>
  </si>
  <si>
    <t>2257472660002656</t>
  </si>
  <si>
    <t>9780197135907</t>
  </si>
  <si>
    <t>32285001624294</t>
  </si>
  <si>
    <t>893259517</t>
  </si>
  <si>
    <t>DS480.45 .L33 1981</t>
  </si>
  <si>
    <t>0                      DS 0480450L  33          1981</t>
  </si>
  <si>
    <t>The emergence of modern India / Arthur Lall.</t>
  </si>
  <si>
    <t>Lall, Arthur S. (Arthur Samuel), 1911-1998.</t>
  </si>
  <si>
    <t>New York : Columbia University Press, 1981.</t>
  </si>
  <si>
    <t>1997-10-01</t>
  </si>
  <si>
    <t>1994-06-07</t>
  </si>
  <si>
    <t>419754:eng</t>
  </si>
  <si>
    <t>6891406</t>
  </si>
  <si>
    <t>991005055789702656</t>
  </si>
  <si>
    <t>2262108920002656</t>
  </si>
  <si>
    <t>9780231034302</t>
  </si>
  <si>
    <t>32285001921641</t>
  </si>
  <si>
    <t>893443329</t>
  </si>
  <si>
    <t>DS480.45 .M387</t>
  </si>
  <si>
    <t>0                      DS 0480450M  387</t>
  </si>
  <si>
    <t>Muslims and changing India / [by] Y. B. Mathur. Foreword by Tara Chand.</t>
  </si>
  <si>
    <t>Mathur, Y. B. (Yaduvansh Bahadur), 1929-</t>
  </si>
  <si>
    <t>New Delhi : Trimurti Publications, [1972]</t>
  </si>
  <si>
    <t>1992-02-25</t>
  </si>
  <si>
    <t>1688135:eng</t>
  </si>
  <si>
    <t>572607</t>
  </si>
  <si>
    <t>991003005169702656</t>
  </si>
  <si>
    <t>2272474470002656</t>
  </si>
  <si>
    <t>32285000976737</t>
  </si>
  <si>
    <t>893317543</t>
  </si>
  <si>
    <t>DS480.45 .M6327 2005</t>
  </si>
  <si>
    <t>0                      DS 0480450M  6327        2005</t>
  </si>
  <si>
    <t>Maharanis : the extraordinary tale of four Indian queens and their journey from purdah to parliament / Lucy Moore.</t>
  </si>
  <si>
    <t>Moore, Lucy, 1970-</t>
  </si>
  <si>
    <t>New York : Viking, 2005.</t>
  </si>
  <si>
    <t>2005-08-04</t>
  </si>
  <si>
    <t>2005-01-24</t>
  </si>
  <si>
    <t>3769740553:eng</t>
  </si>
  <si>
    <t>56329450</t>
  </si>
  <si>
    <t>991004430829702656</t>
  </si>
  <si>
    <t>2264399430002656</t>
  </si>
  <si>
    <t>9780670033683</t>
  </si>
  <si>
    <t>32285005022388</t>
  </si>
  <si>
    <t>893535989</t>
  </si>
  <si>
    <t>DS480.45 .M633</t>
  </si>
  <si>
    <t>0                      DS 0480450M  633</t>
  </si>
  <si>
    <t>The crisis of Indian unity, 1917-1940 / by R. J. Moore.</t>
  </si>
  <si>
    <t>Moore, R. J. (Robin James), 1934-</t>
  </si>
  <si>
    <t>Oxford : Clarendon Press, 1974.</t>
  </si>
  <si>
    <t>2009-07-28</t>
  </si>
  <si>
    <t>2096445:eng</t>
  </si>
  <si>
    <t>1161749</t>
  </si>
  <si>
    <t>991003580669702656</t>
  </si>
  <si>
    <t>2271049840002656</t>
  </si>
  <si>
    <t>9780198215608</t>
  </si>
  <si>
    <t>32285000976729</t>
  </si>
  <si>
    <t>893252510</t>
  </si>
  <si>
    <t>DS480.45 .P33 1970b</t>
  </si>
  <si>
    <t>0                      DS 0480450P  33          1970b</t>
  </si>
  <si>
    <t>The Partition of India : policies and perspectives, 1935-1947 / edited by C. H. Philips and Mary Doreen Wainwright.</t>
  </si>
  <si>
    <t>Cambridge : M.I.T. Press, [1970, c1969]</t>
  </si>
  <si>
    <t>836659639:eng</t>
  </si>
  <si>
    <t>111552</t>
  </si>
  <si>
    <t>991000647739702656</t>
  </si>
  <si>
    <t>2268645180002656</t>
  </si>
  <si>
    <t>9780262160438</t>
  </si>
  <si>
    <t>32285000993096</t>
  </si>
  <si>
    <t>893534249</t>
  </si>
  <si>
    <t>DS480.82 .H87 1973</t>
  </si>
  <si>
    <t>0                      DS 0480820H  87          1973</t>
  </si>
  <si>
    <t>India's revolution; Gandhi and the Quit India movement [by] Francis G. Hutchins.</t>
  </si>
  <si>
    <t>Hutchins, Francis G.</t>
  </si>
  <si>
    <t>Cambridge, Harvard University Press, 1973.</t>
  </si>
  <si>
    <t>1997-10-22</t>
  </si>
  <si>
    <t>1782896:eng</t>
  </si>
  <si>
    <t>736912</t>
  </si>
  <si>
    <t>991003210849702656</t>
  </si>
  <si>
    <t>2254727150002656</t>
  </si>
  <si>
    <t>9780674450257</t>
  </si>
  <si>
    <t>32285002272952</t>
  </si>
  <si>
    <t>893904289</t>
  </si>
  <si>
    <t>DS480.82 .M63</t>
  </si>
  <si>
    <t>0                      DS 0480820M  63</t>
  </si>
  <si>
    <t>Churchill, Cripps, and India, 1939-1945 / R. J. Moore.</t>
  </si>
  <si>
    <t>Oxford : Clarendon Press ; New York : Oxford University Press, 1979.</t>
  </si>
  <si>
    <t>1999-03-26</t>
  </si>
  <si>
    <t>416013:eng</t>
  </si>
  <si>
    <t>5101029</t>
  </si>
  <si>
    <t>991004775269702656</t>
  </si>
  <si>
    <t>2259184020002656</t>
  </si>
  <si>
    <t>9780198224853</t>
  </si>
  <si>
    <t>32285000336528</t>
  </si>
  <si>
    <t>893319623</t>
  </si>
  <si>
    <t>DS480.84 .B27</t>
  </si>
  <si>
    <t>0                      DS 0480840B  27</t>
  </si>
  <si>
    <t>India, Pakistan, and the great powers / [by] William J. Barnds.</t>
  </si>
  <si>
    <t>Barnds, William J.</t>
  </si>
  <si>
    <t>New York : Published for the Council on Foreign Relations by Praeger, [1972]</t>
  </si>
  <si>
    <t>2003-04-07</t>
  </si>
  <si>
    <t>1992-11-05</t>
  </si>
  <si>
    <t>1382536:eng</t>
  </si>
  <si>
    <t>240336</t>
  </si>
  <si>
    <t>991001905579702656</t>
  </si>
  <si>
    <t>2272195550002656</t>
  </si>
  <si>
    <t>32285001382398</t>
  </si>
  <si>
    <t>893244515</t>
  </si>
  <si>
    <t>DS480.84 .B63</t>
  </si>
  <si>
    <t>0                      DS 0480840B  63</t>
  </si>
  <si>
    <t>Ambassador's report.</t>
  </si>
  <si>
    <t>Bowles, Chester, 1901-1986.</t>
  </si>
  <si>
    <t>New York, Harper [c1954]</t>
  </si>
  <si>
    <t>63138594:eng</t>
  </si>
  <si>
    <t>408864</t>
  </si>
  <si>
    <t>991002710029702656</t>
  </si>
  <si>
    <t>2264279870002656</t>
  </si>
  <si>
    <t>32285002457314</t>
  </si>
  <si>
    <t>893892884</t>
  </si>
  <si>
    <t>DS480.84 .B73 1972</t>
  </si>
  <si>
    <t>0                      DS 0480840B  73          1972</t>
  </si>
  <si>
    <t>The United States and India, Pakistan, Bangladesh, by W. Norman Brown.</t>
  </si>
  <si>
    <t>Cambridge, Harvard University Press, 1972.</t>
  </si>
  <si>
    <t>[3d ed.]</t>
  </si>
  <si>
    <t>The American foreign policy library</t>
  </si>
  <si>
    <t>430730:eng</t>
  </si>
  <si>
    <t>539936</t>
  </si>
  <si>
    <t>991002953019702656</t>
  </si>
  <si>
    <t>2261928140002656</t>
  </si>
  <si>
    <t>9780674924468</t>
  </si>
  <si>
    <t>32285002272960</t>
  </si>
  <si>
    <t>893348149</t>
  </si>
  <si>
    <t>DS480.84 .C3 1977</t>
  </si>
  <si>
    <t>0                      DS 0480840C  3           1977</t>
  </si>
  <si>
    <t>Mission with Mountbatten / by Alan Campbell-Johnson ; with a foreword by the Earl Mountbatten of Burma.</t>
  </si>
  <si>
    <t>Campbell-Johnson, Alan, 1913-1998.</t>
  </si>
  <si>
    <t>Westport, Conn. : Greenwood Press, 1977, c1972.</t>
  </si>
  <si>
    <t>1631799:eng</t>
  </si>
  <si>
    <t>2874726</t>
  </si>
  <si>
    <t>991004269389702656</t>
  </si>
  <si>
    <t>2257504720002656</t>
  </si>
  <si>
    <t>9780837195964</t>
  </si>
  <si>
    <t>32285002457348</t>
  </si>
  <si>
    <t>893700044</t>
  </si>
  <si>
    <t>DS480.84 .C45 1997</t>
  </si>
  <si>
    <t>0                      DS 0480840C  45          1997</t>
  </si>
  <si>
    <t>Ethnicity, security, and separatism in India / Maya Chadda.</t>
  </si>
  <si>
    <t>Chadda, Maya, 1943-</t>
  </si>
  <si>
    <t>2002-09-17</t>
  </si>
  <si>
    <t>1997-09-30</t>
  </si>
  <si>
    <t>1062906:eng</t>
  </si>
  <si>
    <t>35887257</t>
  </si>
  <si>
    <t>991002735129702656</t>
  </si>
  <si>
    <t>2266255280002656</t>
  </si>
  <si>
    <t>9780231107365</t>
  </si>
  <si>
    <t>32285003251286</t>
  </si>
  <si>
    <t>893899144</t>
  </si>
  <si>
    <t>DS480.84 .C545 1997</t>
  </si>
  <si>
    <t>0                      DS 0480840C  545         1997</t>
  </si>
  <si>
    <t>A possible India : essays in political criticism / Partha Chatterjee.</t>
  </si>
  <si>
    <t>Chatterjee, Partha, 1947-</t>
  </si>
  <si>
    <t>Delhi ; New York : Oxford University Press, 1997.</t>
  </si>
  <si>
    <t>1998-10-07</t>
  </si>
  <si>
    <t>26828494:eng</t>
  </si>
  <si>
    <t>38602571</t>
  </si>
  <si>
    <t>991002918949702656</t>
  </si>
  <si>
    <t>2269165410002656</t>
  </si>
  <si>
    <t>9780195643336</t>
  </si>
  <si>
    <t>32285003473609</t>
  </si>
  <si>
    <t>893610473</t>
  </si>
  <si>
    <t>DS480.84 .C75</t>
  </si>
  <si>
    <t>0                      DS 0480840C  75</t>
  </si>
  <si>
    <t>Freedom at midnight / by Larry Collins and Dominique Lapierre.</t>
  </si>
  <si>
    <t>Collins, Larry.</t>
  </si>
  <si>
    <t>New York : Simon and Schuster, 1975.</t>
  </si>
  <si>
    <t>Book Club ed.</t>
  </si>
  <si>
    <t>2008-02-08</t>
  </si>
  <si>
    <t>4924776726:eng</t>
  </si>
  <si>
    <t>2680265</t>
  </si>
  <si>
    <t>991004209579702656</t>
  </si>
  <si>
    <t>2266107250002656</t>
  </si>
  <si>
    <t>32285000336536</t>
  </si>
  <si>
    <t>893235194</t>
  </si>
  <si>
    <t>DS480.84 .H46</t>
  </si>
  <si>
    <t>0                      DS 0480840H  46</t>
  </si>
  <si>
    <t>Experiment with untruth : India under emergency / Michael Henderson.</t>
  </si>
  <si>
    <t>Henderson, Michael.</t>
  </si>
  <si>
    <t>Columbia, Mo. : South Asia Books, c1977.</t>
  </si>
  <si>
    <t>1995-02-28</t>
  </si>
  <si>
    <t>371017432:eng</t>
  </si>
  <si>
    <t>4787625</t>
  </si>
  <si>
    <t>991004718689702656</t>
  </si>
  <si>
    <t>2255393470002656</t>
  </si>
  <si>
    <t>32285000336544</t>
  </si>
  <si>
    <t>893229746</t>
  </si>
  <si>
    <t>DS480.84 .I4854 1999</t>
  </si>
  <si>
    <t>0                      DS 0480840I  4854        1999</t>
  </si>
  <si>
    <t>India and Pakistan : the first fifty years / edited by Selig S. Harrison, Paul H. Kreisberg, and Dennis Kux.</t>
  </si>
  <si>
    <t>Washington, D.C. : Woodrow Wilson Center Press, 1999.</t>
  </si>
  <si>
    <t>Woodrow Wilson Center series</t>
  </si>
  <si>
    <t>2005-12-08</t>
  </si>
  <si>
    <t>1999-08-24</t>
  </si>
  <si>
    <t>807267524:eng</t>
  </si>
  <si>
    <t>39523320</t>
  </si>
  <si>
    <t>991002958329702656</t>
  </si>
  <si>
    <t>2262455540002656</t>
  </si>
  <si>
    <t>9780521641852</t>
  </si>
  <si>
    <t>32285003583977</t>
  </si>
  <si>
    <t>893329761</t>
  </si>
  <si>
    <t>DS480.84 .J43 1986</t>
  </si>
  <si>
    <t>0                      DS 0480840J  43          1986</t>
  </si>
  <si>
    <t>What's happening to India? : Punjab, ethnic conflict, Mrs. Gandhi's death, and the test for federalism / Robin Jeffrey.</t>
  </si>
  <si>
    <t>Jeffrey, Robin.</t>
  </si>
  <si>
    <t>New York : Holmes &amp; Meier, c1986.</t>
  </si>
  <si>
    <t>6858419:eng</t>
  </si>
  <si>
    <t>13358015</t>
  </si>
  <si>
    <t>991000815609702656</t>
  </si>
  <si>
    <t>2268217280002656</t>
  </si>
  <si>
    <t>9780841910805</t>
  </si>
  <si>
    <t>32285000336569</t>
  </si>
  <si>
    <t>893339916</t>
  </si>
  <si>
    <t>DS480.84 .K3627 1994</t>
  </si>
  <si>
    <t>0                      DS 0480840K  3627        1994</t>
  </si>
  <si>
    <t>India's foreign policy, 1947-92 : shadows and substance / Harish Kapur.</t>
  </si>
  <si>
    <t>Kapur, Harish.</t>
  </si>
  <si>
    <t>New Delhi ; Thousand Oaks, CA : Sage Publications, 1994.</t>
  </si>
  <si>
    <t>1994-09-23</t>
  </si>
  <si>
    <t>836728558:eng</t>
  </si>
  <si>
    <t>29563688</t>
  </si>
  <si>
    <t>991002279149702656</t>
  </si>
  <si>
    <t>2263535690002656</t>
  </si>
  <si>
    <t>9780803991620</t>
  </si>
  <si>
    <t>32285001947000</t>
  </si>
  <si>
    <t>893710095</t>
  </si>
  <si>
    <t>DS480.84 .K47 1998</t>
  </si>
  <si>
    <t>0                      DS 0480840K  47          1998</t>
  </si>
  <si>
    <t>The idea of India / Sunil Khilnani.</t>
  </si>
  <si>
    <t>Khilnani, Sunil, 1960-</t>
  </si>
  <si>
    <t>New York : Farrar Straus Giroux, 1998.</t>
  </si>
  <si>
    <t>1st Farrar, Straus and Giroux ed.</t>
  </si>
  <si>
    <t>1999-03-02</t>
  </si>
  <si>
    <t>532887:eng</t>
  </si>
  <si>
    <t>37361771</t>
  </si>
  <si>
    <t>991002836749702656</t>
  </si>
  <si>
    <t>2268113930002656</t>
  </si>
  <si>
    <t>9780374174170</t>
  </si>
  <si>
    <t>32285003528022</t>
  </si>
  <si>
    <t>893610366</t>
  </si>
  <si>
    <t>DS480.84 .M59 1967</t>
  </si>
  <si>
    <t>0                      DS 0480840M  59          1967</t>
  </si>
  <si>
    <t>The government and politics of India, [by] W. H. Morris-Jones.</t>
  </si>
  <si>
    <t>Morris-Jones, W. H. (Wyndraeth Humphreys)</t>
  </si>
  <si>
    <t>London, Hutchinson, 1967.</t>
  </si>
  <si>
    <t>Hutchinson university library. Politics</t>
  </si>
  <si>
    <t>1188433:eng</t>
  </si>
  <si>
    <t>1949808</t>
  </si>
  <si>
    <t>991003948159702656</t>
  </si>
  <si>
    <t>2260831970002656</t>
  </si>
  <si>
    <t>32285002457371</t>
  </si>
  <si>
    <t>893900602</t>
  </si>
  <si>
    <t>DS480.84 .N493 1982</t>
  </si>
  <si>
    <t>0                      DS 0480840N  493         1982</t>
  </si>
  <si>
    <t>My India / S. Nihal Singh.</t>
  </si>
  <si>
    <t>Nihal Singh, S., 1929-</t>
  </si>
  <si>
    <t>New Delhi : Vikas Pub. House, c1982.</t>
  </si>
  <si>
    <t>1998-12-05</t>
  </si>
  <si>
    <t>3943706157:eng</t>
  </si>
  <si>
    <t>8669062</t>
  </si>
  <si>
    <t>991000046339702656</t>
  </si>
  <si>
    <t>2267536920002656</t>
  </si>
  <si>
    <t>9780706917703</t>
  </si>
  <si>
    <t>32285000336577</t>
  </si>
  <si>
    <t>893419143</t>
  </si>
  <si>
    <t>DS480.84 .T35 2000</t>
  </si>
  <si>
    <t>0                      DS 0480840T  35          2000</t>
  </si>
  <si>
    <t>India and Pakistan / Ian Talbot.</t>
  </si>
  <si>
    <t>London : Arnold ; New York : Oxford University Press, 2000.</t>
  </si>
  <si>
    <t>Inventing the nation</t>
  </si>
  <si>
    <t>3943677219:eng</t>
  </si>
  <si>
    <t>43786758</t>
  </si>
  <si>
    <t>991003468789702656</t>
  </si>
  <si>
    <t>2270629770002656</t>
  </si>
  <si>
    <t>9780340706329</t>
  </si>
  <si>
    <t>32285004308259</t>
  </si>
  <si>
    <t>893774747</t>
  </si>
  <si>
    <t>DS480.84 .T466 1982</t>
  </si>
  <si>
    <t>0                      DS 0480840T  466         1982</t>
  </si>
  <si>
    <t>Reasons of state : political development and India's foreign policy under Indira Gandhi, 1966-1977 / Shashi Tharoor.</t>
  </si>
  <si>
    <t>308862943:eng</t>
  </si>
  <si>
    <t>8729824</t>
  </si>
  <si>
    <t>991000061189702656</t>
  </si>
  <si>
    <t>2269786900002656</t>
  </si>
  <si>
    <t>9780706912753</t>
  </si>
  <si>
    <t>32285000336585</t>
  </si>
  <si>
    <t>893351406</t>
  </si>
  <si>
    <t>DS480.84 .T5 1968</t>
  </si>
  <si>
    <t>0                      DS 0480840T  5           1968</t>
  </si>
  <si>
    <t>India and Pakistan : a political analysis.</t>
  </si>
  <si>
    <t>Tinker, Hugh.</t>
  </si>
  <si>
    <t>New York : F. A. Praeger, [1968, c1967]</t>
  </si>
  <si>
    <t>Praeger university series ; U-526</t>
  </si>
  <si>
    <t>3855794856:eng</t>
  </si>
  <si>
    <t>165601</t>
  </si>
  <si>
    <t>991000938329702656</t>
  </si>
  <si>
    <t>2269779990002656</t>
  </si>
  <si>
    <t>32285001382380</t>
  </si>
  <si>
    <t>893778407</t>
  </si>
  <si>
    <t>DS480.84 .Z5</t>
  </si>
  <si>
    <t>0                      DS 0480840Z  5</t>
  </si>
  <si>
    <t>Reporting India.</t>
  </si>
  <si>
    <t>Zinkin, Taya.</t>
  </si>
  <si>
    <t>London, Chatto &amp; Windus, 1962.</t>
  </si>
  <si>
    <t>2438942:eng</t>
  </si>
  <si>
    <t>1542187</t>
  </si>
  <si>
    <t>991003813089702656</t>
  </si>
  <si>
    <t>2264800170002656</t>
  </si>
  <si>
    <t>32285002457389</t>
  </si>
  <si>
    <t>893416825</t>
  </si>
  <si>
    <t>DS480.842 .D58 2003</t>
  </si>
  <si>
    <t>0                      DS 0480842D  58          2003</t>
  </si>
  <si>
    <t>Divided countries, separated cities : the modern legacy of partition / edited by Ghislaine Glasson Deschaumes and Rada Iveković.</t>
  </si>
  <si>
    <t>New Delhi ; New York : Oxford University Press, c2003.</t>
  </si>
  <si>
    <t>2006-12-18</t>
  </si>
  <si>
    <t>838904233:eng</t>
  </si>
  <si>
    <t>54372881</t>
  </si>
  <si>
    <t>991004994919702656</t>
  </si>
  <si>
    <t>2255816220002656</t>
  </si>
  <si>
    <t>9780195665406</t>
  </si>
  <si>
    <t>32285005267025</t>
  </si>
  <si>
    <t>893606680</t>
  </si>
  <si>
    <t>DS480.853 .A332 1995</t>
  </si>
  <si>
    <t>0                      DS 0480853A  332         1995</t>
  </si>
  <si>
    <t>P.V. Narasimha Rao, scholar prime minister / by Adish C. Aggarwala ; foreword, Hiteswar Saikia ; preface, R.K. Dhawan.</t>
  </si>
  <si>
    <t>Aggarwala, Adish C.</t>
  </si>
  <si>
    <t>New Delhi : Amish Publications, c1995.</t>
  </si>
  <si>
    <t>1995-12-05</t>
  </si>
  <si>
    <t>37454614:eng</t>
  </si>
  <si>
    <t>33161099</t>
  </si>
  <si>
    <t>991002551679702656</t>
  </si>
  <si>
    <t>2264199630002656</t>
  </si>
  <si>
    <t>32285002108271</t>
  </si>
  <si>
    <t>893347624</t>
  </si>
  <si>
    <t>DS480.853 .C625 2005</t>
  </si>
  <si>
    <t>0                      DS 0480853C  625         2005</t>
  </si>
  <si>
    <t>Coalition politics and Hindu nationalism / edited by Katharine Adeney and Lawrence Sáez.</t>
  </si>
  <si>
    <t>London ; New York : Routledge, 2005.</t>
  </si>
  <si>
    <t>Routledge advances in South Asian studies</t>
  </si>
  <si>
    <t>2006-11-21</t>
  </si>
  <si>
    <t>965043158:eng</t>
  </si>
  <si>
    <t>56941889</t>
  </si>
  <si>
    <t>991004911899702656</t>
  </si>
  <si>
    <t>2262296460002656</t>
  </si>
  <si>
    <t>9780415359818</t>
  </si>
  <si>
    <t>32285005260996</t>
  </si>
  <si>
    <t>893430605</t>
  </si>
  <si>
    <t>DS480.853 .D384 1995</t>
  </si>
  <si>
    <t>0                      DS 0480853D  384         1995</t>
  </si>
  <si>
    <t>Regional powers and small state security : India and Sri Lanka, 1977-1990 / K.M. De Silva.</t>
  </si>
  <si>
    <t>De Silva, K. M.</t>
  </si>
  <si>
    <t>Washington, D.C. : Woodrow Wilson Center Press ; Baltimore : Johns Hopkins University Press, c1995.</t>
  </si>
  <si>
    <t>1996-11-08</t>
  </si>
  <si>
    <t>196612201:eng</t>
  </si>
  <si>
    <t>32199926</t>
  </si>
  <si>
    <t>991002472139702656</t>
  </si>
  <si>
    <t>2268113470002656</t>
  </si>
  <si>
    <t>9780801851490</t>
  </si>
  <si>
    <t>32285001419315</t>
  </si>
  <si>
    <t>893504427</t>
  </si>
  <si>
    <t>DS480.853 .M432 1994</t>
  </si>
  <si>
    <t>0                      DS 0480853M  432         1994</t>
  </si>
  <si>
    <t>Rajiv Gandhi and Rama's kingdom / Ved Mehta.</t>
  </si>
  <si>
    <t>Mehta, Ved, 1934-</t>
  </si>
  <si>
    <t>New Haven : Yale University Press, c1994.</t>
  </si>
  <si>
    <t>1996-04-21</t>
  </si>
  <si>
    <t>1995-03-21</t>
  </si>
  <si>
    <t>20922517:eng</t>
  </si>
  <si>
    <t>30156601</t>
  </si>
  <si>
    <t>991002325409702656</t>
  </si>
  <si>
    <t>2266035130002656</t>
  </si>
  <si>
    <t>9780300060386</t>
  </si>
  <si>
    <t>32285002004025</t>
  </si>
  <si>
    <t>893597307</t>
  </si>
  <si>
    <t>DS481.B588 A3</t>
  </si>
  <si>
    <t>0                      DS 0481000B  588                A  3</t>
  </si>
  <si>
    <t>Growing up in India.</t>
  </si>
  <si>
    <t>Bose, Pradip.</t>
  </si>
  <si>
    <t>Calcutta, Minerva Associates, 1972.</t>
  </si>
  <si>
    <t>1998-09-18</t>
  </si>
  <si>
    <t>194466355:eng</t>
  </si>
  <si>
    <t>505751</t>
  </si>
  <si>
    <t>991002881209702656</t>
  </si>
  <si>
    <t>2263579680002656</t>
  </si>
  <si>
    <t>32285002457413</t>
  </si>
  <si>
    <t>893233550</t>
  </si>
  <si>
    <t>DS481.B6 A2 1994, v.2</t>
  </si>
  <si>
    <t>0                      DS 0481000B  6                  A  2           1994                  v.2</t>
  </si>
  <si>
    <t>The Indian struggle, 1920-1942 / Subhas Chandra Bose ; edited by Sisir Kumar Bose and Sugata Bose.</t>
  </si>
  <si>
    <t>Bose, Subhas Chandra, 1897-1945.</t>
  </si>
  <si>
    <t>Netaji collected works ; v. 2</t>
  </si>
  <si>
    <t>597934:eng</t>
  </si>
  <si>
    <t>38943247</t>
  </si>
  <si>
    <t>991002929409702656</t>
  </si>
  <si>
    <t>2262441990002656</t>
  </si>
  <si>
    <t>9780195641493</t>
  </si>
  <si>
    <t>32285003461562</t>
  </si>
  <si>
    <t>893591966</t>
  </si>
  <si>
    <t>DS481.G23 S26</t>
  </si>
  <si>
    <t>0                      DS 0481000G  23                 S  26</t>
  </si>
  <si>
    <t>Indira Gandhi : a political biography / [by] L. N. Sarin.</t>
  </si>
  <si>
    <t>Sarin, L. N.</t>
  </si>
  <si>
    <t>New Delhi : S. Chand, [1974]</t>
  </si>
  <si>
    <t>1995-08-16</t>
  </si>
  <si>
    <t>366949263:eng</t>
  </si>
  <si>
    <t>983918</t>
  </si>
  <si>
    <t>991003448079702656</t>
  </si>
  <si>
    <t>2272595730002656</t>
  </si>
  <si>
    <t>32285002022431</t>
  </si>
  <si>
    <t>893330308</t>
  </si>
  <si>
    <t>DS481.G3 A75</t>
  </si>
  <si>
    <t>0                      DS 0481000G  3                  A  75</t>
  </si>
  <si>
    <t>Gandhi.</t>
  </si>
  <si>
    <t>Ashe, Geoffrey.</t>
  </si>
  <si>
    <t>New York : Stein and Day, [1968]</t>
  </si>
  <si>
    <t>2003-05-04</t>
  </si>
  <si>
    <t>1993-04-27</t>
  </si>
  <si>
    <t>836626389:eng</t>
  </si>
  <si>
    <t>335629</t>
  </si>
  <si>
    <t>991002398259702656</t>
  </si>
  <si>
    <t>2256834340002656</t>
  </si>
  <si>
    <t>32285001627859</t>
  </si>
  <si>
    <t>893421302</t>
  </si>
  <si>
    <t>DS481.G3 B73</t>
  </si>
  <si>
    <t>0                      DS 0481000G  3                  B  73</t>
  </si>
  <si>
    <t>Gandhi and civil disobedience : the Mahatma in Indian politics, 1928-34 / Judith M. Brown.</t>
  </si>
  <si>
    <t>Brown, Judith M. (Judith Margaret), 1944-</t>
  </si>
  <si>
    <t>Cambridge : Cambridge University Press, 1977.</t>
  </si>
  <si>
    <t>2002-11-22</t>
  </si>
  <si>
    <t>1993-04-23</t>
  </si>
  <si>
    <t>197081068:eng</t>
  </si>
  <si>
    <t>2238179</t>
  </si>
  <si>
    <t>991004060049702656</t>
  </si>
  <si>
    <t>2257609110002656</t>
  </si>
  <si>
    <t>9780521212793</t>
  </si>
  <si>
    <t>32285001623452</t>
  </si>
  <si>
    <t>893875632</t>
  </si>
  <si>
    <t>DS481.G3 D445</t>
  </si>
  <si>
    <t>0                      DS 0481000G  3                  D  445</t>
  </si>
  <si>
    <t>The making of the Mahatma / [by] Chandran D. S. Devanesen.</t>
  </si>
  <si>
    <t>Devanesen, Chandran D. S. (Chandran David Srinivasagam), 1917-</t>
  </si>
  <si>
    <t>[Madras] : Orient Longmans, [1969]</t>
  </si>
  <si>
    <t>2002-12-04</t>
  </si>
  <si>
    <t>1993-02-09</t>
  </si>
  <si>
    <t>1183780:eng</t>
  </si>
  <si>
    <t>104810</t>
  </si>
  <si>
    <t>991000627489702656</t>
  </si>
  <si>
    <t>2260888980002656</t>
  </si>
  <si>
    <t>32285001508307</t>
  </si>
  <si>
    <t>893897064</t>
  </si>
  <si>
    <t>DS481.G3 E38 1986</t>
  </si>
  <si>
    <t>0                      DS 0481000G  3                  E  38          1986</t>
  </si>
  <si>
    <t>The myth of the Mahatma : Gandhi, the British and the Raj / Michael Edwardes.</t>
  </si>
  <si>
    <t>London : Constable, 1986.</t>
  </si>
  <si>
    <t>1994-04-16</t>
  </si>
  <si>
    <t>1990-10-09</t>
  </si>
  <si>
    <t>346181523:eng</t>
  </si>
  <si>
    <t>16684571</t>
  </si>
  <si>
    <t>991000821799702656</t>
  </si>
  <si>
    <t>2262008540002656</t>
  </si>
  <si>
    <t>9780094660700</t>
  </si>
  <si>
    <t>32285000336635</t>
  </si>
  <si>
    <t>893702466</t>
  </si>
  <si>
    <t>DS481.G3 F44</t>
  </si>
  <si>
    <t>0                      DS 0481000G  3                  F  44</t>
  </si>
  <si>
    <t>The life of Mahatma Gandhi.</t>
  </si>
  <si>
    <t>Fischer, Louis, 1896-1970.</t>
  </si>
  <si>
    <t>New York : Harper, [1950]</t>
  </si>
  <si>
    <t>3374353932:eng</t>
  </si>
  <si>
    <t>410719</t>
  </si>
  <si>
    <t>991002713789702656</t>
  </si>
  <si>
    <t>2262605840002656</t>
  </si>
  <si>
    <t>32285001627842</t>
  </si>
  <si>
    <t>893329435</t>
  </si>
  <si>
    <t>DS481.G3 G7314 1993</t>
  </si>
  <si>
    <t>0                      DS 0481000G  3                  G  7314        1993</t>
  </si>
  <si>
    <t>Gandhi : voice of a new age revolution / Martin Green.</t>
  </si>
  <si>
    <t>Green, Martin, 1927-2010.</t>
  </si>
  <si>
    <t>New York : Continuum, 1993.</t>
  </si>
  <si>
    <t>2006-12-06</t>
  </si>
  <si>
    <t>196618760:eng</t>
  </si>
  <si>
    <t>27264991</t>
  </si>
  <si>
    <t>991002127769702656</t>
  </si>
  <si>
    <t>2272057780002656</t>
  </si>
  <si>
    <t>9780826406200</t>
  </si>
  <si>
    <t>32285001766616</t>
  </si>
  <si>
    <t>893256909</t>
  </si>
  <si>
    <t>DS481.G3 H77</t>
  </si>
  <si>
    <t>0                      DS 0481000G  3                  H  77</t>
  </si>
  <si>
    <t>Gandhi in London / James D. Hunt ; pref. by Stephen Hay.</t>
  </si>
  <si>
    <t>Hunt, James D., 1931-</t>
  </si>
  <si>
    <t>New Delhi : Promilla, 1978.</t>
  </si>
  <si>
    <t>1993-04-21</t>
  </si>
  <si>
    <t>14761412:eng</t>
  </si>
  <si>
    <t>4345011</t>
  </si>
  <si>
    <t>991004626689702656</t>
  </si>
  <si>
    <t>2268646760002656</t>
  </si>
  <si>
    <t>32285000336650</t>
  </si>
  <si>
    <t>893331839</t>
  </si>
  <si>
    <t>DS481.G3 K42</t>
  </si>
  <si>
    <t>0                      DS 0481000G  3                  K  42</t>
  </si>
  <si>
    <t>Mahatma Gandhi : political saint and unarmed prophet.</t>
  </si>
  <si>
    <t>Keer, Dhananjay.</t>
  </si>
  <si>
    <t>Bombay : Popular Prakashan, [1973]</t>
  </si>
  <si>
    <t>1996-05-29</t>
  </si>
  <si>
    <t>1719413:eng</t>
  </si>
  <si>
    <t>723845</t>
  </si>
  <si>
    <t>991003198869702656</t>
  </si>
  <si>
    <t>2255610130002656</t>
  </si>
  <si>
    <t>32285002121290</t>
  </si>
  <si>
    <t>893592278</t>
  </si>
  <si>
    <t>DS481.G3 M43</t>
  </si>
  <si>
    <t>0                      DS 0481000G  3                  M  43</t>
  </si>
  <si>
    <t>Mahatma Gandhi and his apostles / Ved Mehta.</t>
  </si>
  <si>
    <t>New York : Viking Press, 1977, c1976.</t>
  </si>
  <si>
    <t>1992-10-23</t>
  </si>
  <si>
    <t>329847:eng</t>
  </si>
  <si>
    <t>2388104</t>
  </si>
  <si>
    <t>991004107729702656</t>
  </si>
  <si>
    <t>2259248720002656</t>
  </si>
  <si>
    <t>9780670450879</t>
  </si>
  <si>
    <t>32285001378032</t>
  </si>
  <si>
    <t>893894557</t>
  </si>
  <si>
    <t>DS481.G3 M63</t>
  </si>
  <si>
    <t>0                      DS 0481000G  3                  M  63</t>
  </si>
  <si>
    <t>Gandhi and modern India.</t>
  </si>
  <si>
    <t>Moon, Penderel, 1905-1987.</t>
  </si>
  <si>
    <t>New York : Norton, [1969]</t>
  </si>
  <si>
    <t>2001-09-23</t>
  </si>
  <si>
    <t>1992-03-26</t>
  </si>
  <si>
    <t>191035517:eng</t>
  </si>
  <si>
    <t>2360</t>
  </si>
  <si>
    <t>991005434259702656</t>
  </si>
  <si>
    <t>2262726420002656</t>
  </si>
  <si>
    <t>32285001029270</t>
  </si>
  <si>
    <t>893626019</t>
  </si>
  <si>
    <t>DS481.G3 M84</t>
  </si>
  <si>
    <t>0                      DS 0481000G  3                  M  84</t>
  </si>
  <si>
    <t>Mahatma Gandhi : a prophetic voice / by Haridas T. Muzumdar.</t>
  </si>
  <si>
    <t>Muzumdar, Haridas Thakordas.</t>
  </si>
  <si>
    <t>Ahmedabad [India] : Navajivan Pub. House [1963]</t>
  </si>
  <si>
    <t>1877622:eng</t>
  </si>
  <si>
    <t>893422</t>
  </si>
  <si>
    <t>991003358509702656</t>
  </si>
  <si>
    <t>2259886920002656</t>
  </si>
  <si>
    <t>32285000336676</t>
  </si>
  <si>
    <t>893324021</t>
  </si>
  <si>
    <t>DS481.G3 P6</t>
  </si>
  <si>
    <t>0                      DS 0481000G  3                  P  6</t>
  </si>
  <si>
    <t>Gandhi on world affairs.</t>
  </si>
  <si>
    <t>Power, Paul F.</t>
  </si>
  <si>
    <t>London : Allen &amp; Unwin, [1961, c1960]</t>
  </si>
  <si>
    <t>1446962:eng</t>
  </si>
  <si>
    <t>4396121</t>
  </si>
  <si>
    <t>991004634229702656</t>
  </si>
  <si>
    <t>2263239200002656</t>
  </si>
  <si>
    <t>32285001029262</t>
  </si>
  <si>
    <t>893442846</t>
  </si>
  <si>
    <t>DS481.G3 P73 1971</t>
  </si>
  <si>
    <t>0                      DS 0481000G  3                  P  73          1971</t>
  </si>
  <si>
    <t>At the feet of Mahatma Gandhi.</t>
  </si>
  <si>
    <t>Prasad, Rajendra, 1884-1963.</t>
  </si>
  <si>
    <t>Westport, Conn. : Greenwood Press, [1971, c1961]</t>
  </si>
  <si>
    <t>1999-09-02</t>
  </si>
  <si>
    <t>1297928:eng</t>
  </si>
  <si>
    <t>171451</t>
  </si>
  <si>
    <t>991000996939702656</t>
  </si>
  <si>
    <t>2267289570002656</t>
  </si>
  <si>
    <t>9780837161549</t>
  </si>
  <si>
    <t>32285001893717</t>
  </si>
  <si>
    <t>893528569</t>
  </si>
  <si>
    <t>DS481.G3 R688</t>
  </si>
  <si>
    <t>0                      DS 0481000G  3                  R  688</t>
  </si>
  <si>
    <t>Gandhi and his contemporaries / [by] P. C. Roy Chaudhury.</t>
  </si>
  <si>
    <t>Roy Choudhury, Pranab Chandra, 1903-</t>
  </si>
  <si>
    <t>Jullundur : Sterling Publishers, [1972]</t>
  </si>
  <si>
    <t>1666342:eng</t>
  </si>
  <si>
    <t>663997</t>
  </si>
  <si>
    <t>991003117829702656</t>
  </si>
  <si>
    <t>2271681760002656</t>
  </si>
  <si>
    <t>32285001761633</t>
  </si>
  <si>
    <t>893809837</t>
  </si>
  <si>
    <t>DS481.G3 S458</t>
  </si>
  <si>
    <t>0                      DS 0481000G  3                  S  458</t>
  </si>
  <si>
    <t>Gandhi today / J. D. Sethi ; with a foreward [sic] by Jayaprakash Narayan. --</t>
  </si>
  <si>
    <t>Sethi, J. D. (Jai Dev), 1924-</t>
  </si>
  <si>
    <t>Durham, N.C. : Carolina Academic Press, c1978.</t>
  </si>
  <si>
    <t>2002-04-24</t>
  </si>
  <si>
    <t>7382224:eng</t>
  </si>
  <si>
    <t>4005198</t>
  </si>
  <si>
    <t>991004568289702656</t>
  </si>
  <si>
    <t>2264894510002656</t>
  </si>
  <si>
    <t>9780090890880</t>
  </si>
  <si>
    <t>32285000336684</t>
  </si>
  <si>
    <t>893788870</t>
  </si>
  <si>
    <t>DS481.G3 S475</t>
  </si>
  <si>
    <t>0                      DS 0481000G  3                  S  475</t>
  </si>
  <si>
    <t>Mr. Gandhi.</t>
  </si>
  <si>
    <t>Shahani, Ranjee, 1904-1968.</t>
  </si>
  <si>
    <t>New York : Macmillan, 1961.</t>
  </si>
  <si>
    <t>1994-07-06</t>
  </si>
  <si>
    <t>1446970:eng</t>
  </si>
  <si>
    <t>409379</t>
  </si>
  <si>
    <t>991002711329702656</t>
  </si>
  <si>
    <t>2262122620002656</t>
  </si>
  <si>
    <t>32285001936193</t>
  </si>
  <si>
    <t>893603907</t>
  </si>
  <si>
    <t>DS481.G3 S487 1982</t>
  </si>
  <si>
    <t>0                      DS 0481000G  3                  S  487         1982</t>
  </si>
  <si>
    <t>Gandhi, a memoir / William L. Shirer.</t>
  </si>
  <si>
    <t>Shirer, William L. (William Lawrence), 1904-1993.</t>
  </si>
  <si>
    <t>New York, N.Y. : Washington Square Press, 1982, c1979.</t>
  </si>
  <si>
    <t>2002-11-25</t>
  </si>
  <si>
    <t>3768525042:eng</t>
  </si>
  <si>
    <t>9076023</t>
  </si>
  <si>
    <t>991000122009702656</t>
  </si>
  <si>
    <t>2270820300002656</t>
  </si>
  <si>
    <t>9780671461478</t>
  </si>
  <si>
    <t>32285000336692</t>
  </si>
  <si>
    <t>893890434</t>
  </si>
  <si>
    <t>DS481.G3 W29 1967</t>
  </si>
  <si>
    <t>0                      DS 0481000G  3                  W  29          1967</t>
  </si>
  <si>
    <t>Watson, Francis, 1907-1988.</t>
  </si>
  <si>
    <t>London : Oxford U.P., 1967.</t>
  </si>
  <si>
    <t>The Clarendon biographies ; 18</t>
  </si>
  <si>
    <t>3769942610:eng</t>
  </si>
  <si>
    <t>459932</t>
  </si>
  <si>
    <t>991002816269702656</t>
  </si>
  <si>
    <t>2264427970002656</t>
  </si>
  <si>
    <t>32285001893709</t>
  </si>
  <si>
    <t>893227314</t>
  </si>
  <si>
    <t>DS481.G3 W65</t>
  </si>
  <si>
    <t>0                      DS 0481000G  3                  W  65</t>
  </si>
  <si>
    <t>Mohandas Gandhi.</t>
  </si>
  <si>
    <t>Woodcock, George, 1912-1995.</t>
  </si>
  <si>
    <t>New York : Viking Press, [1971]</t>
  </si>
  <si>
    <t>Modern masters, M15</t>
  </si>
  <si>
    <t>1993-12-08</t>
  </si>
  <si>
    <t>137804926:eng</t>
  </si>
  <si>
    <t>177513</t>
  </si>
  <si>
    <t>991001057239702656</t>
  </si>
  <si>
    <t>2268182690002656</t>
  </si>
  <si>
    <t>9780670484294</t>
  </si>
  <si>
    <t>32285001806289</t>
  </si>
  <si>
    <t>893438833</t>
  </si>
  <si>
    <t>DS481.G316 A39 1992</t>
  </si>
  <si>
    <t>0                      DS 0481000G  316                A  39          1992</t>
  </si>
  <si>
    <t>Remembering Rajiv / Mani Shankar Aiyar.</t>
  </si>
  <si>
    <t>Aiyar, Mani Shankar, 1941-</t>
  </si>
  <si>
    <t>Calcutta : Rupa, c1992.</t>
  </si>
  <si>
    <t>1994-03-17</t>
  </si>
  <si>
    <t>29497555:eng</t>
  </si>
  <si>
    <t>27403637</t>
  </si>
  <si>
    <t>991002136399702656</t>
  </si>
  <si>
    <t>2259195410002656</t>
  </si>
  <si>
    <t>9788171670871</t>
  </si>
  <si>
    <t>32285000989573</t>
  </si>
  <si>
    <t>893529586</t>
  </si>
  <si>
    <t>DS481.K73 G4 1965</t>
  </si>
  <si>
    <t>0                      DS 0481000K  73                 G  4           1965</t>
  </si>
  <si>
    <t>Krishna Menon, a biography T.J.S. George.</t>
  </si>
  <si>
    <t>George, T. J. S.</t>
  </si>
  <si>
    <t>New York, Taplinger Pub. Co. [1965, c1964]</t>
  </si>
  <si>
    <t>6515093:eng</t>
  </si>
  <si>
    <t>409386</t>
  </si>
  <si>
    <t>991002711389702656</t>
  </si>
  <si>
    <t>2262138850002656</t>
  </si>
  <si>
    <t>32285002457462</t>
  </si>
  <si>
    <t>893616469</t>
  </si>
  <si>
    <t>DS481.N2 B4 1978</t>
  </si>
  <si>
    <t>0                      DS 0481000N  2                  B  4           1978</t>
  </si>
  <si>
    <t>Jayaprakash Narayan : a political biography / Ajit Bhattacharjea.</t>
  </si>
  <si>
    <t>Bhattacharjea, Ajit.</t>
  </si>
  <si>
    <t>Delhi : Vikas Pub. House, 1978.</t>
  </si>
  <si>
    <t>Rev. and updated.</t>
  </si>
  <si>
    <t>1994-09-26</t>
  </si>
  <si>
    <t>3030334:eng</t>
  </si>
  <si>
    <t>3614650</t>
  </si>
  <si>
    <t>991004477929702656</t>
  </si>
  <si>
    <t>2268072820002656</t>
  </si>
  <si>
    <t>32285000336700</t>
  </si>
  <si>
    <t>893253736</t>
  </si>
  <si>
    <t>DS481.N35 A3 1941</t>
  </si>
  <si>
    <t>0                      DS 0481000N  35                 A  3           1941</t>
  </si>
  <si>
    <t>Toward freedom : the autobiography of Jawaharlal Nehru.</t>
  </si>
  <si>
    <t>Nehru, Jawaharlal, 1889-1964.</t>
  </si>
  <si>
    <t>New York : The John Day Company, [c1941]</t>
  </si>
  <si>
    <t>1941</t>
  </si>
  <si>
    <t>1482452:eng</t>
  </si>
  <si>
    <t>675071</t>
  </si>
  <si>
    <t>991003132049702656</t>
  </si>
  <si>
    <t>2267173340002656</t>
  </si>
  <si>
    <t>32285002029568</t>
  </si>
  <si>
    <t>893623186</t>
  </si>
  <si>
    <t>DS484 .I7</t>
  </si>
  <si>
    <t>0                      DS 0484000I  7</t>
  </si>
  <si>
    <t>Politics and social conflict in South India; the non-Brahman movement and Tamil separatism, 1916-1929 [by] Eugene F. Irschick.</t>
  </si>
  <si>
    <t>Irschick, Eugene F.</t>
  </si>
  <si>
    <t>Berkeley, University of California Press, 1969.</t>
  </si>
  <si>
    <t>2001-02-10</t>
  </si>
  <si>
    <t>199160456:eng</t>
  </si>
  <si>
    <t>2174</t>
  </si>
  <si>
    <t>991005433899702656</t>
  </si>
  <si>
    <t>2262677540002656</t>
  </si>
  <si>
    <t>32285002457611</t>
  </si>
  <si>
    <t>893613708</t>
  </si>
  <si>
    <t>DS484 .M64</t>
  </si>
  <si>
    <t>0                      DS 0484000M  64</t>
  </si>
  <si>
    <t>An Untouchable community in South India, structure and consensus / Michael Moffatt.</t>
  </si>
  <si>
    <t>Moffatt, Michael, 1944-2011.</t>
  </si>
  <si>
    <t>Princeton, N.J. : Princeton University Press, c1979.</t>
  </si>
  <si>
    <t>1990-06-12</t>
  </si>
  <si>
    <t>442621:eng</t>
  </si>
  <si>
    <t>4136320</t>
  </si>
  <si>
    <t>991004594909702656</t>
  </si>
  <si>
    <t>2258116810002656</t>
  </si>
  <si>
    <t>9780691093772</t>
  </si>
  <si>
    <t>32285000190701</t>
  </si>
  <si>
    <t>893600014</t>
  </si>
  <si>
    <t>DS484 .N5 1966</t>
  </si>
  <si>
    <t>0                      DS 0484000N  5           1966</t>
  </si>
  <si>
    <t>A history of South India from prehistoric times to the fall of Vijayanagar [by] K.A. Nilakanta Sastri.</t>
  </si>
  <si>
    <t>Nilakanta Sastri, K. A. (Kallidaikurichi Aiyah), 1892-1975.</t>
  </si>
  <si>
    <t>[Madras] Indian Branch, Oxford University Press, 1966.</t>
  </si>
  <si>
    <t>2008-03-22</t>
  </si>
  <si>
    <t>1606145:eng</t>
  </si>
  <si>
    <t>652038</t>
  </si>
  <si>
    <t>991003102679702656</t>
  </si>
  <si>
    <t>2262860180002656</t>
  </si>
  <si>
    <t>32285002272986</t>
  </si>
  <si>
    <t>893317654</t>
  </si>
  <si>
    <t>DS484 .S75</t>
  </si>
  <si>
    <t>0                      DS 0484000S  75</t>
  </si>
  <si>
    <t>Structural approaches to South India studies / edited by Harry M. Buck &amp; Glenn E. Yocum.</t>
  </si>
  <si>
    <t>Chambersburg, Pa. : Wilson Books, 1974.</t>
  </si>
  <si>
    <t>South and Southeast Asia studies</t>
  </si>
  <si>
    <t>2169901:eng</t>
  </si>
  <si>
    <t>1254011</t>
  </si>
  <si>
    <t>991003650389702656</t>
  </si>
  <si>
    <t>2261490100002656</t>
  </si>
  <si>
    <t>9780890120002</t>
  </si>
  <si>
    <t>32285000336718</t>
  </si>
  <si>
    <t>893252583</t>
  </si>
  <si>
    <t>DS484.4 .B39 1989</t>
  </si>
  <si>
    <t>0                      DS 0484400B  39          1989</t>
  </si>
  <si>
    <t>Saints, goddesses, and kings : Muslims and Christians in South Indian Society, 1700-1900 / Susan Bayly.</t>
  </si>
  <si>
    <t>Bayly, Susan.</t>
  </si>
  <si>
    <t>Cambridge South Asian studies ; 43</t>
  </si>
  <si>
    <t>2000-05-23</t>
  </si>
  <si>
    <t>1990-06-04</t>
  </si>
  <si>
    <t>4927065810:eng</t>
  </si>
  <si>
    <t>19126584</t>
  </si>
  <si>
    <t>991005410479702656</t>
  </si>
  <si>
    <t>2271197450002656</t>
  </si>
  <si>
    <t>9780521372015</t>
  </si>
  <si>
    <t>32285000158641</t>
  </si>
  <si>
    <t>893896417</t>
  </si>
  <si>
    <t>DS485 .F7</t>
  </si>
  <si>
    <t>0                      DS 0485000F  7</t>
  </si>
  <si>
    <t>The foreign policy of modern Japan / edited by Robert A. Scalapino ; foreword by Edwin O. Reischauer.</t>
  </si>
  <si>
    <t>Berkeley : University of California Press, 1977.</t>
  </si>
  <si>
    <t>1995-10-31</t>
  </si>
  <si>
    <t>190021414:eng</t>
  </si>
  <si>
    <t>3197152</t>
  </si>
  <si>
    <t>991004372099702656</t>
  </si>
  <si>
    <t>2263767560002656</t>
  </si>
  <si>
    <t>9780520031968</t>
  </si>
  <si>
    <t>32285000336767</t>
  </si>
  <si>
    <t>893423716</t>
  </si>
  <si>
    <t>DS485.B41 M27</t>
  </si>
  <si>
    <t>0                      DS 0485000B  41                 M  27</t>
  </si>
  <si>
    <t>Introducing East Pakistan: geography, everyday life, places of interest, by A. Z. Shahabuddin Mahmood.</t>
  </si>
  <si>
    <t>Mahmood, A. Z. Shahabuddin (Abu Zafar Shahabuddin)</t>
  </si>
  <si>
    <t>Dacca, Roushan Akhter Begum] 1969.</t>
  </si>
  <si>
    <t>[1st ed.</t>
  </si>
  <si>
    <t xml:space="preserve">bg </t>
  </si>
  <si>
    <t>2005-04-18</t>
  </si>
  <si>
    <t>1235860:eng</t>
  </si>
  <si>
    <t>117395</t>
  </si>
  <si>
    <t>991000660929702656</t>
  </si>
  <si>
    <t>2260978430002656</t>
  </si>
  <si>
    <t>32285002457629</t>
  </si>
  <si>
    <t>893225187</t>
  </si>
  <si>
    <t>DS485.B44 I5 1976</t>
  </si>
  <si>
    <t>0                      DS 0485000B  44                 I  5           1976</t>
  </si>
  <si>
    <t>Marriage and rank in Bengali culture : a history of caste and clan in middle period Bengal / Ronald B. Inden.</t>
  </si>
  <si>
    <t>Inden, Ronald B.</t>
  </si>
  <si>
    <t>1999-03-10</t>
  </si>
  <si>
    <t>3515346:eng</t>
  </si>
  <si>
    <t>1995061</t>
  </si>
  <si>
    <t>991003973629702656</t>
  </si>
  <si>
    <t>2260017050002656</t>
  </si>
  <si>
    <t>9780520025691</t>
  </si>
  <si>
    <t>32285002457637</t>
  </si>
  <si>
    <t>893693375</t>
  </si>
  <si>
    <t>DS485.B4512 M886 2001</t>
  </si>
  <si>
    <t>0                      DS 0485000B  4512               M  886         2001</t>
  </si>
  <si>
    <t>Understanding the Bengal Muslims : interpretative essays / edited by Rafiuddin Ahmed.</t>
  </si>
  <si>
    <t>New Delhi : Oxford University Press, 2001.</t>
  </si>
  <si>
    <t>2008-04-02</t>
  </si>
  <si>
    <t>2002-10-02</t>
  </si>
  <si>
    <t>837067728:eng</t>
  </si>
  <si>
    <t>46601394</t>
  </si>
  <si>
    <t>991003865479702656</t>
  </si>
  <si>
    <t>2270085230002656</t>
  </si>
  <si>
    <t>9780195655209</t>
  </si>
  <si>
    <t>32285004651344</t>
  </si>
  <si>
    <t>893506079</t>
  </si>
  <si>
    <t>DS485.B48 K48</t>
  </si>
  <si>
    <t>0                      DS 0485000B  48                 K  48</t>
  </si>
  <si>
    <t>The transition in Bengal, 1756-1775: a study of Seiyid Muhammad Reza Khan.</t>
  </si>
  <si>
    <t>Khan, Abdul Majed.</t>
  </si>
  <si>
    <t>London, Cambridge U.P., 1969.</t>
  </si>
  <si>
    <t>Cambridge South Asian studies ; 7</t>
  </si>
  <si>
    <t>351048454:eng</t>
  </si>
  <si>
    <t>507817</t>
  </si>
  <si>
    <t>991002884629702656</t>
  </si>
  <si>
    <t>2260348520002656</t>
  </si>
  <si>
    <t>9780521071246</t>
  </si>
  <si>
    <t>32285002272994</t>
  </si>
  <si>
    <t>893598015</t>
  </si>
  <si>
    <t>DS485.B81 C48</t>
  </si>
  <si>
    <t>0                      DS 0485000B  81                 C  48</t>
  </si>
  <si>
    <t>Modern Burma, a survey of political and economic development, by John Leroy Christian. Issued under the auspices of the International secretariat, Institute of Pacific relations.</t>
  </si>
  <si>
    <t>Christian, John LeRoy.</t>
  </si>
  <si>
    <t>Berkeley, Los Angeles, University of California Press, 1942.</t>
  </si>
  <si>
    <t>1942</t>
  </si>
  <si>
    <t>1998-04-15</t>
  </si>
  <si>
    <t>1749079568:eng</t>
  </si>
  <si>
    <t>1377656</t>
  </si>
  <si>
    <t>991003728209702656</t>
  </si>
  <si>
    <t>2258029930002656</t>
  </si>
  <si>
    <t>32285002457736</t>
  </si>
  <si>
    <t>893705552</t>
  </si>
  <si>
    <t>DS485.B86 H24</t>
  </si>
  <si>
    <t>0                      DS 0485000B  86                 H  24</t>
  </si>
  <si>
    <t>Burma.</t>
  </si>
  <si>
    <t>Hall, D. G. E. (Daniel George Edward), 1891-1979.</t>
  </si>
  <si>
    <t>London, New York, Hutchinson's University Library, 1950.</t>
  </si>
  <si>
    <t>Hutchinson's University Library, no. 46. British Empire history</t>
  </si>
  <si>
    <t>2005-01-20</t>
  </si>
  <si>
    <t>5558348:eng</t>
  </si>
  <si>
    <t>513262</t>
  </si>
  <si>
    <t>991002894359702656</t>
  </si>
  <si>
    <t>2260728770002656</t>
  </si>
  <si>
    <t>32285002457751</t>
  </si>
  <si>
    <t>893793064</t>
  </si>
  <si>
    <t>DS485.B86 H77</t>
  </si>
  <si>
    <t>0                      DS 0485000B  86                 H  77</t>
  </si>
  <si>
    <t>A history of Burma, by Maung Htin Aung.</t>
  </si>
  <si>
    <t>Htin Aung, U</t>
  </si>
  <si>
    <t>New York, Columbia University Press, 1967.</t>
  </si>
  <si>
    <t>1407747303:eng</t>
  </si>
  <si>
    <t>722761</t>
  </si>
  <si>
    <t>991003197749702656</t>
  </si>
  <si>
    <t>2256820990002656</t>
  </si>
  <si>
    <t>32285002457769</t>
  </si>
  <si>
    <t>893434728</t>
  </si>
  <si>
    <t>DS485.B86 T7</t>
  </si>
  <si>
    <t>0                      DS 0485000B  86                 T  7</t>
  </si>
  <si>
    <t>Burma : from kingdom to republic; a historical and political analysis / [by] Frank N. Trager.</t>
  </si>
  <si>
    <t>Trager, Frank N.</t>
  </si>
  <si>
    <t>New York : Frederick A. Praeger, [1966]</t>
  </si>
  <si>
    <t>2005-01-26</t>
  </si>
  <si>
    <t>1992-04-24</t>
  </si>
  <si>
    <t>1426430:eng</t>
  </si>
  <si>
    <t>329720</t>
  </si>
  <si>
    <t>991002385319702656</t>
  </si>
  <si>
    <t>2267480500002656</t>
  </si>
  <si>
    <t>32285001086783</t>
  </si>
  <si>
    <t>893710220</t>
  </si>
  <si>
    <t>DS485.B89 B28</t>
  </si>
  <si>
    <t>0                      DS 0485000B  89                 B  28</t>
  </si>
  <si>
    <t>Breakthrough in Burma; memoirs of a revolution, 1939-1946 [by] Ba Maw.</t>
  </si>
  <si>
    <t>Ba Maw, U, 1892-</t>
  </si>
  <si>
    <t>New Haven, Yale University Press, 1968.</t>
  </si>
  <si>
    <t>2005-03-03</t>
  </si>
  <si>
    <t>1445971:eng</t>
  </si>
  <si>
    <t>409133</t>
  </si>
  <si>
    <t>991002710689702656</t>
  </si>
  <si>
    <t>2262132700002656</t>
  </si>
  <si>
    <t>32285002457777</t>
  </si>
  <si>
    <t>893335626</t>
  </si>
  <si>
    <t>DS485.B892 J6</t>
  </si>
  <si>
    <t>0                      DS 0485000B  892                J  6</t>
  </si>
  <si>
    <t>Burma's foreign policy; a study in neutralism.</t>
  </si>
  <si>
    <t>Johnstone, William Crane, 1901-</t>
  </si>
  <si>
    <t>Cambridge, Harvard University Press, 1963.</t>
  </si>
  <si>
    <t>366121676:eng</t>
  </si>
  <si>
    <t>409415</t>
  </si>
  <si>
    <t>991002711479702656</t>
  </si>
  <si>
    <t>2262367020002656</t>
  </si>
  <si>
    <t>32285002457793</t>
  </si>
  <si>
    <t>893517641</t>
  </si>
  <si>
    <t>DS485.C2 S55</t>
  </si>
  <si>
    <t>0                      DS 0485000C  2                  S  55</t>
  </si>
  <si>
    <t>The first age of the Portuguese embassies, navigations and peregrinations to the ancient kingdoms of Cambay and Bengal (1500-1521).</t>
  </si>
  <si>
    <t>Smith, Ronald Bishop, compiler.</t>
  </si>
  <si>
    <t>Bethesda, Md. : Printed by Decatur Press, 1969.</t>
  </si>
  <si>
    <t>2000-12-28</t>
  </si>
  <si>
    <t>1808218716:eng</t>
  </si>
  <si>
    <t>600696</t>
  </si>
  <si>
    <t>991003039119702656</t>
  </si>
  <si>
    <t>2260965080002656</t>
  </si>
  <si>
    <t>32285000336742</t>
  </si>
  <si>
    <t>893799320</t>
  </si>
  <si>
    <t>DS485.D25 A47 1999</t>
  </si>
  <si>
    <t>0                      DS 0485000D  25                 A  47          1999</t>
  </si>
  <si>
    <t>Divining the Deccan : a motorbike to the heart of India / Bill Aitken.</t>
  </si>
  <si>
    <t>Aitken, Bill.</t>
  </si>
  <si>
    <t>New Delhi : Oxford University Press, 1999.</t>
  </si>
  <si>
    <t>2002-04-17</t>
  </si>
  <si>
    <t>2002-04-04</t>
  </si>
  <si>
    <t>475896451:eng</t>
  </si>
  <si>
    <t>43852358</t>
  </si>
  <si>
    <t>991003731459702656</t>
  </si>
  <si>
    <t>2269873290002656</t>
  </si>
  <si>
    <t>9780195647112</t>
  </si>
  <si>
    <t>32285004476783</t>
  </si>
  <si>
    <t>893228383</t>
  </si>
  <si>
    <t>DS485.D35 F6 1985</t>
  </si>
  <si>
    <t>0                      DS 0485000D  35                 F  6           1985</t>
  </si>
  <si>
    <t>The Hill of Devi / by E.M. Forster.</t>
  </si>
  <si>
    <t>Forster, E. M. (Edward Morgan), 1879-1970.</t>
  </si>
  <si>
    <t>San Diego : Harcourt Brace Jovanovich, [1985], c1953.</t>
  </si>
  <si>
    <t>2000-10-11</t>
  </si>
  <si>
    <t>5453852566:eng</t>
  </si>
  <si>
    <t>11971356</t>
  </si>
  <si>
    <t>991000620479702656</t>
  </si>
  <si>
    <t>2256926970002656</t>
  </si>
  <si>
    <t>9780156402651</t>
  </si>
  <si>
    <t>32285000336759</t>
  </si>
  <si>
    <t>893521851</t>
  </si>
  <si>
    <t>DS485.G8 P38</t>
  </si>
  <si>
    <t>0                      DS 0485000G  8                  P  38</t>
  </si>
  <si>
    <t>Merchants and rulers in Gujarat : the response to the Portuguese in the sixteenth century / M. N. Pearson.</t>
  </si>
  <si>
    <t>Pearson, M. N. (Michael Naylor), 1941-</t>
  </si>
  <si>
    <t>365409213:eng</t>
  </si>
  <si>
    <t>2118473</t>
  </si>
  <si>
    <t>991004018129702656</t>
  </si>
  <si>
    <t>2265315090002656</t>
  </si>
  <si>
    <t>9780520028098</t>
  </si>
  <si>
    <t>32285002457801</t>
  </si>
  <si>
    <t>893247060</t>
  </si>
  <si>
    <t>DS485.H6 D66</t>
  </si>
  <si>
    <t>0                      DS 0485000H  6                  D  66</t>
  </si>
  <si>
    <t>Beyond the high Himalayas.</t>
  </si>
  <si>
    <t>Douglas, William O. (William Orville), 1898-1980.</t>
  </si>
  <si>
    <t>Garden City, N.Y., Doubleday, 1952.</t>
  </si>
  <si>
    <t>1997-09-23</t>
  </si>
  <si>
    <t>48209756:eng</t>
  </si>
  <si>
    <t>409419</t>
  </si>
  <si>
    <t>991002711509702656</t>
  </si>
  <si>
    <t>2262368420002656</t>
  </si>
  <si>
    <t>32285000336783</t>
  </si>
  <si>
    <t>893904048</t>
  </si>
  <si>
    <t>DS485.K27 A83 2001</t>
  </si>
  <si>
    <t>0                      DS 0485000K  27                 A  83          2001</t>
  </si>
  <si>
    <t>Kashmir and neighbours : tale, terror, truce / Turkkaya Ataov.</t>
  </si>
  <si>
    <t>Ataöv, Türkkaya.</t>
  </si>
  <si>
    <t>Aldershot, Eng. ; Burlington, VT : Ashgate, c2001.</t>
  </si>
  <si>
    <t>365953151:eng</t>
  </si>
  <si>
    <t>49001699</t>
  </si>
  <si>
    <t>991004018589702656</t>
  </si>
  <si>
    <t>2270110950002656</t>
  </si>
  <si>
    <t>9780754622468</t>
  </si>
  <si>
    <t>32285004741269</t>
  </si>
  <si>
    <t>893445990</t>
  </si>
  <si>
    <t>DS485.K27 D36 2001</t>
  </si>
  <si>
    <t>0                      DS 0485000K  27                 D  36          2001</t>
  </si>
  <si>
    <t>Kashmir and Sindh : nation-building, ethnicity and regional politics in South Asia / Suranjan Das.</t>
  </si>
  <si>
    <t>Das, Suranjan.</t>
  </si>
  <si>
    <t>London : Anthem Press, c2001.</t>
  </si>
  <si>
    <t>Anthem modern South Asian studies</t>
  </si>
  <si>
    <t>2006-05-10</t>
  </si>
  <si>
    <t>38894614:eng</t>
  </si>
  <si>
    <t>49542566</t>
  </si>
  <si>
    <t>991004018639702656</t>
  </si>
  <si>
    <t>2265858010002656</t>
  </si>
  <si>
    <t>9781898855699</t>
  </si>
  <si>
    <t>32285004740204</t>
  </si>
  <si>
    <t>893881949</t>
  </si>
  <si>
    <t>DS485.K27 G37 1997</t>
  </si>
  <si>
    <t>0                      DS 0485000K  27                 G  37          1997</t>
  </si>
  <si>
    <t>The crisis in Kashmir : portents of war, hopes of peace / Šumit Ganguly.</t>
  </si>
  <si>
    <t>[Washington, D.C.] : Woodrow Wilson Center Press ; Cambridge ; New York : Cambridge University Press, 1997.</t>
  </si>
  <si>
    <t>20676754:eng</t>
  </si>
  <si>
    <t>35814799</t>
  </si>
  <si>
    <t>991002730529702656</t>
  </si>
  <si>
    <t>2258499610002656</t>
  </si>
  <si>
    <t>9780521590662</t>
  </si>
  <si>
    <t>32285003375614</t>
  </si>
  <si>
    <t>893627277</t>
  </si>
  <si>
    <t>DS485.K27 N36 1994</t>
  </si>
  <si>
    <t>0                      DS 0485000K  27                 N  36          1994</t>
  </si>
  <si>
    <t>Conquering Kashmir : a Pakistani obsession / K.K. Nanda.</t>
  </si>
  <si>
    <t>Nanda, K. K., Lieut. Gen.</t>
  </si>
  <si>
    <t>New Delhi : Lancers Books, 1994.</t>
  </si>
  <si>
    <t>474064208:eng</t>
  </si>
  <si>
    <t>32048167</t>
  </si>
  <si>
    <t>991002458219702656</t>
  </si>
  <si>
    <t>2267953910002656</t>
  </si>
  <si>
    <t>9788170950455</t>
  </si>
  <si>
    <t>32285003472817</t>
  </si>
  <si>
    <t>893352336</t>
  </si>
  <si>
    <t>DS485.K27 W57 1998</t>
  </si>
  <si>
    <t>0                      DS 0485000K  27                 W  57          1998</t>
  </si>
  <si>
    <t>India, Pakistan, and the Kashmir dispute : on regional conflict and its resolution / Robert G. Wirsing.</t>
  </si>
  <si>
    <t>Wirsing, Robert.</t>
  </si>
  <si>
    <t>1st St Martins's pbk. ed.</t>
  </si>
  <si>
    <t>1998-07-28</t>
  </si>
  <si>
    <t>197957685:eng</t>
  </si>
  <si>
    <t>38855406</t>
  </si>
  <si>
    <t>991002923499702656</t>
  </si>
  <si>
    <t>2256490750002656</t>
  </si>
  <si>
    <t>9780312175627</t>
  </si>
  <si>
    <t>32285003446647</t>
  </si>
  <si>
    <t>893445448</t>
  </si>
  <si>
    <t>DS485.M348 F45 2003</t>
  </si>
  <si>
    <t>0                      DS 0485000M  348                F  45          2003</t>
  </si>
  <si>
    <t>Connected places : region, pilgrimage, and geographical imagination in India / Anne Feldhaus.</t>
  </si>
  <si>
    <t>Feldhaus, Anne.</t>
  </si>
  <si>
    <t>New York : Palgrave Macmillan, 2003.</t>
  </si>
  <si>
    <t>Religion/culture/critique</t>
  </si>
  <si>
    <t>793983186:eng</t>
  </si>
  <si>
    <t>51879680</t>
  </si>
  <si>
    <t>991004268239702656</t>
  </si>
  <si>
    <t>2261338700002656</t>
  </si>
  <si>
    <t>9781403963239</t>
  </si>
  <si>
    <t>32285004901426</t>
  </si>
  <si>
    <t>893605818</t>
  </si>
  <si>
    <t>DS485.M349 G66 1998</t>
  </si>
  <si>
    <t>0                      DS 0485000M  349                G  66          1998</t>
  </si>
  <si>
    <t>Marathas, marauders, and state formation in eighteenth-century India / Stewart Gordon.</t>
  </si>
  <si>
    <t>Gordon, Stewart, 1945-</t>
  </si>
  <si>
    <t>Delhi : Oxford University Press, 1998, c1994.</t>
  </si>
  <si>
    <t>2002-11-11</t>
  </si>
  <si>
    <t>118034510:eng</t>
  </si>
  <si>
    <t>41019541</t>
  </si>
  <si>
    <t>991003866369702656</t>
  </si>
  <si>
    <t>2269928920002656</t>
  </si>
  <si>
    <t>9780195647488</t>
  </si>
  <si>
    <t>32285004662663</t>
  </si>
  <si>
    <t>893627824</t>
  </si>
  <si>
    <t>DS485.N4 B8 1971b</t>
  </si>
  <si>
    <t>0                      DS 0485000N  4                  B  8           1971b</t>
  </si>
  <si>
    <t>An account of the Kingdom of Nepal and of the territories annexed to this dominion by the House of Gorkha, by Francis Buchanan Hamilton. With an introd. by Marc Gaborieau.</t>
  </si>
  <si>
    <t>Hamilton, Francis, 1762-1829.</t>
  </si>
  <si>
    <t>New Delhi, Man̄juśrī Pub. House, 1971.</t>
  </si>
  <si>
    <t>Bibliotheca Himalayica ; ser. 1, v. 10</t>
  </si>
  <si>
    <t>1998-10-01</t>
  </si>
  <si>
    <t>1470820:eng</t>
  </si>
  <si>
    <t>457093</t>
  </si>
  <si>
    <t>991002814009702656</t>
  </si>
  <si>
    <t>2262828480002656</t>
  </si>
  <si>
    <t>32285002273034</t>
  </si>
  <si>
    <t>893867741</t>
  </si>
  <si>
    <t>DS485.N4 H55</t>
  </si>
  <si>
    <t>0                      DS 0485000N  4                  H  55</t>
  </si>
  <si>
    <t>The Magars of Banyan Hill, by John T. Hitchcock.</t>
  </si>
  <si>
    <t>Hitchcock, John Thayer, 1917-</t>
  </si>
  <si>
    <t>New York, Holt, Rinehart and Winston [1966]</t>
  </si>
  <si>
    <t>Case studies in cultural anthropology</t>
  </si>
  <si>
    <t>2003-09-16</t>
  </si>
  <si>
    <t>1447088:eng</t>
  </si>
  <si>
    <t>409408</t>
  </si>
  <si>
    <t>991002711449702656</t>
  </si>
  <si>
    <t>2262365200002656</t>
  </si>
  <si>
    <t>32285002457850</t>
  </si>
  <si>
    <t>893329434</t>
  </si>
  <si>
    <t>DS485.N4 J34 1966</t>
  </si>
  <si>
    <t>0                      DS 0485000N  4                  J  34          1966</t>
  </si>
  <si>
    <t>The Gurkhas [by] Harold James &amp; Denis Sheil-Small.</t>
  </si>
  <si>
    <t>James, Harold, 1956-</t>
  </si>
  <si>
    <t>[Harrisburg, Pa.] Stackpole Books [1966, c1965]</t>
  </si>
  <si>
    <t>2001-03-26</t>
  </si>
  <si>
    <t>3523796:eng</t>
  </si>
  <si>
    <t>1447250</t>
  </si>
  <si>
    <t>991003760499702656</t>
  </si>
  <si>
    <t>2271774930002656</t>
  </si>
  <si>
    <t>32285002457868</t>
  </si>
  <si>
    <t>893611406</t>
  </si>
  <si>
    <t>DS485.N4 R67</t>
  </si>
  <si>
    <t>0                      DS 0485000N  4                  R  67</t>
  </si>
  <si>
    <t>Nepal; strategy for survival [by] Leo E. Rose.</t>
  </si>
  <si>
    <t>Rose, Leo E.</t>
  </si>
  <si>
    <t>Berkeley, University of California Press, 1971.</t>
  </si>
  <si>
    <t>2000-05-31</t>
  </si>
  <si>
    <t>2203441:eng</t>
  </si>
  <si>
    <t>1275342</t>
  </si>
  <si>
    <t>991005358139702656</t>
  </si>
  <si>
    <t>2260391850002656</t>
  </si>
  <si>
    <t>9780520016439</t>
  </si>
  <si>
    <t>32285002457884</t>
  </si>
  <si>
    <t>893431353</t>
  </si>
  <si>
    <t>DS485.N7 S7 1974</t>
  </si>
  <si>
    <t>0                      DS 0485000N  7                  S  7           1974</t>
  </si>
  <si>
    <t>On Alexander's track to the Indus : personal narrative of explorations on the north-west frontier of India carried out under the orders of H. M. Indian Government / by Sir Aurel Stein.</t>
  </si>
  <si>
    <t>Stein, Aurel, Sir, 1862-1943.</t>
  </si>
  <si>
    <t>2008-08-21</t>
  </si>
  <si>
    <t>1575765:eng</t>
  </si>
  <si>
    <t>1126526</t>
  </si>
  <si>
    <t>991003557409702656</t>
  </si>
  <si>
    <t>2270368830002656</t>
  </si>
  <si>
    <t>9780890050361</t>
  </si>
  <si>
    <t>32285000336809</t>
  </si>
  <si>
    <t>893805911</t>
  </si>
  <si>
    <t>DS485.P2 L33 1964</t>
  </si>
  <si>
    <t>0                      DS 0485000P  2                  L  33          1964</t>
  </si>
  <si>
    <t>History of the Panjab from the remotest antiquity to the present time.</t>
  </si>
  <si>
    <t>Latif, Syad Muhammad, 1851-1902.</t>
  </si>
  <si>
    <t>New Delhi, Eurasia Pub. House, 1964.</t>
  </si>
  <si>
    <t>1998-03-18</t>
  </si>
  <si>
    <t>1891449:eng</t>
  </si>
  <si>
    <t>936342</t>
  </si>
  <si>
    <t>991003397459702656</t>
  </si>
  <si>
    <t>2272398880002656</t>
  </si>
  <si>
    <t>32285002273042</t>
  </si>
  <si>
    <t>893598552</t>
  </si>
  <si>
    <t>DS485.P3 K36 1986</t>
  </si>
  <si>
    <t>0                      DS 0485000P  3                  K  36          1986</t>
  </si>
  <si>
    <t>Sikh separatism : the politics of faith / Rajiv A. Kapur.</t>
  </si>
  <si>
    <t>Kapur, Rajiv A.</t>
  </si>
  <si>
    <t>London ; Boston ; Allen &amp; Unwin, 1986.</t>
  </si>
  <si>
    <t>1999-09-19</t>
  </si>
  <si>
    <t>836673545:eng</t>
  </si>
  <si>
    <t>12667402</t>
  </si>
  <si>
    <t>991000722019702656</t>
  </si>
  <si>
    <t>2262768380002656</t>
  </si>
  <si>
    <t>9780043201794</t>
  </si>
  <si>
    <t>32285000336825</t>
  </si>
  <si>
    <t>893608226</t>
  </si>
  <si>
    <t>DS485.P3 S493 1984</t>
  </si>
  <si>
    <t>0                      DS 0485000P  3                  S  493         1984</t>
  </si>
  <si>
    <t>A history of the Sikhs / by Khushwant Singh.</t>
  </si>
  <si>
    <t>Khushwant Singh, 1915-2014.</t>
  </si>
  <si>
    <t>Princeton, N.J. : Princeton University Press, 1984, c1963.</t>
  </si>
  <si>
    <t>2002-02-22</t>
  </si>
  <si>
    <t>3943316990:eng</t>
  </si>
  <si>
    <t>11819068</t>
  </si>
  <si>
    <t>991000598839702656</t>
  </si>
  <si>
    <t>2263472530002656</t>
  </si>
  <si>
    <t>9780691008035</t>
  </si>
  <si>
    <t>32285000336841</t>
  </si>
  <si>
    <t>893249494</t>
  </si>
  <si>
    <t>1997-09-28</t>
  </si>
  <si>
    <t>32285000336833</t>
  </si>
  <si>
    <t>893237440</t>
  </si>
  <si>
    <t>DS485.P83 D57 1987</t>
  </si>
  <si>
    <t>0                      DS 0485000P  83                 D  57          1987</t>
  </si>
  <si>
    <t>The hollow crown : ethnohistory of an Indian kingdom / Nicholas B. Dirks.</t>
  </si>
  <si>
    <t>Dirks, Nicholas B., 1950-</t>
  </si>
  <si>
    <t>Cambridge [Cambridgeshire] ; New York : Cambridge University Press, 1987.</t>
  </si>
  <si>
    <t>Cambridge South Asian studies</t>
  </si>
  <si>
    <t>1993-02-24</t>
  </si>
  <si>
    <t>795412735:eng</t>
  </si>
  <si>
    <t>14242883</t>
  </si>
  <si>
    <t>991000928689702656</t>
  </si>
  <si>
    <t>2270241740002656</t>
  </si>
  <si>
    <t>9780521326049</t>
  </si>
  <si>
    <t>32285000336858</t>
  </si>
  <si>
    <t>893696298</t>
  </si>
  <si>
    <t>DS485.R2 S62 1981</t>
  </si>
  <si>
    <t>0                      DS 0485000R  2                  S  62          1981</t>
  </si>
  <si>
    <t>Rajasthan, India's enchanted land / introduction and 80 color photographs by Raghubir Singh ; foreword by Satyajit Ray.</t>
  </si>
  <si>
    <t>Singh, Raghubir.</t>
  </si>
  <si>
    <t>New York, N.Y. : Thames and Hudson, 1981.</t>
  </si>
  <si>
    <t>3943471209:eng</t>
  </si>
  <si>
    <t>8280481</t>
  </si>
  <si>
    <t>991005225029702656</t>
  </si>
  <si>
    <t>2257260370002656</t>
  </si>
  <si>
    <t>9780500540701</t>
  </si>
  <si>
    <t>32285000336866</t>
  </si>
  <si>
    <t>893431079</t>
  </si>
  <si>
    <t>DS485.S5 Z4</t>
  </si>
  <si>
    <t>0                      DS 0485000S  5                  Z  4</t>
  </si>
  <si>
    <t>Lands of the thunderbolt : Sikhim, Chumbi &amp; Bhutan / by the Earl of Ronaldshay.</t>
  </si>
  <si>
    <t>Zetland, Lawrence John Lumley Dundas, Marquis of, 1876-1961.</t>
  </si>
  <si>
    <t>Boston ; and New York : Houghton Mifflin co., 1923.</t>
  </si>
  <si>
    <t>1923</t>
  </si>
  <si>
    <t>2004-12-13</t>
  </si>
  <si>
    <t>24528784:eng</t>
  </si>
  <si>
    <t>536260</t>
  </si>
  <si>
    <t>991002944109702656</t>
  </si>
  <si>
    <t>2263771570002656</t>
  </si>
  <si>
    <t>32285002457900</t>
  </si>
  <si>
    <t>893348136</t>
  </si>
  <si>
    <t>DS485.U64 R54</t>
  </si>
  <si>
    <t>0                      DS 0485000U  64                 R  54</t>
  </si>
  <si>
    <t>Separatism among Indian Muslims : the politics of the United Provinces' Muslims, 1860-1923 / Francis Robinson.</t>
  </si>
  <si>
    <t>Robinson, Francis.</t>
  </si>
  <si>
    <t>London : Cambridge University Press, 1974.</t>
  </si>
  <si>
    <t>Cambridge South Asian studies ; no. 16</t>
  </si>
  <si>
    <t>795760007:eng</t>
  </si>
  <si>
    <t>1211762</t>
  </si>
  <si>
    <t>991003623029702656</t>
  </si>
  <si>
    <t>2268343550002656</t>
  </si>
  <si>
    <t>9780521204323</t>
  </si>
  <si>
    <t>32285002457934</t>
  </si>
  <si>
    <t>893692938</t>
  </si>
  <si>
    <t>DS486.D3 H85 1965b</t>
  </si>
  <si>
    <t>0                      DS 0486000D  3                  H  85          1965b</t>
  </si>
  <si>
    <t>Delhi, Agra, Fatehpur Sikri / Martin Hürlimann.</t>
  </si>
  <si>
    <t>Hürlimann, Martin, 1897-1984.</t>
  </si>
  <si>
    <t>London : Thames and Hudson, [1965].</t>
  </si>
  <si>
    <t>1992-01-13</t>
  </si>
  <si>
    <t>2220924:eng</t>
  </si>
  <si>
    <t>7231521</t>
  </si>
  <si>
    <t>991005091889702656</t>
  </si>
  <si>
    <t>2272064890002656</t>
  </si>
  <si>
    <t>32285000336882</t>
  </si>
  <si>
    <t>893526880</t>
  </si>
  <si>
    <t>DS486.D3 S58 1999</t>
  </si>
  <si>
    <t>0                      DS 0486000D  3                  S  58          1999</t>
  </si>
  <si>
    <t>Ancient Delhi / Upinder Singh.</t>
  </si>
  <si>
    <t>Singh, Upinder.</t>
  </si>
  <si>
    <t>New Delhi ; New York : Oxford University Press, 1999.</t>
  </si>
  <si>
    <t>2002-01-09</t>
  </si>
  <si>
    <t>33292431:eng</t>
  </si>
  <si>
    <t>44068157</t>
  </si>
  <si>
    <t>991003687929702656</t>
  </si>
  <si>
    <t>2259129510002656</t>
  </si>
  <si>
    <t>9780195649192</t>
  </si>
  <si>
    <t>32285004446158</t>
  </si>
  <si>
    <t>893881436</t>
  </si>
  <si>
    <t>DS486.E8 D4 1954a</t>
  </si>
  <si>
    <t>0                      DS 0486000E  8                  D  4           1954a</t>
  </si>
  <si>
    <t>Alone to Everest.</t>
  </si>
  <si>
    <t>Denman, Earl.</t>
  </si>
  <si>
    <t>New York, Coward-McCann [1954]</t>
  </si>
  <si>
    <t>2502136:eng</t>
  </si>
  <si>
    <t>1672094</t>
  </si>
  <si>
    <t>991003863249702656</t>
  </si>
  <si>
    <t>2266707860002656</t>
  </si>
  <si>
    <t>32285002457967</t>
  </si>
  <si>
    <t>893324631</t>
  </si>
  <si>
    <t>DS486.E8 N57 1927b</t>
  </si>
  <si>
    <t>0                      DS 0486000E  8                  N  57          1927b</t>
  </si>
  <si>
    <t>The story of Everest, by Captain John Noel ... illustrated from photographs by the author.</t>
  </si>
  <si>
    <t>Noel, J. B. L. (John Baptist Lucius), 1890-1989.</t>
  </si>
  <si>
    <t>New York, Blue Ribbon Books, c1927, 1931 printing.</t>
  </si>
  <si>
    <t>1931</t>
  </si>
  <si>
    <t>768109610:eng</t>
  </si>
  <si>
    <t>649119</t>
  </si>
  <si>
    <t>991003099869702656</t>
  </si>
  <si>
    <t>2259072080002656</t>
  </si>
  <si>
    <t>32285000336890</t>
  </si>
  <si>
    <t>893717324</t>
  </si>
  <si>
    <t>DS486.G63 B4</t>
  </si>
  <si>
    <t>0                      DS 0486000G  63                 B  4</t>
  </si>
  <si>
    <t>Gopalpur; a south Indian village.</t>
  </si>
  <si>
    <t>Beals, Alan R.</t>
  </si>
  <si>
    <t>New York, Holt, Rinehart and Winston [1962]</t>
  </si>
  <si>
    <t>2000-08-30</t>
  </si>
  <si>
    <t>17879298:eng</t>
  </si>
  <si>
    <t>173759</t>
  </si>
  <si>
    <t>991001021389702656</t>
  </si>
  <si>
    <t>2268411580002656</t>
  </si>
  <si>
    <t>32285002457975</t>
  </si>
  <si>
    <t>893778481</t>
  </si>
  <si>
    <t>DS486.H84 A98 1992</t>
  </si>
  <si>
    <t>0                      DS 0486000H  84                 A  98          1992</t>
  </si>
  <si>
    <t>City of legends : the story of Hyderabad / Ian Austin.</t>
  </si>
  <si>
    <t>Austin, Ian.</t>
  </si>
  <si>
    <t>New Delhi : VIKING : Penguin Books India, c1992.</t>
  </si>
  <si>
    <t>1998-10-27</t>
  </si>
  <si>
    <t>30363713:eng</t>
  </si>
  <si>
    <t>27820667</t>
  </si>
  <si>
    <t>991002163159702656</t>
  </si>
  <si>
    <t>2269602990002656</t>
  </si>
  <si>
    <t>9780670847242</t>
  </si>
  <si>
    <t>32285000989847</t>
  </si>
  <si>
    <t>893250890</t>
  </si>
  <si>
    <t>DS489.5 .L78 1966a</t>
  </si>
  <si>
    <t>0                      DS 0489500L  78          1966a</t>
  </si>
  <si>
    <t>The modern history of Ceylon [by] E. F. C. Ludowyk.</t>
  </si>
  <si>
    <t>Ludowyk, E. F. C. (Evelyn Frederick Charles), 1906-1985.</t>
  </si>
  <si>
    <t>New York, Praeger [1966]</t>
  </si>
  <si>
    <t>The Praeger Asia-Africa series</t>
  </si>
  <si>
    <t>1998-11-19</t>
  </si>
  <si>
    <t>194815621:eng</t>
  </si>
  <si>
    <t>175777</t>
  </si>
  <si>
    <t>991001041479702656</t>
  </si>
  <si>
    <t>2265193010002656</t>
  </si>
  <si>
    <t>32285002458056</t>
  </si>
  <si>
    <t>893225562</t>
  </si>
  <si>
    <t>DS489.8 .H67</t>
  </si>
  <si>
    <t>0                      DS 0489800H  67</t>
  </si>
  <si>
    <t>Coup theories and officers' motives : Sri Lanka in comparative perspective / Donald L. Horowitz.</t>
  </si>
  <si>
    <t>Horowitz, Donald L.</t>
  </si>
  <si>
    <t>2004-11-17</t>
  </si>
  <si>
    <t>865276174:eng</t>
  </si>
  <si>
    <t>6448310</t>
  </si>
  <si>
    <t>991004985939702656</t>
  </si>
  <si>
    <t>2269764410002656</t>
  </si>
  <si>
    <t>9780691021997</t>
  </si>
  <si>
    <t>32285000145036</t>
  </si>
  <si>
    <t>893326015</t>
  </si>
  <si>
    <t>DS489.8 .T34 1991</t>
  </si>
  <si>
    <t>0                      DS 0489800T  34          1991</t>
  </si>
  <si>
    <t>Sri Lanka : ethnic fratricide and the dismantling of democracy / S.J. Tambiah.</t>
  </si>
  <si>
    <t>Tambiah, Stanley Jeyaraja, 1929-2014.</t>
  </si>
  <si>
    <t>Chicago : University of Chicago Press, 1991, c1986.</t>
  </si>
  <si>
    <t>Paperback ed.</t>
  </si>
  <si>
    <t>1992-04-08</t>
  </si>
  <si>
    <t>795382702:eng</t>
  </si>
  <si>
    <t>12808514</t>
  </si>
  <si>
    <t>991000741169702656</t>
  </si>
  <si>
    <t>2259765190002656</t>
  </si>
  <si>
    <t>9780226789521</t>
  </si>
  <si>
    <t>32285001008811</t>
  </si>
  <si>
    <t>893515572</t>
  </si>
  <si>
    <t>DS489.84 .C74 1999</t>
  </si>
  <si>
    <t>0                      DS 0489840C  74          1999</t>
  </si>
  <si>
    <t>Creating peace in Sri Lanka : civil war and reconciliation / Robert I. Rotberg, editor.</t>
  </si>
  <si>
    <t>Cambridge, Mass. : World Peace Foundation and Belfer Center for Science and International Affairs ; Washington, D.C. : Brookings Institution Press, 1999.</t>
  </si>
  <si>
    <t>2010-06-01</t>
  </si>
  <si>
    <t>891220442:eng</t>
  </si>
  <si>
    <t>41516383</t>
  </si>
  <si>
    <t>991003030729702656</t>
  </si>
  <si>
    <t>2257788270002656</t>
  </si>
  <si>
    <t>9780815775782</t>
  </si>
  <si>
    <t>32285003663134</t>
  </si>
  <si>
    <t>893530781</t>
  </si>
  <si>
    <t>DS489.84 .D48 2004</t>
  </si>
  <si>
    <t>0                      DS 0489840D  48          2004</t>
  </si>
  <si>
    <t>Blowback : linguistic nationalism, institutional decay, and ethnic conflict in Sri Lanka / Neil DeVotta.</t>
  </si>
  <si>
    <t>DeVotta, Neil.</t>
  </si>
  <si>
    <t>Stanford, Calif. : Stanford University Press, 2004.</t>
  </si>
  <si>
    <t>Contemporary issues in Asia and the Pacific</t>
  </si>
  <si>
    <t>2005-10-04</t>
  </si>
  <si>
    <t>11921838:eng</t>
  </si>
  <si>
    <t>53900982</t>
  </si>
  <si>
    <t>991004642709702656</t>
  </si>
  <si>
    <t>2270045500002656</t>
  </si>
  <si>
    <t>9780804749237</t>
  </si>
  <si>
    <t>32285005087068</t>
  </si>
  <si>
    <t>893253926</t>
  </si>
  <si>
    <t>DS49 .I9</t>
  </si>
  <si>
    <t>0                      DS 0049000I  9</t>
  </si>
  <si>
    <t>The Arab world: past, present, and future, by Nejla Izzeddin. Foreword by William Ernest Hocking.</t>
  </si>
  <si>
    <t>Abu Izzeddin, Nejla M.</t>
  </si>
  <si>
    <t>Chicago, H. Regnery, 1953.</t>
  </si>
  <si>
    <t>796663950:eng</t>
  </si>
  <si>
    <t>19588607</t>
  </si>
  <si>
    <t>991001477019702656</t>
  </si>
  <si>
    <t>2262260370002656</t>
  </si>
  <si>
    <t>32285002209525</t>
  </si>
  <si>
    <t>893709314</t>
  </si>
  <si>
    <t>DS49 .M65 1936</t>
  </si>
  <si>
    <t>0                      DS 0049000M  65          1936</t>
  </si>
  <si>
    <t>In the steps of St. Paul.</t>
  </si>
  <si>
    <t>Morton, H. V. (Henry Vollam), 1892-1979.</t>
  </si>
  <si>
    <t>New York, Dodd, Mead &amp; company, 1936.</t>
  </si>
  <si>
    <t>1936</t>
  </si>
  <si>
    <t>1999-02-01</t>
  </si>
  <si>
    <t>159495223:eng</t>
  </si>
  <si>
    <t>398621</t>
  </si>
  <si>
    <t>991002681759702656</t>
  </si>
  <si>
    <t>2259546300002656</t>
  </si>
  <si>
    <t>32285002468725</t>
  </si>
  <si>
    <t>893323231</t>
  </si>
  <si>
    <t>DS49.7 .H67 1991</t>
  </si>
  <si>
    <t>0                      DS 0049700H  67          1991</t>
  </si>
  <si>
    <t>Baghdad without a map, and other misadventures in Arabia / Tony Horwitz.</t>
  </si>
  <si>
    <t>Horwitz, Tony, 1958-2019.</t>
  </si>
  <si>
    <t>New York, N.Y., U.S.A. : Dutton, c1991.</t>
  </si>
  <si>
    <t>2008-06-30</t>
  </si>
  <si>
    <t>1991-06-11</t>
  </si>
  <si>
    <t>1975128:eng</t>
  </si>
  <si>
    <t>22386662</t>
  </si>
  <si>
    <t>991001772869702656</t>
  </si>
  <si>
    <t>2265757130002656</t>
  </si>
  <si>
    <t>32285000594100</t>
  </si>
  <si>
    <t>893352007</t>
  </si>
  <si>
    <t>DS49.7 .V56 1994</t>
  </si>
  <si>
    <t>0                      DS 0049700V  56          1994</t>
  </si>
  <si>
    <t>Sandcastles : the Arabs in search of the modern world / Milton Viorst.</t>
  </si>
  <si>
    <t>Viorst, Milton.</t>
  </si>
  <si>
    <t>New York : Alfred Knopf : Distributed by Random House, 1994.</t>
  </si>
  <si>
    <t>1994-05-09</t>
  </si>
  <si>
    <t>30954629:eng</t>
  </si>
  <si>
    <t>28292653</t>
  </si>
  <si>
    <t>991002199549702656</t>
  </si>
  <si>
    <t>2257402900002656</t>
  </si>
  <si>
    <t>9780679405993</t>
  </si>
  <si>
    <t>32285001879559</t>
  </si>
  <si>
    <t>893792144</t>
  </si>
  <si>
    <t>DS49.7.H89 F7</t>
  </si>
  <si>
    <t>0                      DS 0049700H  89                 F  7</t>
  </si>
  <si>
    <t>From an antique land; ancient and modern in the Middle East [by] Julian Huxley.</t>
  </si>
  <si>
    <t>Huxley, Julian, 1887-1975.</t>
  </si>
  <si>
    <t>Boston, Beacon Press [1968, c1966]</t>
  </si>
  <si>
    <t>Beacon paperback, BP283</t>
  </si>
  <si>
    <t>2007-07-02</t>
  </si>
  <si>
    <t>1376620:eng</t>
  </si>
  <si>
    <t>2293887</t>
  </si>
  <si>
    <t>991004069139702656</t>
  </si>
  <si>
    <t>2267897840002656</t>
  </si>
  <si>
    <t>32285002468816</t>
  </si>
  <si>
    <t>893506382</t>
  </si>
  <si>
    <t>DS493.4 .R67</t>
  </si>
  <si>
    <t>0                      DS 0493400R  67</t>
  </si>
  <si>
    <t>Nepal : profile of a Himalayan kingdom / Leo E. Rose &amp; John T. Scholz.</t>
  </si>
  <si>
    <t>Boulder, Colo. : Westview Press, 1980.</t>
  </si>
  <si>
    <t>Nations of contemporary Asia</t>
  </si>
  <si>
    <t>2000-06-09</t>
  </si>
  <si>
    <t>890053841:eng</t>
  </si>
  <si>
    <t>5239762</t>
  </si>
  <si>
    <t>991004804959702656</t>
  </si>
  <si>
    <t>2264354230002656</t>
  </si>
  <si>
    <t>9780891586517</t>
  </si>
  <si>
    <t>32285000336916</t>
  </si>
  <si>
    <t>893500984</t>
  </si>
  <si>
    <t>DS493.9.S5 S54 1994</t>
  </si>
  <si>
    <t>0                      DS 0493900S  5                  S  54          1994</t>
  </si>
  <si>
    <t>Living in the middle : Sherpas of the mid-range Himalayas / Donna M. Sherpa.</t>
  </si>
  <si>
    <t>Sherpa, Donna M.</t>
  </si>
  <si>
    <t>Prospect Heights, Ill. : Waveland Press, c1994.</t>
  </si>
  <si>
    <t>1994-08-03</t>
  </si>
  <si>
    <t>32000178:eng</t>
  </si>
  <si>
    <t>30305044</t>
  </si>
  <si>
    <t>991002326699702656</t>
  </si>
  <si>
    <t>2261081300002656</t>
  </si>
  <si>
    <t>9780881337457</t>
  </si>
  <si>
    <t>32285001941110</t>
  </si>
  <si>
    <t>893609725</t>
  </si>
  <si>
    <t>DS495.5 .S52</t>
  </si>
  <si>
    <t>0                      DS 0495500S  52</t>
  </si>
  <si>
    <t>Nepali politics : retrospect and prospect / Rishikesh Shaha.</t>
  </si>
  <si>
    <t>Shaha, Rishikesh.</t>
  </si>
  <si>
    <t>Delhi ; New York : Oxford University Press, 1975.</t>
  </si>
  <si>
    <t>1992-12-11</t>
  </si>
  <si>
    <t>2730580:eng</t>
  </si>
  <si>
    <t>1977013</t>
  </si>
  <si>
    <t>991003964169702656</t>
  </si>
  <si>
    <t>2268499630002656</t>
  </si>
  <si>
    <t>9780195606430</t>
  </si>
  <si>
    <t>32285001441038</t>
  </si>
  <si>
    <t>893593113</t>
  </si>
  <si>
    <t>DS495.8.T37 G34</t>
  </si>
  <si>
    <t>0                      DS 0495800T  37                 G  34</t>
  </si>
  <si>
    <t>Regionalism and national unity in Nepal / Frederick H. Gaige.</t>
  </si>
  <si>
    <t>Gaige, Frederick H.</t>
  </si>
  <si>
    <t>Berkeley : University of California Press, c1975.</t>
  </si>
  <si>
    <t>2000-02-20</t>
  </si>
  <si>
    <t>1993-01-06</t>
  </si>
  <si>
    <t>2595628:eng</t>
  </si>
  <si>
    <t>1854481</t>
  </si>
  <si>
    <t>991003912529702656</t>
  </si>
  <si>
    <t>2266300480002656</t>
  </si>
  <si>
    <t>9780520027282</t>
  </si>
  <si>
    <t>32285001485407</t>
  </si>
  <si>
    <t>893410890</t>
  </si>
  <si>
    <t>DS498 .D19 1966</t>
  </si>
  <si>
    <t>0                      DS 0498000D  19          1966</t>
  </si>
  <si>
    <t>The Portuguese in India; being a history of the rise and decline of their Eastern empire.</t>
  </si>
  <si>
    <t>Danvers, Frederick Charles, 1833-1906.</t>
  </si>
  <si>
    <t>New York, Octagon Books, 1966.</t>
  </si>
  <si>
    <t>2007-06-21</t>
  </si>
  <si>
    <t>10596235339:eng</t>
  </si>
  <si>
    <t>409438</t>
  </si>
  <si>
    <t>991002711609702656</t>
  </si>
  <si>
    <t>2262375460002656</t>
  </si>
  <si>
    <t>32285002458106</t>
  </si>
  <si>
    <t>893886610</t>
  </si>
  <si>
    <t>32285002458098</t>
  </si>
  <si>
    <t>893880301</t>
  </si>
  <si>
    <t>DS498 .R433</t>
  </si>
  <si>
    <t>0                      DS 0498000R  433</t>
  </si>
  <si>
    <t>Goa, Rome of the Orient, by Rémy [pseud.] Translated from the French by Lancelot C. Sheppard.</t>
  </si>
  <si>
    <t>Rémy, 1904-1984.</t>
  </si>
  <si>
    <t>London, A. Baker, [1957].</t>
  </si>
  <si>
    <t>2007-08-20</t>
  </si>
  <si>
    <t>146294423:eng</t>
  </si>
  <si>
    <t>905189</t>
  </si>
  <si>
    <t>991003369559702656</t>
  </si>
  <si>
    <t>2264057580002656</t>
  </si>
  <si>
    <t>32285002273067</t>
  </si>
  <si>
    <t>893592468</t>
  </si>
  <si>
    <t>DS5 .A817 1993</t>
  </si>
  <si>
    <t>0                      DS 0005000A  817         1993</t>
  </si>
  <si>
    <t>Asian and Asian American studies / compiled by the Choice editorial staff ; editor &amp; publisher, Patricia E. Sabosik.</t>
  </si>
  <si>
    <t>Middletown, CT : Choice, c1993.</t>
  </si>
  <si>
    <t>Choice ethnic studies reviews</t>
  </si>
  <si>
    <t>2000-03-27</t>
  </si>
  <si>
    <t>30575169:eng</t>
  </si>
  <si>
    <t>28617312</t>
  </si>
  <si>
    <t>991002221399702656</t>
  </si>
  <si>
    <t>2266717220002656</t>
  </si>
  <si>
    <t>32285001857076</t>
  </si>
  <si>
    <t>893232701</t>
  </si>
  <si>
    <t>DS504.5 .K59 2004</t>
  </si>
  <si>
    <t>0                      DS 0504500K  59          2004</t>
  </si>
  <si>
    <t>Understanding Australia's neighbours : an introduction to East and Southeast Asia / Nick Knight.</t>
  </si>
  <si>
    <t>Knight, Nick, 1947-</t>
  </si>
  <si>
    <t>2005-01-19</t>
  </si>
  <si>
    <t>685123025:eng</t>
  </si>
  <si>
    <t>55016403</t>
  </si>
  <si>
    <t>991004429219702656</t>
  </si>
  <si>
    <t>2260481530002656</t>
  </si>
  <si>
    <t>9780521549417</t>
  </si>
  <si>
    <t>32285005021893</t>
  </si>
  <si>
    <t>893599826</t>
  </si>
  <si>
    <t>DS504.5 .U4 2007</t>
  </si>
  <si>
    <t>0                      DS 0504500U  4           2007</t>
  </si>
  <si>
    <t>Understanding contemporary Asia Pacific / edited by Katherine Palmer Kaup.</t>
  </si>
  <si>
    <t>Boulder, Colo. : Lynne Rienner Publishers, 2007.</t>
  </si>
  <si>
    <t>Understanding</t>
  </si>
  <si>
    <t>62777824:eng</t>
  </si>
  <si>
    <t>77048218</t>
  </si>
  <si>
    <t>991005321039702656</t>
  </si>
  <si>
    <t>2268806000002656</t>
  </si>
  <si>
    <t>9781588260611</t>
  </si>
  <si>
    <t>32285005534150</t>
  </si>
  <si>
    <t>893802117</t>
  </si>
  <si>
    <t>DS507 .B88</t>
  </si>
  <si>
    <t>0                      DS 0507000B  88</t>
  </si>
  <si>
    <t>The Far East and the New America : a picturesque and historic account of these lands and peoples / by G. Waldo Browne.</t>
  </si>
  <si>
    <t>Browne, George Waldo, 1851-1930.</t>
  </si>
  <si>
    <t>New York, Los Angeles : R.H. Whitten Company, 1901.</t>
  </si>
  <si>
    <t>2002-05-29</t>
  </si>
  <si>
    <t>1996-08-26</t>
  </si>
  <si>
    <t>13713995:eng</t>
  </si>
  <si>
    <t>3982866</t>
  </si>
  <si>
    <t>991004558769702656</t>
  </si>
  <si>
    <t>2271119640002656</t>
  </si>
  <si>
    <t>32285002289089</t>
  </si>
  <si>
    <t>893593852</t>
  </si>
  <si>
    <t>32285002289071</t>
  </si>
  <si>
    <t>893628226</t>
  </si>
  <si>
    <t>32285002289048</t>
  </si>
  <si>
    <t>893624859</t>
  </si>
  <si>
    <t>32285002289097</t>
  </si>
  <si>
    <t>893612503</t>
  </si>
  <si>
    <t>32285002289055</t>
  </si>
  <si>
    <t>893624858</t>
  </si>
  <si>
    <t>32285002289063</t>
  </si>
  <si>
    <t>893599985</t>
  </si>
  <si>
    <t>DS508 .L26</t>
  </si>
  <si>
    <t>0                      DS 0508000L  26</t>
  </si>
  <si>
    <t>Peoples of southeast Asia, by Bruno Lasker; prepared under the auspices of the American Council of the Institute of Pacific Relations.</t>
  </si>
  <si>
    <t>Lasker, Bruno, 1880-1965.</t>
  </si>
  <si>
    <t>New York, A.A. Knopf, 1944.</t>
  </si>
  <si>
    <t>1944</t>
  </si>
  <si>
    <t>1664750:eng</t>
  </si>
  <si>
    <t>1232161</t>
  </si>
  <si>
    <t>991003637859702656</t>
  </si>
  <si>
    <t>2264068390002656</t>
  </si>
  <si>
    <t>32285002458221</t>
  </si>
  <si>
    <t>893893941</t>
  </si>
  <si>
    <t>DS509.3 .C3</t>
  </si>
  <si>
    <t>0                      DS 0509300C  3</t>
  </si>
  <si>
    <t>Thailand, Burma, Laos &amp; Cambodia [by] John F. Cady.</t>
  </si>
  <si>
    <t>Cady, John F. (John Frank), 1901-1996.</t>
  </si>
  <si>
    <t>Englewood Cliffs, N.J., Prentice-Hall [1966]</t>
  </si>
  <si>
    <t>770195777:eng</t>
  </si>
  <si>
    <t>411358</t>
  </si>
  <si>
    <t>991002716199702656</t>
  </si>
  <si>
    <t>2265075640002656</t>
  </si>
  <si>
    <t>32285002458262</t>
  </si>
  <si>
    <t>893591678</t>
  </si>
  <si>
    <t>DS51.A66 .C67 2001</t>
  </si>
  <si>
    <t>0                      DS 0051000A  66                 C  67          2001</t>
  </si>
  <si>
    <t>In search of the lost mountains of Noah : the discovery of the real Mts. of Ararat / Robert Cornuke and David Halbrook.</t>
  </si>
  <si>
    <t>Cornuke, Robert, 1951-</t>
  </si>
  <si>
    <t>Nashville, TN : Broadman &amp; Holman, c2001.</t>
  </si>
  <si>
    <t>2004-09-28</t>
  </si>
  <si>
    <t>1081061177:eng</t>
  </si>
  <si>
    <t>46951449</t>
  </si>
  <si>
    <t>991003628659702656</t>
  </si>
  <si>
    <t>2257656970002656</t>
  </si>
  <si>
    <t>9780805420548</t>
  </si>
  <si>
    <t>32285004413935</t>
  </si>
  <si>
    <t>893900192</t>
  </si>
  <si>
    <t>DS51.B3 M5</t>
  </si>
  <si>
    <t>0                      DS 0051000B  3                  M  5</t>
  </si>
  <si>
    <t>Camel-bells of Baghdad; an adventurous journey to the city of the Arabian nights, the tower of Babel, the garden of Eden, the palace of Darius, the bazaars of Teheran, and the mountains and deserts of Persia, by Janet Miller...</t>
  </si>
  <si>
    <t>Miller, Janet.</t>
  </si>
  <si>
    <t>Boston and New York, Houghton Mifflin company, 1934.</t>
  </si>
  <si>
    <t>1934</t>
  </si>
  <si>
    <t>903020530:eng</t>
  </si>
  <si>
    <t>1512380</t>
  </si>
  <si>
    <t>991003792929702656</t>
  </si>
  <si>
    <t>2260275690002656</t>
  </si>
  <si>
    <t>32285002468824</t>
  </si>
  <si>
    <t>893611460</t>
  </si>
  <si>
    <t>DS51.K7 K86313 1993</t>
  </si>
  <si>
    <t>0                      DS 0051000K  7                  K  86313       1993</t>
  </si>
  <si>
    <t>A people without a country : the Kurds and Kurdistan / edited by Gerard Chaliand ; translated by Michael Pallis ; foreword by David McDowall.</t>
  </si>
  <si>
    <t>Kurdes et le Kurdistan. English.</t>
  </si>
  <si>
    <t>2002-05-24</t>
  </si>
  <si>
    <t>1993-07-20</t>
  </si>
  <si>
    <t>54496114:eng</t>
  </si>
  <si>
    <t>25787810</t>
  </si>
  <si>
    <t>991002026519702656</t>
  </si>
  <si>
    <t>2256005640002656</t>
  </si>
  <si>
    <t>9780940793927</t>
  </si>
  <si>
    <t>32285001703015</t>
  </si>
  <si>
    <t>893621826</t>
  </si>
  <si>
    <t>DS51.K7 O22 1973</t>
  </si>
  <si>
    <t>0                      DS 0051000K  7                  O  22          1973</t>
  </si>
  <si>
    <t>The Kurdish revolt: 1961-1970.</t>
  </si>
  <si>
    <t>[Hamden, Conn.] Archon Books, 1973.</t>
  </si>
  <si>
    <t>1621815:eng</t>
  </si>
  <si>
    <t>614217</t>
  </si>
  <si>
    <t>991003055839702656</t>
  </si>
  <si>
    <t>2270270760002656</t>
  </si>
  <si>
    <t>9780208013958</t>
  </si>
  <si>
    <t>32285002468840</t>
  </si>
  <si>
    <t>893409878</t>
  </si>
  <si>
    <t>DS511 .A45 1970</t>
  </si>
  <si>
    <t>0                      DS 0511000A  45          1970</t>
  </si>
  <si>
    <t>A short introduction to the history and politics of Southeast Asia [by] Richard Allen.</t>
  </si>
  <si>
    <t>Allen, Richard, 1903-1996.</t>
  </si>
  <si>
    <t>New York, Oxford University Press, 1970.</t>
  </si>
  <si>
    <t>1227530:eng</t>
  </si>
  <si>
    <t>63888</t>
  </si>
  <si>
    <t>991000189999702656</t>
  </si>
  <si>
    <t>2255637590002656</t>
  </si>
  <si>
    <t>32285002458288</t>
  </si>
  <si>
    <t>893314758</t>
  </si>
  <si>
    <t>DS511 .C67 1991</t>
  </si>
  <si>
    <t>0                      DS 0511000C  67          1991</t>
  </si>
  <si>
    <t>The Far East : a history of Western impacts and Eastern responses, 1830-1975 / Paul H. Clyde, Burton F. Beers.</t>
  </si>
  <si>
    <t>Clyde, Paul Hibbert, 1896-1998.</t>
  </si>
  <si>
    <t>Prospect Heights, Ill. : Waveland Press, 1991.</t>
  </si>
  <si>
    <t>1996-04-08</t>
  </si>
  <si>
    <t>3855430396:eng</t>
  </si>
  <si>
    <t>26151871</t>
  </si>
  <si>
    <t>991002048339702656</t>
  </si>
  <si>
    <t>2272473830002656</t>
  </si>
  <si>
    <t>9780881336122</t>
  </si>
  <si>
    <t>32285002150562</t>
  </si>
  <si>
    <t>893408629</t>
  </si>
  <si>
    <t>DS511 .E13 1995</t>
  </si>
  <si>
    <t>0                      DS 0511000E  13          1995</t>
  </si>
  <si>
    <t>East and Southeast Asia : a multidisciplinary survey / Colin Mackerras (editor).</t>
  </si>
  <si>
    <t>Boulder, Colo. : Lynne Rienner Publishers, c1995.</t>
  </si>
  <si>
    <t>2006-02-07</t>
  </si>
  <si>
    <t>1996-06-17</t>
  </si>
  <si>
    <t>36626248:eng</t>
  </si>
  <si>
    <t>32429097</t>
  </si>
  <si>
    <t>991002491469702656</t>
  </si>
  <si>
    <t>2260575370002656</t>
  </si>
  <si>
    <t>9781555876128</t>
  </si>
  <si>
    <t>32285002193745</t>
  </si>
  <si>
    <t>893510810</t>
  </si>
  <si>
    <t>DS511 .I5 1971b</t>
  </si>
  <si>
    <t>0                      DS 0511000I  5           1971b</t>
  </si>
  <si>
    <t>In search of Southeast Asia; a modern history [by] David Joel Steinberg [and others] Edited by David Joel Steinberg.</t>
  </si>
  <si>
    <t>New York, Praeger [1971]</t>
  </si>
  <si>
    <t>796589612:eng</t>
  </si>
  <si>
    <t>122001</t>
  </si>
  <si>
    <t>991000681189702656</t>
  </si>
  <si>
    <t>2263030670002656</t>
  </si>
  <si>
    <t>32285002458361</t>
  </si>
  <si>
    <t>893683657</t>
  </si>
  <si>
    <t>DS511 .L3 1964</t>
  </si>
  <si>
    <t>0                      DS 0511000L  3           1964</t>
  </si>
  <si>
    <t>A short history of the Far East / Kenneth Scott Latourette.</t>
  </si>
  <si>
    <t>Latourette, Kenneth Scott, 1884-1968.</t>
  </si>
  <si>
    <t>2005-02-09</t>
  </si>
  <si>
    <t>1456990:eng</t>
  </si>
  <si>
    <t>411179</t>
  </si>
  <si>
    <t>991002715539702656</t>
  </si>
  <si>
    <t>2265121270002656</t>
  </si>
  <si>
    <t>32285000336940</t>
  </si>
  <si>
    <t>893698163</t>
  </si>
  <si>
    <t>DS511 .O73 1971</t>
  </si>
  <si>
    <t>0                      DS 0511000O  73          1971</t>
  </si>
  <si>
    <t>Region of revolt; focus on Southeast Asia [by] Milton Osborne.</t>
  </si>
  <si>
    <t>Osborne, Milton E.</t>
  </si>
  <si>
    <t>[Harmondsworth, Eng.] Penguin Books [1971, c1970]</t>
  </si>
  <si>
    <t>Pelican books</t>
  </si>
  <si>
    <t>2005-03-28</t>
  </si>
  <si>
    <t>1991-12-17</t>
  </si>
  <si>
    <t>1256877:eng</t>
  </si>
  <si>
    <t>247346</t>
  </si>
  <si>
    <t>991001927389702656</t>
  </si>
  <si>
    <t>2257860600002656</t>
  </si>
  <si>
    <t>9780140213607</t>
  </si>
  <si>
    <t>32285000901974</t>
  </si>
  <si>
    <t>893232388</t>
  </si>
  <si>
    <t>DS511 .T37 1966a</t>
  </si>
  <si>
    <t>0                      DS 0511000T  37          1966a</t>
  </si>
  <si>
    <t>A concise history of Southeast Asia.</t>
  </si>
  <si>
    <t>Tarling, Nicholas.</t>
  </si>
  <si>
    <t>Praeger university series, 617</t>
  </si>
  <si>
    <t>18286903:eng</t>
  </si>
  <si>
    <t>411363</t>
  </si>
  <si>
    <t>991002716239702656</t>
  </si>
  <si>
    <t>2265053160002656</t>
  </si>
  <si>
    <t>32285002458445</t>
  </si>
  <si>
    <t>893517650</t>
  </si>
  <si>
    <t>DS511 .T39</t>
  </si>
  <si>
    <t>0                      DS 0511000T  39</t>
  </si>
  <si>
    <t>The making of modern South-East Asia, by D. J. M. Tate.</t>
  </si>
  <si>
    <t>Tate, D. J. M.</t>
  </si>
  <si>
    <t>Kuala Lumpur, New York, Oxford University Press, 1971-</t>
  </si>
  <si>
    <t xml:space="preserve">my </t>
  </si>
  <si>
    <t>2005-02-03</t>
  </si>
  <si>
    <t>415602:eng</t>
  </si>
  <si>
    <t>221348</t>
  </si>
  <si>
    <t>991001343489702656</t>
  </si>
  <si>
    <t>2258194050002656</t>
  </si>
  <si>
    <t>32285000336957</t>
  </si>
  <si>
    <t>893715378</t>
  </si>
  <si>
    <t>32285000336965</t>
  </si>
  <si>
    <t>893690546</t>
  </si>
  <si>
    <t>DS515 .H57 2000</t>
  </si>
  <si>
    <t>0                      DS 0515000H  57          2000</t>
  </si>
  <si>
    <t>Historical perspectives on contemporary East Asia / edited by Merle Goldman, Andrew Gordon.</t>
  </si>
  <si>
    <t>Cambridge, Mass. : Harvard University Press, 2000.</t>
  </si>
  <si>
    <t>2003-10-06</t>
  </si>
  <si>
    <t>2003-03-25</t>
  </si>
  <si>
    <t>346353789:eng</t>
  </si>
  <si>
    <t>43474735</t>
  </si>
  <si>
    <t>991003998469702656</t>
  </si>
  <si>
    <t>2263013460002656</t>
  </si>
  <si>
    <t>9780674000971</t>
  </si>
  <si>
    <t>32285004686449</t>
  </si>
  <si>
    <t>893353150</t>
  </si>
  <si>
    <t>DS515 .M28 1977</t>
  </si>
  <si>
    <t>0                      DS 0515000M  28          1977</t>
  </si>
  <si>
    <t>Russian Far Eastern policy, 1881-1904 : with special emphasis on the causes of the Russo-Japanese War / Andrew Malozemoff.</t>
  </si>
  <si>
    <t>Malozemoff, Andrew, 1910-1952.</t>
  </si>
  <si>
    <t>New York : Octagon Books, 1977, c1958.</t>
  </si>
  <si>
    <t>1992-02-14</t>
  </si>
  <si>
    <t>5555319:eng</t>
  </si>
  <si>
    <t>2614611</t>
  </si>
  <si>
    <t>991004185339702656</t>
  </si>
  <si>
    <t>2265589420002656</t>
  </si>
  <si>
    <t>9780374952624</t>
  </si>
  <si>
    <t>32285000959378</t>
  </si>
  <si>
    <t>893712252</t>
  </si>
  <si>
    <t>DS515 .S6</t>
  </si>
  <si>
    <t>0                      DS 0515000S  6</t>
  </si>
  <si>
    <t>Manchu and Muscovite, by B.L. Putnam Weale [pseud.]</t>
  </si>
  <si>
    <t>Putnam Weale, B. L. (Bertram Lenox), 1877-1930.</t>
  </si>
  <si>
    <t>London, Macmillan; New York, Macmillan, 1904.</t>
  </si>
  <si>
    <t>1904</t>
  </si>
  <si>
    <t>4095478209:eng</t>
  </si>
  <si>
    <t>1148948</t>
  </si>
  <si>
    <t>991003573129702656</t>
  </si>
  <si>
    <t>2261067810002656</t>
  </si>
  <si>
    <t>32285002458502</t>
  </si>
  <si>
    <t>893428939</t>
  </si>
  <si>
    <t>DS515 .Z45 1997</t>
  </si>
  <si>
    <t>0                      DS 0515000Z  45          1997</t>
  </si>
  <si>
    <t>Power competition in East Asia : from the old Chinese world order to post-cold war regional multipolarity / Suisheng Zhao.</t>
  </si>
  <si>
    <t>Zhao, Suisheng, 1954-</t>
  </si>
  <si>
    <t>1998-09-22</t>
  </si>
  <si>
    <t>1998-04-06</t>
  </si>
  <si>
    <t>610049:eng</t>
  </si>
  <si>
    <t>34996174</t>
  </si>
  <si>
    <t>991002676999702656</t>
  </si>
  <si>
    <t>2267663160002656</t>
  </si>
  <si>
    <t>9780312162580</t>
  </si>
  <si>
    <t>32285003383394</t>
  </si>
  <si>
    <t>893792773</t>
  </si>
  <si>
    <t>DS517 .B7</t>
  </si>
  <si>
    <t>0                      DS 0517000B  7</t>
  </si>
  <si>
    <t>An eye-witness in Manchuria, by Lord Brooke.</t>
  </si>
  <si>
    <t>Brooke, Leopold Guy Francis Maynard Greville, Earl, 1882-1928.</t>
  </si>
  <si>
    <t>London, E. Nash, 1905.</t>
  </si>
  <si>
    <t>1905</t>
  </si>
  <si>
    <t>1999-04-12</t>
  </si>
  <si>
    <t>2673753:eng</t>
  </si>
  <si>
    <t>2015938</t>
  </si>
  <si>
    <t>991003979079702656</t>
  </si>
  <si>
    <t>2261503050002656</t>
  </si>
  <si>
    <t>32285002458510</t>
  </si>
  <si>
    <t>893253095</t>
  </si>
  <si>
    <t>DS517 .K8 1909</t>
  </si>
  <si>
    <t>0                      DS 0517000K  8           1909</t>
  </si>
  <si>
    <t>The Russian army and the Japanese war : being historical and critical comments on the military policy and power of Russia and on the campaign in the Far East / by General Kuropatkin. Translated by Captain A. B. Lindsay. Edited by Major E.D. Swinton.</t>
  </si>
  <si>
    <t>Kuropatkin, A. N. (Alekseĭ Nikolaevich), 1848-1925.</t>
  </si>
  <si>
    <t>New York : E.P. Dutton, 1909.</t>
  </si>
  <si>
    <t>1909</t>
  </si>
  <si>
    <t>1994-04-20</t>
  </si>
  <si>
    <t>543605:eng</t>
  </si>
  <si>
    <t>1086635</t>
  </si>
  <si>
    <t>991003524739702656</t>
  </si>
  <si>
    <t>2267537670002656</t>
  </si>
  <si>
    <t>32285001890465</t>
  </si>
  <si>
    <t>893617428</t>
  </si>
  <si>
    <t>32285001890796</t>
  </si>
  <si>
    <t>893623581</t>
  </si>
  <si>
    <t>DS517 .M64 1905</t>
  </si>
  <si>
    <t>0                      DS 0517000M  64          1905</t>
  </si>
  <si>
    <t>Thrilling stories of the Russian-Japanese War; a vivid panorama of land and naval battles ... also a complete history of Japan, Russia, China, Korea and Manchuria / by J. Martin Miller; with an introd. by Nelson A. Miles.</t>
  </si>
  <si>
    <t>Miller, J. Martin (James Martin), 1859-1939.</t>
  </si>
  <si>
    <t>[s.l.] : [J. Martin Miller], [c1905]</t>
  </si>
  <si>
    <t>7888802:eng</t>
  </si>
  <si>
    <t>2713304</t>
  </si>
  <si>
    <t>991004221329702656</t>
  </si>
  <si>
    <t>2269489560002656</t>
  </si>
  <si>
    <t>32285000336999</t>
  </si>
  <si>
    <t>893411261</t>
  </si>
  <si>
    <t>DS517 .U57 1973</t>
  </si>
  <si>
    <t>0                      DS 0517000U  57          1973</t>
  </si>
  <si>
    <t>The authentic history of the war between Russia and Japan / by Frederic William Unger. Assisted by Charles Morris. Philadelphia, World Bible House.</t>
  </si>
  <si>
    <t>Unger, Frederic William, 1875-</t>
  </si>
  <si>
    <t>[Wilmington, Del. : Scholarly Resources, 1973, c1905]</t>
  </si>
  <si>
    <t>deu</t>
  </si>
  <si>
    <t>1700720:eng</t>
  </si>
  <si>
    <t>720296</t>
  </si>
  <si>
    <t>991003194759702656</t>
  </si>
  <si>
    <t>2256246820002656</t>
  </si>
  <si>
    <t>9780842014076</t>
  </si>
  <si>
    <t>32285000959360</t>
  </si>
  <si>
    <t>893434725</t>
  </si>
  <si>
    <t>DS517 .W37</t>
  </si>
  <si>
    <t>0                      DS 0517000W  37</t>
  </si>
  <si>
    <t>The tide at sunrise : a history of the Russo-Japanese War, 1904-1905 / by Denis and Peggy Warner. [Maps by Don Coutts.</t>
  </si>
  <si>
    <t>Warner, Denis, 1917-2012.</t>
  </si>
  <si>
    <t>New York : Charterhouse, [1974]</t>
  </si>
  <si>
    <t>Book Club ed.]</t>
  </si>
  <si>
    <t>2006-04-17</t>
  </si>
  <si>
    <t>1990-02-12</t>
  </si>
  <si>
    <t>1972411:eng</t>
  </si>
  <si>
    <t>1132982</t>
  </si>
  <si>
    <t>991003561979702656</t>
  </si>
  <si>
    <t>2264457440002656</t>
  </si>
  <si>
    <t>32285000041581</t>
  </si>
  <si>
    <t>893717794</t>
  </si>
  <si>
    <t>DS517 .W47 1974</t>
  </si>
  <si>
    <t>0                      DS 0517000W  47          1974</t>
  </si>
  <si>
    <t>The illustrated history of the Russo-Japanese War / [by] J. N. Westwood.</t>
  </si>
  <si>
    <t>Westwood, J. N.</t>
  </si>
  <si>
    <t>Chicago : Regnery, [1974, c1973]</t>
  </si>
  <si>
    <t>2003-03-01</t>
  </si>
  <si>
    <t>1655298:eng</t>
  </si>
  <si>
    <t>978985</t>
  </si>
  <si>
    <t>991003442709702656</t>
  </si>
  <si>
    <t>2260664940002656</t>
  </si>
  <si>
    <t>9780809211500</t>
  </si>
  <si>
    <t>32285000041599</t>
  </si>
  <si>
    <t>893699006</t>
  </si>
  <si>
    <t>DS517.13 .O37</t>
  </si>
  <si>
    <t>0                      DS 0517130O  37</t>
  </si>
  <si>
    <t>The Japanese oligarchy and the Russo-Japanese War / Shumpei Okamoto.</t>
  </si>
  <si>
    <t>Okamoto, Shumpei.</t>
  </si>
  <si>
    <t>New York : Columbia University Press, 1970.</t>
  </si>
  <si>
    <t>419743:eng</t>
  </si>
  <si>
    <t>106346</t>
  </si>
  <si>
    <t>991000632709702656</t>
  </si>
  <si>
    <t>2263901120002656</t>
  </si>
  <si>
    <t>9780231034043</t>
  </si>
  <si>
    <t>32285000337021</t>
  </si>
  <si>
    <t>893884592</t>
  </si>
  <si>
    <t>DS517.13 .W5</t>
  </si>
  <si>
    <t>0                      DS 0517130W  5</t>
  </si>
  <si>
    <t>The diplomacy of the Russo-Japanese War.</t>
  </si>
  <si>
    <t>White, John Albert.</t>
  </si>
  <si>
    <t>Princeton, N.J. : Princeton University Press, 1964.</t>
  </si>
  <si>
    <t>1457276:eng</t>
  </si>
  <si>
    <t>411247</t>
  </si>
  <si>
    <t>991002715799702656</t>
  </si>
  <si>
    <t>2265114010002656</t>
  </si>
  <si>
    <t>32285000959352</t>
  </si>
  <si>
    <t>893616481</t>
  </si>
  <si>
    <t>DS517.3 .S24 1999</t>
  </si>
  <si>
    <t>0                      DS 0517300S  24          1999</t>
  </si>
  <si>
    <t>Human bullets : a soldier's story of Port Arthur / by Tadayoshi Sakurai ; with an introduction by Count Okuma ; translated by Masujiro Honda ; edited by Alice Mabel Bacon ; introduction to the Bison books edition by Roger Spiller.</t>
  </si>
  <si>
    <t>Sakurai, Tadayoshi, 1879-1965.</t>
  </si>
  <si>
    <t>Lincoln : University of Nebraska Press, 1999.</t>
  </si>
  <si>
    <t>2002-01-07</t>
  </si>
  <si>
    <t>275318:eng</t>
  </si>
  <si>
    <t>40609155</t>
  </si>
  <si>
    <t>991003687389702656</t>
  </si>
  <si>
    <t>2269728010002656</t>
  </si>
  <si>
    <t>9780803292666</t>
  </si>
  <si>
    <t>32285004446117</t>
  </si>
  <si>
    <t>893881435</t>
  </si>
  <si>
    <t>DS517.5 .P58 2002</t>
  </si>
  <si>
    <t>0                      DS 0517500P  58          2002</t>
  </si>
  <si>
    <t>The Tsar's last armada : the epic journey to the Battle of Tsushima / Constantine Pleshakov.</t>
  </si>
  <si>
    <t>Pleshakov, Konstantin.</t>
  </si>
  <si>
    <t>New York : Basic Books, c2002.</t>
  </si>
  <si>
    <t>2002-04-26</t>
  </si>
  <si>
    <t>2002-04-08</t>
  </si>
  <si>
    <t>2656030:eng</t>
  </si>
  <si>
    <t>48162972</t>
  </si>
  <si>
    <t>991003769369702656</t>
  </si>
  <si>
    <t>2272492610002656</t>
  </si>
  <si>
    <t>9780465057917</t>
  </si>
  <si>
    <t>32285004477690</t>
  </si>
  <si>
    <t>893868831</t>
  </si>
  <si>
    <t>DS517.7 .T7</t>
  </si>
  <si>
    <t>0                      DS 0517700T  7</t>
  </si>
  <si>
    <t>The treaty of Portsmouth : an adventure in American diplomacy / by Eugene P. Trani.</t>
  </si>
  <si>
    <t>Trani, Eugene P.</t>
  </si>
  <si>
    <t>[Lexington] : University of Kentucky Press, [1969]</t>
  </si>
  <si>
    <t>1129614:eng</t>
  </si>
  <si>
    <t>6383</t>
  </si>
  <si>
    <t>991005439179702656</t>
  </si>
  <si>
    <t>2265071690002656</t>
  </si>
  <si>
    <t>32285000959345</t>
  </si>
  <si>
    <t>893890247</t>
  </si>
  <si>
    <t>DS518 .I75</t>
  </si>
  <si>
    <t>0                      DS 0518000I  75</t>
  </si>
  <si>
    <t>After imperialism; the search for a new order in the Far East, 1921-1931.</t>
  </si>
  <si>
    <t>Iriye, Akira.</t>
  </si>
  <si>
    <t>Cambridge, Mass., Harvard University Press, 1965.</t>
  </si>
  <si>
    <t>Harvard East Asian series ; 22</t>
  </si>
  <si>
    <t>2008-10-29</t>
  </si>
  <si>
    <t>1424091:eng</t>
  </si>
  <si>
    <t>279619</t>
  </si>
  <si>
    <t>991002183899702656</t>
  </si>
  <si>
    <t>2261702400002656</t>
  </si>
  <si>
    <t>32285002273117</t>
  </si>
  <si>
    <t>893256982</t>
  </si>
  <si>
    <t>DS518 .J38</t>
  </si>
  <si>
    <t>0                      DS 0518000J  38</t>
  </si>
  <si>
    <t>Japan's Greater East Asia Co-prosperity Sphere in World War II : selected readings and documents / edited and introduced by Joyce C. Lebra.</t>
  </si>
  <si>
    <t>Kuala Lumpur ; New York : Oxford University Press, 1975.</t>
  </si>
  <si>
    <t>2004-10-23</t>
  </si>
  <si>
    <t>867372317:eng</t>
  </si>
  <si>
    <t>1551953</t>
  </si>
  <si>
    <t>991003818649702656</t>
  </si>
  <si>
    <t>2265843270002656</t>
  </si>
  <si>
    <t>9780196382654</t>
  </si>
  <si>
    <t>32285002458593</t>
  </si>
  <si>
    <t>893324525</t>
  </si>
  <si>
    <t>DS518 .P55</t>
  </si>
  <si>
    <t>0                      DS 0518000P  55</t>
  </si>
  <si>
    <t>South-East Asia from colonialism to independence / Jan Pluvier.</t>
  </si>
  <si>
    <t>Pluvier, Jan M.</t>
  </si>
  <si>
    <t>Kuala Lumpur ; New York : Oxford University Press, 1974.</t>
  </si>
  <si>
    <t>2005-03-31</t>
  </si>
  <si>
    <t>2085850:eng</t>
  </si>
  <si>
    <t>1202638</t>
  </si>
  <si>
    <t>991003617299702656</t>
  </si>
  <si>
    <t>2271278690002656</t>
  </si>
  <si>
    <t>9780196382630</t>
  </si>
  <si>
    <t>32285002458635</t>
  </si>
  <si>
    <t>893611237</t>
  </si>
  <si>
    <t>DS518 .S53</t>
  </si>
  <si>
    <t>0                      DS 0518000S  53</t>
  </si>
  <si>
    <t>The coming struggle in eastern Asia, by B. L. Putnam Weale [pseud.]... With illustrations &amp; a map.</t>
  </si>
  <si>
    <t>London, Macmillan and co., limited, 1908.</t>
  </si>
  <si>
    <t>1908</t>
  </si>
  <si>
    <t>5305596:eng</t>
  </si>
  <si>
    <t>2488136</t>
  </si>
  <si>
    <t>991004136509702656</t>
  </si>
  <si>
    <t>2260397730002656</t>
  </si>
  <si>
    <t>32285002458643</t>
  </si>
  <si>
    <t>893888332</t>
  </si>
  <si>
    <t>DS518 .S56</t>
  </si>
  <si>
    <t>0                      DS 0518000S  56</t>
  </si>
  <si>
    <t>The re-shaping of the Far East, by B. L. Putnam Weale [pseud] ...with numerous illustrations from photographs.</t>
  </si>
  <si>
    <t>New York, London, The Macmillan company: Macmillan &amp; co.,ltd. 1905.</t>
  </si>
  <si>
    <t>2212196:eng</t>
  </si>
  <si>
    <t>1328182</t>
  </si>
  <si>
    <t>991003695859702656</t>
  </si>
  <si>
    <t>2259296590002656</t>
  </si>
  <si>
    <t>32285002273141</t>
  </si>
  <si>
    <t>893262876</t>
  </si>
  <si>
    <t>32285002273133</t>
  </si>
  <si>
    <t>893246637</t>
  </si>
  <si>
    <t>DS518 .S6</t>
  </si>
  <si>
    <t>0                      DS 0518000S  6</t>
  </si>
  <si>
    <t>The truce in the East and its aftermath; being the sequel to 'The re-shaping of the Far East,' by B. L. Putnam Weale [pseud.]</t>
  </si>
  <si>
    <t>New York, The Macmillan company; London, Macmillan &amp; co., ltd., 1907.</t>
  </si>
  <si>
    <t>1907</t>
  </si>
  <si>
    <t>2484603:eng</t>
  </si>
  <si>
    <t>1633041</t>
  </si>
  <si>
    <t>991003847119702656</t>
  </si>
  <si>
    <t>2255018710002656</t>
  </si>
  <si>
    <t>32285002273711</t>
  </si>
  <si>
    <t>893535656</t>
  </si>
  <si>
    <t>DS518 .S65</t>
  </si>
  <si>
    <t>0                      DS 0518000S  65</t>
  </si>
  <si>
    <t>The truth about China and Japan, by B. L. Putnam Weale [pseud.]</t>
  </si>
  <si>
    <t>New York, Dodd, Mead and company, 1919.</t>
  </si>
  <si>
    <t>1919</t>
  </si>
  <si>
    <t>2001-02-20</t>
  </si>
  <si>
    <t>1483412:eng</t>
  </si>
  <si>
    <t>342773</t>
  </si>
  <si>
    <t>991002420989702656</t>
  </si>
  <si>
    <t>2266271290002656</t>
  </si>
  <si>
    <t>32285000337054</t>
  </si>
  <si>
    <t>893440134</t>
  </si>
  <si>
    <t>DS518.1 .C23</t>
  </si>
  <si>
    <t>0                      DS 0518100C  23</t>
  </si>
  <si>
    <t>The history of post-war Southeast Asia / John F. Cady.</t>
  </si>
  <si>
    <t>Athens : Ohio University Press, c1974.</t>
  </si>
  <si>
    <t>762393901:eng</t>
  </si>
  <si>
    <t>1214440</t>
  </si>
  <si>
    <t>991003624119702656</t>
  </si>
  <si>
    <t>2265139820002656</t>
  </si>
  <si>
    <t>9780821401606</t>
  </si>
  <si>
    <t>32285002458668</t>
  </si>
  <si>
    <t>893330582</t>
  </si>
  <si>
    <t>DS518.1 .F47</t>
  </si>
  <si>
    <t>0                      DS 0518100F  47</t>
  </si>
  <si>
    <t>The diplomacy of Southeast Asia: 1945-1958.</t>
  </si>
  <si>
    <t>Fifield, Russell H. (Russell Hunt), 1914-</t>
  </si>
  <si>
    <t>New York, Harper [1958]</t>
  </si>
  <si>
    <t>1501790:eng</t>
  </si>
  <si>
    <t>1419969</t>
  </si>
  <si>
    <t>991003747549702656</t>
  </si>
  <si>
    <t>2260696910002656</t>
  </si>
  <si>
    <t>32285002458684</t>
  </si>
  <si>
    <t>893693106</t>
  </si>
  <si>
    <t>DS518.1 .H6</t>
  </si>
  <si>
    <t>0                      DS 0518100H  6</t>
  </si>
  <si>
    <t>Asian nationalism and the West : a symposium based on documents and reports of the eleventh conference, Institute of Pacific Relations.</t>
  </si>
  <si>
    <t>Holland, W. L. (William Lancelot), 1907- 2008 editor.</t>
  </si>
  <si>
    <t>New York, Macmillan, 1953.</t>
  </si>
  <si>
    <t>1997-11-06</t>
  </si>
  <si>
    <t>1997-03-12</t>
  </si>
  <si>
    <t>1749906:eng</t>
  </si>
  <si>
    <t>1077134</t>
  </si>
  <si>
    <t>991003518439702656</t>
  </si>
  <si>
    <t>2259417020002656</t>
  </si>
  <si>
    <t>32285002458718</t>
  </si>
  <si>
    <t>893705308</t>
  </si>
  <si>
    <t>DS518.1 .P44 1988</t>
  </si>
  <si>
    <t>0                      DS 0518100P  44          1988</t>
  </si>
  <si>
    <t>Peace, politics &amp; economics in Asia : the challenge to cooperate / edited by Robert A. Scalapino and Masataka Kosaka.</t>
  </si>
  <si>
    <t>Washington : Pergamon-Brassey's International Defense Publishers, 1988.</t>
  </si>
  <si>
    <t>1995-09-20</t>
  </si>
  <si>
    <t>836722371:eng</t>
  </si>
  <si>
    <t>16754124</t>
  </si>
  <si>
    <t>991001142619702656</t>
  </si>
  <si>
    <t>2263751360002656</t>
  </si>
  <si>
    <t>9780080359618</t>
  </si>
  <si>
    <t>32285000001270</t>
  </si>
  <si>
    <t>893413992</t>
  </si>
  <si>
    <t>DS518.1 .S476 1984</t>
  </si>
  <si>
    <t>0                      DS 0518100S  476         1984</t>
  </si>
  <si>
    <t>Japan and the Asian Pacific region : profile of change / Shibusawa Masahide.</t>
  </si>
  <si>
    <t>Shibusawa, Masahide, 1925-</t>
  </si>
  <si>
    <t>New York : St Martin's Press, 1984.</t>
  </si>
  <si>
    <t>3739489:eng</t>
  </si>
  <si>
    <t>11044575</t>
  </si>
  <si>
    <t>991000478879702656</t>
  </si>
  <si>
    <t>2261147000002656</t>
  </si>
  <si>
    <t>9780312440497</t>
  </si>
  <si>
    <t>32285000337096</t>
  </si>
  <si>
    <t>893243296</t>
  </si>
  <si>
    <t>DS518.1 .S68 1995</t>
  </si>
  <si>
    <t>0                      DS 0518100S  68          1995</t>
  </si>
  <si>
    <t>The strategic quadrangle : Russia, China, Japan, and the United States in East Asia / Michael Mandelbaum, editor.</t>
  </si>
  <si>
    <t>New York : Council on Foreign Relations Press, c1995.</t>
  </si>
  <si>
    <t>1996-06-20</t>
  </si>
  <si>
    <t>889949477:eng</t>
  </si>
  <si>
    <t>31434830</t>
  </si>
  <si>
    <t>991002415579702656</t>
  </si>
  <si>
    <t>2262992730002656</t>
  </si>
  <si>
    <t>9780876091685</t>
  </si>
  <si>
    <t>32285002171147</t>
  </si>
  <si>
    <t>893433852</t>
  </si>
  <si>
    <t>DS518.45 .B49 2006</t>
  </si>
  <si>
    <t>0                      DS 0518450B  49          2006</t>
  </si>
  <si>
    <t>Beyond Japan : the dynamics of East Asian regionalism / edited by Peter J. Katzenstein and Takashi Shiraishi.</t>
  </si>
  <si>
    <t>Ithaca : Cornell University Press, 2006.</t>
  </si>
  <si>
    <t>Cornell studies in political economy</t>
  </si>
  <si>
    <t>2007-12-18</t>
  </si>
  <si>
    <t>892144509:eng</t>
  </si>
  <si>
    <t>61478715</t>
  </si>
  <si>
    <t>991005157769702656</t>
  </si>
  <si>
    <t>2271277120002656</t>
  </si>
  <si>
    <t>9780801444005</t>
  </si>
  <si>
    <t>32285005373955</t>
  </si>
  <si>
    <t>893795707</t>
  </si>
  <si>
    <t>DS518.8 .A69 2006</t>
  </si>
  <si>
    <t>0                      DS 0518800A  69          2006</t>
  </si>
  <si>
    <t>Chasing the sun : rethinking East Asian policy / Morton Abramowitz and Stephen Bosworth.</t>
  </si>
  <si>
    <t>Abramowitz, Morton, 1933-</t>
  </si>
  <si>
    <t>New York : Century Foundation, c2006.</t>
  </si>
  <si>
    <t>2006-11-09</t>
  </si>
  <si>
    <t>890683744:eng</t>
  </si>
  <si>
    <t>65207043</t>
  </si>
  <si>
    <t>991004972339702656</t>
  </si>
  <si>
    <t>2258908330002656</t>
  </si>
  <si>
    <t>9780870785009</t>
  </si>
  <si>
    <t>32285005237648</t>
  </si>
  <si>
    <t>893260382</t>
  </si>
  <si>
    <t>DS518.8 .B58 1982</t>
  </si>
  <si>
    <t>0                      DS 0518800B  58          1982</t>
  </si>
  <si>
    <t>Drawing the line : the origin of the American containment policy in East Asia / Robert M. Blum.</t>
  </si>
  <si>
    <t>Blum, Robert M.</t>
  </si>
  <si>
    <t>New York : Norton, c1982.</t>
  </si>
  <si>
    <t>1998-08-11</t>
  </si>
  <si>
    <t>792138420:eng</t>
  </si>
  <si>
    <t>8170832</t>
  </si>
  <si>
    <t>991005212849702656</t>
  </si>
  <si>
    <t>2256578080002656</t>
  </si>
  <si>
    <t>9780393015652</t>
  </si>
  <si>
    <t>32285000337138</t>
  </si>
  <si>
    <t>893320250</t>
  </si>
  <si>
    <t>DS518.8 .F34 2009</t>
  </si>
  <si>
    <t>0                      DS 0518800F  34          2009</t>
  </si>
  <si>
    <t>The United States in the new Asia / Evan A. Feigenbaum, Robert A. Manning.</t>
  </si>
  <si>
    <t>Feigenbaum, Evan A., 1969-</t>
  </si>
  <si>
    <t>New York, NY : Council on Foreign Relations : [Washington, D.C. : Brookings Press, distributor], c2009.</t>
  </si>
  <si>
    <t>Council special report ; no. 50</t>
  </si>
  <si>
    <t>354936361:eng</t>
  </si>
  <si>
    <t>489236663</t>
  </si>
  <si>
    <t>991000387999702656</t>
  </si>
  <si>
    <t>2255006290002656</t>
  </si>
  <si>
    <t>9780876094693</t>
  </si>
  <si>
    <t>32285005651442</t>
  </si>
  <si>
    <t>893802722</t>
  </si>
  <si>
    <t>DS518.8 .J35</t>
  </si>
  <si>
    <t>0                      DS 0518800J  35</t>
  </si>
  <si>
    <t>Japan, Korea, and China : American perceptions and policies / William Watts ... [et al.].</t>
  </si>
  <si>
    <t>Lexington, Mass. : Lexington Books, c1979.</t>
  </si>
  <si>
    <t>1995-09-27</t>
  </si>
  <si>
    <t>836725442:eng</t>
  </si>
  <si>
    <t>4496166</t>
  </si>
  <si>
    <t>991004658969702656</t>
  </si>
  <si>
    <t>2268715410002656</t>
  </si>
  <si>
    <t>9780669024708</t>
  </si>
  <si>
    <t>32285000337153</t>
  </si>
  <si>
    <t>893889015</t>
  </si>
  <si>
    <t>DS518.8 .P336 1996</t>
  </si>
  <si>
    <t>0                      DS 0518800P  336         1996</t>
  </si>
  <si>
    <t>Pacific passage : the study of American--East Asian relations on the eve of the twenty-first century / edited, and with an introduction by Warren I. Cohen.</t>
  </si>
  <si>
    <t>New York : Columbia University Press, c1996.</t>
  </si>
  <si>
    <t>1999-02-19</t>
  </si>
  <si>
    <t>1996-07-23</t>
  </si>
  <si>
    <t>837007149:eng</t>
  </si>
  <si>
    <t>33277338</t>
  </si>
  <si>
    <t>991002560329702656</t>
  </si>
  <si>
    <t>2256112940002656</t>
  </si>
  <si>
    <t>9780231104067</t>
  </si>
  <si>
    <t>32285002214293</t>
  </si>
  <si>
    <t>893415348</t>
  </si>
  <si>
    <t>DS518.8 .U586 1993</t>
  </si>
  <si>
    <t>0                      DS 0518800U  586         1993</t>
  </si>
  <si>
    <t>The United States and northeast Asia / edited by Robert H. Puckett.</t>
  </si>
  <si>
    <t>Chicago : Nelson-Hall Publishers, c1993.</t>
  </si>
  <si>
    <t>1994-06-02</t>
  </si>
  <si>
    <t>55646039:eng</t>
  </si>
  <si>
    <t>26931170</t>
  </si>
  <si>
    <t>991002098679702656</t>
  </si>
  <si>
    <t>2260305050002656</t>
  </si>
  <si>
    <t>9780830412792</t>
  </si>
  <si>
    <t>32285001920767</t>
  </si>
  <si>
    <t>893709866</t>
  </si>
  <si>
    <t>DS522.6 .K55 2002</t>
  </si>
  <si>
    <t>0                      DS 0522600K  55          2002</t>
  </si>
  <si>
    <t>Asian, woman, alone / by Ayoung M. Kim.</t>
  </si>
  <si>
    <t>Kim, Ayoung M.</t>
  </si>
  <si>
    <t>Mill Valley, CA : Feng Liu Productions, 2002.</t>
  </si>
  <si>
    <t>1st Feng Liu Productions ed.</t>
  </si>
  <si>
    <t>2006-03-30</t>
  </si>
  <si>
    <t>1041447:eng</t>
  </si>
  <si>
    <t>55040401</t>
  </si>
  <si>
    <t>991004766689702656</t>
  </si>
  <si>
    <t>2268578320002656</t>
  </si>
  <si>
    <t>9780972708913</t>
  </si>
  <si>
    <t>32285005168785</t>
  </si>
  <si>
    <t>893229802</t>
  </si>
  <si>
    <t>DS522.6 .S44 2003</t>
  </si>
  <si>
    <t>0                      DS 0522600S  44          2003</t>
  </si>
  <si>
    <t>Cities of the hot zone : a Southeast Asian adventure / Greg Sheridan.</t>
  </si>
  <si>
    <t>Sheridan, Greg, 1956-</t>
  </si>
  <si>
    <t>Crows Nest, NSW : Allen &amp; Unwin, 2003.</t>
  </si>
  <si>
    <t>2004-08-25</t>
  </si>
  <si>
    <t>2004-07-28</t>
  </si>
  <si>
    <t>800682619:eng</t>
  </si>
  <si>
    <t>54536539</t>
  </si>
  <si>
    <t>991004313479702656</t>
  </si>
  <si>
    <t>2255557990002656</t>
  </si>
  <si>
    <t>9781741142242</t>
  </si>
  <si>
    <t>32285004926266</t>
  </si>
  <si>
    <t>893800846</t>
  </si>
  <si>
    <t>DS522.6 .S47 1993</t>
  </si>
  <si>
    <t>0                      DS 0522600S  47          1993</t>
  </si>
  <si>
    <t>The lands of charm and cruelty : travels in Southeast Asia / by Stan Sesser.</t>
  </si>
  <si>
    <t>Sesser, Stan.</t>
  </si>
  <si>
    <t>New York : Knopf : Distributed by Random House, 1993.</t>
  </si>
  <si>
    <t>1995-05-31</t>
  </si>
  <si>
    <t>1993-06-01</t>
  </si>
  <si>
    <t>20688408:eng</t>
  </si>
  <si>
    <t>26587440</t>
  </si>
  <si>
    <t>991002074289702656</t>
  </si>
  <si>
    <t>2263057430002656</t>
  </si>
  <si>
    <t>9780679416005</t>
  </si>
  <si>
    <t>32285001583375</t>
  </si>
  <si>
    <t>893322521</t>
  </si>
  <si>
    <t>DS523.2 .O73 2007</t>
  </si>
  <si>
    <t>0                      DS 0523200O  73          2007</t>
  </si>
  <si>
    <t>Early civilizations of Southeast Asia / Dougald J.W. O'Reilly.</t>
  </si>
  <si>
    <t>O'Reilly, Dougald J. W., 1965-</t>
  </si>
  <si>
    <t>Lanham : AltaMira Press, c2007.</t>
  </si>
  <si>
    <t>Archaeology of Southeast Asia</t>
  </si>
  <si>
    <t>2007-03-23</t>
  </si>
  <si>
    <t>2007-03-12</t>
  </si>
  <si>
    <t>57472367:eng</t>
  </si>
  <si>
    <t>70258930</t>
  </si>
  <si>
    <t>991005046009702656</t>
  </si>
  <si>
    <t>2262033080002656</t>
  </si>
  <si>
    <t>9780759102781</t>
  </si>
  <si>
    <t>32285005280721</t>
  </si>
  <si>
    <t>893606740</t>
  </si>
  <si>
    <t>DS523.4.C45 D66 1999</t>
  </si>
  <si>
    <t>0                      DS 0523400C  45                 D  66          1999</t>
  </si>
  <si>
    <t>Dong nan Ya Hua qiao zi liao hui bian / He Fengjiao bian.</t>
  </si>
  <si>
    <t>Taibei Xian Xindian Shi : Guo shi guan ; Taibei Shi : Jing xiao shang San min shu ju, Minguo 88- [1999- ]</t>
  </si>
  <si>
    <t>Chu ban.</t>
  </si>
  <si>
    <t>chi</t>
  </si>
  <si>
    <t xml:space="preserve">ch </t>
  </si>
  <si>
    <t>Minguo shi liao cong shu</t>
  </si>
  <si>
    <t>2007-04-19</t>
  </si>
  <si>
    <t>3373562567:chi</t>
  </si>
  <si>
    <t>42627163</t>
  </si>
  <si>
    <t>991005074589702656</t>
  </si>
  <si>
    <t>2264600070002656</t>
  </si>
  <si>
    <t>9789570232547</t>
  </si>
  <si>
    <t>32285005288807</t>
  </si>
  <si>
    <t>893600563</t>
  </si>
  <si>
    <t>DS525.33 .S5 1982</t>
  </si>
  <si>
    <t>0                      DS 0525330S  5           1982</t>
  </si>
  <si>
    <t>The ASEAN states and regional security / Sheldon W. Simon.</t>
  </si>
  <si>
    <t>Simon, Sheldon W., 1937-</t>
  </si>
  <si>
    <t>Stanford, Calif. : Hoover Institution Press, c1982.</t>
  </si>
  <si>
    <t>Hoover Press publication ; 267</t>
  </si>
  <si>
    <t>1995-09-28</t>
  </si>
  <si>
    <t>482336:eng</t>
  </si>
  <si>
    <t>8712663</t>
  </si>
  <si>
    <t>991000058039702656</t>
  </si>
  <si>
    <t>2271819360002656</t>
  </si>
  <si>
    <t>9780817976729</t>
  </si>
  <si>
    <t>32285000337211</t>
  </si>
  <si>
    <t>893620137</t>
  </si>
  <si>
    <t>DS525.7 .E84 1986</t>
  </si>
  <si>
    <t>0                      DS 0525700E  84          1986</t>
  </si>
  <si>
    <t>"How the dominoes fell" : Southeast Asia in perspective / John H. Esterline and Mae H. Esterline.</t>
  </si>
  <si>
    <t>Esterline, John H.</t>
  </si>
  <si>
    <t>Lanham, MD : Hamilton Press, c1986.</t>
  </si>
  <si>
    <t>3223276:eng</t>
  </si>
  <si>
    <t>12972607</t>
  </si>
  <si>
    <t>991000760179702656</t>
  </si>
  <si>
    <t>2263924440002656</t>
  </si>
  <si>
    <t>9780819151117</t>
  </si>
  <si>
    <t>32285000337229</t>
  </si>
  <si>
    <t>893790828</t>
  </si>
  <si>
    <t>DS525.9.U6 H47 1987</t>
  </si>
  <si>
    <t>0                      DS 0525900U  6                  H  47          1987</t>
  </si>
  <si>
    <t>The United States' emergence as a Southeast Asian power, 1940-1950 / Gary R. Hess.</t>
  </si>
  <si>
    <t>Hess, Gary R.</t>
  </si>
  <si>
    <t>New York : Columbia University, 1987.</t>
  </si>
  <si>
    <t>6844309:eng</t>
  </si>
  <si>
    <t>14002068</t>
  </si>
  <si>
    <t>991000897599702656</t>
  </si>
  <si>
    <t>2257152480002656</t>
  </si>
  <si>
    <t>9780231061902</t>
  </si>
  <si>
    <t>32285000337245</t>
  </si>
  <si>
    <t>893808864</t>
  </si>
  <si>
    <t>DS526.7 .A59 1990</t>
  </si>
  <si>
    <t>0                      DS 0526700A  59          1990</t>
  </si>
  <si>
    <t>ASEAN and the diplomacy of accommodation / Michael Antolik.</t>
  </si>
  <si>
    <t>Antolik, Michael, 1948-</t>
  </si>
  <si>
    <t>Armonk, N.Y. : M.E. Sharpe, c1990.</t>
  </si>
  <si>
    <t>21984974:eng</t>
  </si>
  <si>
    <t>20800516</t>
  </si>
  <si>
    <t>991001619219702656</t>
  </si>
  <si>
    <t>2255608870002656</t>
  </si>
  <si>
    <t>9780873326308</t>
  </si>
  <si>
    <t>32285002176211</t>
  </si>
  <si>
    <t>893866335</t>
  </si>
  <si>
    <t>DS530 .T43 2006</t>
  </si>
  <si>
    <t>0                      DS 0530000T  43          2006</t>
  </si>
  <si>
    <t>The river of lost footsteps : histories of Burma / Thant Myint-U.</t>
  </si>
  <si>
    <t>Thant Myint-U.</t>
  </si>
  <si>
    <t>New York : Farrar, Straus and Giroux, 2006.</t>
  </si>
  <si>
    <t>2007-01-04</t>
  </si>
  <si>
    <t>287938777:eng</t>
  </si>
  <si>
    <t>65064707</t>
  </si>
  <si>
    <t>991004957379702656</t>
  </si>
  <si>
    <t>2257400760002656</t>
  </si>
  <si>
    <t>9780374163426</t>
  </si>
  <si>
    <t>32285005268585</t>
  </si>
  <si>
    <t>893625285</t>
  </si>
  <si>
    <t>DS530.4 .B867 1997</t>
  </si>
  <si>
    <t>0                      DS 0530400B  867         1997</t>
  </si>
  <si>
    <t>Burma : the challenge of change in a divided society / edited by Peter Carey ; foreword by Aung San Suu Kyi.</t>
  </si>
  <si>
    <t>Houndmills, Basingstoke, Hampshire : Macmillan Press ; New York : St. Martin's Press, 1997.</t>
  </si>
  <si>
    <t>St. Antony's series</t>
  </si>
  <si>
    <t>1998-11-02</t>
  </si>
  <si>
    <t>837055423:eng</t>
  </si>
  <si>
    <t>36133265</t>
  </si>
  <si>
    <t>991002754379702656</t>
  </si>
  <si>
    <t>2261934560002656</t>
  </si>
  <si>
    <t>9780312174224</t>
  </si>
  <si>
    <t>32285003479184</t>
  </si>
  <si>
    <t>893517705</t>
  </si>
  <si>
    <t>DS530.65 .S74 2001</t>
  </si>
  <si>
    <t>0                      DS 0530650S  74          2001</t>
  </si>
  <si>
    <t>Burma, the state of Myanmar / David I. Steinberg.</t>
  </si>
  <si>
    <t>Steinberg, David I., 1928-</t>
  </si>
  <si>
    <t>Washington, D.C. : Georgetown University Press, c2001.</t>
  </si>
  <si>
    <t>2008-11-16</t>
  </si>
  <si>
    <t>2008-01-10</t>
  </si>
  <si>
    <t>34329234:eng</t>
  </si>
  <si>
    <t>44676159</t>
  </si>
  <si>
    <t>991005157549702656</t>
  </si>
  <si>
    <t>2269712960002656</t>
  </si>
  <si>
    <t>9780878408429</t>
  </si>
  <si>
    <t>32285005376677</t>
  </si>
  <si>
    <t>893895975</t>
  </si>
  <si>
    <t>DS54.5 .S24</t>
  </si>
  <si>
    <t>0                      DS 0054500S  24</t>
  </si>
  <si>
    <t>Cyprus, the impact of diverse nationalism on a state / by Halil Ibrahim Salih. --</t>
  </si>
  <si>
    <t>Salih, Halil Ibrahim.</t>
  </si>
  <si>
    <t>University, Ala. : University of Alabama Press, c1978.</t>
  </si>
  <si>
    <t>alu</t>
  </si>
  <si>
    <t>1993-09-13</t>
  </si>
  <si>
    <t>481964:eng</t>
  </si>
  <si>
    <t>2332133</t>
  </si>
  <si>
    <t>991004086129702656</t>
  </si>
  <si>
    <t>2264217840002656</t>
  </si>
  <si>
    <t>32285000291699</t>
  </si>
  <si>
    <t>893417209</t>
  </si>
  <si>
    <t>DS54.6 .C98 2005</t>
  </si>
  <si>
    <t>0                      DS 0054600C  98          2005</t>
  </si>
  <si>
    <t>Cyprus : society and culture 1191-1374 / edited by Angel Nicolaou-Konnari and Chris Schabel.</t>
  </si>
  <si>
    <t>Leiden ; Boston : Brill, 2005.</t>
  </si>
  <si>
    <t>The medieval Mediterranean, 0928-5520 ; v. 58</t>
  </si>
  <si>
    <t>891238463:eng</t>
  </si>
  <si>
    <t>62273928</t>
  </si>
  <si>
    <t>991005196319702656</t>
  </si>
  <si>
    <t>2256315080002656</t>
  </si>
  <si>
    <t>9789004147676</t>
  </si>
  <si>
    <t>32285005399992</t>
  </si>
  <si>
    <t>893701180</t>
  </si>
  <si>
    <t>DS54.8 .D8 1957a</t>
  </si>
  <si>
    <t>0                      DS 0054800D  8           1957a</t>
  </si>
  <si>
    <t>Bitter lemons.</t>
  </si>
  <si>
    <t>Durrell, Lawrence.</t>
  </si>
  <si>
    <t>New York, Dutton [c1957]</t>
  </si>
  <si>
    <t>2005-11-20</t>
  </si>
  <si>
    <t>1421711:eng</t>
  </si>
  <si>
    <t>364164</t>
  </si>
  <si>
    <t>991002499799702656</t>
  </si>
  <si>
    <t>2263017720002656</t>
  </si>
  <si>
    <t>32285002468873</t>
  </si>
  <si>
    <t>893591412</t>
  </si>
  <si>
    <t>DS54.8 .S68 2006</t>
  </si>
  <si>
    <t>0                      DS 0054800S  68          2006</t>
  </si>
  <si>
    <t>Fettered independence : Cyprus, 1878-1964 / Stella Soulioti ; with a foreword by Claire Palley.</t>
  </si>
  <si>
    <t>Soulioti, Stella.</t>
  </si>
  <si>
    <t>Minneapolis, Minn. : Modern Greek Studies, University of Minnesota, 2006.</t>
  </si>
  <si>
    <t>Minnesota Mediterranean and East European monographs ; 16</t>
  </si>
  <si>
    <t>320450220:eng</t>
  </si>
  <si>
    <t>86175692</t>
  </si>
  <si>
    <t>991005169069702656</t>
  </si>
  <si>
    <t>2261443990002656</t>
  </si>
  <si>
    <t>9780979121814</t>
  </si>
  <si>
    <t>32285005375661</t>
  </si>
  <si>
    <t>893437281</t>
  </si>
  <si>
    <t>V. 2 SUPP.</t>
  </si>
  <si>
    <t>32285005375687</t>
  </si>
  <si>
    <t>893443521</t>
  </si>
  <si>
    <t>32285005375679</t>
  </si>
  <si>
    <t>893437280</t>
  </si>
  <si>
    <t>DS54.9 .C68 2006</t>
  </si>
  <si>
    <t>0                      DS 0054900C  68          2006</t>
  </si>
  <si>
    <t>Cyprus : a contemporary problem in historical perspective / Van Coufoudakis.</t>
  </si>
  <si>
    <t>Coufoudakis, Van.</t>
  </si>
  <si>
    <t>Minneapolis, MN : Modern Greek Studies, 2006.</t>
  </si>
  <si>
    <t>Minnesota Mediterranean and East European monographs ; 15</t>
  </si>
  <si>
    <t>2010-03-02</t>
  </si>
  <si>
    <t>2007-03-21</t>
  </si>
  <si>
    <t>892636504:eng</t>
  </si>
  <si>
    <t>82172538</t>
  </si>
  <si>
    <t>991005056939702656</t>
  </si>
  <si>
    <t>2270001520002656</t>
  </si>
  <si>
    <t>9780979121807</t>
  </si>
  <si>
    <t>32285005282222</t>
  </si>
  <si>
    <t>893795537</t>
  </si>
  <si>
    <t>DS54.9 .I629 2001</t>
  </si>
  <si>
    <t>0                      DS 0054900I  629         2001</t>
  </si>
  <si>
    <t>Realpolitik in the Eastern Mediterranean : from Kissinger and the Cyprus Crisis to Carter and the lifting of the Turkish arms embargo / Chris P. Ioannides.</t>
  </si>
  <si>
    <t>Ioannides, Christos P., 1946-</t>
  </si>
  <si>
    <t>New York : Pella, 2001.</t>
  </si>
  <si>
    <t>Modern Greek research series ; 10</t>
  </si>
  <si>
    <t>366947696:eng</t>
  </si>
  <si>
    <t>48460659</t>
  </si>
  <si>
    <t>991003874599702656</t>
  </si>
  <si>
    <t>2271974300002656</t>
  </si>
  <si>
    <t>9780918618818</t>
  </si>
  <si>
    <t>32285004656392</t>
  </si>
  <si>
    <t>893868981</t>
  </si>
  <si>
    <t>DS546 .Z37 1978</t>
  </si>
  <si>
    <t>0                      DS 0546000Z  37          1978</t>
  </si>
  <si>
    <t>Communist Indochina and U.S. foreign policy : postwar realities / Joseph J. Zasloff, MacAlister Brown. --</t>
  </si>
  <si>
    <t>Zasloff, Joseph Jermiah.</t>
  </si>
  <si>
    <t>Boulder, Colo. : Westview Press, [1978]</t>
  </si>
  <si>
    <t>Westview special studies on international relations.</t>
  </si>
  <si>
    <t>2005-04-20</t>
  </si>
  <si>
    <t>1990-02-20</t>
  </si>
  <si>
    <t>548394:eng</t>
  </si>
  <si>
    <t>3609286</t>
  </si>
  <si>
    <t>991004690769702656</t>
  </si>
  <si>
    <t>2257528640002656</t>
  </si>
  <si>
    <t>9780891581505</t>
  </si>
  <si>
    <t>32285000055870</t>
  </si>
  <si>
    <t>893436603</t>
  </si>
  <si>
    <t>DS550 .R3</t>
  </si>
  <si>
    <t>0                      DS 0550000R  3</t>
  </si>
  <si>
    <t>Geneva 1954; the settlement of the Indochinese War, by Robert F. Randle.</t>
  </si>
  <si>
    <t>Randle, Robert F.</t>
  </si>
  <si>
    <t>Princeton, N.J., Princeton University Press, 1969.</t>
  </si>
  <si>
    <t>887995534:eng</t>
  </si>
  <si>
    <t>56179</t>
  </si>
  <si>
    <t>991000135669702656</t>
  </si>
  <si>
    <t>2261115740002656</t>
  </si>
  <si>
    <t>9780691075297</t>
  </si>
  <si>
    <t>32285000901982</t>
  </si>
  <si>
    <t>893884152</t>
  </si>
  <si>
    <t>DS553.1 .D38 1988</t>
  </si>
  <si>
    <t>0                      DS 0553100D  38          1988</t>
  </si>
  <si>
    <t>Vietnam at war : the history, 1946-1975 / Phillip B. Davidson.</t>
  </si>
  <si>
    <t>Davidson, Phillip B., 1915-1996.</t>
  </si>
  <si>
    <t>Novato, Calif. : Presidio Press, c1988.</t>
  </si>
  <si>
    <t>1998-12-18</t>
  </si>
  <si>
    <t>46878656:eng</t>
  </si>
  <si>
    <t>16648147</t>
  </si>
  <si>
    <t>991001125509702656</t>
  </si>
  <si>
    <t>2265755550002656</t>
  </si>
  <si>
    <t>9780891413066</t>
  </si>
  <si>
    <t>32285000337260</t>
  </si>
  <si>
    <t>893346263</t>
  </si>
  <si>
    <t>DS553.1 .D86 1985</t>
  </si>
  <si>
    <t>0                      DS 0553100D  86          1985</t>
  </si>
  <si>
    <t>The first Vietnam War / Peter M. Dunn.</t>
  </si>
  <si>
    <t>Dunn, Peter M.</t>
  </si>
  <si>
    <t>2006-11-18</t>
  </si>
  <si>
    <t>4066800:eng</t>
  </si>
  <si>
    <t>11090229</t>
  </si>
  <si>
    <t>991000488159702656</t>
  </si>
  <si>
    <t>2269211220002656</t>
  </si>
  <si>
    <t>9780312293147</t>
  </si>
  <si>
    <t>32285000337278</t>
  </si>
  <si>
    <t>893884428</t>
  </si>
  <si>
    <t>DS553.1 .W56 1991</t>
  </si>
  <si>
    <t>0                      DS 0553100W  56          1991</t>
  </si>
  <si>
    <t>The Vietnam wars / Justin Wintle.</t>
  </si>
  <si>
    <t>Wintle, Justin.</t>
  </si>
  <si>
    <t>New York : St. Martin's Press, 1991.</t>
  </si>
  <si>
    <t>Wars of the modern era</t>
  </si>
  <si>
    <t>3943675223:eng</t>
  </si>
  <si>
    <t>24107784</t>
  </si>
  <si>
    <t>991001908839702656</t>
  </si>
  <si>
    <t>2255595030002656</t>
  </si>
  <si>
    <t>9780312068516</t>
  </si>
  <si>
    <t>32285000936285</t>
  </si>
  <si>
    <t>893891923</t>
  </si>
  <si>
    <t>DS553.3.D5 W56 2004</t>
  </si>
  <si>
    <t>0                      DS 0553300D  5                  W  56          2004</t>
  </si>
  <si>
    <t>The last valley : Dien Bien Phu and the French defeat in Vietnam / Martin Windrow.</t>
  </si>
  <si>
    <t>Windrow, Martin.</t>
  </si>
  <si>
    <t>Cambridge, MA : Da Capo Press, 2004.</t>
  </si>
  <si>
    <t>1st Da Capo Press ed.</t>
  </si>
  <si>
    <t>2005-04-15</t>
  </si>
  <si>
    <t>2005-03-21</t>
  </si>
  <si>
    <t>998732:eng</t>
  </si>
  <si>
    <t>57211315</t>
  </si>
  <si>
    <t>991004486069702656</t>
  </si>
  <si>
    <t>2265164230002656</t>
  </si>
  <si>
    <t>9780306813863</t>
  </si>
  <si>
    <t>32285005043574</t>
  </si>
  <si>
    <t>893430115</t>
  </si>
  <si>
    <t>DS553.5 .S56 1994</t>
  </si>
  <si>
    <t>0                      DS 0553500S  56          1994</t>
  </si>
  <si>
    <t>Tiger in the barbed wire : an American in Vietnam, 1952-1991 / Howard R. Simpson ; foreword by Pierre Salinger.</t>
  </si>
  <si>
    <t>Simpson, Howard R., 1925-1999.</t>
  </si>
  <si>
    <t>New York : Kodansha International, 1994.</t>
  </si>
  <si>
    <t>2005-10-25</t>
  </si>
  <si>
    <t>1995-02-06</t>
  </si>
  <si>
    <t>836730480:eng</t>
  </si>
  <si>
    <t>29597321</t>
  </si>
  <si>
    <t>991002283009702656</t>
  </si>
  <si>
    <t>2261399520002656</t>
  </si>
  <si>
    <t>9781568360256</t>
  </si>
  <si>
    <t>32285001997286</t>
  </si>
  <si>
    <t>893408917</t>
  </si>
  <si>
    <t>DS553.6 .C33 1986</t>
  </si>
  <si>
    <t>0                      DS 0553600C  33          1986</t>
  </si>
  <si>
    <t>The Geneva Conference of 1954 on Indochina / James Cable.</t>
  </si>
  <si>
    <t>Cable, James, 1920-</t>
  </si>
  <si>
    <t>2005-04-06</t>
  </si>
  <si>
    <t>5873926:eng</t>
  </si>
  <si>
    <t>12947773</t>
  </si>
  <si>
    <t>991000756269702656</t>
  </si>
  <si>
    <t>2256700520002656</t>
  </si>
  <si>
    <t>9780312320973</t>
  </si>
  <si>
    <t>32285000337286</t>
  </si>
  <si>
    <t>893261597</t>
  </si>
  <si>
    <t>DS554.382 .V53 1984</t>
  </si>
  <si>
    <t>0                      DS 0554382V  53          1984</t>
  </si>
  <si>
    <t>Cambodia, 1975-1982 / Michael Vickery.</t>
  </si>
  <si>
    <t>Vickery, Michael.</t>
  </si>
  <si>
    <t>Boston, MA : South End Press, c1984.</t>
  </si>
  <si>
    <t>2953164:eng</t>
  </si>
  <si>
    <t>10560044</t>
  </si>
  <si>
    <t>991000394509702656</t>
  </si>
  <si>
    <t>2264997690002656</t>
  </si>
  <si>
    <t>9780896081901</t>
  </si>
  <si>
    <t>32285000672401</t>
  </si>
  <si>
    <t>893243208</t>
  </si>
  <si>
    <t>DS554.8 .C357 1989</t>
  </si>
  <si>
    <t>0                      DS 0554800C  357         1989</t>
  </si>
  <si>
    <t>Cambodia, 1975-1978 : rendezvous with death / [compiled by] Karl D. Jackson.</t>
  </si>
  <si>
    <t>Princeton, N.J. : Princeton University Press, c1989.</t>
  </si>
  <si>
    <t>836737109:eng</t>
  </si>
  <si>
    <t>18739271</t>
  </si>
  <si>
    <t>991001387389702656</t>
  </si>
  <si>
    <t>2261568630002656</t>
  </si>
  <si>
    <t>9780691078076</t>
  </si>
  <si>
    <t>32285000311851</t>
  </si>
  <si>
    <t>893866196</t>
  </si>
  <si>
    <t>DS554.8 .K3832 1998</t>
  </si>
  <si>
    <t>0                      DS 0554800K  3832        1998</t>
  </si>
  <si>
    <t>Cambodia : report from a stricken land / Henry Kamm.</t>
  </si>
  <si>
    <t>Kamm, Henry.</t>
  </si>
  <si>
    <t>New York : Arcade Pub., 1998.</t>
  </si>
  <si>
    <t>1998-10-06</t>
  </si>
  <si>
    <t>315013509:eng</t>
  </si>
  <si>
    <t>38964260</t>
  </si>
  <si>
    <t>991002930289702656</t>
  </si>
  <si>
    <t>2258772740002656</t>
  </si>
  <si>
    <t>9781559704335</t>
  </si>
  <si>
    <t>32285003472528</t>
  </si>
  <si>
    <t>893434471</t>
  </si>
  <si>
    <t>DS554.8 .N48 1996</t>
  </si>
  <si>
    <t>0                      DS 0554800N  48          1996</t>
  </si>
  <si>
    <t>The New interventionism, 1991-1994 : United Nations experience in Cambodia, former Yugoslavia, and Somalia/ edited by James Mayall.</t>
  </si>
  <si>
    <t>LSE monographs in international studies</t>
  </si>
  <si>
    <t>917503884:eng</t>
  </si>
  <si>
    <t>33047184</t>
  </si>
  <si>
    <t>991001668539702656</t>
  </si>
  <si>
    <t>2265766650002656</t>
  </si>
  <si>
    <t>9780521551977</t>
  </si>
  <si>
    <t>32285003486601</t>
  </si>
  <si>
    <t>893351958</t>
  </si>
  <si>
    <t>DS554.842 .E9 1984</t>
  </si>
  <si>
    <t>0                      DS 0554842E  9           1984</t>
  </si>
  <si>
    <t>Red brotherhood at war : Indochina since the fall of Saigon / Grant Evans, Kelvin Rowley.</t>
  </si>
  <si>
    <t>Evans, Grant, 1948-2014.</t>
  </si>
  <si>
    <t>London : Verso ; [New York : distributed in the USA and Canada by Schocken Books], 1984.</t>
  </si>
  <si>
    <t>222183821:eng</t>
  </si>
  <si>
    <t>11482614</t>
  </si>
  <si>
    <t>991000540869702656</t>
  </si>
  <si>
    <t>2256036640002656</t>
  </si>
  <si>
    <t>9780860917953</t>
  </si>
  <si>
    <t>32285000337310</t>
  </si>
  <si>
    <t>893714678</t>
  </si>
  <si>
    <t>DS556.39 .P39 1994</t>
  </si>
  <si>
    <t>0                      DS 0556390P  39          1994</t>
  </si>
  <si>
    <t>Passage to Vietnam : through the eyes of seventy photographers / created by Rick Smolan and Jennifer Erwitt ; designed by Thomas K. Walker.</t>
  </si>
  <si>
    <t>[United States?] : Against All Odds Productions &amp; Melcher Media, 1994.</t>
  </si>
  <si>
    <t>xxu</t>
  </si>
  <si>
    <t>2006-11-19</t>
  </si>
  <si>
    <t>1996-04-01</t>
  </si>
  <si>
    <t>353187070:eng</t>
  </si>
  <si>
    <t>31441385</t>
  </si>
  <si>
    <t>991002417459702656</t>
  </si>
  <si>
    <t>2258433140002656</t>
  </si>
  <si>
    <t>9781885559005</t>
  </si>
  <si>
    <t>32285002148780</t>
  </si>
  <si>
    <t>893603574</t>
  </si>
  <si>
    <t>DS556.45.M6 H52 1982</t>
  </si>
  <si>
    <t>0                      DS 0556450M  6                  H  52          1982</t>
  </si>
  <si>
    <t>Free in the forest : ethnohistory of the Vietnamese central highlands, 1954-1976 / Gerald Cannon Hickey.</t>
  </si>
  <si>
    <t>Hickey, Gerald Cannon, 1925-2010.</t>
  </si>
  <si>
    <t>New Haven : Yale University Press, c1982.</t>
  </si>
  <si>
    <t>2004-11-12</t>
  </si>
  <si>
    <t>1990-06-27</t>
  </si>
  <si>
    <t>865185928:eng</t>
  </si>
  <si>
    <t>7596224</t>
  </si>
  <si>
    <t>991005138499702656</t>
  </si>
  <si>
    <t>2255822660002656</t>
  </si>
  <si>
    <t>9780300024371</t>
  </si>
  <si>
    <t>32285000205426</t>
  </si>
  <si>
    <t>893514111</t>
  </si>
  <si>
    <t>DS556.5 .D69 1981</t>
  </si>
  <si>
    <t>0                      DS 0556500D  69          1981</t>
  </si>
  <si>
    <t>Setting the stage / by Edward Doyle, Samuel Lipsman, and the editors of Boston Publishing Company ; preface by Henry Cabot Lodge.</t>
  </si>
  <si>
    <t>Doyle, Edward, 1949-</t>
  </si>
  <si>
    <t>Boston, MA : Boston Pub. Co., c1981.</t>
  </si>
  <si>
    <t>The Vietnam experience</t>
  </si>
  <si>
    <t>2007-04-20</t>
  </si>
  <si>
    <t>585145:eng</t>
  </si>
  <si>
    <t>7947415</t>
  </si>
  <si>
    <t>991005182799702656</t>
  </si>
  <si>
    <t>2270083480002656</t>
  </si>
  <si>
    <t>9780939526000</t>
  </si>
  <si>
    <t>32285000149749</t>
  </si>
  <si>
    <t>893600765</t>
  </si>
  <si>
    <t>DS556.58 .K46 2002</t>
  </si>
  <si>
    <t>0                      DS 0556580K  46          2002</t>
  </si>
  <si>
    <t>Shadow of the dragon : Vietnam's continuing struggle with China and its implications for U.S. foreign policy / Henry J. Kenny.</t>
  </si>
  <si>
    <t>Kenny, Henry J.</t>
  </si>
  <si>
    <t>2004-02-06</t>
  </si>
  <si>
    <t>201286302:eng</t>
  </si>
  <si>
    <t>49225298</t>
  </si>
  <si>
    <t>991004189409702656</t>
  </si>
  <si>
    <t>2265790150002656</t>
  </si>
  <si>
    <t>9781574884784</t>
  </si>
  <si>
    <t>32285004848098</t>
  </si>
  <si>
    <t>893353273</t>
  </si>
  <si>
    <t>DS556.8 .D45 1986</t>
  </si>
  <si>
    <t>0                      DS 0556800D  45          1986</t>
  </si>
  <si>
    <t>Vietnam revisited : from covert action to invasion to reconstruction / by David Dellinger.</t>
  </si>
  <si>
    <t>Dellinger, David T., 1915-2004.</t>
  </si>
  <si>
    <t>Boston, MA : South End Press, c1986.</t>
  </si>
  <si>
    <t>1990-05-10</t>
  </si>
  <si>
    <t>138567390:eng</t>
  </si>
  <si>
    <t>13395879</t>
  </si>
  <si>
    <t>991000822199702656</t>
  </si>
  <si>
    <t>2261934980002656</t>
  </si>
  <si>
    <t>9780896083196</t>
  </si>
  <si>
    <t>32285000151844</t>
  </si>
  <si>
    <t>893702467</t>
  </si>
  <si>
    <t>DS556.8 .D69 1981</t>
  </si>
  <si>
    <t>0                      DS 0556800D  69          1981</t>
  </si>
  <si>
    <t>Passing the torch / by Edward Doyle, Samuel Lipsman, Stephen Weiss, and the editors of Boston Publishing Company.</t>
  </si>
  <si>
    <t>585146:eng</t>
  </si>
  <si>
    <t>8085591</t>
  </si>
  <si>
    <t>991005201379702656</t>
  </si>
  <si>
    <t>2256962700002656</t>
  </si>
  <si>
    <t>9780939526017</t>
  </si>
  <si>
    <t>32285000337351</t>
  </si>
  <si>
    <t>893807988</t>
  </si>
  <si>
    <t>DS556.8 .D691 1986</t>
  </si>
  <si>
    <t>0                      DS 0556800D  691         1986</t>
  </si>
  <si>
    <t>The North / by Edward Doyle, Samuel Lipsman, Terrence Maitland and the editors of Boston Publishing Company.</t>
  </si>
  <si>
    <t>Boston, MA : Boston Pub. Co., c1986.</t>
  </si>
  <si>
    <t>1999-01-06</t>
  </si>
  <si>
    <t>7133828:eng</t>
  </si>
  <si>
    <t>14115298</t>
  </si>
  <si>
    <t>991000908259702656</t>
  </si>
  <si>
    <t>2262609670002656</t>
  </si>
  <si>
    <t>9780939526215</t>
  </si>
  <si>
    <t>32285000097377</t>
  </si>
  <si>
    <t>893696278</t>
  </si>
  <si>
    <t>DS556.8 .H37 1989</t>
  </si>
  <si>
    <t>0                      DS 0556800H  37          1989</t>
  </si>
  <si>
    <t>The endless war : Vietnam's struggle for independence / James P. Harrison.</t>
  </si>
  <si>
    <t>Harrison, James P.</t>
  </si>
  <si>
    <t>New York : Columbia University Press, 1989.</t>
  </si>
  <si>
    <t>Columbia University Press morningside ed.</t>
  </si>
  <si>
    <t>1999-07-18</t>
  </si>
  <si>
    <t>1989-12-18</t>
  </si>
  <si>
    <t>2097563357:eng</t>
  </si>
  <si>
    <t>18814034</t>
  </si>
  <si>
    <t>991001398169702656</t>
  </si>
  <si>
    <t>2265147610002656</t>
  </si>
  <si>
    <t>9780231069090</t>
  </si>
  <si>
    <t>32285000018662</t>
  </si>
  <si>
    <t>893516176</t>
  </si>
  <si>
    <t>DS556.8 .N56 2002</t>
  </si>
  <si>
    <t>0                      DS 0556800N  56          2002</t>
  </si>
  <si>
    <t>A world transformed : the politics of culture in revolutionary Vietnam, 1945-1965 / Kim N.B. Ninh.</t>
  </si>
  <si>
    <t>Ninh, Kim Ngoc Bao.</t>
  </si>
  <si>
    <t>Ann Arbor : University of Michigan Press, 2002.</t>
  </si>
  <si>
    <t>Southeast Asia</t>
  </si>
  <si>
    <t>2008-11-10</t>
  </si>
  <si>
    <t>2003-06-17</t>
  </si>
  <si>
    <t>20634505:eng</t>
  </si>
  <si>
    <t>49225821</t>
  </si>
  <si>
    <t>991004060669702656</t>
  </si>
  <si>
    <t>2265967510002656</t>
  </si>
  <si>
    <t>9780472067992</t>
  </si>
  <si>
    <t>32285004752985</t>
  </si>
  <si>
    <t>893718410</t>
  </si>
  <si>
    <t>DS556.9 .H346 1987</t>
  </si>
  <si>
    <t>0                      DS 0556900H  346         1987</t>
  </si>
  <si>
    <t>A death in November : America in Vietnam, 1963 / Ellen J. Hammer.</t>
  </si>
  <si>
    <t>Hammer, Ellen J. (Ellen Joy), 1921-</t>
  </si>
  <si>
    <t>New York : E.P. Dutton, c1987.</t>
  </si>
  <si>
    <t>1993-11-08</t>
  </si>
  <si>
    <t>10135934:eng</t>
  </si>
  <si>
    <t>15317660</t>
  </si>
  <si>
    <t>991001015919702656</t>
  </si>
  <si>
    <t>2256405590002656</t>
  </si>
  <si>
    <t>9780525242109</t>
  </si>
  <si>
    <t>32285000337385</t>
  </si>
  <si>
    <t>893243788</t>
  </si>
  <si>
    <t>DS556.9 .T75</t>
  </si>
  <si>
    <t>0                      DS 0556900T  75</t>
  </si>
  <si>
    <t>Our endless war : inside Vietnam / Tran Van Don.</t>
  </si>
  <si>
    <t>Trần, Văn Đôn, 1917-</t>
  </si>
  <si>
    <t>1998-03-03</t>
  </si>
  <si>
    <t>548265:eng</t>
  </si>
  <si>
    <t>3844653</t>
  </si>
  <si>
    <t>991004529379702656</t>
  </si>
  <si>
    <t>2264884160002656</t>
  </si>
  <si>
    <t>9780891410195</t>
  </si>
  <si>
    <t>32285000337393</t>
  </si>
  <si>
    <t>893513350</t>
  </si>
  <si>
    <t>DS556.9 .W57 1997</t>
  </si>
  <si>
    <t>0                      DS 0556900W  57          1997</t>
  </si>
  <si>
    <t>The Year of the hare : America in Vietnam, January 25, 1963-February 15, 1964 / Francis X. Winters.</t>
  </si>
  <si>
    <t>Winters, Francis X.</t>
  </si>
  <si>
    <t>Athens : University of Georgia Press, c1997.</t>
  </si>
  <si>
    <t>20930571:eng</t>
  </si>
  <si>
    <t>34477151</t>
  </si>
  <si>
    <t>991002630979702656</t>
  </si>
  <si>
    <t>2264275210002656</t>
  </si>
  <si>
    <t>9780820318745</t>
  </si>
  <si>
    <t>32285003594008</t>
  </si>
  <si>
    <t>893798805</t>
  </si>
  <si>
    <t>DS556.93.H39 A3 1989</t>
  </si>
  <si>
    <t>0                      DS 0556930H  39                 A  3           1989</t>
  </si>
  <si>
    <t>When heaven and earth changed places : a Vietnamese woman's journey from war to peace / Le Ly Hayslip with Jay Wurts.</t>
  </si>
  <si>
    <t>Hayslip, Le Ly.</t>
  </si>
  <si>
    <t>New York : Doubleday, c1989.</t>
  </si>
  <si>
    <t>2007-05-03</t>
  </si>
  <si>
    <t>10370096:eng</t>
  </si>
  <si>
    <t>18989662</t>
  </si>
  <si>
    <t>991001424879702656</t>
  </si>
  <si>
    <t>2265708020002656</t>
  </si>
  <si>
    <t>9780385247580</t>
  </si>
  <si>
    <t>32285000337401</t>
  </si>
  <si>
    <t>893509621</t>
  </si>
  <si>
    <t>DS557.6 .L64 2001</t>
  </si>
  <si>
    <t>0                      DS 0557600L  64          2001</t>
  </si>
  <si>
    <t>The origins of the Vietnam War / Fredrik Logevall.</t>
  </si>
  <si>
    <t>Logevall, Fredrik, 1963-</t>
  </si>
  <si>
    <t>Harlow, England ; New York : Longman, 2001.</t>
  </si>
  <si>
    <t>Seminar studies in history</t>
  </si>
  <si>
    <t>2006-03-24</t>
  </si>
  <si>
    <t>20598809:eng</t>
  </si>
  <si>
    <t>46422184</t>
  </si>
  <si>
    <t>991003663589702656</t>
  </si>
  <si>
    <t>2261274330002656</t>
  </si>
  <si>
    <t>9780582319189</t>
  </si>
  <si>
    <t>32285004413026</t>
  </si>
  <si>
    <t>893512220</t>
  </si>
  <si>
    <t>DS557.7 .A53 2005</t>
  </si>
  <si>
    <t>0                      DS 0557700A  53          2005</t>
  </si>
  <si>
    <t>The Vietnam War / David L. Anderson.</t>
  </si>
  <si>
    <t>Anderson, David L., 1946-</t>
  </si>
  <si>
    <t>New York : Palgrave Macmillan, 2005.</t>
  </si>
  <si>
    <t>Twentieth-century wars</t>
  </si>
  <si>
    <t>2009-08-08</t>
  </si>
  <si>
    <t>2006-04-24</t>
  </si>
  <si>
    <t>877156:eng</t>
  </si>
  <si>
    <t>56880068</t>
  </si>
  <si>
    <t>991004772409702656</t>
  </si>
  <si>
    <t>2261439600002656</t>
  </si>
  <si>
    <t>9780333963364</t>
  </si>
  <si>
    <t>32285005181952</t>
  </si>
  <si>
    <t>893694335</t>
  </si>
  <si>
    <t>DS557.7 .B4 1985</t>
  </si>
  <si>
    <t>0                      DS 0557700B  4           1985</t>
  </si>
  <si>
    <t>The illustrated history of the Vietnam War / Brian Beckett.</t>
  </si>
  <si>
    <t>Beckett, Brian, 19-</t>
  </si>
  <si>
    <t>Poole : Blandford, 1985.</t>
  </si>
  <si>
    <t>2007-03-18</t>
  </si>
  <si>
    <t>1990-05-08</t>
  </si>
  <si>
    <t>3943304534:eng</t>
  </si>
  <si>
    <t>14932853</t>
  </si>
  <si>
    <t>991000697819702656</t>
  </si>
  <si>
    <t>2258336540002656</t>
  </si>
  <si>
    <t>9780713717907</t>
  </si>
  <si>
    <t>32285000150671</t>
  </si>
  <si>
    <t>893790777</t>
  </si>
  <si>
    <t>DS557.7 .D677 1985</t>
  </si>
  <si>
    <t>0                      DS 0557700D  677         1985</t>
  </si>
  <si>
    <t>The fall of the South / by Clark Dougan, David Fulghum, and the editors of Boston Publishing Company.</t>
  </si>
  <si>
    <t>Dougan, Clark.</t>
  </si>
  <si>
    <t>Boston, MA : Boston Pub. Co., c1985.</t>
  </si>
  <si>
    <t>1992-10-28</t>
  </si>
  <si>
    <t>1990-02-21</t>
  </si>
  <si>
    <t>5120120:eng</t>
  </si>
  <si>
    <t>12617949</t>
  </si>
  <si>
    <t>991000715209702656</t>
  </si>
  <si>
    <t>2262230130002656</t>
  </si>
  <si>
    <t>9780939526161</t>
  </si>
  <si>
    <t>32285000058346</t>
  </si>
  <si>
    <t>893419715</t>
  </si>
  <si>
    <t>DS557.7 .D68 1983</t>
  </si>
  <si>
    <t>0                      DS 0557700D  68          1983</t>
  </si>
  <si>
    <t>Nineteen sixty-eight / by Clark Dougan, Stephen Weiss, and the editors of Boston Publishing Company.</t>
  </si>
  <si>
    <t>Boston, MA : Boston Pub. Co., c1983.</t>
  </si>
  <si>
    <t>1990-03-12</t>
  </si>
  <si>
    <t>5624202309:eng</t>
  </si>
  <si>
    <t>9905799</t>
  </si>
  <si>
    <t>991000278659702656</t>
  </si>
  <si>
    <t>2266541360002656</t>
  </si>
  <si>
    <t>9780939526062</t>
  </si>
  <si>
    <t>32285000079201</t>
  </si>
  <si>
    <t>893802655</t>
  </si>
  <si>
    <t>DS557.7 .E474 2004</t>
  </si>
  <si>
    <t>0                      DS 0557700E  474         2004</t>
  </si>
  <si>
    <t>Britain, America, and the Vietnam War / Sylvia Ellis.</t>
  </si>
  <si>
    <t>Ellis, Sylvia.</t>
  </si>
  <si>
    <t>Westport, Conn. : Praeger, 2004.</t>
  </si>
  <si>
    <t>International history</t>
  </si>
  <si>
    <t>2007-04-11</t>
  </si>
  <si>
    <t>2007-03-26</t>
  </si>
  <si>
    <t>995764:eng</t>
  </si>
  <si>
    <t>54007119</t>
  </si>
  <si>
    <t>991005053919702656</t>
  </si>
  <si>
    <t>2269739140002656</t>
  </si>
  <si>
    <t>9780275973810</t>
  </si>
  <si>
    <t>32285005282875</t>
  </si>
  <si>
    <t>893507534</t>
  </si>
  <si>
    <t>DS557.7 .E49 1988</t>
  </si>
  <si>
    <t>0                      DS 0557700E  49          1988</t>
  </si>
  <si>
    <t>Women war correspondents in the Vietnam War, 1961-1975 / by Virginia Elwood-Akers.</t>
  </si>
  <si>
    <t>Elwood-Akers, Virginia, 1938-</t>
  </si>
  <si>
    <t>Metuchen, N.J. : Scarecrow Press, 1988.</t>
  </si>
  <si>
    <t>2010-06-08</t>
  </si>
  <si>
    <t>12449399:eng</t>
  </si>
  <si>
    <t>16525239</t>
  </si>
  <si>
    <t>991001114969702656</t>
  </si>
  <si>
    <t>2258870440002656</t>
  </si>
  <si>
    <t>9780810820333</t>
  </si>
  <si>
    <t>32285000057017</t>
  </si>
  <si>
    <t>893351782</t>
  </si>
  <si>
    <t>DS557.7 .G46 1985</t>
  </si>
  <si>
    <t>0                      DS 0557700G  46          1985</t>
  </si>
  <si>
    <t>Vietnam, the secret war / Kevin M. Generous.</t>
  </si>
  <si>
    <t>Generous, Kevin M.</t>
  </si>
  <si>
    <t>New York : Gallery Books, c1985.</t>
  </si>
  <si>
    <t>5536914:eng</t>
  </si>
  <si>
    <t>12769195</t>
  </si>
  <si>
    <t>991000735659702656</t>
  </si>
  <si>
    <t>2267706170002656</t>
  </si>
  <si>
    <t>9780831791735</t>
  </si>
  <si>
    <t>32285000097393</t>
  </si>
  <si>
    <t>893696113</t>
  </si>
  <si>
    <t>DS557.7 .I48 1986</t>
  </si>
  <si>
    <t>0                      DS 0557700I  48          1986</t>
  </si>
  <si>
    <t>Images of war / [edited] by Julene Fischer and the picture staff of Boston Publishing Company ; text by Robert Stone.</t>
  </si>
  <si>
    <t>1990-10-10</t>
  </si>
  <si>
    <t>3943692864:eng</t>
  </si>
  <si>
    <t>13116967</t>
  </si>
  <si>
    <t>991000783099702656</t>
  </si>
  <si>
    <t>2261712480002656</t>
  </si>
  <si>
    <t>9780939526185</t>
  </si>
  <si>
    <t>32285000337450</t>
  </si>
  <si>
    <t>893714897</t>
  </si>
  <si>
    <t>DS557.7 .I82 1983</t>
  </si>
  <si>
    <t>0                      DS 0557700I  82          1983</t>
  </si>
  <si>
    <t>Without honor : defeat in Vietnam and Cambodia / by Arnold R. Isaacs.</t>
  </si>
  <si>
    <t>Isaacs, Arnold R.</t>
  </si>
  <si>
    <t>Baltimore : Johns Hopkins University Press, c1983.</t>
  </si>
  <si>
    <t>1999-05-03</t>
  </si>
  <si>
    <t>1990-03-21</t>
  </si>
  <si>
    <t>2909824:eng</t>
  </si>
  <si>
    <t>9557629</t>
  </si>
  <si>
    <t>991000215739702656</t>
  </si>
  <si>
    <t>2266882620002656</t>
  </si>
  <si>
    <t>9780801830600</t>
  </si>
  <si>
    <t>32285000089440</t>
  </si>
  <si>
    <t>893515115</t>
  </si>
  <si>
    <t>DS557.7 .J67 2003</t>
  </si>
  <si>
    <t>0                      DS 0557700J  67          2003</t>
  </si>
  <si>
    <t>Death of a generation : how the assassinations of Diem and JFK prolonged the Vietnam War / Howard Jones.</t>
  </si>
  <si>
    <t>Jones, Howard, 1940-</t>
  </si>
  <si>
    <t>Oxford ; New York : Oxford University Press, 2003.</t>
  </si>
  <si>
    <t>2005-03-30</t>
  </si>
  <si>
    <t>795534772:eng</t>
  </si>
  <si>
    <t>50630482</t>
  </si>
  <si>
    <t>991004501889702656</t>
  </si>
  <si>
    <t>2259157030002656</t>
  </si>
  <si>
    <t>9780195052862</t>
  </si>
  <si>
    <t>32285005045868</t>
  </si>
  <si>
    <t>893500654</t>
  </si>
  <si>
    <t>DS557.7 .L376 2002</t>
  </si>
  <si>
    <t>0                      DS 0557700L  376         2002</t>
  </si>
  <si>
    <t>The cat from Hué : a Vietnam war story / John Laurence.</t>
  </si>
  <si>
    <t>Laurence, John.</t>
  </si>
  <si>
    <t>New York : PublicAffairs, c2002.</t>
  </si>
  <si>
    <t>2003-02-04</t>
  </si>
  <si>
    <t>2002-07-10</t>
  </si>
  <si>
    <t>57328:eng</t>
  </si>
  <si>
    <t>45909179</t>
  </si>
  <si>
    <t>991003822269702656</t>
  </si>
  <si>
    <t>2267881230002656</t>
  </si>
  <si>
    <t>9781891620317</t>
  </si>
  <si>
    <t>32285004497243</t>
  </si>
  <si>
    <t>893518904</t>
  </si>
  <si>
    <t>DS557.7 .L559 1985</t>
  </si>
  <si>
    <t>0                      DS 0557700L  559         1985</t>
  </si>
  <si>
    <t>The false peace, 1972-1974 / by Samuel Lipsman, Stephen Weiss, and the editors of Boston Publishing Company.</t>
  </si>
  <si>
    <t>Lipsman, Samuel.</t>
  </si>
  <si>
    <t>Boston, MA : Boston Pub. Co., 1985.</t>
  </si>
  <si>
    <t>5350038:eng</t>
  </si>
  <si>
    <t>12801807</t>
  </si>
  <si>
    <t>991000737369702656</t>
  </si>
  <si>
    <t>2255133080002656</t>
  </si>
  <si>
    <t>9780939526154</t>
  </si>
  <si>
    <t>32285000337468</t>
  </si>
  <si>
    <t>893884714</t>
  </si>
  <si>
    <t>DS557.7 .L56 1983</t>
  </si>
  <si>
    <t>0                      DS 0557700L  56          1983</t>
  </si>
  <si>
    <t>Fighting for time / by Samuel Lipsman, Edward Doyle, and the editors of Boston Publishing Company.</t>
  </si>
  <si>
    <t>1994-10-23</t>
  </si>
  <si>
    <t>2908654:eng</t>
  </si>
  <si>
    <t>10261213</t>
  </si>
  <si>
    <t>991000340299702656</t>
  </si>
  <si>
    <t>2269760590002656</t>
  </si>
  <si>
    <t>9780939526079</t>
  </si>
  <si>
    <t>32285000337476</t>
  </si>
  <si>
    <t>893339474</t>
  </si>
  <si>
    <t>DS557.7 .M54 1983</t>
  </si>
  <si>
    <t>0                      DS 0557700M  54          1983</t>
  </si>
  <si>
    <t>Combat photographer / by Nick Mills and the editors of Boston Publishing Company.</t>
  </si>
  <si>
    <t>Mills, Nick, 1942-</t>
  </si>
  <si>
    <t>Boston, MA ; Boston Pub. Co., c1983.</t>
  </si>
  <si>
    <t>2898511:eng</t>
  </si>
  <si>
    <t>10208331</t>
  </si>
  <si>
    <t>991000333239702656</t>
  </si>
  <si>
    <t>2264369450002656</t>
  </si>
  <si>
    <t>9780939526086</t>
  </si>
  <si>
    <t>32285000337484</t>
  </si>
  <si>
    <t>893777852</t>
  </si>
  <si>
    <t>DS557.7 .N378 2002</t>
  </si>
  <si>
    <t>0                      DS 0557700N  378         2002</t>
  </si>
  <si>
    <t>New perspectives on the Vietnam war : our allies' views / edited by William Schoenl.</t>
  </si>
  <si>
    <t>Lanham, Md. : University Press of America, c2002.</t>
  </si>
  <si>
    <t>152265922:eng</t>
  </si>
  <si>
    <t>50143470</t>
  </si>
  <si>
    <t>991003911829702656</t>
  </si>
  <si>
    <t>2270632070002656</t>
  </si>
  <si>
    <t>9780761823827</t>
  </si>
  <si>
    <t>32285004661566</t>
  </si>
  <si>
    <t>893330982</t>
  </si>
  <si>
    <t>DS557.7 .O2 1975</t>
  </si>
  <si>
    <t>0                      DS 0557700O  2           1975</t>
  </si>
  <si>
    <t>The wars in Vietnam, 1954-1973 / Edgar O'Ballance.</t>
  </si>
  <si>
    <t>New York : Hippocrene Books, 1975.</t>
  </si>
  <si>
    <t>1995-09-18</t>
  </si>
  <si>
    <t>542030:eng</t>
  </si>
  <si>
    <t>1527589</t>
  </si>
  <si>
    <t>991003801339702656</t>
  </si>
  <si>
    <t>2258109800002656</t>
  </si>
  <si>
    <t>9780882543611</t>
  </si>
  <si>
    <t>32285002023751</t>
  </si>
  <si>
    <t>893525244</t>
  </si>
  <si>
    <t>DS557.7 .S56 1978</t>
  </si>
  <si>
    <t>0                      DS 0557700S  56          1978</t>
  </si>
  <si>
    <t>A Short history of the Vietnam War / edited by Allan R. Millett. --</t>
  </si>
  <si>
    <t>Bloomington : Indiana University Press, c1978.</t>
  </si>
  <si>
    <t>2007-04-03</t>
  </si>
  <si>
    <t>54194249:eng</t>
  </si>
  <si>
    <t>3447155</t>
  </si>
  <si>
    <t>991004437369702656</t>
  </si>
  <si>
    <t>2268708270002656</t>
  </si>
  <si>
    <t>9780253352156</t>
  </si>
  <si>
    <t>32285000077346</t>
  </si>
  <si>
    <t>893506851</t>
  </si>
  <si>
    <t>DS557.7 .S64 1983</t>
  </si>
  <si>
    <t>0                      DS 0557700S  64          1983</t>
  </si>
  <si>
    <t>An international history of the Vietnam War / R.B. Smith.</t>
  </si>
  <si>
    <t>Smith, R. B. (Ralph Bernard), 1939-2000.</t>
  </si>
  <si>
    <t>New York : St. Martin's Press, 1983-&lt;1985 &gt;</t>
  </si>
  <si>
    <t>1065819794:eng</t>
  </si>
  <si>
    <t>9282845</t>
  </si>
  <si>
    <t>991000165179702656</t>
  </si>
  <si>
    <t>2259925690002656</t>
  </si>
  <si>
    <t>9780312422059</t>
  </si>
  <si>
    <t>32285000077379</t>
  </si>
  <si>
    <t>893777755</t>
  </si>
  <si>
    <t>DS557.7 .T87 1987</t>
  </si>
  <si>
    <t>0                      DS 0557700T  87          1987</t>
  </si>
  <si>
    <t>The second Indochina War : a short political and military history, 1954-1975 / William S. Turley.</t>
  </si>
  <si>
    <t>Turley, William S.</t>
  </si>
  <si>
    <t>New York ; Scarborough, Ontario : New American Library, 1987, c1986.</t>
  </si>
  <si>
    <t>1999-08-05</t>
  </si>
  <si>
    <t>5471501:eng</t>
  </si>
  <si>
    <t>15356541</t>
  </si>
  <si>
    <t>991001018499702656</t>
  </si>
  <si>
    <t>2265164350002656</t>
  </si>
  <si>
    <t>9780451625465</t>
  </si>
  <si>
    <t>32285000151000</t>
  </si>
  <si>
    <t>893878547</t>
  </si>
  <si>
    <t>DS557.7 .V562 1984</t>
  </si>
  <si>
    <t>0                      DS 0557700V  562         1984</t>
  </si>
  <si>
    <t>Vietnam as history : ten years after the Paris Peace Accords / Peter Braestrup, editor.</t>
  </si>
  <si>
    <t>Washington, D.C. : University Press of America, c1984.</t>
  </si>
  <si>
    <t>A Wilson Center conference report</t>
  </si>
  <si>
    <t>806412961:eng</t>
  </si>
  <si>
    <t>10045444</t>
  </si>
  <si>
    <t>991000303259702656</t>
  </si>
  <si>
    <t>2259047140002656</t>
  </si>
  <si>
    <t>9780819136541</t>
  </si>
  <si>
    <t>32285000098771</t>
  </si>
  <si>
    <t>893407078</t>
  </si>
  <si>
    <t>DS557.7 .V566 1984b</t>
  </si>
  <si>
    <t>0                      DS 0557700V  566         1984b</t>
  </si>
  <si>
    <t>Vietnam voices : perspectives on the war years, 1941-1982 / compiled by John Clark Pratt.</t>
  </si>
  <si>
    <t>New York, N.Y. : Penguin Books, c1984.</t>
  </si>
  <si>
    <t>2003-03-24</t>
  </si>
  <si>
    <t>836667274:eng</t>
  </si>
  <si>
    <t>10799634</t>
  </si>
  <si>
    <t>991000437339702656</t>
  </si>
  <si>
    <t>2269731110002656</t>
  </si>
  <si>
    <t>9780140063592</t>
  </si>
  <si>
    <t>32285000337492</t>
  </si>
  <si>
    <t>893695831</t>
  </si>
  <si>
    <t>DS557.7 .W37 1978</t>
  </si>
  <si>
    <t>0                      DS 0557700W  37          1978</t>
  </si>
  <si>
    <t>Certain victory : how Hanoi won the war / Denis Warner.</t>
  </si>
  <si>
    <t>Kansas City, Kan. : Sheed Andrews and McMeel, c1978.</t>
  </si>
  <si>
    <t>ksu</t>
  </si>
  <si>
    <t>2008-10-22</t>
  </si>
  <si>
    <t>3943672957:eng</t>
  </si>
  <si>
    <t>3844472</t>
  </si>
  <si>
    <t>991004528839702656</t>
  </si>
  <si>
    <t>2264766030002656</t>
  </si>
  <si>
    <t>9780836262018</t>
  </si>
  <si>
    <t>32285000337500</t>
  </si>
  <si>
    <t>893526208</t>
  </si>
  <si>
    <t>DS557.7 .W38 1988</t>
  </si>
  <si>
    <t>0                      DS 0557700W  38          1988</t>
  </si>
  <si>
    <t>War in the shadows / by the editors of Boston Publishing Company.</t>
  </si>
  <si>
    <t>Boston, MA : Boston Publishing Company, c1988.</t>
  </si>
  <si>
    <t>1998-03-02</t>
  </si>
  <si>
    <t>1990-10-18</t>
  </si>
  <si>
    <t>16901615:eng</t>
  </si>
  <si>
    <t>18034212</t>
  </si>
  <si>
    <t>991001295929702656</t>
  </si>
  <si>
    <t>2264771400002656</t>
  </si>
  <si>
    <t>9780939526383</t>
  </si>
  <si>
    <t>32285000338490</t>
  </si>
  <si>
    <t>893231889</t>
  </si>
  <si>
    <t>DS557.7 .W49 2002</t>
  </si>
  <si>
    <t>0                      DS 0557700W  49          2002</t>
  </si>
  <si>
    <t>Why the North won the Vietnam War / edited by Marc Jason Gilbert.</t>
  </si>
  <si>
    <t>New York : Palgrave, 2002.</t>
  </si>
  <si>
    <t>2003-09-17</t>
  </si>
  <si>
    <t>1005013795:eng</t>
  </si>
  <si>
    <t>48390660</t>
  </si>
  <si>
    <t>991004108449702656</t>
  </si>
  <si>
    <t>2256384170002656</t>
  </si>
  <si>
    <t>9780312295264</t>
  </si>
  <si>
    <t>32285004783360</t>
  </si>
  <si>
    <t>893442217</t>
  </si>
  <si>
    <t>DS557.7.D68 N37 1984</t>
  </si>
  <si>
    <t>0                      DS 0557700D  68                 N  37          1984</t>
  </si>
  <si>
    <t>A Nation divided / by Clark Dougan, Samuel Lipsman, and the editors of Boston Publishing Company.</t>
  </si>
  <si>
    <t>Boston, Mass. : Boston Publishing Co., 1984.</t>
  </si>
  <si>
    <t>The Vietnam Experience</t>
  </si>
  <si>
    <t>3798999:eng</t>
  </si>
  <si>
    <t>11313827</t>
  </si>
  <si>
    <t>991000518479702656</t>
  </si>
  <si>
    <t>2257664940002656</t>
  </si>
  <si>
    <t>9780939526116</t>
  </si>
  <si>
    <t>32285000089432</t>
  </si>
  <si>
    <t>893802844</t>
  </si>
  <si>
    <t>DS557.72 .P34 2002</t>
  </si>
  <si>
    <t>0                      DS 0557720P  34          2002</t>
  </si>
  <si>
    <t>Another Vietnam : pictures of the war from the other side / Tim Page ; edited by Doug Niven and Chris Riley ; foreword by Henry Allen.</t>
  </si>
  <si>
    <t>Page, Tim, 1944-</t>
  </si>
  <si>
    <t>Washington, D.C. : National Geographic, 2002.</t>
  </si>
  <si>
    <t>141019511:eng</t>
  </si>
  <si>
    <t>48390575</t>
  </si>
  <si>
    <t>991003848839702656</t>
  </si>
  <si>
    <t>2256350570002656</t>
  </si>
  <si>
    <t>9780792264651</t>
  </si>
  <si>
    <t>32285004643499</t>
  </si>
  <si>
    <t>893252856</t>
  </si>
  <si>
    <t>DS557.73 .M87 1995</t>
  </si>
  <si>
    <t>0                      DS 0557730M  87          1995</t>
  </si>
  <si>
    <t>The land of Nam : the Vietnam war in American film / Eben J. Muse.</t>
  </si>
  <si>
    <t>Muse, Eben J.</t>
  </si>
  <si>
    <t>Lanham, Md. : Scarecrow Press, c1995.</t>
  </si>
  <si>
    <t>2007-10-23</t>
  </si>
  <si>
    <t>1996-05-31</t>
  </si>
  <si>
    <t>836949693:eng</t>
  </si>
  <si>
    <t>31077484</t>
  </si>
  <si>
    <t>991002394069702656</t>
  </si>
  <si>
    <t>2272123260002656</t>
  </si>
  <si>
    <t>9780810829527</t>
  </si>
  <si>
    <t>32285002185659</t>
  </si>
  <si>
    <t>893427548</t>
  </si>
  <si>
    <t>DS557.8.A53 T63 2001</t>
  </si>
  <si>
    <t>0                      DS 0557800A  53                 T  63          2001</t>
  </si>
  <si>
    <t>The battle of Ap Bac, Vietnam : they did everything but learn from it / David M. Toczek ; foreword by W.B. Rosson.</t>
  </si>
  <si>
    <t>Toczek, David M., 1966-</t>
  </si>
  <si>
    <t>Westport, Conn. : Greenwood Press, 2001.</t>
  </si>
  <si>
    <t>Contributions in military studies, 0883-6884 ; no. 208</t>
  </si>
  <si>
    <t>2005-10-31</t>
  </si>
  <si>
    <t>2634188:eng</t>
  </si>
  <si>
    <t>45655342</t>
  </si>
  <si>
    <t>991004611929702656</t>
  </si>
  <si>
    <t>2265596710002656</t>
  </si>
  <si>
    <t>9780313316753</t>
  </si>
  <si>
    <t>32285005143457</t>
  </si>
  <si>
    <t>893612547</t>
  </si>
  <si>
    <t>DS557.8.C3 S5</t>
  </si>
  <si>
    <t>0                      DS 0557800C  3                  S  5</t>
  </si>
  <si>
    <t>Sideshow : Kissinger, Nixon, and the destruction of Cambodia / William Shawcross.</t>
  </si>
  <si>
    <t>26706724:eng</t>
  </si>
  <si>
    <t>4569931</t>
  </si>
  <si>
    <t>991004681249702656</t>
  </si>
  <si>
    <t>2256909730002656</t>
  </si>
  <si>
    <t>9780671230708</t>
  </si>
  <si>
    <t>32285000089465</t>
  </si>
  <si>
    <t>893706706</t>
  </si>
  <si>
    <t>DS557.8.M9 B55 1992</t>
  </si>
  <si>
    <t>0                      DS 0557800M  9                  B  55          1992</t>
  </si>
  <si>
    <t>Four hours in My Lai / Michael Bilton and Kevin Sim.</t>
  </si>
  <si>
    <t>Bilton, Michael.</t>
  </si>
  <si>
    <t>New York : Viking, 1992.</t>
  </si>
  <si>
    <t>2002-10-25</t>
  </si>
  <si>
    <t>1060378:eng</t>
  </si>
  <si>
    <t>25131070</t>
  </si>
  <si>
    <t>991001980499702656</t>
  </si>
  <si>
    <t>2271251240002656</t>
  </si>
  <si>
    <t>9780670842964</t>
  </si>
  <si>
    <t>32285001118313</t>
  </si>
  <si>
    <t>893316228</t>
  </si>
  <si>
    <t>DS557.8.M9 O45 1998</t>
  </si>
  <si>
    <t>0                      DS 0557800M  9                  O  45          1998</t>
  </si>
  <si>
    <t>My Lai : a brief history with documents / James S. Olson and Randy Roberts.</t>
  </si>
  <si>
    <t>Olson, James Stuart, 1946-</t>
  </si>
  <si>
    <t>Boston : Bedford Books, c1998.</t>
  </si>
  <si>
    <t>Bedford series in history and culture</t>
  </si>
  <si>
    <t>2003-04-23</t>
  </si>
  <si>
    <t>837062233:eng</t>
  </si>
  <si>
    <t>38505359</t>
  </si>
  <si>
    <t>991002912439702656</t>
  </si>
  <si>
    <t>2267810920002656</t>
  </si>
  <si>
    <t>9780312142278</t>
  </si>
  <si>
    <t>32285003431607</t>
  </si>
  <si>
    <t>893786739</t>
  </si>
  <si>
    <t>DS557.8.M92 F33 1998</t>
  </si>
  <si>
    <t>0                      DS 0557800M  92                 F  33          1998</t>
  </si>
  <si>
    <t>Facing My Lai : moving beyond the massacre / edited by David L. Anderson.</t>
  </si>
  <si>
    <t>Lawrence, Kan. : University Press of Kansas, 1998.</t>
  </si>
  <si>
    <t>Modern war studies</t>
  </si>
  <si>
    <t>836968048:eng</t>
  </si>
  <si>
    <t>37107150</t>
  </si>
  <si>
    <t>991002820309702656</t>
  </si>
  <si>
    <t>2268616160002656</t>
  </si>
  <si>
    <t>9780700608645</t>
  </si>
  <si>
    <t>32285003528006</t>
  </si>
  <si>
    <t>893530517</t>
  </si>
  <si>
    <t>DS557.8.S6 S34 1976</t>
  </si>
  <si>
    <t>0                      DS 0557800S  6                  S  34          1976</t>
  </si>
  <si>
    <t>The raid / Benjamin F. Schemmer.</t>
  </si>
  <si>
    <t>Schemmer, Benjamin F.</t>
  </si>
  <si>
    <t>New York : Harper &amp; Row, c1976.</t>
  </si>
  <si>
    <t>1997-03-11</t>
  </si>
  <si>
    <t>4818342:eng</t>
  </si>
  <si>
    <t>2330976</t>
  </si>
  <si>
    <t>991004082329702656</t>
  </si>
  <si>
    <t>2263849920002656</t>
  </si>
  <si>
    <t>9780060138028</t>
  </si>
  <si>
    <t>32285002459914</t>
  </si>
  <si>
    <t>893605603</t>
  </si>
  <si>
    <t>DS557.8.T4 O24 1984</t>
  </si>
  <si>
    <t>0                      DS 0557800T  4                  O  24          1984</t>
  </si>
  <si>
    <t>Tet! / by Don Oberdorfer ; new foreword by the author.</t>
  </si>
  <si>
    <t>Oberdorfer, Don.</t>
  </si>
  <si>
    <t>New York, N.Y. : Da Capo Press, [1984], c1971.</t>
  </si>
  <si>
    <t>A Da Capo paperback</t>
  </si>
  <si>
    <t>2005-04-03</t>
  </si>
  <si>
    <t>1366698:eng</t>
  </si>
  <si>
    <t>10300683</t>
  </si>
  <si>
    <t>991000349689702656</t>
  </si>
  <si>
    <t>2269724340002656</t>
  </si>
  <si>
    <t>9780306802102</t>
  </si>
  <si>
    <t>32285000079219</t>
  </si>
  <si>
    <t>893249255</t>
  </si>
  <si>
    <t>DS557.8.T4 S39 2005</t>
  </si>
  <si>
    <t>0                      DS 0557800T  4                  S  39          2005</t>
  </si>
  <si>
    <t>The Tet Offensive : politics, war, and public opinion / David F. Schmitz.</t>
  </si>
  <si>
    <t>Schmitz, David F.</t>
  </si>
  <si>
    <t>Vietnam--America in the war years</t>
  </si>
  <si>
    <t>2006-07-20</t>
  </si>
  <si>
    <t>314034353:eng</t>
  </si>
  <si>
    <t>59098891</t>
  </si>
  <si>
    <t>991004851149702656</t>
  </si>
  <si>
    <t>2266202420002656</t>
  </si>
  <si>
    <t>9780742544857</t>
  </si>
  <si>
    <t>32285005196703</t>
  </si>
  <si>
    <t>893889368</t>
  </si>
  <si>
    <t>DS557.A5 B23</t>
  </si>
  <si>
    <t>0                      DS 0557000A  5                  B  23</t>
  </si>
  <si>
    <t>Vietnam : the roots of conflict / [by] Chester A. Bain.</t>
  </si>
  <si>
    <t>Bain, Chester A. (Chester Arthur), 1912-</t>
  </si>
  <si>
    <t>Englewood Cliffs, N.J. : Prentice-Hall, [1967]</t>
  </si>
  <si>
    <t>A Spectrum book</t>
  </si>
  <si>
    <t>1995-10-05</t>
  </si>
  <si>
    <t>1843317:eng</t>
  </si>
  <si>
    <t>871871</t>
  </si>
  <si>
    <t>991003340819702656</t>
  </si>
  <si>
    <t>2261346160002656</t>
  </si>
  <si>
    <t>32285001116705</t>
  </si>
  <si>
    <t>893317901</t>
  </si>
  <si>
    <t>DS557.A5 B83</t>
  </si>
  <si>
    <t>0                      DS 0557000A  5                  B  83</t>
  </si>
  <si>
    <t>Vietnam : a dragon embattled.</t>
  </si>
  <si>
    <t>Buttinger, Joseph.</t>
  </si>
  <si>
    <t>New York : Praeger, [1967]</t>
  </si>
  <si>
    <t>1995-04-25</t>
  </si>
  <si>
    <t>1810693263:eng</t>
  </si>
  <si>
    <t>411224</t>
  </si>
  <si>
    <t>991002715719702656</t>
  </si>
  <si>
    <t>2265116990002656</t>
  </si>
  <si>
    <t>32285002029030</t>
  </si>
  <si>
    <t>893616478</t>
  </si>
  <si>
    <t>1995-04-24</t>
  </si>
  <si>
    <t>32285002028941</t>
  </si>
  <si>
    <t>893616479</t>
  </si>
  <si>
    <t>DS557.A5 C32</t>
  </si>
  <si>
    <t>0                      DS 0557000A  5                  C  32</t>
  </si>
  <si>
    <t>Viet-Nam crisis : a documentary history / edited, with commentary and annotation, by Allan W. Cameron.</t>
  </si>
  <si>
    <t>Cameron, Allan W., compiler.</t>
  </si>
  <si>
    <t>Ithaca : Cornell University Press, [1971-</t>
  </si>
  <si>
    <t>2001-10-02</t>
  </si>
  <si>
    <t>889210247:eng</t>
  </si>
  <si>
    <t>142326</t>
  </si>
  <si>
    <t>991000815419702656</t>
  </si>
  <si>
    <t>2254727770002656</t>
  </si>
  <si>
    <t>9780801405822</t>
  </si>
  <si>
    <t>32285000875392</t>
  </si>
  <si>
    <t>893407544</t>
  </si>
  <si>
    <t>DS557.A5 D75</t>
  </si>
  <si>
    <t>0                      DS 0557000A  5                  D  75</t>
  </si>
  <si>
    <t>Government and revolution in Vietnam [by] Dennis J. Duncanson.</t>
  </si>
  <si>
    <t>Duncanson, Dennis J.</t>
  </si>
  <si>
    <t>London, New York [etc.] issued under the auspices of the Royal Institute of International Affairs [by] Oxford U.P., 1968.</t>
  </si>
  <si>
    <t>1457142:eng</t>
  </si>
  <si>
    <t>411221</t>
  </si>
  <si>
    <t>991002715689702656</t>
  </si>
  <si>
    <t>2265117020002656</t>
  </si>
  <si>
    <t>32285001095289</t>
  </si>
  <si>
    <t>893780128</t>
  </si>
  <si>
    <t>DS557.A5 F34 1964</t>
  </si>
  <si>
    <t>0                      DS 0557000A  5                  F  34          1964</t>
  </si>
  <si>
    <t>The two Viet-Nams : a political and military analysis / by Bernard B. Fall.</t>
  </si>
  <si>
    <t>Fall, Bernard B., 1926-1967.</t>
  </si>
  <si>
    <t>New York : F. A. Praeger, [1964]</t>
  </si>
  <si>
    <t>2008-12-07</t>
  </si>
  <si>
    <t>1990-09-18</t>
  </si>
  <si>
    <t>1457128:eng</t>
  </si>
  <si>
    <t>411218</t>
  </si>
  <si>
    <t>991002715659702656</t>
  </si>
  <si>
    <t>2265129010002656</t>
  </si>
  <si>
    <t>32285000304427</t>
  </si>
  <si>
    <t>893616476</t>
  </si>
  <si>
    <t>DS557.A5 H5</t>
  </si>
  <si>
    <t>0                      DS 0557000A  5                  H  5</t>
  </si>
  <si>
    <t>Village in Vietnam.</t>
  </si>
  <si>
    <t>New Haven : Yale University Press, 1964.</t>
  </si>
  <si>
    <t>1457678:eng</t>
  </si>
  <si>
    <t>411344</t>
  </si>
  <si>
    <t>991002716129702656</t>
  </si>
  <si>
    <t>2265073890002656</t>
  </si>
  <si>
    <t>32285001894947</t>
  </si>
  <si>
    <t>893239408</t>
  </si>
  <si>
    <t>DS557.A5 W6</t>
  </si>
  <si>
    <t>0                      DS 0557000A  5                  W  6</t>
  </si>
  <si>
    <t>Vietnam and the Chinese model : a comparative study of Nguyẽ̂n and Chʼing civil government in the first half of the nineteenth century.</t>
  </si>
  <si>
    <t>Woodside, Alexander.</t>
  </si>
  <si>
    <t>Cambridge, Mass. : Harvard University Press, 1971.</t>
  </si>
  <si>
    <t>Harvard East Asian series ; 52</t>
  </si>
  <si>
    <t>2002-12-06</t>
  </si>
  <si>
    <t>1993-03-23</t>
  </si>
  <si>
    <t>5266942441:eng</t>
  </si>
  <si>
    <t>424154</t>
  </si>
  <si>
    <t>991002749969702656</t>
  </si>
  <si>
    <t>2268276900002656</t>
  </si>
  <si>
    <t>9780674937208</t>
  </si>
  <si>
    <t>32285001578219</t>
  </si>
  <si>
    <t>893798979</t>
  </si>
  <si>
    <t>DS557.A6 B6</t>
  </si>
  <si>
    <t>0                      DS 0557000A  6                  B  6</t>
  </si>
  <si>
    <t>The last of the mandarins : Diem of Vietnam.</t>
  </si>
  <si>
    <t>Bouscaren, Anthony Trawick.</t>
  </si>
  <si>
    <t>Pittsburgh : Duquesne University Press, 1965.</t>
  </si>
  <si>
    <t>1997-10-07</t>
  </si>
  <si>
    <t>1456334:eng</t>
  </si>
  <si>
    <t>411037</t>
  </si>
  <si>
    <t>991002715059702656</t>
  </si>
  <si>
    <t>2265078600002656</t>
  </si>
  <si>
    <t>32285000304419</t>
  </si>
  <si>
    <t>893616475</t>
  </si>
  <si>
    <t>DS557.A6 C6 1968</t>
  </si>
  <si>
    <t>0                      DS 0557000A  6                  C  6           1968</t>
  </si>
  <si>
    <t>The betrayal / [by] William R. Corson.</t>
  </si>
  <si>
    <t>Corson, William R.</t>
  </si>
  <si>
    <t>New York : W. W. Norton, [1968]</t>
  </si>
  <si>
    <t>1562978:eng</t>
  </si>
  <si>
    <t>439100</t>
  </si>
  <si>
    <t>991002777119702656</t>
  </si>
  <si>
    <t>2267812890002656</t>
  </si>
  <si>
    <t>32285000304401</t>
  </si>
  <si>
    <t>893415636</t>
  </si>
  <si>
    <t>DS557.A6 D37</t>
  </si>
  <si>
    <t>0                      DS 0557000A  6                  D  37</t>
  </si>
  <si>
    <t>From Vietnam to Cambodia; a background book about the struggle in Southeast Asia.</t>
  </si>
  <si>
    <t>Dareff, Hal.</t>
  </si>
  <si>
    <t>New York, Parents' Magazine Press [1971]</t>
  </si>
  <si>
    <t>The Background series</t>
  </si>
  <si>
    <t>1999-11-29</t>
  </si>
  <si>
    <t>194750931:eng</t>
  </si>
  <si>
    <t>162674</t>
  </si>
  <si>
    <t>991000924219702656</t>
  </si>
  <si>
    <t>2268906800002656</t>
  </si>
  <si>
    <t>9780819304766</t>
  </si>
  <si>
    <t>32285002459385</t>
  </si>
  <si>
    <t>893865799</t>
  </si>
  <si>
    <t>DS557.A6 D8 1965a</t>
  </si>
  <si>
    <t>0                      DS 0557000A  6                  D  8           1965a</t>
  </si>
  <si>
    <t>Background to betrayal; the tragedy of Vietnam / Hilaire du Berrier.</t>
  </si>
  <si>
    <t>Du Berrier, Hilaire, 1906-</t>
  </si>
  <si>
    <t>Boston : Western Islands, c1965.</t>
  </si>
  <si>
    <t>1993-10-21</t>
  </si>
  <si>
    <t>1650438:eng</t>
  </si>
  <si>
    <t>5143315</t>
  </si>
  <si>
    <t>991004785819702656</t>
  </si>
  <si>
    <t>2271414300002656</t>
  </si>
  <si>
    <t>32285000097385</t>
  </si>
  <si>
    <t>893722611</t>
  </si>
  <si>
    <t>DS557.A6 F48</t>
  </si>
  <si>
    <t>0                      DS 0557000A  6                  F  48</t>
  </si>
  <si>
    <t>Vietnam: anatomy of a conflict. Edited by Wesley R. Fishel. Contributors: Hanson Baldwin [and others]</t>
  </si>
  <si>
    <t>Fishel, Wesley R., compiler.</t>
  </si>
  <si>
    <t>Itasca, Ill., F. E. Peacock [1968]</t>
  </si>
  <si>
    <t>1456312:eng</t>
  </si>
  <si>
    <t>411033</t>
  </si>
  <si>
    <t>991002715029702656</t>
  </si>
  <si>
    <t>2265078490002656</t>
  </si>
  <si>
    <t>32285002459393</t>
  </si>
  <si>
    <t>893603918</t>
  </si>
  <si>
    <t>DS557.A6 F53</t>
  </si>
  <si>
    <t>0                      DS 0557000A  6                  F  53</t>
  </si>
  <si>
    <t>Fire in the lake; the Vietnamese and the Americans in Vietnam.</t>
  </si>
  <si>
    <t>FitzGerald, Frances, 1940-</t>
  </si>
  <si>
    <t>Boston, Little, Brown [1972]</t>
  </si>
  <si>
    <t>2002-03-22</t>
  </si>
  <si>
    <t>447767:eng</t>
  </si>
  <si>
    <t>375867</t>
  </si>
  <si>
    <t>991002591239702656</t>
  </si>
  <si>
    <t>2264210120002656</t>
  </si>
  <si>
    <t>32285002459401</t>
  </si>
  <si>
    <t>893440300</t>
  </si>
  <si>
    <t>DS557.A6 G4513 1970</t>
  </si>
  <si>
    <t>0                      DS 0557000A  6                  G  4513        1970</t>
  </si>
  <si>
    <t>The cross and the Bo-tree : Catholics and Buddhists in Vietnam / Translated by Charles Underhill Quinn.</t>
  </si>
  <si>
    <t>Gheddo, Piero.</t>
  </si>
  <si>
    <t>New York : Sheed and Ward, [c1970]</t>
  </si>
  <si>
    <t>855536760:eng</t>
  </si>
  <si>
    <t>327415</t>
  </si>
  <si>
    <t>991002377149702656</t>
  </si>
  <si>
    <t>2272638200002656</t>
  </si>
  <si>
    <t>32285000337419</t>
  </si>
  <si>
    <t>893415124</t>
  </si>
  <si>
    <t>DS557.A6 L44</t>
  </si>
  <si>
    <t>0                      DS 0557000A  6                  L  44</t>
  </si>
  <si>
    <t>The Vietnam conflict : its geographical dimensions, political traumas, &amp; military developments / Milton Leitenberg &amp; Richard Dean Burns, compilers. Assisted by Janice Roswell, Judith Roswell, &amp; Lillemor Lindh.</t>
  </si>
  <si>
    <t>Leitenberg, Milton.</t>
  </si>
  <si>
    <t>Santa Barbara, Calif. : ABC-Clio, [c1973]</t>
  </si>
  <si>
    <t>War/peace bibliography series</t>
  </si>
  <si>
    <t>1996-12-30</t>
  </si>
  <si>
    <t>504310761:eng</t>
  </si>
  <si>
    <t>858396</t>
  </si>
  <si>
    <t>991003328359702656</t>
  </si>
  <si>
    <t>2267090200002656</t>
  </si>
  <si>
    <t>9780874361209</t>
  </si>
  <si>
    <t>32285002404183</t>
  </si>
  <si>
    <t>893258321</t>
  </si>
  <si>
    <t>DS557.A6 M22</t>
  </si>
  <si>
    <t>0                      DS 0557000A  6                  M  22</t>
  </si>
  <si>
    <t>Visions of victory : selected Vietnamese Communist military writings, 1964-1968 / with an analytical introd. by Patrick J. McGarvey.</t>
  </si>
  <si>
    <t>McGarvey, Patrick J., compiler.</t>
  </si>
  <si>
    <t>Stanford, Calif. : Hoover Institution on War, Revolution and Peace, Stanford University, [1969]</t>
  </si>
  <si>
    <t>Hoover Institution publications, 81</t>
  </si>
  <si>
    <t>1991-01-22</t>
  </si>
  <si>
    <t>231181123:eng</t>
  </si>
  <si>
    <t>23476</t>
  </si>
  <si>
    <t>991000055799702656</t>
  </si>
  <si>
    <t>2265515140002656</t>
  </si>
  <si>
    <t>32285000430933</t>
  </si>
  <si>
    <t>893413034</t>
  </si>
  <si>
    <t>DS557.A6 M435</t>
  </si>
  <si>
    <t>0                      DS 0557000A  6                  M  435</t>
  </si>
  <si>
    <t>Moral argument and the war in Vietnam; a collection of essays. Edited and introduced by Paul T. Menzel.</t>
  </si>
  <si>
    <t>Menzel, Paul T., 1942- compiler.</t>
  </si>
  <si>
    <t>Nashville, Aurora [1971]</t>
  </si>
  <si>
    <t>1998-12-03</t>
  </si>
  <si>
    <t>285734657:eng</t>
  </si>
  <si>
    <t>162790</t>
  </si>
  <si>
    <t>991000924589702656</t>
  </si>
  <si>
    <t>2268926730002656</t>
  </si>
  <si>
    <t>9780876951231</t>
  </si>
  <si>
    <t>32285002459476</t>
  </si>
  <si>
    <t>893231537</t>
  </si>
  <si>
    <t>DS557.A6 M485</t>
  </si>
  <si>
    <t>0                      DS 0557000A  6                  M  485</t>
  </si>
  <si>
    <t>Dynamics of the Vietnam war : a quantitative analysis and predictive computer simulation / [by] Jeffrey S. Milstein.</t>
  </si>
  <si>
    <t>Milstein, Jeffrey S.</t>
  </si>
  <si>
    <t>Columbus : Ohio State University Press, [1974]</t>
  </si>
  <si>
    <t>225337474:eng</t>
  </si>
  <si>
    <t>724415</t>
  </si>
  <si>
    <t>991003200499702656</t>
  </si>
  <si>
    <t>2254869900002656</t>
  </si>
  <si>
    <t>9780814201909</t>
  </si>
  <si>
    <t>32285000430925</t>
  </si>
  <si>
    <t>893874521</t>
  </si>
  <si>
    <t>DS557.A6 P38 1969</t>
  </si>
  <si>
    <t>0                      DS 0557000A  6                  P  38          1969</t>
  </si>
  <si>
    <t>Vietnam : some basic issues and alternatives / edited by Walter Isard. Essays by Peter Archibald [and others]</t>
  </si>
  <si>
    <t>Peace Research Society (International)</t>
  </si>
  <si>
    <t>Cambridge, Mass. : Schenkman Pub. Co., [1969]</t>
  </si>
  <si>
    <t>1990-04-04</t>
  </si>
  <si>
    <t>1808888107:eng</t>
  </si>
  <si>
    <t>713885</t>
  </si>
  <si>
    <t>991003187649702656</t>
  </si>
  <si>
    <t>2255328580002656</t>
  </si>
  <si>
    <t>32285000101930</t>
  </si>
  <si>
    <t>893793394</t>
  </si>
  <si>
    <t>DS557.A6 P54</t>
  </si>
  <si>
    <t>0                      DS 0557000A  6                  P  54</t>
  </si>
  <si>
    <t>Viet Cong : the organization and techniques of the National Liberation Front of South Vietnam.</t>
  </si>
  <si>
    <t>Pike, Douglas, 1924-2002.</t>
  </si>
  <si>
    <t>Cambridge, Mass. : M.I.T. Press, [1966]</t>
  </si>
  <si>
    <t>Massachusetts Institute of Technology. Center for International Studies. Studies in international communism no. 7</t>
  </si>
  <si>
    <t>2004-06-03</t>
  </si>
  <si>
    <t>105074220:eng</t>
  </si>
  <si>
    <t>244430</t>
  </si>
  <si>
    <t>991001918599702656</t>
  </si>
  <si>
    <t>2270003410002656</t>
  </si>
  <si>
    <t>32285000304385</t>
  </si>
  <si>
    <t>893703451</t>
  </si>
  <si>
    <t>DS557.A6 P553</t>
  </si>
  <si>
    <t>0                      DS 0557000A  6                  P  553</t>
  </si>
  <si>
    <t>War, peace, and the Viet Cong.</t>
  </si>
  <si>
    <t>Cambridge, Mass. : M.I.T. Press, [1969]</t>
  </si>
  <si>
    <t>1990-02-19</t>
  </si>
  <si>
    <t>1136575:eng</t>
  </si>
  <si>
    <t>13825</t>
  </si>
  <si>
    <t>991000008379702656</t>
  </si>
  <si>
    <t>2264412900002656</t>
  </si>
  <si>
    <t>32285000048107</t>
  </si>
  <si>
    <t>893406818</t>
  </si>
  <si>
    <t>DS557.A6 R3</t>
  </si>
  <si>
    <t>0                      DS 0557000A  6                  R  3</t>
  </si>
  <si>
    <t>The Viet-Nam reader; articles and documents on American foreign policy and the Viet-Nam crisis. Edited by Marcus G. Raskin and Bernard B. Fall.</t>
  </si>
  <si>
    <t>Raskin, Marcus G. editor.</t>
  </si>
  <si>
    <t>New York, Random House [1965]</t>
  </si>
  <si>
    <t>1997-04-05</t>
  </si>
  <si>
    <t>1291358:eng</t>
  </si>
  <si>
    <t>169102</t>
  </si>
  <si>
    <t>991000960079702656</t>
  </si>
  <si>
    <t>2261890280002656</t>
  </si>
  <si>
    <t>32285002459492</t>
  </si>
  <si>
    <t>893225484</t>
  </si>
  <si>
    <t>DS557.A6 S22</t>
  </si>
  <si>
    <t>0                      DS 0557000A  6                  S  22</t>
  </si>
  <si>
    <t>South Vietnam: nation under stress.</t>
  </si>
  <si>
    <t>Scigliano, Robert.</t>
  </si>
  <si>
    <t>Boston, Houghton Mifflin [c1963]</t>
  </si>
  <si>
    <t>1994-11-22</t>
  </si>
  <si>
    <t>1461828:eng</t>
  </si>
  <si>
    <t>2294565</t>
  </si>
  <si>
    <t>991004069319702656</t>
  </si>
  <si>
    <t>2266183250002656</t>
  </si>
  <si>
    <t>32285001095297</t>
  </si>
  <si>
    <t>893611884</t>
  </si>
  <si>
    <t>DS557.A6 W45 1970</t>
  </si>
  <si>
    <t>0                      DS 0557000A  6                  W  45          1970</t>
  </si>
  <si>
    <t>Nobody wanted war : misperception in Vietnam and other wars.</t>
  </si>
  <si>
    <t>White, Ralph K.</t>
  </si>
  <si>
    <t>Garden City, N.Y. : Anchor Books, 1970.</t>
  </si>
  <si>
    <t>2003-04-22</t>
  </si>
  <si>
    <t>1995-06-06</t>
  </si>
  <si>
    <t>1261778:eng</t>
  </si>
  <si>
    <t>204204</t>
  </si>
  <si>
    <t>991001233289702656</t>
  </si>
  <si>
    <t>2255541370002656</t>
  </si>
  <si>
    <t>32285002060217</t>
  </si>
  <si>
    <t>893509492</t>
  </si>
  <si>
    <t>DS557.A63 C48 1973b</t>
  </si>
  <si>
    <t>0                      DS 0557000A  63                 C  48          1973b</t>
  </si>
  <si>
    <t>For reasons of state.</t>
  </si>
  <si>
    <t>New York : Pantheon Books, [1973]</t>
  </si>
  <si>
    <t>1990-04-11</t>
  </si>
  <si>
    <t>778427:eng</t>
  </si>
  <si>
    <t>548096</t>
  </si>
  <si>
    <t>991002970149702656</t>
  </si>
  <si>
    <t>2262628020002656</t>
  </si>
  <si>
    <t>9780394483986</t>
  </si>
  <si>
    <t>32285000115336</t>
  </si>
  <si>
    <t>893721735</t>
  </si>
  <si>
    <t>DS557.A63 J6</t>
  </si>
  <si>
    <t>0                      DS 0557000A  63                 J  6</t>
  </si>
  <si>
    <t>Cracks in the empire : state politics in the Vietnam War / Paul Joseph.</t>
  </si>
  <si>
    <t>Joseph, Paul, 1948-</t>
  </si>
  <si>
    <t>Boston, Mass. : South End Press, 1981.</t>
  </si>
  <si>
    <t>1999-04-06</t>
  </si>
  <si>
    <t>819951537:eng</t>
  </si>
  <si>
    <t>8126153</t>
  </si>
  <si>
    <t>991005206989702656</t>
  </si>
  <si>
    <t>2255237200002656</t>
  </si>
  <si>
    <t>32285000672443</t>
  </si>
  <si>
    <t>893719978</t>
  </si>
  <si>
    <t>DS557.A64 C28</t>
  </si>
  <si>
    <t>0                      DS 0557000A  64                 C  28</t>
  </si>
  <si>
    <t>Cambodia &amp; the Vietnam war / edited by Hal Kosut.</t>
  </si>
  <si>
    <t>Kosut, Hal.</t>
  </si>
  <si>
    <t>New York : Facts on File, [1971]</t>
  </si>
  <si>
    <t>1993-03-27</t>
  </si>
  <si>
    <t>1992-11-02</t>
  </si>
  <si>
    <t>1327203:eng</t>
  </si>
  <si>
    <t>222055</t>
  </si>
  <si>
    <t>991001363329702656</t>
  </si>
  <si>
    <t>2262134780002656</t>
  </si>
  <si>
    <t>9780871962089</t>
  </si>
  <si>
    <t>32285001380368</t>
  </si>
  <si>
    <t>893340373</t>
  </si>
  <si>
    <t>DS557.A67 C33 1971</t>
  </si>
  <si>
    <t>0                      DS 0557000A  67                 C  33          1971</t>
  </si>
  <si>
    <t>Lieutenant Calley : his own story / [as told to] John Sack.</t>
  </si>
  <si>
    <t>Calley, William Laws, Jr., 1943-</t>
  </si>
  <si>
    <t>1993-03-09</t>
  </si>
  <si>
    <t>2316283:eng</t>
  </si>
  <si>
    <t>176043</t>
  </si>
  <si>
    <t>991001045689702656</t>
  </si>
  <si>
    <t>2267657700002656</t>
  </si>
  <si>
    <t>9780670428212</t>
  </si>
  <si>
    <t>32285001246742</t>
  </si>
  <si>
    <t>893334007</t>
  </si>
  <si>
    <t>DS557.A67 H467</t>
  </si>
  <si>
    <t>0                      DS 0557000A  67                 H  467</t>
  </si>
  <si>
    <t>Cover-up : [the Army's secret investigation of the massacre at My lai 4 / by] Seymour M. Hersh.</t>
  </si>
  <si>
    <t>Hersh, Seymour M.</t>
  </si>
  <si>
    <t>New York : Random House, [1972]</t>
  </si>
  <si>
    <t>1999-04-14</t>
  </si>
  <si>
    <t>1475162:eng</t>
  </si>
  <si>
    <t>210189</t>
  </si>
  <si>
    <t>991001267679702656</t>
  </si>
  <si>
    <t>2262068870002656</t>
  </si>
  <si>
    <t>9780394474601</t>
  </si>
  <si>
    <t>32285001246734</t>
  </si>
  <si>
    <t>893621218</t>
  </si>
  <si>
    <t>DS557.A68 H35 1972</t>
  </si>
  <si>
    <t>0                      DS 0557000A  68                 H  35          1972</t>
  </si>
  <si>
    <t>Harvest of death : chemical warfare in Vietnam and Cambodia / [by] J. B. Neilands [and others] With a foreword by Gunnar Myrdal.</t>
  </si>
  <si>
    <t>New York : Free Press, [1971, c1972]</t>
  </si>
  <si>
    <t>887890835:eng</t>
  </si>
  <si>
    <t>246905</t>
  </si>
  <si>
    <t>991001926599702656</t>
  </si>
  <si>
    <t>2257515600002656</t>
  </si>
  <si>
    <t>32285000081355</t>
  </si>
  <si>
    <t>893238465</t>
  </si>
  <si>
    <t>DS557.A68 P55</t>
  </si>
  <si>
    <t>0                      DS 0557000A  68                 P  55</t>
  </si>
  <si>
    <t>No victory parades : the return of the Vietnam veteran.</t>
  </si>
  <si>
    <t>Polner, Murray.</t>
  </si>
  <si>
    <t>New York : Holt, Rinehart and Winston, [1971]</t>
  </si>
  <si>
    <t>2000-10-01</t>
  </si>
  <si>
    <t>1990-03-28</t>
  </si>
  <si>
    <t>1286866:eng</t>
  </si>
  <si>
    <t>136515</t>
  </si>
  <si>
    <t>991000794399702656</t>
  </si>
  <si>
    <t>2263918860002656</t>
  </si>
  <si>
    <t>9780030860119</t>
  </si>
  <si>
    <t>32285000094341</t>
  </si>
  <si>
    <t>893426043</t>
  </si>
  <si>
    <t>DS557.A68 V64 1974</t>
  </si>
  <si>
    <t>0                      DS 0557000A  68                 V  64          1974</t>
  </si>
  <si>
    <t>The long dark night of the soul : the American intellectual left and the Vietnam war.</t>
  </si>
  <si>
    <t>Vogelgesang, Sandy.</t>
  </si>
  <si>
    <t>New York : Harper &amp; Row, [1974]</t>
  </si>
  <si>
    <t>1999-10-14</t>
  </si>
  <si>
    <t>498016503:eng</t>
  </si>
  <si>
    <t>900981</t>
  </si>
  <si>
    <t>991003364759702656</t>
  </si>
  <si>
    <t>2266310510002656</t>
  </si>
  <si>
    <t>9780060145125</t>
  </si>
  <si>
    <t>32285000081348</t>
  </si>
  <si>
    <t>893592465</t>
  </si>
  <si>
    <t>DS557.A69 H36</t>
  </si>
  <si>
    <t>0                      DS 0557000A  69                 H  36</t>
  </si>
  <si>
    <t>Soldier [by] Anthony B. Herbert, with James T. Wooten.</t>
  </si>
  <si>
    <t>Herbert, Anthony.</t>
  </si>
  <si>
    <t>New York, Holt, Rinehart and Winston [1973]</t>
  </si>
  <si>
    <t>1695910:eng</t>
  </si>
  <si>
    <t>574033</t>
  </si>
  <si>
    <t>991003007129702656</t>
  </si>
  <si>
    <t>2271625210002656</t>
  </si>
  <si>
    <t>9780030914560</t>
  </si>
  <si>
    <t>32285002459757</t>
  </si>
  <si>
    <t>893710952</t>
  </si>
  <si>
    <t>DS557.A69 L8</t>
  </si>
  <si>
    <t>0                      DS 0557000A  69                 L  8</t>
  </si>
  <si>
    <t>Viet Nam; the unheard voices, by Don Luce and John Sommer. Foreword by Edward M. Kennedy.</t>
  </si>
  <si>
    <t>Luce, Don.</t>
  </si>
  <si>
    <t>Ithaca [N.Y.] Cornell University Press [1969]</t>
  </si>
  <si>
    <t>1995-04-02</t>
  </si>
  <si>
    <t>350497528:eng</t>
  </si>
  <si>
    <t>6052</t>
  </si>
  <si>
    <t>991005438479702656</t>
  </si>
  <si>
    <t>2265146470002656</t>
  </si>
  <si>
    <t>32285001095354</t>
  </si>
  <si>
    <t>893533869</t>
  </si>
  <si>
    <t>DS557.A69 S46</t>
  </si>
  <si>
    <t>0                      DS 0557000A  69                 S  46</t>
  </si>
  <si>
    <t>Ten Vietnamese.</t>
  </si>
  <si>
    <t>Sheehan, Susan, 1937-</t>
  </si>
  <si>
    <t>New York, Knopf, 1967.</t>
  </si>
  <si>
    <t>2000-02-26</t>
  </si>
  <si>
    <t>4785545:eng</t>
  </si>
  <si>
    <t>410765</t>
  </si>
  <si>
    <t>991002714049702656</t>
  </si>
  <si>
    <t>2262562910002656</t>
  </si>
  <si>
    <t>32285002459773</t>
  </si>
  <si>
    <t>893421708</t>
  </si>
  <si>
    <t>DS557.A7 V6</t>
  </si>
  <si>
    <t>0                      DS 0557000A  7                  V  6</t>
  </si>
  <si>
    <t>People's war, People's Army; the Viet Công insurrection manual for underdeveloped countries. Foreword by Roger Hilsman. Profile of Giap by Bernard B. Fall.</t>
  </si>
  <si>
    <t>Võ, Nguyên Giáp, 1911-2013</t>
  </si>
  <si>
    <t>New York, Praeger [1962]</t>
  </si>
  <si>
    <t>Books that matter</t>
  </si>
  <si>
    <t>5584970743:eng</t>
  </si>
  <si>
    <t>411937</t>
  </si>
  <si>
    <t>991002718469702656</t>
  </si>
  <si>
    <t>2264641580002656</t>
  </si>
  <si>
    <t>32285002273430</t>
  </si>
  <si>
    <t>893347837</t>
  </si>
  <si>
    <t>DS557.C2 S6</t>
  </si>
  <si>
    <t>0                      DS 0557000C  2                  S  6</t>
  </si>
  <si>
    <t>Cambodia's foreign policy / by Roger M. Smith.</t>
  </si>
  <si>
    <t>Smith, Roger M., 1930-</t>
  </si>
  <si>
    <t>Ithaca, N.Y. : Cornell University Press, [1965]</t>
  </si>
  <si>
    <t>1991-02-06</t>
  </si>
  <si>
    <t>1455120:eng</t>
  </si>
  <si>
    <t>410775</t>
  </si>
  <si>
    <t>991002714139702656</t>
  </si>
  <si>
    <t>2262586800002656</t>
  </si>
  <si>
    <t>32285000473552</t>
  </si>
  <si>
    <t>893603915</t>
  </si>
  <si>
    <t>DS557.C28 S56</t>
  </si>
  <si>
    <t>0                      DS 0557000C  28                 S  56</t>
  </si>
  <si>
    <t>War and politics in Cambodia : a communications analysis / [by] Sheldon W. Simon.</t>
  </si>
  <si>
    <t>Durham, N.C. : Duke University Press, 1974.</t>
  </si>
  <si>
    <t>1990-04-18</t>
  </si>
  <si>
    <t>1884396:eng</t>
  </si>
  <si>
    <t>897598</t>
  </si>
  <si>
    <t>991003361329702656</t>
  </si>
  <si>
    <t>2257442880002656</t>
  </si>
  <si>
    <t>9780822303138</t>
  </si>
  <si>
    <t>32285000118454</t>
  </si>
  <si>
    <t>893330242</t>
  </si>
  <si>
    <t>DS558 .A44 1985</t>
  </si>
  <si>
    <t>0                      DS 0558000A  44          1985</t>
  </si>
  <si>
    <t>America in Vietnam : a documentary history / edited with commentaries by William Appleman Williams ... [et al.].</t>
  </si>
  <si>
    <t>Garden City, N.Y. : Anchor Press/Doubleday, 1985.</t>
  </si>
  <si>
    <t>836732988:eng</t>
  </si>
  <si>
    <t>10751902</t>
  </si>
  <si>
    <t>991000423929702656</t>
  </si>
  <si>
    <t>2266231860002656</t>
  </si>
  <si>
    <t>9780385192019</t>
  </si>
  <si>
    <t>32285000337526</t>
  </si>
  <si>
    <t>893683399</t>
  </si>
  <si>
    <t>DS558 .A445 1989</t>
  </si>
  <si>
    <t>0                      DS 0558000A  445         1989</t>
  </si>
  <si>
    <t>The American experience in Vietnam : a reader / edited by Grace Sevy.</t>
  </si>
  <si>
    <t>Norman : University of Oklahoma Press, 1989.</t>
  </si>
  <si>
    <t>1990-01-09</t>
  </si>
  <si>
    <t>799703637:eng</t>
  </si>
  <si>
    <t>19921121</t>
  </si>
  <si>
    <t>991001514119702656</t>
  </si>
  <si>
    <t>2269395570002656</t>
  </si>
  <si>
    <t>9780806122113</t>
  </si>
  <si>
    <t>32285000026764</t>
  </si>
  <si>
    <t>893709332</t>
  </si>
  <si>
    <t>DS558 .A94 2002</t>
  </si>
  <si>
    <t>0                      DS 0558000A  94          2002</t>
  </si>
  <si>
    <t>The rhetoric of war : language, argument, and policy during the Vietnam War / Harvey Averch.</t>
  </si>
  <si>
    <t>Averch, Harvey A.</t>
  </si>
  <si>
    <t>2003-09-26</t>
  </si>
  <si>
    <t>6301283:eng</t>
  </si>
  <si>
    <t>50479320</t>
  </si>
  <si>
    <t>991004137869702656</t>
  </si>
  <si>
    <t>2258116080002656</t>
  </si>
  <si>
    <t>9780761824213</t>
  </si>
  <si>
    <t>32285004794086</t>
  </si>
  <si>
    <t>893718526</t>
  </si>
  <si>
    <t>DS558 .B37 1985</t>
  </si>
  <si>
    <t>0                      DS 0558000B  37          1985</t>
  </si>
  <si>
    <t>Backfire : a history of how American culture led us into Vietnam and made us fight the way we did / Loren Baritz.</t>
  </si>
  <si>
    <t>Baritz, Loren, 1928-</t>
  </si>
  <si>
    <t>New York : W. Morrow, c1985.</t>
  </si>
  <si>
    <t>1990-06-01</t>
  </si>
  <si>
    <t>610655:eng</t>
  </si>
  <si>
    <t>11316746</t>
  </si>
  <si>
    <t>991000519409702656</t>
  </si>
  <si>
    <t>2256751930002656</t>
  </si>
  <si>
    <t>9780688041854</t>
  </si>
  <si>
    <t>32285000169689</t>
  </si>
  <si>
    <t>893249420</t>
  </si>
  <si>
    <t>DS558 .B467 2001</t>
  </si>
  <si>
    <t>0                      DS 0558000B  467         2001</t>
  </si>
  <si>
    <t>No peace, no honor : Nixon, Kissinger, and betrayal in Vietnam / Larry Berman.</t>
  </si>
  <si>
    <t>Berman, Larry.</t>
  </si>
  <si>
    <t>New York : Free Press, 2001.</t>
  </si>
  <si>
    <t>2717486:eng</t>
  </si>
  <si>
    <t>46565109</t>
  </si>
  <si>
    <t>991003585389702656</t>
  </si>
  <si>
    <t>2264051910002656</t>
  </si>
  <si>
    <t>9780684849683</t>
  </si>
  <si>
    <t>32285004379342</t>
  </si>
  <si>
    <t>893793771</t>
  </si>
  <si>
    <t>DS558 .B64 1985</t>
  </si>
  <si>
    <t>0                      DS 0558000B  64          1985</t>
  </si>
  <si>
    <t>Vietnam : the valor and the sorrow : from the home front to the front lines in words and pictures / Thomas D. Boettcher.</t>
  </si>
  <si>
    <t>Boettcher, Thomas D., 1944-</t>
  </si>
  <si>
    <t>Boston : Little, Brown, c1985.</t>
  </si>
  <si>
    <t>2006-11-12</t>
  </si>
  <si>
    <t>324140:eng</t>
  </si>
  <si>
    <t>11785937</t>
  </si>
  <si>
    <t>991000592819702656</t>
  </si>
  <si>
    <t>2255635000002656</t>
  </si>
  <si>
    <t>9780316100816</t>
  </si>
  <si>
    <t>32285000089457</t>
  </si>
  <si>
    <t>893521818</t>
  </si>
  <si>
    <t>DS558 .B67 1999</t>
  </si>
  <si>
    <t>0                      DS 0558000B  67          1999</t>
  </si>
  <si>
    <t>Superpowers defeated : Vietnam and Afghanistan compared / Douglas A. Borer.</t>
  </si>
  <si>
    <t>Borer, Douglas A., 1962-</t>
  </si>
  <si>
    <t>London ; Portland, Ore. : F. Cass, 1999.</t>
  </si>
  <si>
    <t>2004-08-16</t>
  </si>
  <si>
    <t>808974783:eng</t>
  </si>
  <si>
    <t>39963326</t>
  </si>
  <si>
    <t>991004346229702656</t>
  </si>
  <si>
    <t>2271786120002656</t>
  </si>
  <si>
    <t>9780714644097</t>
  </si>
  <si>
    <t>32285004981238</t>
  </si>
  <si>
    <t>893706291</t>
  </si>
  <si>
    <t>DS558 .C33 1986</t>
  </si>
  <si>
    <t>0                      DS 0558000C  33          1986</t>
  </si>
  <si>
    <t>Conflict of myths : the development of American counterinsurgency doctrine and the Vietnam War / Larry E. Cable.</t>
  </si>
  <si>
    <t>Cable, Larry E., 1942-</t>
  </si>
  <si>
    <t>New York : New York University Press, 1986.</t>
  </si>
  <si>
    <t>2001-02-22</t>
  </si>
  <si>
    <t>836621204:eng</t>
  </si>
  <si>
    <t>13186234</t>
  </si>
  <si>
    <t>991000795959702656</t>
  </si>
  <si>
    <t>2255650360002656</t>
  </si>
  <si>
    <t>9780814714010</t>
  </si>
  <si>
    <t>32285000337534</t>
  </si>
  <si>
    <t>893589744</t>
  </si>
  <si>
    <t>DS558 .C47 1978</t>
  </si>
  <si>
    <t>0                      DS 0558000C  47          1978</t>
  </si>
  <si>
    <t>Many reasons why : the American involvement in Vietnam / Michael Charlton &amp; Anthony Moncrieff.</t>
  </si>
  <si>
    <t>Charlton, Michael.</t>
  </si>
  <si>
    <t>New York : Hill and Wang, 1978.</t>
  </si>
  <si>
    <t>1st American ed. --</t>
  </si>
  <si>
    <t>1994-05-13</t>
  </si>
  <si>
    <t>14816004:eng</t>
  </si>
  <si>
    <t>4511556</t>
  </si>
  <si>
    <t>991004668119702656</t>
  </si>
  <si>
    <t>2271430140002656</t>
  </si>
  <si>
    <t>9780809067527</t>
  </si>
  <si>
    <t>32285000114115</t>
  </si>
  <si>
    <t>893325619</t>
  </si>
  <si>
    <t>DS558 .C5 1993</t>
  </si>
  <si>
    <t>0                      DS 0558000C  5           1993</t>
  </si>
  <si>
    <t>Rethinking Camelot : JFK, the Vietnam War, and U.S. political culture / Noam Chomsky.</t>
  </si>
  <si>
    <t>Boston, MA : South End Press, c1993.</t>
  </si>
  <si>
    <t>2004-03-25</t>
  </si>
  <si>
    <t>379614:eng</t>
  </si>
  <si>
    <t>27642924</t>
  </si>
  <si>
    <t>991002145899702656</t>
  </si>
  <si>
    <t>2256086740002656</t>
  </si>
  <si>
    <t>9780896084582</t>
  </si>
  <si>
    <t>32285001876738</t>
  </si>
  <si>
    <t>893238680</t>
  </si>
  <si>
    <t>DS558 .D69 1982</t>
  </si>
  <si>
    <t>0                      DS 0558000D  69          1982</t>
  </si>
  <si>
    <t>America takes over / by Edward Doyle, Samuel Lipsman, and the editors of Boston Publishing Company.</t>
  </si>
  <si>
    <t>Boston, MA : Boston Pub. Co., c1982.</t>
  </si>
  <si>
    <t>1997-12-02</t>
  </si>
  <si>
    <t>3769021210:eng</t>
  </si>
  <si>
    <t>9024069</t>
  </si>
  <si>
    <t>991000114279702656</t>
  </si>
  <si>
    <t>2259888400002656</t>
  </si>
  <si>
    <t>9780939526031</t>
  </si>
  <si>
    <t>32285000337542</t>
  </si>
  <si>
    <t>893255194</t>
  </si>
  <si>
    <t>DS558 .E29 1998</t>
  </si>
  <si>
    <t>0                      DS 0558000E  29          1998</t>
  </si>
  <si>
    <t>The war in Vietnam / Anthony O. Edmonds.</t>
  </si>
  <si>
    <t>Edmonds, Anthony O.</t>
  </si>
  <si>
    <t>Westport, Conn. : Greenwood Press, 1998.</t>
  </si>
  <si>
    <t>Greenwood Press guides to historic events of the twentieth century, 1092-177X</t>
  </si>
  <si>
    <t>1999-11-09</t>
  </si>
  <si>
    <t>2628692:eng</t>
  </si>
  <si>
    <t>38842099</t>
  </si>
  <si>
    <t>991002922569702656</t>
  </si>
  <si>
    <t>2256973850002656</t>
  </si>
  <si>
    <t>9780313298479</t>
  </si>
  <si>
    <t>32285003619813</t>
  </si>
  <si>
    <t>893535253</t>
  </si>
  <si>
    <t>DS558 .E34 1985</t>
  </si>
  <si>
    <t>0                      DS 0558000E  34          1985</t>
  </si>
  <si>
    <t>Healing from the war : trauma and transformation after Vietnam / Arthur Egendorf.</t>
  </si>
  <si>
    <t>Egendorf, Arthur.</t>
  </si>
  <si>
    <t>5148477:eng</t>
  </si>
  <si>
    <t>12133308</t>
  </si>
  <si>
    <t>991000645969702656</t>
  </si>
  <si>
    <t>2263109180002656</t>
  </si>
  <si>
    <t>9780395377017</t>
  </si>
  <si>
    <t>32285000337559</t>
  </si>
  <si>
    <t>893778102</t>
  </si>
  <si>
    <t>DS558 .E44 2002</t>
  </si>
  <si>
    <t>0                      DS 0558000E  44          2002</t>
  </si>
  <si>
    <t>Secrets : a memoir of Vietnam and the Pentagon papers / Daniel Ellsberg.</t>
  </si>
  <si>
    <t>Ellsberg, Daniel.</t>
  </si>
  <si>
    <t>New York : Viking, 2002.</t>
  </si>
  <si>
    <t>2002-10-23</t>
  </si>
  <si>
    <t>658899:eng</t>
  </si>
  <si>
    <t>49386042</t>
  </si>
  <si>
    <t>991003899399702656</t>
  </si>
  <si>
    <t>2270761340002656</t>
  </si>
  <si>
    <t>9780670030309</t>
  </si>
  <si>
    <t>32285004657333</t>
  </si>
  <si>
    <t>893499866</t>
  </si>
  <si>
    <t>DS558 .F79 2006</t>
  </si>
  <si>
    <t>0                      DS 0558000F  79          2006</t>
  </si>
  <si>
    <t>Debating Vietnam : Fulbright, Stennis, and their Senate hearings / Joseph A. Fry.</t>
  </si>
  <si>
    <t>Fry, Joseph A., 1947-</t>
  </si>
  <si>
    <t>Lanham : Rowman &amp; Littlefield, c2006.</t>
  </si>
  <si>
    <t>891211927:eng</t>
  </si>
  <si>
    <t>65820147</t>
  </si>
  <si>
    <t>991004906079702656</t>
  </si>
  <si>
    <t>2260517620002656</t>
  </si>
  <si>
    <t>9780742544352</t>
  </si>
  <si>
    <t>32285005234090</t>
  </si>
  <si>
    <t>893801479</t>
  </si>
  <si>
    <t>DS558 .G37 1995</t>
  </si>
  <si>
    <t>0                      DS 0558000G  37          1995</t>
  </si>
  <si>
    <t>Pay any price : Lyndon Johnson and the wars for Vietnam / Lloyd C. Gardner.</t>
  </si>
  <si>
    <t>Gardner, Lloyd C., 1934-</t>
  </si>
  <si>
    <t>Chicago : I.R. Dee, 1995.</t>
  </si>
  <si>
    <t>2001-04-30</t>
  </si>
  <si>
    <t>1999-10-11</t>
  </si>
  <si>
    <t>891200667:eng</t>
  </si>
  <si>
    <t>32237168</t>
  </si>
  <si>
    <t>991002475639702656</t>
  </si>
  <si>
    <t>2267842100002656</t>
  </si>
  <si>
    <t>9781566630870</t>
  </si>
  <si>
    <t>32285003594172</t>
  </si>
  <si>
    <t>893245228</t>
  </si>
  <si>
    <t>DS558 .H445 1996</t>
  </si>
  <si>
    <t>0                      DS 0558000H  445         1996</t>
  </si>
  <si>
    <t>The living and the dead : Robert McNamara and five lives of a lost war / Paul Hendrickson.</t>
  </si>
  <si>
    <t>Hendrickson, Paul, 1944-</t>
  </si>
  <si>
    <t>New York : Alfred A. Knopf, 1996.</t>
  </si>
  <si>
    <t>1996-09-23</t>
  </si>
  <si>
    <t>570926:eng</t>
  </si>
  <si>
    <t>34356653</t>
  </si>
  <si>
    <t>991002622549702656</t>
  </si>
  <si>
    <t>2266952470002656</t>
  </si>
  <si>
    <t>9780679427612</t>
  </si>
  <si>
    <t>32285002318466</t>
  </si>
  <si>
    <t>893335515</t>
  </si>
  <si>
    <t>DS558 .K34 1986</t>
  </si>
  <si>
    <t>0                      DS 0558000K  34          1986</t>
  </si>
  <si>
    <t>Intervention : how America became involved in Vietnam / by George McT. Kahin.</t>
  </si>
  <si>
    <t>Kahin, George McTurnan.</t>
  </si>
  <si>
    <t>New York : Knopf, c1986.</t>
  </si>
  <si>
    <t>1995-01-28</t>
  </si>
  <si>
    <t>5636462:eng</t>
  </si>
  <si>
    <t>12974988</t>
  </si>
  <si>
    <t>991000762769702656</t>
  </si>
  <si>
    <t>2262329760002656</t>
  </si>
  <si>
    <t>9780394543673</t>
  </si>
  <si>
    <t>32285000337575</t>
  </si>
  <si>
    <t>893614482</t>
  </si>
  <si>
    <t>DS558 .K35 2000</t>
  </si>
  <si>
    <t>0                      DS 0558000K  35          2000</t>
  </si>
  <si>
    <t>American tragedy : Kennedy, Johnson, and the origins of the Vietnam War / David Kaiser.</t>
  </si>
  <si>
    <t>Kaiser, David E., 1947-</t>
  </si>
  <si>
    <t>Cambridge, Mass. : Belknap Press of Harvard University Press, 2000.</t>
  </si>
  <si>
    <t>2003-04-04</t>
  </si>
  <si>
    <t>2137887:eng</t>
  </si>
  <si>
    <t>42652758</t>
  </si>
  <si>
    <t>991003698199702656</t>
  </si>
  <si>
    <t>2270660970002656</t>
  </si>
  <si>
    <t>9780674002258</t>
  </si>
  <si>
    <t>32285004446364</t>
  </si>
  <si>
    <t>893617651</t>
  </si>
  <si>
    <t>DS558 .K74 1986</t>
  </si>
  <si>
    <t>0                      DS 0558000K  74          1986</t>
  </si>
  <si>
    <t>The army and Vietnam / Andrew F. Krepinevich, Jr.</t>
  </si>
  <si>
    <t>Krepinevich, Andrew F.</t>
  </si>
  <si>
    <t>Baltimore : Johns Hopkins University Press, c1986.</t>
  </si>
  <si>
    <t>5637192:eng</t>
  </si>
  <si>
    <t>12975032</t>
  </si>
  <si>
    <t>991000762889702656</t>
  </si>
  <si>
    <t>2262035310002656</t>
  </si>
  <si>
    <t>9780801828638</t>
  </si>
  <si>
    <t>32285000107903</t>
  </si>
  <si>
    <t>893339871</t>
  </si>
  <si>
    <t>DS558 .L36 2000</t>
  </si>
  <si>
    <t>0                      DS 0558000L  36          2000</t>
  </si>
  <si>
    <t>Our Vietnam : the war, 1954-1975 / A.J. Langguth.</t>
  </si>
  <si>
    <t>Langguth, A. J., 1933-2014.</t>
  </si>
  <si>
    <t>New York : Simon &amp; Schuster, c2000.</t>
  </si>
  <si>
    <t>2002-10-27</t>
  </si>
  <si>
    <t>796652611:eng</t>
  </si>
  <si>
    <t>44509372</t>
  </si>
  <si>
    <t>991003467509702656</t>
  </si>
  <si>
    <t>2256095310002656</t>
  </si>
  <si>
    <t>9780684812021</t>
  </si>
  <si>
    <t>32285004295555</t>
  </si>
  <si>
    <t>893721948</t>
  </si>
  <si>
    <t>DS558 .L47 1991</t>
  </si>
  <si>
    <t>0                      DS 0558000L  47          1991</t>
  </si>
  <si>
    <t>The debate over Vietnam / David W. Levy.</t>
  </si>
  <si>
    <t>Levy, David W., 1937-</t>
  </si>
  <si>
    <t>Baltimore : John Hopkins University Press, c1991.</t>
  </si>
  <si>
    <t>The American moment</t>
  </si>
  <si>
    <t>2009-05-01</t>
  </si>
  <si>
    <t>21033608:eng</t>
  </si>
  <si>
    <t>22494132</t>
  </si>
  <si>
    <t>991001785119702656</t>
  </si>
  <si>
    <t>2258654510002656</t>
  </si>
  <si>
    <t>9780801841491</t>
  </si>
  <si>
    <t>32285000860329</t>
  </si>
  <si>
    <t>893891833</t>
  </si>
  <si>
    <t>DS558 .L565 1999</t>
  </si>
  <si>
    <t>0                      DS 0558000L  565         1999</t>
  </si>
  <si>
    <t>Vietnam, the necessary war : a reinterpretation of America's most disastrous military conflict / Michael Lind.</t>
  </si>
  <si>
    <t>Lind, Michael, 1962-</t>
  </si>
  <si>
    <t>New York : Free Press, c1999.</t>
  </si>
  <si>
    <t>1999-10-13</t>
  </si>
  <si>
    <t>836996752:eng</t>
  </si>
  <si>
    <t>41411932</t>
  </si>
  <si>
    <t>991003028019702656</t>
  </si>
  <si>
    <t>2259364150002656</t>
  </si>
  <si>
    <t>9780684842547</t>
  </si>
  <si>
    <t>32285003610432</t>
  </si>
  <si>
    <t>893233744</t>
  </si>
  <si>
    <t>DS558 .L66 1993b</t>
  </si>
  <si>
    <t>0                      DS 0558000L  66          1993b</t>
  </si>
  <si>
    <t>Looking back on the Vietnam War : a 1990s perspective on the decisions, combat, and legacies / edited by William Head and Lawrence E. Grinter.</t>
  </si>
  <si>
    <t>Westport, Conn. : Praeger, 1993.</t>
  </si>
  <si>
    <t>836866710:eng</t>
  </si>
  <si>
    <t>26932880</t>
  </si>
  <si>
    <t>991002099219702656</t>
  </si>
  <si>
    <t>2259775620002656</t>
  </si>
  <si>
    <t>9780275945558</t>
  </si>
  <si>
    <t>32285001979490</t>
  </si>
  <si>
    <t>893347105</t>
  </si>
  <si>
    <t>DS558 .M314 1990</t>
  </si>
  <si>
    <t>0                      DS 0558000M  314         1990</t>
  </si>
  <si>
    <t>Recovering from the war : a woman's guide to helping your Vietnam Vet, your family, and yourself / Patience H.C. Mason.</t>
  </si>
  <si>
    <t>Mason, Patience H. C.</t>
  </si>
  <si>
    <t>New York : Penguin Books, 1990.</t>
  </si>
  <si>
    <t>2005-12-15</t>
  </si>
  <si>
    <t>1990-04-07</t>
  </si>
  <si>
    <t>21441407:eng</t>
  </si>
  <si>
    <t>19920565</t>
  </si>
  <si>
    <t>991001513419702656</t>
  </si>
  <si>
    <t>2269107270002656</t>
  </si>
  <si>
    <t>32285000094523</t>
  </si>
  <si>
    <t>893322009</t>
  </si>
  <si>
    <t>DS558 .M34 2001</t>
  </si>
  <si>
    <t>0                      DS 0558000M  34          2001</t>
  </si>
  <si>
    <t>A grand delusion : America's descent into Vietnam / Robert Mann.</t>
  </si>
  <si>
    <t>Mann, Robert, 1958-</t>
  </si>
  <si>
    <t>New York : Basic Books, c2001.</t>
  </si>
  <si>
    <t>2001-08-27</t>
  </si>
  <si>
    <t>46505:eng</t>
  </si>
  <si>
    <t>45136691</t>
  </si>
  <si>
    <t>991003491669702656</t>
  </si>
  <si>
    <t>2255978140002656</t>
  </si>
  <si>
    <t>9780465043699</t>
  </si>
  <si>
    <t>32285004305073</t>
  </si>
  <si>
    <t>893352849</t>
  </si>
  <si>
    <t>DS558 .M35 2003</t>
  </si>
  <si>
    <t>0                      DS 0558000M  35          2003</t>
  </si>
  <si>
    <t>They marched into sunlight : war and peace, Vietnam and America, October 1967 / David Maraniss.</t>
  </si>
  <si>
    <t>Maraniss, David.</t>
  </si>
  <si>
    <t>New York : Simon &amp; Schuster, c2003.</t>
  </si>
  <si>
    <t>2005-09-09</t>
  </si>
  <si>
    <t>2003-10-07</t>
  </si>
  <si>
    <t>740965:eng</t>
  </si>
  <si>
    <t>52251467</t>
  </si>
  <si>
    <t>991004121769702656</t>
  </si>
  <si>
    <t>2264643860002656</t>
  </si>
  <si>
    <t>9780743217804</t>
  </si>
  <si>
    <t>32285004786728</t>
  </si>
  <si>
    <t>893611946</t>
  </si>
  <si>
    <t>DS558 .N475 2005</t>
  </si>
  <si>
    <t>0                      DS 0558000N  475         2005</t>
  </si>
  <si>
    <t>America's lost war : Vietnam, 1945-1975 / Charles E. Neu.</t>
  </si>
  <si>
    <t>Neu, Charles E.</t>
  </si>
  <si>
    <t>Wheeling, Ill. : Harlan Davidson, 2005.</t>
  </si>
  <si>
    <t>The American history series</t>
  </si>
  <si>
    <t>366687797:eng</t>
  </si>
  <si>
    <t>56482330</t>
  </si>
  <si>
    <t>991005195759702656</t>
  </si>
  <si>
    <t>2261307300002656</t>
  </si>
  <si>
    <t>9780882952321</t>
  </si>
  <si>
    <t>32285005401285</t>
  </si>
  <si>
    <t>893443562</t>
  </si>
  <si>
    <t>DS558 .P36 1981</t>
  </si>
  <si>
    <t>0                      DS 0558000P  36          1981</t>
  </si>
  <si>
    <t>Vietnam : the view from Moscow, Peking, Washington / by Daniel S. Papp.</t>
  </si>
  <si>
    <t>Papp, Daniel S., 1947-</t>
  </si>
  <si>
    <t>Jefferson, N.C. : McFarland, 1981.</t>
  </si>
  <si>
    <t>2002-10-26</t>
  </si>
  <si>
    <t>365056378:eng</t>
  </si>
  <si>
    <t>6603912</t>
  </si>
  <si>
    <t>991005012549702656</t>
  </si>
  <si>
    <t>2254735250002656</t>
  </si>
  <si>
    <t>9780899500102</t>
  </si>
  <si>
    <t>32285000057025</t>
  </si>
  <si>
    <t>893338372</t>
  </si>
  <si>
    <t>DS558 .P63 1982</t>
  </si>
  <si>
    <t>0                      DS 0558000P  63          1982</t>
  </si>
  <si>
    <t>Why we were in Vietnam / Norman Podhoretz.</t>
  </si>
  <si>
    <t>Podhoretz, Norman.</t>
  </si>
  <si>
    <t>New York : Simon and Schuster, c1982.</t>
  </si>
  <si>
    <t>30449131:eng</t>
  </si>
  <si>
    <t>8034528</t>
  </si>
  <si>
    <t>991005194849702656</t>
  </si>
  <si>
    <t>2267038310002656</t>
  </si>
  <si>
    <t>9780671445782</t>
  </si>
  <si>
    <t>32285000150689</t>
  </si>
  <si>
    <t>893719952</t>
  </si>
  <si>
    <t>DS558 .P73 1995</t>
  </si>
  <si>
    <t>0                      DS 0558000P  73          1995</t>
  </si>
  <si>
    <t>The hidden history of the Vietnam War / John Prados.</t>
  </si>
  <si>
    <t>Prados, John.</t>
  </si>
  <si>
    <t>2003-04-21</t>
  </si>
  <si>
    <t>1996-02-13</t>
  </si>
  <si>
    <t>678029:eng</t>
  </si>
  <si>
    <t>31738679</t>
  </si>
  <si>
    <t>991002433989702656</t>
  </si>
  <si>
    <t>2263050310002656</t>
  </si>
  <si>
    <t>9781566630795</t>
  </si>
  <si>
    <t>32285002129475</t>
  </si>
  <si>
    <t>893721462</t>
  </si>
  <si>
    <t>DS558 .P74 1999</t>
  </si>
  <si>
    <t>0                      DS 0558000P  74          1999</t>
  </si>
  <si>
    <t>The blood road : the Ho Chi Minh Trail and the Vietnam War / John Prados.</t>
  </si>
  <si>
    <t>New York : Wiley, c1999.</t>
  </si>
  <si>
    <t>2000-06-06</t>
  </si>
  <si>
    <t>1999-04-19</t>
  </si>
  <si>
    <t>9043184:eng</t>
  </si>
  <si>
    <t>38199521</t>
  </si>
  <si>
    <t>991002897589702656</t>
  </si>
  <si>
    <t>2268679180002656</t>
  </si>
  <si>
    <t>9780471254652</t>
  </si>
  <si>
    <t>32285003553392</t>
  </si>
  <si>
    <t>893893145</t>
  </si>
  <si>
    <t>DS558 .S39 1998</t>
  </si>
  <si>
    <t>0                      DS 0558000S  39          1998</t>
  </si>
  <si>
    <t>Defending the free world : John F. Kennedy, Lyndon Johnson, and the Vietnam War, 1961-1965 / Orrin Schwab.</t>
  </si>
  <si>
    <t>Schwab, Orrin, 1956-</t>
  </si>
  <si>
    <t>Westport, Conn. : Praeger, 1998.</t>
  </si>
  <si>
    <t>Praeger studies in diplomacy and strategic thought, 1076-1543</t>
  </si>
  <si>
    <t>2579557:eng</t>
  </si>
  <si>
    <t>38883752</t>
  </si>
  <si>
    <t>991002925289702656</t>
  </si>
  <si>
    <t>2259825740002656</t>
  </si>
  <si>
    <t>9780275962791</t>
  </si>
  <si>
    <t>32285003619755</t>
  </si>
  <si>
    <t>893233614</t>
  </si>
  <si>
    <t>DS558 .S46</t>
  </si>
  <si>
    <t>0                      DS 0558000S  46</t>
  </si>
  <si>
    <t>Strategy for defeat : Vietnam in retrospect / U.S. Grant Sharp.</t>
  </si>
  <si>
    <t>Sharp, U. S. Grant (Ulysses S. Grant), 1906-</t>
  </si>
  <si>
    <t>1997-04-14</t>
  </si>
  <si>
    <t>548268:eng</t>
  </si>
  <si>
    <t>3966077</t>
  </si>
  <si>
    <t>991004555509702656</t>
  </si>
  <si>
    <t>2263809990002656</t>
  </si>
  <si>
    <t>9780891410539</t>
  </si>
  <si>
    <t>32285000107911</t>
  </si>
  <si>
    <t>893895145</t>
  </si>
  <si>
    <t>DS558 .S55 2005</t>
  </si>
  <si>
    <t>0                      DS 0558000S  55          2005</t>
  </si>
  <si>
    <t>At the water's edge : American politics and the Vietnam War / Melvin Small.</t>
  </si>
  <si>
    <t>Small, Melvin.</t>
  </si>
  <si>
    <t>Chicago : Ivan R. Dee, c2005.</t>
  </si>
  <si>
    <t>The American ways series</t>
  </si>
  <si>
    <t>796484313:eng</t>
  </si>
  <si>
    <t>56686568</t>
  </si>
  <si>
    <t>991005063619702656</t>
  </si>
  <si>
    <t>2272223410002656</t>
  </si>
  <si>
    <t>9781566635936</t>
  </si>
  <si>
    <t>32285005286207</t>
  </si>
  <si>
    <t>893722727</t>
  </si>
  <si>
    <t>DS558 .S737 1996</t>
  </si>
  <si>
    <t>0                      DS 0558000S  737         1996</t>
  </si>
  <si>
    <t>Shame and humiliation : presidential decision making on Vietnam / Blema S. Steinberg.</t>
  </si>
  <si>
    <t>Steinberg, Blema S.</t>
  </si>
  <si>
    <t>Pittsburgh, Pa. : University of Pittsburgh Press, c1996.</t>
  </si>
  <si>
    <t>1998-04-11</t>
  </si>
  <si>
    <t>794161752:eng</t>
  </si>
  <si>
    <t>33947900</t>
  </si>
  <si>
    <t>991002590299702656</t>
  </si>
  <si>
    <t>2262093150002656</t>
  </si>
  <si>
    <t>9780822939412</t>
  </si>
  <si>
    <t>32285002440443</t>
  </si>
  <si>
    <t>893409279</t>
  </si>
  <si>
    <t>DS558 .S88 1993</t>
  </si>
  <si>
    <t>0                      DS 0558000S  88          1993</t>
  </si>
  <si>
    <t>Uncertain warriors : Lyndon Johnson and his Vietnam advisers / David M Barrett.</t>
  </si>
  <si>
    <t>Barrett, David M., 1951-</t>
  </si>
  <si>
    <t>Lawrence, KS : University Press of Kansas, 1993.</t>
  </si>
  <si>
    <t>1996-04-15</t>
  </si>
  <si>
    <t>30590317:eng</t>
  </si>
  <si>
    <t>27935100</t>
  </si>
  <si>
    <t>991002169999702656</t>
  </si>
  <si>
    <t>2258594730002656</t>
  </si>
  <si>
    <t>9780700606122</t>
  </si>
  <si>
    <t>32285001898336</t>
  </si>
  <si>
    <t>893238718</t>
  </si>
  <si>
    <t>DS558 .T47</t>
  </si>
  <si>
    <t>0                      DS 0558000T  47</t>
  </si>
  <si>
    <t>Rolling Thunder : understanding policy and program failure / by James Clay Thompson.</t>
  </si>
  <si>
    <t>Thompson, James Clay, 1943-</t>
  </si>
  <si>
    <t>Chapel Hill : University of North Carolina Press, c1980.</t>
  </si>
  <si>
    <t>1995-09-22</t>
  </si>
  <si>
    <t>366723493:eng</t>
  </si>
  <si>
    <t>4832344</t>
  </si>
  <si>
    <t>991004728979702656</t>
  </si>
  <si>
    <t>2268744740002656</t>
  </si>
  <si>
    <t>9780807813904</t>
  </si>
  <si>
    <t>32285000337641</t>
  </si>
  <si>
    <t>893807400</t>
  </si>
  <si>
    <t>DS558 .T48 1974</t>
  </si>
  <si>
    <t>0                      DS 0558000T  48          1974</t>
  </si>
  <si>
    <t>Peace is not at hand / by Sir Robert Thompson.</t>
  </si>
  <si>
    <t>Thompson, Robert, Sir, 1916-1992.</t>
  </si>
  <si>
    <t>New York : McKay, 1974.</t>
  </si>
  <si>
    <t>2119953:eng</t>
  </si>
  <si>
    <t>1224093</t>
  </si>
  <si>
    <t>991003631269702656</t>
  </si>
  <si>
    <t>2265598020002656</t>
  </si>
  <si>
    <t>9780679505259</t>
  </si>
  <si>
    <t>32285002273448</t>
  </si>
  <si>
    <t>893505788</t>
  </si>
  <si>
    <t>DS558 .T6 1990</t>
  </si>
  <si>
    <t>0                      DS 0558000T  6           1990</t>
  </si>
  <si>
    <t>To reason why : the debate about the causes of U.S. involvement in the Vietnam War / [edited by] Jeffrey P. Kimball.</t>
  </si>
  <si>
    <t>2001-06-12</t>
  </si>
  <si>
    <t>836727543:eng</t>
  </si>
  <si>
    <t>20594850</t>
  </si>
  <si>
    <t>991003509489702656</t>
  </si>
  <si>
    <t>2270017190002656</t>
  </si>
  <si>
    <t>9780877227090</t>
  </si>
  <si>
    <t>32285004326566</t>
  </si>
  <si>
    <t>893348753</t>
  </si>
  <si>
    <t>DS558 .T68 1985</t>
  </si>
  <si>
    <t>0                      DS 0558000T  68          1985</t>
  </si>
  <si>
    <t>Touring Nam : the Vietnam War reader / edited by Martin H. Greenberg and Augustus Richard Norton.</t>
  </si>
  <si>
    <t>1994-10-05</t>
  </si>
  <si>
    <t>369871933:eng</t>
  </si>
  <si>
    <t>11585548</t>
  </si>
  <si>
    <t>991000560819702656</t>
  </si>
  <si>
    <t>2267602520002656</t>
  </si>
  <si>
    <t>9780688034634</t>
  </si>
  <si>
    <t>32285000077403</t>
  </si>
  <si>
    <t>893614296</t>
  </si>
  <si>
    <t>DS558 .U52 2007</t>
  </si>
  <si>
    <t>0                      DS 0558000U  52          2007</t>
  </si>
  <si>
    <t>The United States and the legacy of the Vietnam War / edited by Jon Roper.</t>
  </si>
  <si>
    <t>Basingstoke : Palgrave Macmillan, 2007.</t>
  </si>
  <si>
    <t>Global conflict and security since 1945</t>
  </si>
  <si>
    <t>2008-10-13</t>
  </si>
  <si>
    <t>2008-10-07</t>
  </si>
  <si>
    <t>873143935:eng</t>
  </si>
  <si>
    <t>156890888</t>
  </si>
  <si>
    <t>991005270289702656</t>
  </si>
  <si>
    <t>2256030250002656</t>
  </si>
  <si>
    <t>9780230500426</t>
  </si>
  <si>
    <t>32285005461602</t>
  </si>
  <si>
    <t>893695048</t>
  </si>
  <si>
    <t>DS558.2 .A5</t>
  </si>
  <si>
    <t>0                      DS 0558200A  5</t>
  </si>
  <si>
    <t>The grunts / Charles R. Anderson.</t>
  </si>
  <si>
    <t>Anderson, Charles R., 1943-2003.</t>
  </si>
  <si>
    <t>San Rafael, Calif. : Presidio Press, 1976.</t>
  </si>
  <si>
    <t>2000-03-21</t>
  </si>
  <si>
    <t>1990-03-07</t>
  </si>
  <si>
    <t>3943288682:eng</t>
  </si>
  <si>
    <t>2809300</t>
  </si>
  <si>
    <t>991004250299702656</t>
  </si>
  <si>
    <t>2264721210002656</t>
  </si>
  <si>
    <t>9780891410034</t>
  </si>
  <si>
    <t>32285000080134</t>
  </si>
  <si>
    <t>893247348</t>
  </si>
  <si>
    <t>DS558.2 .A79 1987</t>
  </si>
  <si>
    <t>0                      DS 0558200A  79          1987</t>
  </si>
  <si>
    <t>The Army at war / by Michael Casey...[et al] and the editors of Boston Publishing Company.</t>
  </si>
  <si>
    <t>Boston : Boston Publishing Co., c1987.</t>
  </si>
  <si>
    <t>1990-02-13</t>
  </si>
  <si>
    <t>55025755:eng</t>
  </si>
  <si>
    <t>16918809</t>
  </si>
  <si>
    <t>991001164029702656</t>
  </si>
  <si>
    <t>2267900620002656</t>
  </si>
  <si>
    <t>9780939526239</t>
  </si>
  <si>
    <t>32285000050574</t>
  </si>
  <si>
    <t>893784881</t>
  </si>
  <si>
    <t>DS558.2 .C37 1987</t>
  </si>
  <si>
    <t>0                      DS 0558200C  37          1987</t>
  </si>
  <si>
    <t>Flags into battle / by Michael Casey ... [et. al] and the editors of Boston Publishing Company.</t>
  </si>
  <si>
    <t>Casey, Michael.</t>
  </si>
  <si>
    <t>Boston : Boston Pub. Co., c1987.</t>
  </si>
  <si>
    <t>14054060:eng</t>
  </si>
  <si>
    <t>16744113</t>
  </si>
  <si>
    <t>991001141189702656</t>
  </si>
  <si>
    <t>2260844140002656</t>
  </si>
  <si>
    <t>9780939526222</t>
  </si>
  <si>
    <t>32285000098789</t>
  </si>
  <si>
    <t>893608590</t>
  </si>
  <si>
    <t>DS558.2 .G74</t>
  </si>
  <si>
    <t>0                      DS 0558200G  74</t>
  </si>
  <si>
    <t>Teaching the Vietnam War : a critical examination of school texts and an interpretive comparative history utilizing the Pentagon papers and other documents / William L. Griffen and John Marciano.</t>
  </si>
  <si>
    <t>Griffen, William L.</t>
  </si>
  <si>
    <t>Montclair, N.J. : Allanheld, Osmun &amp; Co., 1979.</t>
  </si>
  <si>
    <t>292825075:eng</t>
  </si>
  <si>
    <t>5354387</t>
  </si>
  <si>
    <t>991004826249702656</t>
  </si>
  <si>
    <t>2258929200002656</t>
  </si>
  <si>
    <t>9780916672232</t>
  </si>
  <si>
    <t>32285000114123</t>
  </si>
  <si>
    <t>893430537</t>
  </si>
  <si>
    <t>DS558.2 .S95 1982</t>
  </si>
  <si>
    <t>0                      DS 0558200S  95          1982</t>
  </si>
  <si>
    <t>On strategy : a critical analysis of the Vietnam War / Harry G. Summers.</t>
  </si>
  <si>
    <t>Summers, Harry G.</t>
  </si>
  <si>
    <t>Novato, CA : Presidio Press, c1982.</t>
  </si>
  <si>
    <t>548293:eng</t>
  </si>
  <si>
    <t>8387203</t>
  </si>
  <si>
    <t>991005236649702656</t>
  </si>
  <si>
    <t>2266675300002656</t>
  </si>
  <si>
    <t>9780891411567</t>
  </si>
  <si>
    <t>32285000338508</t>
  </si>
  <si>
    <t>893783262</t>
  </si>
  <si>
    <t>DS558.5 .V47 2002</t>
  </si>
  <si>
    <t>0                      DS 0558500V  47          2002</t>
  </si>
  <si>
    <t>Victory in Vietnam : the official history of the people's army of Vietnam, 1954-1975 / the Military History Institute of Vietnam ; translated by Merle L. Pribbenow ; foreword by William J. Duiker.</t>
  </si>
  <si>
    <t>Lawrence, Kan. : University Press of Kansas, c2002.</t>
  </si>
  <si>
    <t>2003-06-15</t>
  </si>
  <si>
    <t>2003-05-21</t>
  </si>
  <si>
    <t>10568570298:eng</t>
  </si>
  <si>
    <t>48223698</t>
  </si>
  <si>
    <t>991004050439702656</t>
  </si>
  <si>
    <t>2255616520002656</t>
  </si>
  <si>
    <t>9780700611751</t>
  </si>
  <si>
    <t>32285004747654</t>
  </si>
  <si>
    <t>893318743</t>
  </si>
  <si>
    <t>DS558.6.G7 B87 2003</t>
  </si>
  <si>
    <t>0                      DS 0558600G  7                  B  87          2003</t>
  </si>
  <si>
    <t>All the way with JFK? : Britain, the US, and the Vietnam War / Peter Busch.</t>
  </si>
  <si>
    <t>Busch, Peter, 1968-</t>
  </si>
  <si>
    <t>2004-04-12</t>
  </si>
  <si>
    <t>839489286:eng</t>
  </si>
  <si>
    <t>51001526</t>
  </si>
  <si>
    <t>991004256559702656</t>
  </si>
  <si>
    <t>2267075550002656</t>
  </si>
  <si>
    <t>9780199256396</t>
  </si>
  <si>
    <t>32285004898994</t>
  </si>
  <si>
    <t>893605814</t>
  </si>
  <si>
    <t>DS558.7 .L37 1997</t>
  </si>
  <si>
    <t>0                      DS 0558700L  37          1997</t>
  </si>
  <si>
    <t>The Coast Guard at war : Vietnam, 1965-1975 / Alex Larzelere.</t>
  </si>
  <si>
    <t>Larzelere, Alex, 1936-</t>
  </si>
  <si>
    <t>Annapolis, Md. : Naval Institute Press, c1997.</t>
  </si>
  <si>
    <t>1999-02-04</t>
  </si>
  <si>
    <t>1999-01-20</t>
  </si>
  <si>
    <t>17435955:eng</t>
  </si>
  <si>
    <t>35223023</t>
  </si>
  <si>
    <t>991002697449702656</t>
  </si>
  <si>
    <t>2258687770002656</t>
  </si>
  <si>
    <t>9781557505293</t>
  </si>
  <si>
    <t>32285003513891</t>
  </si>
  <si>
    <t>893409422</t>
  </si>
  <si>
    <t>DS558.8 .C56 1989</t>
  </si>
  <si>
    <t>0                      DS 0558800C  56          1989</t>
  </si>
  <si>
    <t>The limits of air power : the American bombing of North Vietnam / Mark Clodfelter.</t>
  </si>
  <si>
    <t>Clodfelter, Mark.</t>
  </si>
  <si>
    <t>New York : Free Press ; London : Collier Macmillan, c1989.</t>
  </si>
  <si>
    <t>18999786:eng</t>
  </si>
  <si>
    <t>18982930</t>
  </si>
  <si>
    <t>991001422139702656</t>
  </si>
  <si>
    <t>2269259800002656</t>
  </si>
  <si>
    <t>9780029059906</t>
  </si>
  <si>
    <t>32285000001122</t>
  </si>
  <si>
    <t>893444683</t>
  </si>
  <si>
    <t>DS558.8 .E72 1989</t>
  </si>
  <si>
    <t>0                      DS 0558800E  72          1989</t>
  </si>
  <si>
    <t>Linebacker : the untold story of the air raids over North Vietnam / Karl J. Eschmann.</t>
  </si>
  <si>
    <t>Eschmann, Karl J.</t>
  </si>
  <si>
    <t>New York : Ivy Books : Published by Ballantine Books, 1989.</t>
  </si>
  <si>
    <t>2010-03-11</t>
  </si>
  <si>
    <t>433419141:eng</t>
  </si>
  <si>
    <t>20695261</t>
  </si>
  <si>
    <t>991001607139702656</t>
  </si>
  <si>
    <t>2255895660002656</t>
  </si>
  <si>
    <t>9780804103749</t>
  </si>
  <si>
    <t>32285000156934</t>
  </si>
  <si>
    <t>893408229</t>
  </si>
  <si>
    <t>DS558.8 .M67 1984</t>
  </si>
  <si>
    <t>0                      DS 0558800M  67          1984</t>
  </si>
  <si>
    <t>Thunder from above : air war, 1941-1968 / by John Morrocco and the editors of Boston Publishing Company.</t>
  </si>
  <si>
    <t>Morrocco, John.</t>
  </si>
  <si>
    <t>Boston, MA : Boston Pub. Co., c1984.</t>
  </si>
  <si>
    <t>477466920:eng</t>
  </si>
  <si>
    <t>10709721</t>
  </si>
  <si>
    <t>991000410389702656</t>
  </si>
  <si>
    <t>2265406560002656</t>
  </si>
  <si>
    <t>9780939526093</t>
  </si>
  <si>
    <t>32285000337682</t>
  </si>
  <si>
    <t>893708340</t>
  </si>
  <si>
    <t>DS558.8 .M671 1985</t>
  </si>
  <si>
    <t>0                      DS 0558800M  671         1985</t>
  </si>
  <si>
    <t>Rain of fire : air war, 1969-1973 / by John Morrocco and the editors of Boston Publishing Company.</t>
  </si>
  <si>
    <t>1997-11-17</t>
  </si>
  <si>
    <t>905390452:eng</t>
  </si>
  <si>
    <t>11843600</t>
  </si>
  <si>
    <t>991000603869702656</t>
  </si>
  <si>
    <t>2263025730002656</t>
  </si>
  <si>
    <t>9780939526147</t>
  </si>
  <si>
    <t>32285000337690</t>
  </si>
  <si>
    <t>893225141</t>
  </si>
  <si>
    <t>DS558.A6 C3</t>
  </si>
  <si>
    <t>0                      DS 0558000A  6                  C  3</t>
  </si>
  <si>
    <t>Angkor the magnificent, the wonder city of ancient Cambodia, by Helen Churchill Candee ... with seventy-nine illustrations from photographs and a map.</t>
  </si>
  <si>
    <t>Candee, Helen Churchill, 1858-1949.</t>
  </si>
  <si>
    <t>New York, Frederick A. Stokes company, 1924.</t>
  </si>
  <si>
    <t>1924</t>
  </si>
  <si>
    <t>422986031:eng</t>
  </si>
  <si>
    <t>1262405</t>
  </si>
  <si>
    <t>991003656759702656</t>
  </si>
  <si>
    <t>2263212380002656</t>
  </si>
  <si>
    <t>32285002459922</t>
  </si>
  <si>
    <t>893258672</t>
  </si>
  <si>
    <t>DS558.H3 B4 1971</t>
  </si>
  <si>
    <t>0                      DS 0558000H  3                  B  4           1971</t>
  </si>
  <si>
    <t>Night flight to Hanoi : war diary with 11 poems / by Daniel Berrigan.</t>
  </si>
  <si>
    <t>Berrigan, Daniel.</t>
  </si>
  <si>
    <t>New York : Harper &amp; Row, [1971, c1968]</t>
  </si>
  <si>
    <t>Perennial Library ; P217</t>
  </si>
  <si>
    <t>2003-10-30</t>
  </si>
  <si>
    <t>1438190:eng</t>
  </si>
  <si>
    <t>526716</t>
  </si>
  <si>
    <t>991002921179702656</t>
  </si>
  <si>
    <t>2262146270002656</t>
  </si>
  <si>
    <t>32285000337567</t>
  </si>
  <si>
    <t>893616762</t>
  </si>
  <si>
    <t>DS559.4 .C65 1987</t>
  </si>
  <si>
    <t>0                      DS 0559400C  65          1987</t>
  </si>
  <si>
    <t>First heroes : the POWs left behind in Vietnam / by Rod Colvin.</t>
  </si>
  <si>
    <t>Colvin, Rod, 1950-</t>
  </si>
  <si>
    <t>New York, NY : Irvington Publishers, c1987.</t>
  </si>
  <si>
    <t>1992-06-09</t>
  </si>
  <si>
    <t>906401024:eng</t>
  </si>
  <si>
    <t>15990870</t>
  </si>
  <si>
    <t>991001072539702656</t>
  </si>
  <si>
    <t>2271118260002656</t>
  </si>
  <si>
    <t>9780829020083</t>
  </si>
  <si>
    <t>32285001074946</t>
  </si>
  <si>
    <t>893715149</t>
  </si>
  <si>
    <t>DS559.4 .H57 2004</t>
  </si>
  <si>
    <t>0                      DS 0559400H  57          2004</t>
  </si>
  <si>
    <t>Two souls indivisible : the friendship that saved two POWs in Vietnam / James S. Hirsch.</t>
  </si>
  <si>
    <t>Hirsch, James S.</t>
  </si>
  <si>
    <t>Boston : Houghton Mifflin, 2004.</t>
  </si>
  <si>
    <t>2005-03-10</t>
  </si>
  <si>
    <t>1031783:eng</t>
  </si>
  <si>
    <t>53896727</t>
  </si>
  <si>
    <t>991004357189702656</t>
  </si>
  <si>
    <t>2272621890002656</t>
  </si>
  <si>
    <t>9780618273485</t>
  </si>
  <si>
    <t>32285004983440</t>
  </si>
  <si>
    <t>893788598</t>
  </si>
  <si>
    <t>DS559.4 .R63 1999</t>
  </si>
  <si>
    <t>0                      DS 0559400R  63          1999</t>
  </si>
  <si>
    <t>Honor bound : American prisoners of war in Southeast Asia, 1961-1973 / Stuart I. Rochester and Frederick Kiley.</t>
  </si>
  <si>
    <t>Rochester, Stuart I., 1945-</t>
  </si>
  <si>
    <t>Annapolis, Md. : Naval Institute Press, 1999.</t>
  </si>
  <si>
    <t>Naval Institute Press ed.</t>
  </si>
  <si>
    <t>2006-10-08</t>
  </si>
  <si>
    <t>20489275:eng</t>
  </si>
  <si>
    <t>39706922</t>
  </si>
  <si>
    <t>991002967199702656</t>
  </si>
  <si>
    <t>2255485730002656</t>
  </si>
  <si>
    <t>9781557506948</t>
  </si>
  <si>
    <t>32285003612859</t>
  </si>
  <si>
    <t>893317487</t>
  </si>
  <si>
    <t>DS559.4 .S9 1975</t>
  </si>
  <si>
    <t>0                      DS 0559400S  9           1975</t>
  </si>
  <si>
    <t>Survivors / [edited] by Zalin Grant.</t>
  </si>
  <si>
    <t>New York : Norton, [1975]</t>
  </si>
  <si>
    <t>2000-07-05</t>
  </si>
  <si>
    <t>460356:eng</t>
  </si>
  <si>
    <t>1819843</t>
  </si>
  <si>
    <t>991003899759702656</t>
  </si>
  <si>
    <t>2272507950002656</t>
  </si>
  <si>
    <t>9780393087277</t>
  </si>
  <si>
    <t>32285001790343</t>
  </si>
  <si>
    <t>893410877</t>
  </si>
  <si>
    <t>DS559.44 .H27 1988</t>
  </si>
  <si>
    <t>0                      DS 0559440H  27          1988</t>
  </si>
  <si>
    <t>Care of the wounded in Vietnam / by Robert M. Hardaway.</t>
  </si>
  <si>
    <t>Hardaway, Robert M.</t>
  </si>
  <si>
    <t>Manhattan, Kan. : Sunflower University Press, 1988.</t>
  </si>
  <si>
    <t>2000-03-13</t>
  </si>
  <si>
    <t>1993-06-24</t>
  </si>
  <si>
    <t>21813368:eng</t>
  </si>
  <si>
    <t>19840456</t>
  </si>
  <si>
    <t>991001505619702656</t>
  </si>
  <si>
    <t>2270579360002656</t>
  </si>
  <si>
    <t>9780897451062</t>
  </si>
  <si>
    <t>32285001732204</t>
  </si>
  <si>
    <t>893621432</t>
  </si>
  <si>
    <t>DS559.44 .S57 1992</t>
  </si>
  <si>
    <t>0                      DS 0559440S  57          1992</t>
  </si>
  <si>
    <t>American daughter gone to war : on the front lines with an army nurse in Vietnam / Winnie Smith.</t>
  </si>
  <si>
    <t>Smith, Winnie.</t>
  </si>
  <si>
    <t>New York : W. Morrow, c1992.</t>
  </si>
  <si>
    <t>26961723:eng</t>
  </si>
  <si>
    <t>24430893</t>
  </si>
  <si>
    <t>991001934869702656</t>
  </si>
  <si>
    <t>2268024260002656</t>
  </si>
  <si>
    <t>9780688111885</t>
  </si>
  <si>
    <t>32285001402980</t>
  </si>
  <si>
    <t>893703472</t>
  </si>
  <si>
    <t>DS559.46 .H64 2008</t>
  </si>
  <si>
    <t>0                      DS 0559460H  64          2008</t>
  </si>
  <si>
    <t>On their own : women journalists and the American experience in Vietnam / Joyce Hoffmann.</t>
  </si>
  <si>
    <t>Hoffmann, Joyce.</t>
  </si>
  <si>
    <t>Cambridge, MA : Da Capo Press, c2008.</t>
  </si>
  <si>
    <t>2010-07-06</t>
  </si>
  <si>
    <t>2008-08-12</t>
  </si>
  <si>
    <t>891321070:eng</t>
  </si>
  <si>
    <t>192134416</t>
  </si>
  <si>
    <t>991005252099702656</t>
  </si>
  <si>
    <t>2266730190002656</t>
  </si>
  <si>
    <t>9780306810596</t>
  </si>
  <si>
    <t>32285005453625</t>
  </si>
  <si>
    <t>893520723</t>
  </si>
  <si>
    <t>DS559.46 .R68 2006</t>
  </si>
  <si>
    <t>0                      DS 0559460R  68          2006</t>
  </si>
  <si>
    <t>Media and the politics of failure : great powers, communication strategies, and military defeats / Laura Roselle.</t>
  </si>
  <si>
    <t>Roselle, Laura.</t>
  </si>
  <si>
    <t>New York : Palgrave Macmillan, 2006.</t>
  </si>
  <si>
    <t>Palgrave Macmillan series in international political communication</t>
  </si>
  <si>
    <t>2008-05-13</t>
  </si>
  <si>
    <t>793997555:eng</t>
  </si>
  <si>
    <t>63703952</t>
  </si>
  <si>
    <t>991005211939702656</t>
  </si>
  <si>
    <t>2256665170002656</t>
  </si>
  <si>
    <t>9781403975256</t>
  </si>
  <si>
    <t>32285005407308</t>
  </si>
  <si>
    <t>893600828</t>
  </si>
  <si>
    <t>DS559.46 .T87 1985</t>
  </si>
  <si>
    <t>0                      DS 0559460T  87          1985</t>
  </si>
  <si>
    <t>Lyndon Johnson's dual war : Vietnam and the press / Kathleen J. Turner.</t>
  </si>
  <si>
    <t>Turner, Kathleen J., 1952-</t>
  </si>
  <si>
    <t>Chicago : University of Chicago Press, 1985.</t>
  </si>
  <si>
    <t>234777172:eng</t>
  </si>
  <si>
    <t>11030172</t>
  </si>
  <si>
    <t>991000476419702656</t>
  </si>
  <si>
    <t>2260018970002656</t>
  </si>
  <si>
    <t>9780226817316</t>
  </si>
  <si>
    <t>32285000045806</t>
  </si>
  <si>
    <t>893243291</t>
  </si>
  <si>
    <t>DS559.5 .B79 1976</t>
  </si>
  <si>
    <t>0                      DS 0559500B  79          1976</t>
  </si>
  <si>
    <t>Friendly fire / C. D. B. Bryan.</t>
  </si>
  <si>
    <t>Bryan, C. D. B. (Courtlandt Dixon Barnes)</t>
  </si>
  <si>
    <t>New York : Putnam, c1976.</t>
  </si>
  <si>
    <t>2000-08-31</t>
  </si>
  <si>
    <t>1990-02-22</t>
  </si>
  <si>
    <t>508103:eng</t>
  </si>
  <si>
    <t>2193249</t>
  </si>
  <si>
    <t>991004043589702656</t>
  </si>
  <si>
    <t>2263280870002656</t>
  </si>
  <si>
    <t>9780399116889</t>
  </si>
  <si>
    <t>32285000060110</t>
  </si>
  <si>
    <t>893349546</t>
  </si>
  <si>
    <t>DS559.5 .D6 1998</t>
  </si>
  <si>
    <t>0                      DS 0559500D  6           1998</t>
  </si>
  <si>
    <t>Counterpart : a South Vietnamese naval officer's war / Kiem Do and Julie Kane.</t>
  </si>
  <si>
    <t>Do, Kiem, 1933-</t>
  </si>
  <si>
    <t>Annapolis, Md. : Naval Institute Press, c1998.</t>
  </si>
  <si>
    <t>138822696:eng</t>
  </si>
  <si>
    <t>38295257</t>
  </si>
  <si>
    <t>991003259509702656</t>
  </si>
  <si>
    <t>2263077790002656</t>
  </si>
  <si>
    <t>9781557501813</t>
  </si>
  <si>
    <t>32285003761185</t>
  </si>
  <si>
    <t>893422363</t>
  </si>
  <si>
    <t>DS559.5 .E88</t>
  </si>
  <si>
    <t>0                      DS 0559500E  88</t>
  </si>
  <si>
    <t>Everything we had : an oral history of the Vietnam War / by thirty-three American soldiers who fought it ; [edited by] Al Santoli.</t>
  </si>
  <si>
    <t>New York : Random House, 1981.</t>
  </si>
  <si>
    <t>1996-09-30</t>
  </si>
  <si>
    <t>796523283:eng</t>
  </si>
  <si>
    <t>7175474</t>
  </si>
  <si>
    <t>991005082929702656</t>
  </si>
  <si>
    <t>2272221840002656</t>
  </si>
  <si>
    <t>9780394512693</t>
  </si>
  <si>
    <t>32285000098805</t>
  </si>
  <si>
    <t>893424516</t>
  </si>
  <si>
    <t>DS559.5 .G32 1987</t>
  </si>
  <si>
    <t>0                      DS 0559500G  32          1987</t>
  </si>
  <si>
    <t>Line doggie : foot soldier in Vietnam / Charles Gadd.</t>
  </si>
  <si>
    <t>Gadd, Charles, 1945-</t>
  </si>
  <si>
    <t>Novato, CA : Presidio, c1987.</t>
  </si>
  <si>
    <t>10719280:eng</t>
  </si>
  <si>
    <t>15696075</t>
  </si>
  <si>
    <t>991003592419702656</t>
  </si>
  <si>
    <t>2259769070002656</t>
  </si>
  <si>
    <t>9780891412885</t>
  </si>
  <si>
    <t>32285004376215</t>
  </si>
  <si>
    <t>893228196</t>
  </si>
  <si>
    <t>DS559.5 .H38 1988</t>
  </si>
  <si>
    <t>0                      DS 0559500H  38          1988</t>
  </si>
  <si>
    <t>Words of war : an anthology of Vietnam war literature / compiled by Gordon Hardy and the editors of Boston Publishing Company.</t>
  </si>
  <si>
    <t>Boston, MA : The Company, c1988.</t>
  </si>
  <si>
    <t>2009-10-16</t>
  </si>
  <si>
    <t>905524653:eng</t>
  </si>
  <si>
    <t>17601308</t>
  </si>
  <si>
    <t>991001239469702656</t>
  </si>
  <si>
    <t>2256264350002656</t>
  </si>
  <si>
    <t>9780939526376</t>
  </si>
  <si>
    <t>32285000098813</t>
  </si>
  <si>
    <t>893784960</t>
  </si>
  <si>
    <t>DS559.5 .J36 2005</t>
  </si>
  <si>
    <t>0                      DS 0559500J  36          2005</t>
  </si>
  <si>
    <t>Unfortunate sons : a true story of young men and war / L. D. James.</t>
  </si>
  <si>
    <t>James, Larry Don.</t>
  </si>
  <si>
    <t>Washington, D. C. : Cambridge Dent Publishers, c2005.</t>
  </si>
  <si>
    <t>2006-02-28</t>
  </si>
  <si>
    <t>2006-02-06</t>
  </si>
  <si>
    <t>46424514:eng</t>
  </si>
  <si>
    <t>61917494</t>
  </si>
  <si>
    <t>991004716759702656</t>
  </si>
  <si>
    <t>2270384720002656</t>
  </si>
  <si>
    <t>9780976861928</t>
  </si>
  <si>
    <t>32285005157234</t>
  </si>
  <si>
    <t>893507150</t>
  </si>
  <si>
    <t>DS559.5 .K68 1977</t>
  </si>
  <si>
    <t>0                      DS 0559500K  68          1977</t>
  </si>
  <si>
    <t>Born on the Fourth of July / Ron Kovic.</t>
  </si>
  <si>
    <t>Kovic, Ron.</t>
  </si>
  <si>
    <t>New York : Pocket Books, 1977, c1976.</t>
  </si>
  <si>
    <t>1995-07-05</t>
  </si>
  <si>
    <t>405700:eng</t>
  </si>
  <si>
    <t>23103275</t>
  </si>
  <si>
    <t>991001838729702656</t>
  </si>
  <si>
    <t>2257614640002656</t>
  </si>
  <si>
    <t>9780671739140</t>
  </si>
  <si>
    <t>32285002053642</t>
  </si>
  <si>
    <t>893596770</t>
  </si>
  <si>
    <t>DS559.5 .L42 2000</t>
  </si>
  <si>
    <t>0                      DS 0559500L  42          2000</t>
  </si>
  <si>
    <t>White Christmas in April : the collapse of South Vietnam, 1975 / edited by J. Edward Lee and Toby Haynsworth.</t>
  </si>
  <si>
    <t>New York : Peter Lang, 2000.</t>
  </si>
  <si>
    <t>2000-09-28</t>
  </si>
  <si>
    <t>898580434:eng</t>
  </si>
  <si>
    <t>41266238</t>
  </si>
  <si>
    <t>991003243319702656</t>
  </si>
  <si>
    <t>2262582410002656</t>
  </si>
  <si>
    <t>9780820445380</t>
  </si>
  <si>
    <t>32285003765764</t>
  </si>
  <si>
    <t>893617139</t>
  </si>
  <si>
    <t>DS559.5 .L49 1985</t>
  </si>
  <si>
    <t>0                      DS 0559500L  49          1985</t>
  </si>
  <si>
    <t>The tainted war : culture and identity in Vietnam War narratives / Lloyd B. Lewis.</t>
  </si>
  <si>
    <t>Lewis, Lloyd B.</t>
  </si>
  <si>
    <t>Westport, Conn. : Greenwood Press, 1985.</t>
  </si>
  <si>
    <t>Contributions in military studies, 0883-6884 ; no. 44</t>
  </si>
  <si>
    <t>1994-04-13</t>
  </si>
  <si>
    <t>806963010:eng</t>
  </si>
  <si>
    <t>11533529</t>
  </si>
  <si>
    <t>991000551509702656</t>
  </si>
  <si>
    <t>2258329260002656</t>
  </si>
  <si>
    <t>9780313237232</t>
  </si>
  <si>
    <t>32285000098821</t>
  </si>
  <si>
    <t>893865475</t>
  </si>
  <si>
    <t>DS559.5 .M37 1983</t>
  </si>
  <si>
    <t>0                      DS 0559500M  37          1983</t>
  </si>
  <si>
    <t>Chickenhawk / Robert Mason.</t>
  </si>
  <si>
    <t>Mason, Robert, 1942-</t>
  </si>
  <si>
    <t>New York : Viking Press, 1983.</t>
  </si>
  <si>
    <t>891042:eng</t>
  </si>
  <si>
    <t>9393102</t>
  </si>
  <si>
    <t>991000184129702656</t>
  </si>
  <si>
    <t>2265954210002656</t>
  </si>
  <si>
    <t>9780670215829</t>
  </si>
  <si>
    <t>32285000078013</t>
  </si>
  <si>
    <t>893224812</t>
  </si>
  <si>
    <t>DS559.5 .S342 1988</t>
  </si>
  <si>
    <t>0                      DS 0559500S  342         1988</t>
  </si>
  <si>
    <t>The real war : the classic reporting on the Vietnam War : with a new essay / by Jonathan Schell.</t>
  </si>
  <si>
    <t>Schell, Jonathan, 1943-2014.</t>
  </si>
  <si>
    <t>New York : Pantheon Books, 1987, c1988.</t>
  </si>
  <si>
    <t>1990-04-23</t>
  </si>
  <si>
    <t>1059231085:eng</t>
  </si>
  <si>
    <t>17301174</t>
  </si>
  <si>
    <t>991001201179702656</t>
  </si>
  <si>
    <t>2266839970002656</t>
  </si>
  <si>
    <t>32285000123264</t>
  </si>
  <si>
    <t>893702829</t>
  </si>
  <si>
    <t>DS559.5 .S39 1998</t>
  </si>
  <si>
    <t>0                      DS 0559500S  39          1998</t>
  </si>
  <si>
    <t>Lost crusade : America's secret Cambodian mercenaries / Peter Scott.</t>
  </si>
  <si>
    <t>Scott, Peter, 1945-</t>
  </si>
  <si>
    <t>Naval Institute special warfare series</t>
  </si>
  <si>
    <t>364735147:eng</t>
  </si>
  <si>
    <t>39182232</t>
  </si>
  <si>
    <t>991002942859702656</t>
  </si>
  <si>
    <t>2272032740002656</t>
  </si>
  <si>
    <t>9781557508461</t>
  </si>
  <si>
    <t>32285003594271</t>
  </si>
  <si>
    <t>893893191</t>
  </si>
  <si>
    <t>DS559.5 .W37 1986</t>
  </si>
  <si>
    <t>0                      DS 0559500W  37          1986</t>
  </si>
  <si>
    <t>A war remembered / by Stephen Weiss ... [et al.] ; and the editors of Boston Publishing Company.</t>
  </si>
  <si>
    <t>Boston, Mass. : The Company, 1986.</t>
  </si>
  <si>
    <t>54824230:eng</t>
  </si>
  <si>
    <t>13655353</t>
  </si>
  <si>
    <t>991000856359702656</t>
  </si>
  <si>
    <t>2266170190002656</t>
  </si>
  <si>
    <t>9780939526208</t>
  </si>
  <si>
    <t>32285000098839</t>
  </si>
  <si>
    <t>893339955</t>
  </si>
  <si>
    <t>DS559.5 .W64 1994</t>
  </si>
  <si>
    <t>0                      DS 0559500W  64          1994</t>
  </si>
  <si>
    <t>In Pharaoh's army : memories of the lost war / Tobias Wolff.</t>
  </si>
  <si>
    <t>Wolff, Tobias, 1945-</t>
  </si>
  <si>
    <t>New York : Knopf : Distributed by Random House, 1994.</t>
  </si>
  <si>
    <t>1997-06-04</t>
  </si>
  <si>
    <t>1995-01-14</t>
  </si>
  <si>
    <t>932708:eng</t>
  </si>
  <si>
    <t>30436634</t>
  </si>
  <si>
    <t>991002337699702656</t>
  </si>
  <si>
    <t>2258935330002656</t>
  </si>
  <si>
    <t>9780679402176</t>
  </si>
  <si>
    <t>32285001992352</t>
  </si>
  <si>
    <t>893415088</t>
  </si>
  <si>
    <t>DS559.5 .Y66 1995</t>
  </si>
  <si>
    <t>0                      DS 0559500Y  66          1995</t>
  </si>
  <si>
    <t>Blessings : transforming my Vietnam experience / Don Yost.</t>
  </si>
  <si>
    <t>Yost, Don, 1945-</t>
  </si>
  <si>
    <t>Kansas City, MO : Sheed &amp; Ward, c1995.</t>
  </si>
  <si>
    <t>2003-11-14</t>
  </si>
  <si>
    <t>152323005:eng</t>
  </si>
  <si>
    <t>32780562</t>
  </si>
  <si>
    <t>991002521689702656</t>
  </si>
  <si>
    <t>2261841000002656</t>
  </si>
  <si>
    <t>9781556128042</t>
  </si>
  <si>
    <t>32285002321650</t>
  </si>
  <si>
    <t>893347590</t>
  </si>
  <si>
    <t>DS559.62.A8 E38 1997</t>
  </si>
  <si>
    <t>0                      DS 0559620A  8                  E  38          1997</t>
  </si>
  <si>
    <t>A nation at war : Australian politics, society and diplomacy during the Vietnam War 1965-1975 / Peter Edwards.</t>
  </si>
  <si>
    <t>Edwards, P. G.</t>
  </si>
  <si>
    <t>St. Leonards, NSW : Allen &amp; Unwin in association with the Australian War Memorial, 1997.</t>
  </si>
  <si>
    <t>The Official history of Australia's involvement in Southeast Asian conflicts 1948-1975.</t>
  </si>
  <si>
    <t>2001-01-23</t>
  </si>
  <si>
    <t>365114200:eng</t>
  </si>
  <si>
    <t>37738526</t>
  </si>
  <si>
    <t>991003344629702656</t>
  </si>
  <si>
    <t>2263752510002656</t>
  </si>
  <si>
    <t>9781864482829</t>
  </si>
  <si>
    <t>32285004290952</t>
  </si>
  <si>
    <t>893434920</t>
  </si>
  <si>
    <t>DS559.62.U6 F73 2000</t>
  </si>
  <si>
    <t>0                      DS 0559620U  6                  F  73          2000</t>
  </si>
  <si>
    <t>Vietnam and other American fantasies / H. Bruce Franklin.</t>
  </si>
  <si>
    <t>Franklin, H. Bruce (Howard Bruce), 1934-</t>
  </si>
  <si>
    <t>Amherst, Mass.: University of Massachusetts Press, c2000.</t>
  </si>
  <si>
    <t>Culture, politics, and the cold war</t>
  </si>
  <si>
    <t>2003-05-30</t>
  </si>
  <si>
    <t>2001-08-29</t>
  </si>
  <si>
    <t>8432330:eng</t>
  </si>
  <si>
    <t>43929798</t>
  </si>
  <si>
    <t>991003593719702656</t>
  </si>
  <si>
    <t>2261908460002656</t>
  </si>
  <si>
    <t>9781558492790</t>
  </si>
  <si>
    <t>32285004382452</t>
  </si>
  <si>
    <t>893868597</t>
  </si>
  <si>
    <t>DS559.62.U6 G37 1997</t>
  </si>
  <si>
    <t>0                      DS 0559620U  6                  G  37          1997</t>
  </si>
  <si>
    <t>Telltale hearts : the origins and impact of the Vietnam antiwar movement / Adam Garfinkle.</t>
  </si>
  <si>
    <t>Garfinkle, Adam M., 1951-</t>
  </si>
  <si>
    <t>New York : St. Martin's Griffin, 1997.</t>
  </si>
  <si>
    <t>1st St. Martin's Griffin ed.</t>
  </si>
  <si>
    <t>1997-09-08</t>
  </si>
  <si>
    <t>33460799:eng</t>
  </si>
  <si>
    <t>36504114</t>
  </si>
  <si>
    <t>991002780739702656</t>
  </si>
  <si>
    <t>2262928600002656</t>
  </si>
  <si>
    <t>9780312163631</t>
  </si>
  <si>
    <t>32285003004164</t>
  </si>
  <si>
    <t>893886716</t>
  </si>
  <si>
    <t>DS559.62.U6 H45 1993</t>
  </si>
  <si>
    <t>0                      DS 0559620U  6                  H  45          1993</t>
  </si>
  <si>
    <t>Campus wars : the peace movement at American state universities in the Vietnam era / Kenneth J. Heineman.</t>
  </si>
  <si>
    <t>Heineman, Kenneth J., 1962-</t>
  </si>
  <si>
    <t>New York : New York University Press, c1993.</t>
  </si>
  <si>
    <t>2005-05-02</t>
  </si>
  <si>
    <t>1014440:eng</t>
  </si>
  <si>
    <t>26588365</t>
  </si>
  <si>
    <t>991002074559702656</t>
  </si>
  <si>
    <t>2265967660002656</t>
  </si>
  <si>
    <t>9780814734902</t>
  </si>
  <si>
    <t>32285001701654</t>
  </si>
  <si>
    <t>893439744</t>
  </si>
  <si>
    <t>DS559.62.U6 H86 1999</t>
  </si>
  <si>
    <t>0                      DS 0559620U  6                  H  86          1999</t>
  </si>
  <si>
    <t>The turning : a history of Vietnam Veterans Against the War / Andrew E. Hunt.</t>
  </si>
  <si>
    <t>Hunt, Andrew E., 1968-</t>
  </si>
  <si>
    <t>New York : New York University Press, 1999.</t>
  </si>
  <si>
    <t>2002-09-10</t>
  </si>
  <si>
    <t>2000-07-20</t>
  </si>
  <si>
    <t>793900177:eng</t>
  </si>
  <si>
    <t>40848421</t>
  </si>
  <si>
    <t>991003209639702656</t>
  </si>
  <si>
    <t>2259248190002656</t>
  </si>
  <si>
    <t>9780814735817</t>
  </si>
  <si>
    <t>32285003712394</t>
  </si>
  <si>
    <t>893874529</t>
  </si>
  <si>
    <t>DS559.62.U6 N53 2001</t>
  </si>
  <si>
    <t>0                      DS 0559620U  6                  N  53          2001</t>
  </si>
  <si>
    <t>Home to war : a history of the Vietnam veterans' movement / Gerald Nicosia.</t>
  </si>
  <si>
    <t>Nicosia, Gerald.</t>
  </si>
  <si>
    <t>New York : Three Rivers Press, c2001.</t>
  </si>
  <si>
    <t>1st pbk. ed.</t>
  </si>
  <si>
    <t>2002-09-26</t>
  </si>
  <si>
    <t>16014111:eng</t>
  </si>
  <si>
    <t>49529423</t>
  </si>
  <si>
    <t>991003870959702656</t>
  </si>
  <si>
    <t>2254854120002656</t>
  </si>
  <si>
    <t>9780609809068</t>
  </si>
  <si>
    <t>32285004649728</t>
  </si>
  <si>
    <t>893693241</t>
  </si>
  <si>
    <t>DS559.8.B55 K56 2007</t>
  </si>
  <si>
    <t>0                      DS 0559800B  55                 K  56          2007</t>
  </si>
  <si>
    <t>Equality or discrimination? : African Americans in the U.S. military during the Vietnam War / Natalie Kimbrough.</t>
  </si>
  <si>
    <t>Kimbrough, Natalie.</t>
  </si>
  <si>
    <t>Lanham, Md. : University Press of America, c2007.</t>
  </si>
  <si>
    <t>2008-09-16</t>
  </si>
  <si>
    <t>2008-09-09</t>
  </si>
  <si>
    <t>892559967:eng</t>
  </si>
  <si>
    <t>82136146</t>
  </si>
  <si>
    <t>991005256409702656</t>
  </si>
  <si>
    <t>2268134030002656</t>
  </si>
  <si>
    <t>9780761836728</t>
  </si>
  <si>
    <t>32285005457428</t>
  </si>
  <si>
    <t>893437410</t>
  </si>
  <si>
    <t>DS559.8.B55 W47 1997</t>
  </si>
  <si>
    <t>0                      DS 0559800B  55                 W  47          1997</t>
  </si>
  <si>
    <t>Fighting on two fronts : African Americans and the Vietnam War / James E. Westheider.</t>
  </si>
  <si>
    <t>Westheider, James E., 1956-</t>
  </si>
  <si>
    <t>New York : New York University Press, c1997.</t>
  </si>
  <si>
    <t>2004-11-06</t>
  </si>
  <si>
    <t>1998-05-04</t>
  </si>
  <si>
    <t>799920051:eng</t>
  </si>
  <si>
    <t>35777379</t>
  </si>
  <si>
    <t>991002727949702656</t>
  </si>
  <si>
    <t>2267749710002656</t>
  </si>
  <si>
    <t>9780814793015</t>
  </si>
  <si>
    <t>32285003405122</t>
  </si>
  <si>
    <t>893239420</t>
  </si>
  <si>
    <t>DS559.8.C5 C43 1986</t>
  </si>
  <si>
    <t>0                      DS 0559800C  5                  C  43          1986</t>
  </si>
  <si>
    <t>Herbicidal warfare : the RANCH HAND Project in Vietnam / by Paul Frederick Cecil.</t>
  </si>
  <si>
    <t>Cecil, Paul Frederick.</t>
  </si>
  <si>
    <t>New York : Praeger, 1986.</t>
  </si>
  <si>
    <t>2561317:eng</t>
  </si>
  <si>
    <t>13095930</t>
  </si>
  <si>
    <t>991000780979702656</t>
  </si>
  <si>
    <t>2256154200002656</t>
  </si>
  <si>
    <t>9780275920074</t>
  </si>
  <si>
    <t>32285000077429</t>
  </si>
  <si>
    <t>893696172</t>
  </si>
  <si>
    <t>DS559.8.C5 G75 2003</t>
  </si>
  <si>
    <t>0                      DS 0559800C  5                  G  75          2003</t>
  </si>
  <si>
    <t>Agent Orange : "collateral damage" in Viet Nam / Philip Jones Griffiths.</t>
  </si>
  <si>
    <t>Griffiths, Philip Jones.</t>
  </si>
  <si>
    <t>London : Trolley, 2003.</t>
  </si>
  <si>
    <t>2005-06-22</t>
  </si>
  <si>
    <t>839023039:eng</t>
  </si>
  <si>
    <t>54001975</t>
  </si>
  <si>
    <t>991004586149702656</t>
  </si>
  <si>
    <t>2265069600002656</t>
  </si>
  <si>
    <t>9781904563051</t>
  </si>
  <si>
    <t>32285005093884</t>
  </si>
  <si>
    <t>893411719</t>
  </si>
  <si>
    <t>DS559.8.C63 G56 1989</t>
  </si>
  <si>
    <t>0                      DS 0559800C  63                 G  56          1989</t>
  </si>
  <si>
    <t>Days of decision : an oral history of conscientious objectors in the military during the Vietnam war / Gerald R. Gioglio.</t>
  </si>
  <si>
    <t>Gioglio, Gerald R.</t>
  </si>
  <si>
    <t>Trenton, N.J. : Broken Rifle Press, c1989.</t>
  </si>
  <si>
    <t>1996-02-20</t>
  </si>
  <si>
    <t>1995-07-12</t>
  </si>
  <si>
    <t>347401106:eng</t>
  </si>
  <si>
    <t>20523508</t>
  </si>
  <si>
    <t>991001584599702656</t>
  </si>
  <si>
    <t>2271565320002656</t>
  </si>
  <si>
    <t>9780962002403</t>
  </si>
  <si>
    <t>32285002054053</t>
  </si>
  <si>
    <t>893866324</t>
  </si>
  <si>
    <t>DS559.8.D4 T63 2001</t>
  </si>
  <si>
    <t>0                      DS 0559800D  4                  T  63          2001</t>
  </si>
  <si>
    <t>Desertion : in the time of Vietnam / Jack Todd.</t>
  </si>
  <si>
    <t>Todd, Jack, 1946-</t>
  </si>
  <si>
    <t>Boston : Houghton Mifflin, 2001.</t>
  </si>
  <si>
    <t>2001-07-10</t>
  </si>
  <si>
    <t>2001-07-09</t>
  </si>
  <si>
    <t>2287346498:eng</t>
  </si>
  <si>
    <t>45223621</t>
  </si>
  <si>
    <t>991003539789702656</t>
  </si>
  <si>
    <t>2264777970002656</t>
  </si>
  <si>
    <t>9780618091553</t>
  </si>
  <si>
    <t>32285004330378</t>
  </si>
  <si>
    <t>893711467</t>
  </si>
  <si>
    <t>DS559.8.D7 H33 2001</t>
  </si>
  <si>
    <t>0                      DS 0559800D  7                  H  33          2001</t>
  </si>
  <si>
    <t>Northern passage : American Vietnam War resisters in Canada / John Hagan.</t>
  </si>
  <si>
    <t>Hagan, John, 1946-</t>
  </si>
  <si>
    <t>Cambridge, MA : Harvard University Press, 2001.</t>
  </si>
  <si>
    <t>2002-01-28</t>
  </si>
  <si>
    <t>34622044:eng</t>
  </si>
  <si>
    <t>45413548</t>
  </si>
  <si>
    <t>991003698989702656</t>
  </si>
  <si>
    <t>2272194130002656</t>
  </si>
  <si>
    <t>9780674004719</t>
  </si>
  <si>
    <t>32285004447016</t>
  </si>
  <si>
    <t>893887773</t>
  </si>
  <si>
    <t>DS559.8.D7 K37</t>
  </si>
  <si>
    <t>0                      DS 0559800D  7                  K  37</t>
  </si>
  <si>
    <t>Refugees from militarism : draft-age Americans in Canada / by Renée G. Kasinsky.</t>
  </si>
  <si>
    <t>Goldsmith-Kasinsky, Renee.</t>
  </si>
  <si>
    <t>New Brunswick, N.J. : Transaction Books, c1976.</t>
  </si>
  <si>
    <t>894502128:eng</t>
  </si>
  <si>
    <t>2034828</t>
  </si>
  <si>
    <t>991003987599702656</t>
  </si>
  <si>
    <t>2270152870002656</t>
  </si>
  <si>
    <t>9780878551132</t>
  </si>
  <si>
    <t>32285002459997</t>
  </si>
  <si>
    <t>893806511</t>
  </si>
  <si>
    <t>DS559.8.D7 S97 1982</t>
  </si>
  <si>
    <t>0                      DS 0559800D  7                  S  97          1982</t>
  </si>
  <si>
    <t>Choice of conscience : Vietnam era military and draft resisters in Canada / David S. Surrey.</t>
  </si>
  <si>
    <t>Surrey, David S. (David Sterling)</t>
  </si>
  <si>
    <t>New York : Praeger, 1982.</t>
  </si>
  <si>
    <t>2003-09-23</t>
  </si>
  <si>
    <t>152209315:eng</t>
  </si>
  <si>
    <t>7948065</t>
  </si>
  <si>
    <t>991005183629702656</t>
  </si>
  <si>
    <t>2270542780002656</t>
  </si>
  <si>
    <t>9780030596636</t>
  </si>
  <si>
    <t>32285000055904</t>
  </si>
  <si>
    <t>893625578</t>
  </si>
  <si>
    <t>DS559.8.J35 W47 1999</t>
  </si>
  <si>
    <t>0                      DS 0559800J  35                 W  47          1999</t>
  </si>
  <si>
    <t>From Pearl Harbor to Saigon : Japanese American soldiers and the Vietnam War / Toshio Whelchel.</t>
  </si>
  <si>
    <t>Whelchel, Toshio.</t>
  </si>
  <si>
    <t>London ; New York : Verso, 1999.</t>
  </si>
  <si>
    <t>The Haymarket series</t>
  </si>
  <si>
    <t>836942881:eng</t>
  </si>
  <si>
    <t>40954199</t>
  </si>
  <si>
    <t>991003479349702656</t>
  </si>
  <si>
    <t>2262970350002656</t>
  </si>
  <si>
    <t>9781859848593</t>
  </si>
  <si>
    <t>32285004295662</t>
  </si>
  <si>
    <t>893535476</t>
  </si>
  <si>
    <t>DS559.8.M44 B46 1984</t>
  </si>
  <si>
    <t>0                      DS 0559800M  44                 B  46          1984</t>
  </si>
  <si>
    <t>The CBS Benjamin report : CBS reports : "The uncounted enemy, a Vietnam deception" : an examination / by Burton Benjamin ; with an introduction by Robert Goralski.</t>
  </si>
  <si>
    <t>Benjamin, Burton.</t>
  </si>
  <si>
    <t>Washington, D.C. : Media Institute, c1984.</t>
  </si>
  <si>
    <t>1998-01-23</t>
  </si>
  <si>
    <t>3582107:eng</t>
  </si>
  <si>
    <t>10339895</t>
  </si>
  <si>
    <t>991000356849702656</t>
  </si>
  <si>
    <t>2264977130002656</t>
  </si>
  <si>
    <t>9780937790243</t>
  </si>
  <si>
    <t>32285000098847</t>
  </si>
  <si>
    <t>893607841</t>
  </si>
  <si>
    <t>DS559.8.M44 C66 2000</t>
  </si>
  <si>
    <t>0                      DS 0559800M  44                 C  66          2000</t>
  </si>
  <si>
    <t>Spies and commandos : how America lost the secret war in North Vietnam / Kenneth Conboy and Dale Andradé.</t>
  </si>
  <si>
    <t>Conboy, Kenneth J.</t>
  </si>
  <si>
    <t>Lawrence, KS : University Press of Kansas, c2000.</t>
  </si>
  <si>
    <t>2003-10-24</t>
  </si>
  <si>
    <t>369526095:eng</t>
  </si>
  <si>
    <t>42061137</t>
  </si>
  <si>
    <t>991003698929702656</t>
  </si>
  <si>
    <t>2263411870002656</t>
  </si>
  <si>
    <t>9780700610020</t>
  </si>
  <si>
    <t>32285004446307</t>
  </si>
  <si>
    <t>893240495</t>
  </si>
  <si>
    <t>DS559.8.M44 K68 1984</t>
  </si>
  <si>
    <t>0                      DS 0559800M  44                 K  68          1984</t>
  </si>
  <si>
    <t>A matter of honor / Don Kowet.</t>
  </si>
  <si>
    <t>Kowet, Don.</t>
  </si>
  <si>
    <t>New York : Macmillan ; London : Collier Macmillan, c1984.</t>
  </si>
  <si>
    <t>1996-04-09</t>
  </si>
  <si>
    <t>3300603:eng</t>
  </si>
  <si>
    <t>10429812</t>
  </si>
  <si>
    <t>991000370229702656</t>
  </si>
  <si>
    <t>2259331350002656</t>
  </si>
  <si>
    <t>9780025666009</t>
  </si>
  <si>
    <t>32285000337732</t>
  </si>
  <si>
    <t>893902973</t>
  </si>
  <si>
    <t>DS559.8.M5 F73 1993</t>
  </si>
  <si>
    <t>0                      DS 0559800M  5                  F  73          1993</t>
  </si>
  <si>
    <t>M.I.A., or, Mythmaking in America / H. Bruce Franklin.</t>
  </si>
  <si>
    <t>New Brunswick, N.J. : Rutgers University Press, 1993.</t>
  </si>
  <si>
    <t>Expanded and updated ed.</t>
  </si>
  <si>
    <t>2001-01-30</t>
  </si>
  <si>
    <t>1998-10-20</t>
  </si>
  <si>
    <t>25978546:eng</t>
  </si>
  <si>
    <t>28180915</t>
  </si>
  <si>
    <t>991002189299702656</t>
  </si>
  <si>
    <t>2271441840002656</t>
  </si>
  <si>
    <t>9780813520018</t>
  </si>
  <si>
    <t>32285003475190</t>
  </si>
  <si>
    <t>893316489</t>
  </si>
  <si>
    <t>DS559.8.P65 C45</t>
  </si>
  <si>
    <t>0                      DS 0559800P  65                 C  45</t>
  </si>
  <si>
    <t>War of ideas : the U.S. propaganda campaign in Vietnam / [by] Robert W. Chandler.</t>
  </si>
  <si>
    <t>Chandler, Robert W.</t>
  </si>
  <si>
    <t>Boulder, CO : Westview Press, 1981.</t>
  </si>
  <si>
    <t>WVSS in national defense and security</t>
  </si>
  <si>
    <t>2002-12-20</t>
  </si>
  <si>
    <t>292211315:eng</t>
  </si>
  <si>
    <t>6815970</t>
  </si>
  <si>
    <t>991005044579702656</t>
  </si>
  <si>
    <t>2265344180002656</t>
  </si>
  <si>
    <t>32285000098862</t>
  </si>
  <si>
    <t>893625374</t>
  </si>
  <si>
    <t>DS559.8.P7 C37 1984</t>
  </si>
  <si>
    <t>0                      DS 0559800P  7                  C  37          1984</t>
  </si>
  <si>
    <t>Casualties : death in Viet Nam, anguish and survival in America / [compiled by] Heather Brandon.</t>
  </si>
  <si>
    <t>New York : St. Martin's Press, c1984.</t>
  </si>
  <si>
    <t>2824443:eng</t>
  </si>
  <si>
    <t>10950299</t>
  </si>
  <si>
    <t>991000465039702656</t>
  </si>
  <si>
    <t>2260968210002656</t>
  </si>
  <si>
    <t>9780312123581</t>
  </si>
  <si>
    <t>32285000098854</t>
  </si>
  <si>
    <t>893444325</t>
  </si>
  <si>
    <t>DS559.8.S4 W47 1998</t>
  </si>
  <si>
    <t>0                      DS 0559800S  4                  W  47          1998</t>
  </si>
  <si>
    <t>The rescue of Bat 21 / Darrel D Whitcomb.</t>
  </si>
  <si>
    <t>Whitcomb, Darrel D., 1947-</t>
  </si>
  <si>
    <t>Annapolis, Md. : Naval Institute Press, 1998.</t>
  </si>
  <si>
    <t>2006-12-08</t>
  </si>
  <si>
    <t>667784:eng</t>
  </si>
  <si>
    <t>37935232</t>
  </si>
  <si>
    <t>991002878979702656</t>
  </si>
  <si>
    <t>2266314740002656</t>
  </si>
  <si>
    <t>9781557509468</t>
  </si>
  <si>
    <t>32285003614673</t>
  </si>
  <si>
    <t>893893114</t>
  </si>
  <si>
    <t>DS559.8.W6 M37 1988</t>
  </si>
  <si>
    <t>0                      DS 0559800W  6                  M  37          1988</t>
  </si>
  <si>
    <t>In the combat zone : vivid personal recollections of the Vietnam War from the women who served there / Kathryn Marshall.</t>
  </si>
  <si>
    <t>Marshall, Kathryn.</t>
  </si>
  <si>
    <t>New York, NY : Penguin Books, 1988, c1987.</t>
  </si>
  <si>
    <t>3943477346:eng</t>
  </si>
  <si>
    <t>16923159</t>
  </si>
  <si>
    <t>991001165829702656</t>
  </si>
  <si>
    <t>2269792180002656</t>
  </si>
  <si>
    <t>9780140108293</t>
  </si>
  <si>
    <t>32285000097427</t>
  </si>
  <si>
    <t>893614840</t>
  </si>
  <si>
    <t>DS559.8.W6 N67 1990</t>
  </si>
  <si>
    <t>0                      DS 0559800W  6                  N  67          1990</t>
  </si>
  <si>
    <t>Women at war : the story of fifty military nurses who served in Vietnam / Elizabeth M. Norman.</t>
  </si>
  <si>
    <t>Norman, Elizabeth M.</t>
  </si>
  <si>
    <t>Philadelphia : University of Pennsylvania Press, c1990.</t>
  </si>
  <si>
    <t>1990-11-27</t>
  </si>
  <si>
    <t>836885823:eng</t>
  </si>
  <si>
    <t>21332836</t>
  </si>
  <si>
    <t>991001676869702656</t>
  </si>
  <si>
    <t>2261059820002656</t>
  </si>
  <si>
    <t>9780812213171</t>
  </si>
  <si>
    <t>32285000357524</t>
  </si>
  <si>
    <t>893334488</t>
  </si>
  <si>
    <t>DS559.8.W6 S73 2000</t>
  </si>
  <si>
    <t>0                      DS 0559800W  6                  S  73          2000</t>
  </si>
  <si>
    <t>Women in Vietnam / Ron Steinman.</t>
  </si>
  <si>
    <t>Steinman, Ron, 1934-</t>
  </si>
  <si>
    <t>New York : TV Books, c2000.</t>
  </si>
  <si>
    <t>3943761061:eng</t>
  </si>
  <si>
    <t>44089161</t>
  </si>
  <si>
    <t>991003284399702656</t>
  </si>
  <si>
    <t>2263058870002656</t>
  </si>
  <si>
    <t>9781575001395</t>
  </si>
  <si>
    <t>32285004260047</t>
  </si>
  <si>
    <t>893330166</t>
  </si>
  <si>
    <t>DS559.83.W18 S37 1992</t>
  </si>
  <si>
    <t>0                      DS 0559830W  18                 S  37          1992</t>
  </si>
  <si>
    <t>The Wall that heals / by Jan Scruggs ; with editorial assistance from Kim Murphy.</t>
  </si>
  <si>
    <t>Scruggs, Jan C.</t>
  </si>
  <si>
    <t>[Washington, D.C.] : Vietnam Veterans Memorial Fund, c1992.</t>
  </si>
  <si>
    <t>2001-01-17</t>
  </si>
  <si>
    <t>1995-12-11</t>
  </si>
  <si>
    <t>28522856:eng</t>
  </si>
  <si>
    <t>25963756</t>
  </si>
  <si>
    <t>991002035969702656</t>
  </si>
  <si>
    <t>2259882610002656</t>
  </si>
  <si>
    <t>32285002110806</t>
  </si>
  <si>
    <t>893703599</t>
  </si>
  <si>
    <t>DS559.9.S24 B87 1985</t>
  </si>
  <si>
    <t>0                      DS 0559900S  24                 B  87          1985</t>
  </si>
  <si>
    <t>The fall of Saigon : scenes from the sudden end of a long war / David Butler.</t>
  </si>
  <si>
    <t>Butler, David, 1941-</t>
  </si>
  <si>
    <t>New York : Simon and Schuster, c1985.</t>
  </si>
  <si>
    <t>4607593:eng</t>
  </si>
  <si>
    <t>11783687</t>
  </si>
  <si>
    <t>991000589089702656</t>
  </si>
  <si>
    <t>2255307980002656</t>
  </si>
  <si>
    <t>9780671466756</t>
  </si>
  <si>
    <t>32285000150697</t>
  </si>
  <si>
    <t>893626369</t>
  </si>
  <si>
    <t>DS559.9.S24 T6313 1990</t>
  </si>
  <si>
    <t>0                      DS 0559900S  24                 T  6313        1990</t>
  </si>
  <si>
    <t>Cruel April : the fall of Saigon / by Olivier Todd ; translated from the French by Stephen Becker.</t>
  </si>
  <si>
    <t>Todd, Olivier.</t>
  </si>
  <si>
    <t>New York : Norton, c1990.</t>
  </si>
  <si>
    <t>1991-01-17</t>
  </si>
  <si>
    <t>356315773:eng</t>
  </si>
  <si>
    <t>20391025</t>
  </si>
  <si>
    <t>991001570639702656</t>
  </si>
  <si>
    <t>2270813850002656</t>
  </si>
  <si>
    <t>9780393027877</t>
  </si>
  <si>
    <t>32285000408616</t>
  </si>
  <si>
    <t>893522644</t>
  </si>
  <si>
    <t>DS559.9.T48 T78</t>
  </si>
  <si>
    <t>0                      DS 0559900T  48                 T  78</t>
  </si>
  <si>
    <t>Village at war : an account of revolution in Vietnam / James Walker Trullinger, Jr.</t>
  </si>
  <si>
    <t>Trullinger, James Walker.</t>
  </si>
  <si>
    <t>New York : Longman, c1980.</t>
  </si>
  <si>
    <t>2008-11-11</t>
  </si>
  <si>
    <t>890000959:eng</t>
  </si>
  <si>
    <t>5799016</t>
  </si>
  <si>
    <t>991004877579702656</t>
  </si>
  <si>
    <t>2269106620002656</t>
  </si>
  <si>
    <t>9780582281813</t>
  </si>
  <si>
    <t>32285000337757</t>
  </si>
  <si>
    <t>893807575</t>
  </si>
  <si>
    <t>DS559.912 .B67 1984</t>
  </si>
  <si>
    <t>0                      DS 0559912B  67          1984</t>
  </si>
  <si>
    <t>Sensing the enemy / Lady Borton.</t>
  </si>
  <si>
    <t>Borton, Lady.</t>
  </si>
  <si>
    <t>Garden City, N.Y. : Dial, 1984.</t>
  </si>
  <si>
    <t>1998-09-11</t>
  </si>
  <si>
    <t>43232180:eng</t>
  </si>
  <si>
    <t>9827889</t>
  </si>
  <si>
    <t>991000263959702656</t>
  </si>
  <si>
    <t>2269146190002656</t>
  </si>
  <si>
    <t>9780385277549</t>
  </si>
  <si>
    <t>32285000337765</t>
  </si>
  <si>
    <t>893595436</t>
  </si>
  <si>
    <t>DS559.912 .N37</t>
  </si>
  <si>
    <t>0                      DS 0559912N  37</t>
  </si>
  <si>
    <t>The will of heaven : a story of one Vietnamese and the end of his world / Nguyẽ̂n Ngọc Ngạn with E.E. Richey.</t>
  </si>
  <si>
    <t>Nguyễn, Ngọc Ngạn.</t>
  </si>
  <si>
    <t>New York : Dutton, c1982.</t>
  </si>
  <si>
    <t>1996-03-18</t>
  </si>
  <si>
    <t>18526081:eng</t>
  </si>
  <si>
    <t>7554852</t>
  </si>
  <si>
    <t>991005128039702656</t>
  </si>
  <si>
    <t>2264629170002656</t>
  </si>
  <si>
    <t>32285000337773</t>
  </si>
  <si>
    <t>893507654</t>
  </si>
  <si>
    <t>DS559.912 .S52 1986</t>
  </si>
  <si>
    <t>0                      DS 0559912S  52          1986</t>
  </si>
  <si>
    <t>Bitter victory / Robert Shaplen.</t>
  </si>
  <si>
    <t>Shaplen, Robert, 1917-1988.</t>
  </si>
  <si>
    <t>New York : Harper &amp; Row, c1986.</t>
  </si>
  <si>
    <t>3943342798:eng</t>
  </si>
  <si>
    <t>13113989</t>
  </si>
  <si>
    <t>991000782819702656</t>
  </si>
  <si>
    <t>2258115540002656</t>
  </si>
  <si>
    <t>9780060155865</t>
  </si>
  <si>
    <t>32285000337781</t>
  </si>
  <si>
    <t>893528385</t>
  </si>
  <si>
    <t>DS559.92.D56 A5</t>
  </si>
  <si>
    <t>0                      DS 0559920D  56                 A  5</t>
  </si>
  <si>
    <t>The village war : Vietnamese Communist revolutionary activities in Dinh Tuong province, 1960-1964 / William R. Andrews.</t>
  </si>
  <si>
    <t>Andrews, William R.</t>
  </si>
  <si>
    <t>Columbia : University of Missouri Press, 1973.</t>
  </si>
  <si>
    <t>234523045:eng</t>
  </si>
  <si>
    <t>859990</t>
  </si>
  <si>
    <t>991003329619702656</t>
  </si>
  <si>
    <t>2270109800002656</t>
  </si>
  <si>
    <t>9780826201508</t>
  </si>
  <si>
    <t>32285002460003</t>
  </si>
  <si>
    <t>893348568</t>
  </si>
  <si>
    <t>DS559.93.H36 L64 2000</t>
  </si>
  <si>
    <t>0                      DS 0559930H  36                 L  64          2000</t>
  </si>
  <si>
    <t>Hanoi, biography of a city / William S. Logan.</t>
  </si>
  <si>
    <t>Logan, William Stewart, 1942-</t>
  </si>
  <si>
    <t>Seattle, WA : University of Washington Press, 2000.</t>
  </si>
  <si>
    <t>35773306:eng</t>
  </si>
  <si>
    <t>44634410</t>
  </si>
  <si>
    <t>991003787189702656</t>
  </si>
  <si>
    <t>2257259350002656</t>
  </si>
  <si>
    <t>9780295980140</t>
  </si>
  <si>
    <t>32285004481387</t>
  </si>
  <si>
    <t>893429224</t>
  </si>
  <si>
    <t>DS559.93.H36 S23 2000</t>
  </si>
  <si>
    <t>0                      DS 0559930H  36                 S  23          2000</t>
  </si>
  <si>
    <t>The house on Dream Street : memoir of an American woman in Vietnam / by Dana Sachs.</t>
  </si>
  <si>
    <t>Sachs, Dana.</t>
  </si>
  <si>
    <t>Chapel Hill, NC : Algonquin Books of Chapel Hill, 2000.</t>
  </si>
  <si>
    <t>55248:eng</t>
  </si>
  <si>
    <t>44313450</t>
  </si>
  <si>
    <t>991005120109702656</t>
  </si>
  <si>
    <t>2257068720002656</t>
  </si>
  <si>
    <t>9781565122918</t>
  </si>
  <si>
    <t>32285005326201</t>
  </si>
  <si>
    <t>893719802</t>
  </si>
  <si>
    <t>DS559.93.S66 L86 1992</t>
  </si>
  <si>
    <t>0                      DS 0559930S  66                 L  86          1992</t>
  </si>
  <si>
    <t>Revolution in the village : tradition and transformation in North Vietnam, 1925-1988 / Hy V. Luong with the collaboration of Nguyen Dac Bang.</t>
  </si>
  <si>
    <t>Luong, Hy V.</t>
  </si>
  <si>
    <t>Honolulu : University of Hawaii Press, 1992.</t>
  </si>
  <si>
    <t>797128415:eng</t>
  </si>
  <si>
    <t>24908392</t>
  </si>
  <si>
    <t>991001965179702656</t>
  </si>
  <si>
    <t>2267012410002656</t>
  </si>
  <si>
    <t>9780824813826</t>
  </si>
  <si>
    <t>32285001129039</t>
  </si>
  <si>
    <t>893322404</t>
  </si>
  <si>
    <t>DS56 .A735 2005</t>
  </si>
  <si>
    <t>0                      DS 0056000A  735         2005</t>
  </si>
  <si>
    <t>Archaeologies of the Middle East : critical perspectives / edited by Susan Pollock and Reinhard Bernbeck.</t>
  </si>
  <si>
    <t>Blackwell studies in global archaeology</t>
  </si>
  <si>
    <t>801559656:eng</t>
  </si>
  <si>
    <t>54989224</t>
  </si>
  <si>
    <t>991004716259702656</t>
  </si>
  <si>
    <t>2264322790002656</t>
  </si>
  <si>
    <t>9780631230007</t>
  </si>
  <si>
    <t>32285005164602</t>
  </si>
  <si>
    <t>893507149</t>
  </si>
  <si>
    <t>DS56 .B87</t>
  </si>
  <si>
    <t>0                      DS 0056000B  87</t>
  </si>
  <si>
    <t>The ancient Near East / Charles Burney.</t>
  </si>
  <si>
    <t>Burney, Charles, 1930-</t>
  </si>
  <si>
    <t>Ithaca, N.Y. : Cornell University Press, 1977.</t>
  </si>
  <si>
    <t>1999-10-19</t>
  </si>
  <si>
    <t>1993-12-01</t>
  </si>
  <si>
    <t>9715354:eng</t>
  </si>
  <si>
    <t>3297125</t>
  </si>
  <si>
    <t>991004400669702656</t>
  </si>
  <si>
    <t>2259179920002656</t>
  </si>
  <si>
    <t>9780801410802</t>
  </si>
  <si>
    <t>32285001805398</t>
  </si>
  <si>
    <t>893417577</t>
  </si>
  <si>
    <t>DS56 .B88</t>
  </si>
  <si>
    <t>0                      DS 0056000B  88</t>
  </si>
  <si>
    <t>From village to empire : an introduction to Near Eastern archaeology / Charles Burney.</t>
  </si>
  <si>
    <t>Oxford : Phaidon, 1977.</t>
  </si>
  <si>
    <t>889401048:eng</t>
  </si>
  <si>
    <t>3623826</t>
  </si>
  <si>
    <t>991004479449702656</t>
  </si>
  <si>
    <t>2270956830002656</t>
  </si>
  <si>
    <t>9780714817309</t>
  </si>
  <si>
    <t>32285000291764</t>
  </si>
  <si>
    <t>893235546</t>
  </si>
  <si>
    <t>DS56 .L44 1998</t>
  </si>
  <si>
    <t>0                      DS 0056000L  44          1998</t>
  </si>
  <si>
    <t>The legacy of Mesopotamia / by Stephanie Dalley ... [et al.] ; with drawings by Stephanie Dalley and Marion Cox ; edited by Stephanie Dalley.</t>
  </si>
  <si>
    <t>Oxford ; New York : Oxford University Press, 1998.</t>
  </si>
  <si>
    <t>2008-04-29</t>
  </si>
  <si>
    <t>1999-01-14</t>
  </si>
  <si>
    <t>598227:eng</t>
  </si>
  <si>
    <t>36640774</t>
  </si>
  <si>
    <t>991002789379702656</t>
  </si>
  <si>
    <t>2267471520002656</t>
  </si>
  <si>
    <t>9780198149460</t>
  </si>
  <si>
    <t>32285003512513</t>
  </si>
  <si>
    <t>893786553</t>
  </si>
  <si>
    <t>DS56 .L56</t>
  </si>
  <si>
    <t>0                      DS 0056000L  56</t>
  </si>
  <si>
    <t>Mounds of the Near East.</t>
  </si>
  <si>
    <t>Lloyd, Seton.</t>
  </si>
  <si>
    <t>[Edinburgh] : Edinburgh University Press, [c1963]</t>
  </si>
  <si>
    <t>The Rhind lectures, 1961-1962</t>
  </si>
  <si>
    <t>1687611:eng</t>
  </si>
  <si>
    <t>620811</t>
  </si>
  <si>
    <t>991003064139702656</t>
  </si>
  <si>
    <t>2255436220002656</t>
  </si>
  <si>
    <t>32285000933084</t>
  </si>
  <si>
    <t>893422134</t>
  </si>
  <si>
    <t>DS56 .N4</t>
  </si>
  <si>
    <t>0                      DS 0056000N  4</t>
  </si>
  <si>
    <t>Near Eastern archaeology in the twentieth century : essays in honor of Nelson Glueck / edited by James A. Sanders.</t>
  </si>
  <si>
    <t>Garden City, N.Y. : Doubleday, 1970.</t>
  </si>
  <si>
    <t>2009-09-23</t>
  </si>
  <si>
    <t>1992-01-20</t>
  </si>
  <si>
    <t>568274727:eng</t>
  </si>
  <si>
    <t>90693</t>
  </si>
  <si>
    <t>991000542299702656</t>
  </si>
  <si>
    <t>2266346980002656</t>
  </si>
  <si>
    <t>32285000915834</t>
  </si>
  <si>
    <t>893702215</t>
  </si>
  <si>
    <t>DS565 .B13 1881</t>
  </si>
  <si>
    <t>0                      DS 0565000B  13          1881</t>
  </si>
  <si>
    <t>Siam, the land of the white elephant, as it was and is. Compiled and arranged by George B. Bacon.</t>
  </si>
  <si>
    <t>Bacon, George B. (George Blagden), 1836-1876.</t>
  </si>
  <si>
    <t>New York, Charles Scribner's Sons, 1881.</t>
  </si>
  <si>
    <t>1881</t>
  </si>
  <si>
    <t>Illustrated library of travel</t>
  </si>
  <si>
    <t>2005-01-17</t>
  </si>
  <si>
    <t>2499004:eng</t>
  </si>
  <si>
    <t>2939290</t>
  </si>
  <si>
    <t>991004289639702656</t>
  </si>
  <si>
    <t>2261376870002656</t>
  </si>
  <si>
    <t>32285002273455</t>
  </si>
  <si>
    <t>893901064</t>
  </si>
  <si>
    <t>DS566 .P4 1976</t>
  </si>
  <si>
    <t>0                      DS 0566000P  4           1976</t>
  </si>
  <si>
    <t>Thailand : aspects of landscape and life / by Robert L. Pendleton, with the assistance of Robert C. Kingsbury and others.</t>
  </si>
  <si>
    <t>Pendleton, Robert Larimore, 1890-1957.</t>
  </si>
  <si>
    <t>Westport, Conn. : Greenwood Press, 1976, c1962.</t>
  </si>
  <si>
    <t>2000-03-01</t>
  </si>
  <si>
    <t>1991-03-08</t>
  </si>
  <si>
    <t>1709411:eng</t>
  </si>
  <si>
    <t>2387757</t>
  </si>
  <si>
    <t>991004107019702656</t>
  </si>
  <si>
    <t>2258681420002656</t>
  </si>
  <si>
    <t>9780837184104</t>
  </si>
  <si>
    <t>32285000545599</t>
  </si>
  <si>
    <t>893712165</t>
  </si>
  <si>
    <t>DS57 .A4131</t>
  </si>
  <si>
    <t>0                      DS 0057000A  4131</t>
  </si>
  <si>
    <t>Anatolia I [by] Bahabir Alkim. Translated from the French by James Hogarth.</t>
  </si>
  <si>
    <t>Alkım, U. Bahadır, -1981.</t>
  </si>
  <si>
    <t>Geneva [etc] Nagel Publishers [1970]</t>
  </si>
  <si>
    <t>Archaeologia Mvndi</t>
  </si>
  <si>
    <t>2008-07-09</t>
  </si>
  <si>
    <t>5612012131:eng</t>
  </si>
  <si>
    <t>32011157</t>
  </si>
  <si>
    <t>991002453909702656</t>
  </si>
  <si>
    <t>2258554110002656</t>
  </si>
  <si>
    <t>32285002469020</t>
  </si>
  <si>
    <t>893530014</t>
  </si>
  <si>
    <t>32285002469038</t>
  </si>
  <si>
    <t>893523636</t>
  </si>
  <si>
    <t>DS57 .B34 1983</t>
  </si>
  <si>
    <t>0                      DS 0057000B  34          1983</t>
  </si>
  <si>
    <t>Peoples and cultures of the Middle East / Daniel G. Bates, Amal Rassam.</t>
  </si>
  <si>
    <t>Bates, Daniel G.</t>
  </si>
  <si>
    <t>Englewood Cliffs, NJ : Prentice-Hall, c1983.</t>
  </si>
  <si>
    <t>2006-10-01</t>
  </si>
  <si>
    <t>2000-07-26</t>
  </si>
  <si>
    <t>33305911:eng</t>
  </si>
  <si>
    <t>8952723</t>
  </si>
  <si>
    <t>991003222479702656</t>
  </si>
  <si>
    <t>2271971900002656</t>
  </si>
  <si>
    <t>9780136567936</t>
  </si>
  <si>
    <t>32285003687893</t>
  </si>
  <si>
    <t>893348451</t>
  </si>
  <si>
    <t>DS57 .B6813 2000</t>
  </si>
  <si>
    <t>0                      DS 0057000B  6813        2000</t>
  </si>
  <si>
    <t>Ancestor of the West : writing, reasoning, and religion in Mesopotamia, Elam, and Greece / Jean Bottéro, Clarisse Herrenschmidt and Jean-Pierre Vernant ; with a foreword by François Zabbal ; translated by Teresa Lavender Fagan.</t>
  </si>
  <si>
    <t>Bottéro, Jean.</t>
  </si>
  <si>
    <t>Chicago : University of Chicago Press, c2000.</t>
  </si>
  <si>
    <t>2003-10-09</t>
  </si>
  <si>
    <t>3901377125:eng</t>
  </si>
  <si>
    <t>41049566</t>
  </si>
  <si>
    <t>991004108279702656</t>
  </si>
  <si>
    <t>2259314150002656</t>
  </si>
  <si>
    <t>9780226067155</t>
  </si>
  <si>
    <t>32285004787833</t>
  </si>
  <si>
    <t>893627985</t>
  </si>
  <si>
    <t>DS57 .C56 2005</t>
  </si>
  <si>
    <t>0                      DS 0057000C  56          2005</t>
  </si>
  <si>
    <t>A companion to the ancient Near East / edited by Daniel C. Snell.</t>
  </si>
  <si>
    <t>Blackwell companions to the ancient world. Ancient history</t>
  </si>
  <si>
    <t>2006-07-12</t>
  </si>
  <si>
    <t>766933285:eng</t>
  </si>
  <si>
    <t>55616343</t>
  </si>
  <si>
    <t>991004861099702656</t>
  </si>
  <si>
    <t>2258627650002656</t>
  </si>
  <si>
    <t>9780631232933</t>
  </si>
  <si>
    <t>32285005194286</t>
  </si>
  <si>
    <t>893338213</t>
  </si>
  <si>
    <t>DS57 .D68 1988</t>
  </si>
  <si>
    <t>0                      DS 0057000D  68          1988</t>
  </si>
  <si>
    <t>Mesopotamian religious architecture : Alexander through the Parthians / Susan B. Downey.</t>
  </si>
  <si>
    <t>Downey, Susan B., 1938-</t>
  </si>
  <si>
    <t>Princeton, N.J. : Princeton University Press, c1988.</t>
  </si>
  <si>
    <t>1990-09-14</t>
  </si>
  <si>
    <t>836627903:eng</t>
  </si>
  <si>
    <t>15860345</t>
  </si>
  <si>
    <t>991001070119702656</t>
  </si>
  <si>
    <t>2258965970002656</t>
  </si>
  <si>
    <t>9780691035895</t>
  </si>
  <si>
    <t>32285000291814</t>
  </si>
  <si>
    <t>893327850</t>
  </si>
  <si>
    <t>DS57 .H388 1987</t>
  </si>
  <si>
    <t>0                      DS 0057000H  388         1987</t>
  </si>
  <si>
    <t>Hellenism in the East : the interaction of Greek and non-Greek civilizations from Syria to Central Asia after Alexander / edited by Amélie Kuhrt and Susan Sherwin-White.</t>
  </si>
  <si>
    <t>Berkeley : University of California Press, 1987.</t>
  </si>
  <si>
    <t>2010-10-14</t>
  </si>
  <si>
    <t>836726438:eng</t>
  </si>
  <si>
    <t>15197178</t>
  </si>
  <si>
    <t>991001000219702656</t>
  </si>
  <si>
    <t>2259944560002656</t>
  </si>
  <si>
    <t>9780520060548</t>
  </si>
  <si>
    <t>32285000291830</t>
  </si>
  <si>
    <t>893884950</t>
  </si>
  <si>
    <t>DS57 .P3 1967</t>
  </si>
  <si>
    <t>0                      DS 0057000P  3           1967</t>
  </si>
  <si>
    <t>Golden River to Golden Road; society, culture, and change in the Middle East.</t>
  </si>
  <si>
    <t>Philadelphia, University of Pennsylvania Press [1967]</t>
  </si>
  <si>
    <t>2004-11-09</t>
  </si>
  <si>
    <t>257254581:eng</t>
  </si>
  <si>
    <t>2581628</t>
  </si>
  <si>
    <t>991004171249702656</t>
  </si>
  <si>
    <t>2260014600002656</t>
  </si>
  <si>
    <t>32285002469053</t>
  </si>
  <si>
    <t>893882135</t>
  </si>
  <si>
    <t>DS57 .P44</t>
  </si>
  <si>
    <t>0                      DS 0057000P  44</t>
  </si>
  <si>
    <t>Peoples of Old Testament times, edited by D. J. Wiseman for the Society for Old Testament Study.</t>
  </si>
  <si>
    <t>351514047:eng</t>
  </si>
  <si>
    <t>781474</t>
  </si>
  <si>
    <t>991003277759702656</t>
  </si>
  <si>
    <t>2267533460002656</t>
  </si>
  <si>
    <t>9780198263166</t>
  </si>
  <si>
    <t>32285000291855</t>
  </si>
  <si>
    <t>893617182</t>
  </si>
  <si>
    <t>DS57 .P46</t>
  </si>
  <si>
    <t>0                      DS 0057000P  46</t>
  </si>
  <si>
    <t>The harvest of Hellenism; a history of the Near East from Alexander the Great to the triumph of Christianity [by] F. E. Peters.</t>
  </si>
  <si>
    <t>Peters, F. E. (Francis E.)</t>
  </si>
  <si>
    <t>New York, Simon and Schuster [1971, c1970]</t>
  </si>
  <si>
    <t>1325233:eng</t>
  </si>
  <si>
    <t>146156</t>
  </si>
  <si>
    <t>991000823959702656</t>
  </si>
  <si>
    <t>2256229340002656</t>
  </si>
  <si>
    <t>9780671206581</t>
  </si>
  <si>
    <t>32285002469061</t>
  </si>
  <si>
    <t>893509143</t>
  </si>
  <si>
    <t>DS57 .P67 1997</t>
  </si>
  <si>
    <t>0                      DS 0057000P  67          1997</t>
  </si>
  <si>
    <t>Mesopotamian civilization : the material foundations / D.T. Potts.</t>
  </si>
  <si>
    <t>Potts, Daniel T.</t>
  </si>
  <si>
    <t>Ithaca, N.Y. : Cornell University Press, 1997.</t>
  </si>
  <si>
    <t>2003-02-21</t>
  </si>
  <si>
    <t>1998-04-13</t>
  </si>
  <si>
    <t>837073437:eng</t>
  </si>
  <si>
    <t>35262365</t>
  </si>
  <si>
    <t>991002700579702656</t>
  </si>
  <si>
    <t>2264306620002656</t>
  </si>
  <si>
    <t>9780801433399</t>
  </si>
  <si>
    <t>32285003384723</t>
  </si>
  <si>
    <t>893773932</t>
  </si>
  <si>
    <t>DS57 .R4</t>
  </si>
  <si>
    <t>0                      DS 0057000R  4</t>
  </si>
  <si>
    <t>The rise of civilization : from early farmers to urban society in the ancient Near East / Charles L. Redman.</t>
  </si>
  <si>
    <t>Redman, Charles L.</t>
  </si>
  <si>
    <t>San Francisco : W. H. Freeman, c1978.</t>
  </si>
  <si>
    <t>12280352:eng</t>
  </si>
  <si>
    <t>3649928</t>
  </si>
  <si>
    <t>991004487719702656</t>
  </si>
  <si>
    <t>2255897520002656</t>
  </si>
  <si>
    <t>9780716700562</t>
  </si>
  <si>
    <t>32285000291863</t>
  </si>
  <si>
    <t>893241499</t>
  </si>
  <si>
    <t>DS57 .S286 2008</t>
  </si>
  <si>
    <t>0                      DS 0057000S  286         2008</t>
  </si>
  <si>
    <t>Culture and conflict in the Middle East / Philip Carl Salzman.</t>
  </si>
  <si>
    <t>Salzman, Philip Carl.</t>
  </si>
  <si>
    <t>Amherst, N.Y. : Humanity Books, 2008.</t>
  </si>
  <si>
    <t>2010-02-03</t>
  </si>
  <si>
    <t>117007045:eng</t>
  </si>
  <si>
    <t>182552907</t>
  </si>
  <si>
    <t>991005358439702656</t>
  </si>
  <si>
    <t>2269829470002656</t>
  </si>
  <si>
    <t>9781591025870</t>
  </si>
  <si>
    <t>32285005571509</t>
  </si>
  <si>
    <t>893796036</t>
  </si>
  <si>
    <t>DS570.98 .S78 1978</t>
  </si>
  <si>
    <t>0                      DS 0570980S  78          1978</t>
  </si>
  <si>
    <t>The study of Thailand : analyses of knowledge, approaches and prospects in anthropology, art history, economics, history, and political science / edited by Eliezer B. Ayal.</t>
  </si>
  <si>
    <t>Athens : Ohio University Center for International Studies, Southeast Asia Program, 1978.</t>
  </si>
  <si>
    <t>Southeast Asia series ; no. 54</t>
  </si>
  <si>
    <t>2000-01-28</t>
  </si>
  <si>
    <t>896931166:eng</t>
  </si>
  <si>
    <t>4776394</t>
  </si>
  <si>
    <t>991004716489702656</t>
  </si>
  <si>
    <t>2256565500002656</t>
  </si>
  <si>
    <t>9780896800793</t>
  </si>
  <si>
    <t>32285000337807</t>
  </si>
  <si>
    <t>893500881</t>
  </si>
  <si>
    <t>DS570.C5 C6 1976</t>
  </si>
  <si>
    <t>0                      DS 0570000C  5                  C  6           1976</t>
  </si>
  <si>
    <t>Double identity : the Chinese in modern Thailand / by Richard J. Coughlin.</t>
  </si>
  <si>
    <t>Coughlin, Richard J.</t>
  </si>
  <si>
    <t>Westport, Conn. : Greenwood Press, 1976, c1960.</t>
  </si>
  <si>
    <t>1340613:eng</t>
  </si>
  <si>
    <t>2439545</t>
  </si>
  <si>
    <t>991004124639702656</t>
  </si>
  <si>
    <t>2262174850002656</t>
  </si>
  <si>
    <t>9780837192925</t>
  </si>
  <si>
    <t>32285002445012</t>
  </si>
  <si>
    <t>893775647</t>
  </si>
  <si>
    <t>DS570.M3 F7</t>
  </si>
  <si>
    <t>0                      DS 0570000M  3                  F  7</t>
  </si>
  <si>
    <t>Fishermen of South Thailand : the Malay villagers / by Thomas M. Fraser, Jr.</t>
  </si>
  <si>
    <t>Fraser, Thomas M.</t>
  </si>
  <si>
    <t>New York : Holt, Rinehart and Winston, [1966]</t>
  </si>
  <si>
    <t>1994-11-06</t>
  </si>
  <si>
    <t>1459082:eng</t>
  </si>
  <si>
    <t>411684</t>
  </si>
  <si>
    <t>991002717399702656</t>
  </si>
  <si>
    <t>2264990300002656</t>
  </si>
  <si>
    <t>32285001346658</t>
  </si>
  <si>
    <t>893445318</t>
  </si>
  <si>
    <t>DS570.M5 G4</t>
  </si>
  <si>
    <t>0                      DS 0570000M  5                  G  4</t>
  </si>
  <si>
    <t>Migrants of the mountains : the cultural ecology of the Blue Miao (Hmong Njua) of Thailand / by William Robert Geddes.</t>
  </si>
  <si>
    <t>Geddes, W. R. (William Robert)</t>
  </si>
  <si>
    <t>292337970:eng</t>
  </si>
  <si>
    <t>2094754</t>
  </si>
  <si>
    <t>991004012499702656</t>
  </si>
  <si>
    <t>2268284860002656</t>
  </si>
  <si>
    <t>9780198231875</t>
  </si>
  <si>
    <t>32285001346641</t>
  </si>
  <si>
    <t>893875584</t>
  </si>
  <si>
    <t>DS570.V5 P6 1970</t>
  </si>
  <si>
    <t>0                      DS 0570000V  5                  P  6           1970</t>
  </si>
  <si>
    <t>The Vietnamese in Thailand; a historical perspective [by] Peter A. Poole.</t>
  </si>
  <si>
    <t>Poole, Peter A.</t>
  </si>
  <si>
    <t>Ithaca [N.Y.] Cornell University Press [1970]</t>
  </si>
  <si>
    <t>293175378:eng</t>
  </si>
  <si>
    <t>87866</t>
  </si>
  <si>
    <t>991000520189702656</t>
  </si>
  <si>
    <t>2270799900002656</t>
  </si>
  <si>
    <t>9780801405716</t>
  </si>
  <si>
    <t>32285002445038</t>
  </si>
  <si>
    <t>893784292</t>
  </si>
  <si>
    <t>DS571 .W92 2003</t>
  </si>
  <si>
    <t>0                      DS 0571000W  92          2003</t>
  </si>
  <si>
    <t>Thailand : a short history / David K. Wyatt.</t>
  </si>
  <si>
    <t>Wyatt, David K.</t>
  </si>
  <si>
    <t>2006-02-27</t>
  </si>
  <si>
    <t>389454965:eng</t>
  </si>
  <si>
    <t>53392823</t>
  </si>
  <si>
    <t>991004251409702656</t>
  </si>
  <si>
    <t>2262611820002656</t>
  </si>
  <si>
    <t>9780300084757</t>
  </si>
  <si>
    <t>32285004897749</t>
  </si>
  <si>
    <t>893247351</t>
  </si>
  <si>
    <t>DS577 .W4513</t>
  </si>
  <si>
    <t>0                      DS 0577000W  4513</t>
  </si>
  <si>
    <t>The restoration of Thailand under Rama I, 1782-1809. Translated from the German by Greeley Stahl.</t>
  </si>
  <si>
    <t>Wenk, Klaus.</t>
  </si>
  <si>
    <t>Tucson, Published for the Association for Asian Studies by the University of Arizona Press [1968]</t>
  </si>
  <si>
    <t>Association for Asian Studies. Monographs and papers, no. 24</t>
  </si>
  <si>
    <t>1264893:eng</t>
  </si>
  <si>
    <t>160452</t>
  </si>
  <si>
    <t>991000915219702656</t>
  </si>
  <si>
    <t>2267207530002656</t>
  </si>
  <si>
    <t>32285002445046</t>
  </si>
  <si>
    <t>893509222</t>
  </si>
  <si>
    <t>DS578 .N8</t>
  </si>
  <si>
    <t>0                      DS 0578000N  8</t>
  </si>
  <si>
    <t>Thailand and the struggle for Southeast Asia, by Donald E. Nuechterlein.</t>
  </si>
  <si>
    <t>Nuechterlein, Donald E., 1925-</t>
  </si>
  <si>
    <t>2005-04-27</t>
  </si>
  <si>
    <t>1328952:eng</t>
  </si>
  <si>
    <t>183415</t>
  </si>
  <si>
    <t>991001098399702656</t>
  </si>
  <si>
    <t>2267551970002656</t>
  </si>
  <si>
    <t>32285002445053</t>
  </si>
  <si>
    <t>893496814</t>
  </si>
  <si>
    <t>DS58 .N57 1991</t>
  </si>
  <si>
    <t>0                      DS 0058000N  57          1991</t>
  </si>
  <si>
    <t>Minorities in the Middle East : a history of struggle and self-expression / by Mordechai Nisan.</t>
  </si>
  <si>
    <t>Nisan, Mordechai.</t>
  </si>
  <si>
    <t>Jefferson, N.C. : McFarland, 1991.</t>
  </si>
  <si>
    <t>2009-11-02</t>
  </si>
  <si>
    <t>1991-12-02</t>
  </si>
  <si>
    <t>1050662:eng</t>
  </si>
  <si>
    <t>23287820</t>
  </si>
  <si>
    <t>991001857039702656</t>
  </si>
  <si>
    <t>2271966880002656</t>
  </si>
  <si>
    <t>9780899505640</t>
  </si>
  <si>
    <t>32285000818350</t>
  </si>
  <si>
    <t>893510009</t>
  </si>
  <si>
    <t>DS586 .L6</t>
  </si>
  <si>
    <t>0                      DS 0586000L  6</t>
  </si>
  <si>
    <t>Thailand : the war that is, the war that will be / [by] Louis E. Lomax.</t>
  </si>
  <si>
    <t>Lomax, Louis E., 1922-1970.</t>
  </si>
  <si>
    <t>New York : Random House, [1967]</t>
  </si>
  <si>
    <t>2719803:eng</t>
  </si>
  <si>
    <t>1973717</t>
  </si>
  <si>
    <t>991003958559702656</t>
  </si>
  <si>
    <t>2266034730002656</t>
  </si>
  <si>
    <t>32285001346625</t>
  </si>
  <si>
    <t>893525472</t>
  </si>
  <si>
    <t>DS59.K86 E58 1992</t>
  </si>
  <si>
    <t>0                      DS 0059000K  86                 E  58          1992</t>
  </si>
  <si>
    <t>Kurdish ethnonationalism / Nader Entessar.</t>
  </si>
  <si>
    <t>Entessar, Nader.</t>
  </si>
  <si>
    <t>Boulder : Lynn Rienner Publishers, 1992.</t>
  </si>
  <si>
    <t>1992-10-19</t>
  </si>
  <si>
    <t>28404058:eng</t>
  </si>
  <si>
    <t>25246709</t>
  </si>
  <si>
    <t>991001987769702656</t>
  </si>
  <si>
    <t>2256212150002656</t>
  </si>
  <si>
    <t>9781555872502</t>
  </si>
  <si>
    <t>32285001318491</t>
  </si>
  <si>
    <t>893346972</t>
  </si>
  <si>
    <t>DS59.K86 H68 2001</t>
  </si>
  <si>
    <t>0                      DS 0059000K  86                 H  68          2001</t>
  </si>
  <si>
    <t>Islam, Kurds and the Turkish nation state / Christopher Houston.</t>
  </si>
  <si>
    <t>Houston, Christopher.</t>
  </si>
  <si>
    <t>Oxford ; New York : Berg, 2001.</t>
  </si>
  <si>
    <t>2001-10-31</t>
  </si>
  <si>
    <t>9581103:eng</t>
  </si>
  <si>
    <t>46504968</t>
  </si>
  <si>
    <t>991003647929702656</t>
  </si>
  <si>
    <t>2266355520002656</t>
  </si>
  <si>
    <t>9781859734728</t>
  </si>
  <si>
    <t>32285004417415</t>
  </si>
  <si>
    <t>893887705</t>
  </si>
  <si>
    <t>DS59.K86 K865 2006</t>
  </si>
  <si>
    <t>0                      DS 0059000K  86                 K  865         2006</t>
  </si>
  <si>
    <t>The Kurds : nationalism and politics / edited by Faleh A. Jabar and Hosham Dawod.</t>
  </si>
  <si>
    <t>London : Saqi, c2006.</t>
  </si>
  <si>
    <t>891514615:eng</t>
  </si>
  <si>
    <t>67374962</t>
  </si>
  <si>
    <t>991005115549702656</t>
  </si>
  <si>
    <t>2269906390002656</t>
  </si>
  <si>
    <t>9780863568251</t>
  </si>
  <si>
    <t>32285005329601</t>
  </si>
  <si>
    <t>893688612</t>
  </si>
  <si>
    <t>DS59.K86 N38 2005</t>
  </si>
  <si>
    <t>0                      DS 0059000K  86                 N  38          2005</t>
  </si>
  <si>
    <t>The Kurds and the state : evolving national identity in Iraq, Turkey, and Iran / Denise Natali.</t>
  </si>
  <si>
    <t>Natali, Denise.</t>
  </si>
  <si>
    <t>Syracuse, N.Y. : Syracuse University Press, 2005.</t>
  </si>
  <si>
    <t>Modern intellectual and political history of the Middle East</t>
  </si>
  <si>
    <t>31043:eng</t>
  </si>
  <si>
    <t>60856153</t>
  </si>
  <si>
    <t>991004802889702656</t>
  </si>
  <si>
    <t>2269487200002656</t>
  </si>
  <si>
    <t>9780815630845</t>
  </si>
  <si>
    <t>32285005187298</t>
  </si>
  <si>
    <t>893254114</t>
  </si>
  <si>
    <t>DS59.K86 O47 2005</t>
  </si>
  <si>
    <t>0                      DS 0059000K  86                 O  47          2005</t>
  </si>
  <si>
    <t>The goat and the butcher : nationalism and state formation in Kurdistan-Iraq since the Iraqi war / Robert Olson.</t>
  </si>
  <si>
    <t>Olson, Robert W.</t>
  </si>
  <si>
    <t>Costa Mesa, Calif. : Mazda Publishers, 2005.</t>
  </si>
  <si>
    <t>Kurdish studies series ; no. 6</t>
  </si>
  <si>
    <t>2008-01-07</t>
  </si>
  <si>
    <t>2547:eng</t>
  </si>
  <si>
    <t>60589236</t>
  </si>
  <si>
    <t>991005155319702656</t>
  </si>
  <si>
    <t>2262595770002656</t>
  </si>
  <si>
    <t>9781568591865</t>
  </si>
  <si>
    <t>32285005374474</t>
  </si>
  <si>
    <t>893514135</t>
  </si>
  <si>
    <t>DS591.5 .W47 1993</t>
  </si>
  <si>
    <t>0                      DS 0591500W  47          1993</t>
  </si>
  <si>
    <t>West Malaysia and Singapore / edited by Wendy Moore.</t>
  </si>
  <si>
    <t>Lincolnwood, Ill. : Passport Books, c1993.</t>
  </si>
  <si>
    <t>Passport's regional guides of Malaysia</t>
  </si>
  <si>
    <t>1996-03-13</t>
  </si>
  <si>
    <t>1993-10-26</t>
  </si>
  <si>
    <t>55730963:eng</t>
  </si>
  <si>
    <t>28601231</t>
  </si>
  <si>
    <t>991002221119702656</t>
  </si>
  <si>
    <t>2266584190002656</t>
  </si>
  <si>
    <t>9780844298917</t>
  </si>
  <si>
    <t>32285001788248</t>
  </si>
  <si>
    <t>893597166</t>
  </si>
  <si>
    <t>DS592 .G6</t>
  </si>
  <si>
    <t>0                      DS 0592000G  6</t>
  </si>
  <si>
    <t>The United States and Malaysia [by] James W. Gould.</t>
  </si>
  <si>
    <t>Gould, James Warren.</t>
  </si>
  <si>
    <t>Cambridge, Mass., Harvard University Press, 1969.</t>
  </si>
  <si>
    <t>2004-07-07</t>
  </si>
  <si>
    <t>111745324:eng</t>
  </si>
  <si>
    <t>44871</t>
  </si>
  <si>
    <t>991000101789702656</t>
  </si>
  <si>
    <t>2261400250002656</t>
  </si>
  <si>
    <t>9780674926158</t>
  </si>
  <si>
    <t>32285002445103</t>
  </si>
  <si>
    <t>893783966</t>
  </si>
  <si>
    <t>DS592 .S65</t>
  </si>
  <si>
    <t>0                      DS 0592000S  65</t>
  </si>
  <si>
    <t>Malaysia / by T. E. Smith and John Bastin.</t>
  </si>
  <si>
    <t>Smith, T. E. (Thomas Edward), 1916-</t>
  </si>
  <si>
    <t>The Modern world, 12</t>
  </si>
  <si>
    <t>1992-04-11</t>
  </si>
  <si>
    <t>4161946867:eng</t>
  </si>
  <si>
    <t>458349</t>
  </si>
  <si>
    <t>991002815379702656</t>
  </si>
  <si>
    <t>2265958810002656</t>
  </si>
  <si>
    <t>32285001057834</t>
  </si>
  <si>
    <t>893610337</t>
  </si>
  <si>
    <t>DS592.6 .E28 1993</t>
  </si>
  <si>
    <t>0                      DS 0592600E  28          1993</t>
  </si>
  <si>
    <t>East Malaysia and Brunei / edited by Wendy Hutton.</t>
  </si>
  <si>
    <t>Lincolnwood, IL : Passport Books, c1993.</t>
  </si>
  <si>
    <t>1993-07-30</t>
  </si>
  <si>
    <t>55717200:eng</t>
  </si>
  <si>
    <t>28290678</t>
  </si>
  <si>
    <t>991002198959702656</t>
  </si>
  <si>
    <t>2257864340002656</t>
  </si>
  <si>
    <t>9780844298900</t>
  </si>
  <si>
    <t>32285001704203</t>
  </si>
  <si>
    <t>893873219</t>
  </si>
  <si>
    <t>DS595 .B54</t>
  </si>
  <si>
    <t>0                      DS 0595000B  54</t>
  </si>
  <si>
    <t>The impact of Chinese secret societies in Malaya: a historical study.</t>
  </si>
  <si>
    <t>Blythe, Wilfred.</t>
  </si>
  <si>
    <t>London, Kuala Lumpur [etc.] Issued under the auspices of the Royal Institute of International Affairs [by] Oxford U.P., 1969.</t>
  </si>
  <si>
    <t>234734917:eng</t>
  </si>
  <si>
    <t>15128</t>
  </si>
  <si>
    <t>991000011949702656</t>
  </si>
  <si>
    <t>2262711540002656</t>
  </si>
  <si>
    <t>9780192149749</t>
  </si>
  <si>
    <t>32285002445137</t>
  </si>
  <si>
    <t>893495824</t>
  </si>
  <si>
    <t>DS595 .D44</t>
  </si>
  <si>
    <t>0                      DS 0595000D  44</t>
  </si>
  <si>
    <t>The Semai: a nonviolent people of Malaya.</t>
  </si>
  <si>
    <t>Dentan, Robert Knox, 1936-</t>
  </si>
  <si>
    <t>New York, Holt, Rinehart, and Winston [1968]</t>
  </si>
  <si>
    <t>1090492245:eng</t>
  </si>
  <si>
    <t>61899</t>
  </si>
  <si>
    <t>991000169159702656</t>
  </si>
  <si>
    <t>2255288570002656</t>
  </si>
  <si>
    <t>32285002445145</t>
  </si>
  <si>
    <t>893438073</t>
  </si>
  <si>
    <t>DS596 .K4 1967</t>
  </si>
  <si>
    <t>0                      DS 0596000K  4           1967</t>
  </si>
  <si>
    <t>A history of Malaya, A.D. 1400-1959, by J. Kennedy.</t>
  </si>
  <si>
    <t>Kennedy, Joseph, 1919-</t>
  </si>
  <si>
    <t>London, Melbourne [etc.] Macmillan; New York, St. Martin's P., 1967.</t>
  </si>
  <si>
    <t>1st ed. reprinted with introduction and additional bibliography.</t>
  </si>
  <si>
    <t>Papermac 188</t>
  </si>
  <si>
    <t>3893764078:eng</t>
  </si>
  <si>
    <t>460731</t>
  </si>
  <si>
    <t>991002816659702656</t>
  </si>
  <si>
    <t>2258094610002656</t>
  </si>
  <si>
    <t>32285002445178</t>
  </si>
  <si>
    <t>893317288</t>
  </si>
  <si>
    <t>DS596 .W515 1953</t>
  </si>
  <si>
    <t>0                      DS 0596000W  515         1953</t>
  </si>
  <si>
    <t>Malaya and its history.</t>
  </si>
  <si>
    <t>Winstedt, Richard, 1878-1966.</t>
  </si>
  <si>
    <t>London ; New York : Hutchinson, 1953.</t>
  </si>
  <si>
    <t>Hutchinson's university library. British Empire history [3]</t>
  </si>
  <si>
    <t>1998-03-17</t>
  </si>
  <si>
    <t>4928610121:eng</t>
  </si>
  <si>
    <t>4743207</t>
  </si>
  <si>
    <t>991004709079702656</t>
  </si>
  <si>
    <t>2265657690002656</t>
  </si>
  <si>
    <t>32285002445202</t>
  </si>
  <si>
    <t>893331938</t>
  </si>
  <si>
    <t>DS596.6 .M55 2002</t>
  </si>
  <si>
    <t>0                      DS 0596600M  55          2002</t>
  </si>
  <si>
    <t>The invention of politics in colonial Malaya / Anthony Milner.</t>
  </si>
  <si>
    <t>Milner, Anthony Crothers, 1945-</t>
  </si>
  <si>
    <t>Cambridge, U.K. ; New York : Cambridge University Press, 2002.</t>
  </si>
  <si>
    <t>2004-09-30</t>
  </si>
  <si>
    <t>2004-09-29</t>
  </si>
  <si>
    <t>36884812:eng</t>
  </si>
  <si>
    <t>47161345</t>
  </si>
  <si>
    <t>991004372639702656</t>
  </si>
  <si>
    <t>2266845990002656</t>
  </si>
  <si>
    <t>9780521003568</t>
  </si>
  <si>
    <t>32285004989850</t>
  </si>
  <si>
    <t>893526025</t>
  </si>
  <si>
    <t>DS597 .O2 1966a</t>
  </si>
  <si>
    <t>0                      DS 0597000O  2           1966a</t>
  </si>
  <si>
    <t>Malaya: the communist insurgent war, 1948-60.</t>
  </si>
  <si>
    <t>Hamden, Conn., Archon Books [1966]</t>
  </si>
  <si>
    <t>3855245349:eng</t>
  </si>
  <si>
    <t>411728</t>
  </si>
  <si>
    <t>991002717819702656</t>
  </si>
  <si>
    <t>2264738920002656</t>
  </si>
  <si>
    <t>32285002273471</t>
  </si>
  <si>
    <t>893798923</t>
  </si>
  <si>
    <t>DS597 .S47</t>
  </si>
  <si>
    <t>0                      DS 0597000S  47</t>
  </si>
  <si>
    <t>The Communist insurrection in Malaya, 1948-1960 / Anthony Short.</t>
  </si>
  <si>
    <t>Short, Anthony.</t>
  </si>
  <si>
    <t>New York : Crane, Russak, [1975]</t>
  </si>
  <si>
    <t>2196331:eng</t>
  </si>
  <si>
    <t>1319330</t>
  </si>
  <si>
    <t>991003689479702656</t>
  </si>
  <si>
    <t>2272349350002656</t>
  </si>
  <si>
    <t>9780844803067</t>
  </si>
  <si>
    <t>32285002445236</t>
  </si>
  <si>
    <t>893598859</t>
  </si>
  <si>
    <t>DS597.2 .V37</t>
  </si>
  <si>
    <t>0                      DS 0597200V  37</t>
  </si>
  <si>
    <t>Ethnic politics in Malaysia / R. K. Vasil.</t>
  </si>
  <si>
    <t>Vasil, R. K.</t>
  </si>
  <si>
    <t>New Delhi : Radiant, 1980.</t>
  </si>
  <si>
    <t>1990-10-11</t>
  </si>
  <si>
    <t>459019:eng</t>
  </si>
  <si>
    <t>6920995</t>
  </si>
  <si>
    <t>991005061649702656</t>
  </si>
  <si>
    <t>2269485100002656</t>
  </si>
  <si>
    <t>32285000337823</t>
  </si>
  <si>
    <t>893443338</t>
  </si>
  <si>
    <t>DS597.2 .V66</t>
  </si>
  <si>
    <t>0                      DS 0597200V  66</t>
  </si>
  <si>
    <t>Democracy without consensus : communalism and political stability in Malaysia / Karl von Vorys.</t>
  </si>
  <si>
    <t>Von Vorys, Karl.</t>
  </si>
  <si>
    <t>Princeton, N.J. : Princeton University Press, [1975]</t>
  </si>
  <si>
    <t>867386331:eng</t>
  </si>
  <si>
    <t>1206081</t>
  </si>
  <si>
    <t>991003619599702656</t>
  </si>
  <si>
    <t>2269972950002656</t>
  </si>
  <si>
    <t>9780691075716</t>
  </si>
  <si>
    <t>32285002445251</t>
  </si>
  <si>
    <t>893868630</t>
  </si>
  <si>
    <t>DS597.364 .H36 1988</t>
  </si>
  <si>
    <t>0                      DS 0597364H  36          1988</t>
  </si>
  <si>
    <t>Stranger in the forest : on foot across Borneo / Eric Hansen.</t>
  </si>
  <si>
    <t>Boston : Houghton Mifflin, 1988.</t>
  </si>
  <si>
    <t>1998-11-06</t>
  </si>
  <si>
    <t>1990-08-09</t>
  </si>
  <si>
    <t>15749402:eng</t>
  </si>
  <si>
    <t>16227970</t>
  </si>
  <si>
    <t>991001094659702656</t>
  </si>
  <si>
    <t>2264710140002656</t>
  </si>
  <si>
    <t>9780395440933</t>
  </si>
  <si>
    <t>32285000272640</t>
  </si>
  <si>
    <t>893608543</t>
  </si>
  <si>
    <t>DS598.K3 K47 1978</t>
  </si>
  <si>
    <t>0                      DS 0598000K  3                  K  47          1978</t>
  </si>
  <si>
    <t>Islam and politics in a Malay State, Kelantan, 1838-1969 / by Clive S. Kessler. --</t>
  </si>
  <si>
    <t>Kessler, Clive S., 1942-</t>
  </si>
  <si>
    <t>Ithaca, N.Y. : Cornell University Press, c1978.</t>
  </si>
  <si>
    <t>146744293:eng</t>
  </si>
  <si>
    <t>3397314</t>
  </si>
  <si>
    <t>991004425959702656</t>
  </si>
  <si>
    <t>2270274460002656</t>
  </si>
  <si>
    <t>9780801411038</t>
  </si>
  <si>
    <t>32285000337831</t>
  </si>
  <si>
    <t>893319210</t>
  </si>
  <si>
    <t>DS598.S7 C39 1971</t>
  </si>
  <si>
    <t>0                      DS 0598000S  7                  C  39          1971</t>
  </si>
  <si>
    <t>Singapore; the politics of survival, 1965-1967.</t>
  </si>
  <si>
    <t>Chan, Heng Chee.</t>
  </si>
  <si>
    <t>Singapore, Oxford University Press, 1971.</t>
  </si>
  <si>
    <t xml:space="preserve">si </t>
  </si>
  <si>
    <t>Oxford in Asia current affairs</t>
  </si>
  <si>
    <t>198666167:eng</t>
  </si>
  <si>
    <t>206596</t>
  </si>
  <si>
    <t>991001236629702656</t>
  </si>
  <si>
    <t>2254845440002656</t>
  </si>
  <si>
    <t>32285002445269</t>
  </si>
  <si>
    <t>893791297</t>
  </si>
  <si>
    <t>DS598.S7 L38</t>
  </si>
  <si>
    <t>0                      DS 0598000S  7                  L  38</t>
  </si>
  <si>
    <t>Singapore: the battle that changed the world.</t>
  </si>
  <si>
    <t>Leasor, James.</t>
  </si>
  <si>
    <t>Garden City, N.Y., Doubleday, 1968.</t>
  </si>
  <si>
    <t>The Crossroads of world history series</t>
  </si>
  <si>
    <t>2009-02-23</t>
  </si>
  <si>
    <t>1664704:eng</t>
  </si>
  <si>
    <t>712354</t>
  </si>
  <si>
    <t>991003183899702656</t>
  </si>
  <si>
    <t>2256487230002656</t>
  </si>
  <si>
    <t>32285002445277</t>
  </si>
  <si>
    <t>893880896</t>
  </si>
  <si>
    <t>DS598.S7 M53 1990</t>
  </si>
  <si>
    <t>0                      DS 0598000S  7                  M  53          1990</t>
  </si>
  <si>
    <t>Singapore : the legacy of Lee Kuan Yew / R.S. Milne and Diane K. Mauzy.</t>
  </si>
  <si>
    <t>Milne, R. S. (Robert Stephen), 1919-2014.</t>
  </si>
  <si>
    <t>Westview profiles. Nations of contemporary Asia</t>
  </si>
  <si>
    <t>1999-02-26</t>
  </si>
  <si>
    <t>1991-04-30</t>
  </si>
  <si>
    <t>22084166:eng</t>
  </si>
  <si>
    <t>20358608</t>
  </si>
  <si>
    <t>991001568759702656</t>
  </si>
  <si>
    <t>2272727620002656</t>
  </si>
  <si>
    <t>9780813310916</t>
  </si>
  <si>
    <t>32285000570142</t>
  </si>
  <si>
    <t>893334389</t>
  </si>
  <si>
    <t>DS598.S7 S65 1967</t>
  </si>
  <si>
    <t>0                      DS 0598000S  7                  S  65          1967</t>
  </si>
  <si>
    <t>One hundred years' history of the Chinese in Singapore.</t>
  </si>
  <si>
    <t>Song, Ong Siang, 1871-</t>
  </si>
  <si>
    <t>Singapore, University Malaya Press, 1967.</t>
  </si>
  <si>
    <t>1543919:eng</t>
  </si>
  <si>
    <t>433030</t>
  </si>
  <si>
    <t>991002765369702656</t>
  </si>
  <si>
    <t>2270358950002656</t>
  </si>
  <si>
    <t>32285002445285</t>
  </si>
  <si>
    <t>893691974</t>
  </si>
  <si>
    <t>DS598.S7 W46</t>
  </si>
  <si>
    <t>0                      DS 0598000S  7                  W  46</t>
  </si>
  <si>
    <t>The future role of Singapore / [by] Dick Wilson.</t>
  </si>
  <si>
    <t>Wilson, Dick, 1928-</t>
  </si>
  <si>
    <t>London ; New York : Oxford University Press for the Royal Institute of International Affairs, 1972.</t>
  </si>
  <si>
    <t>Oxford paperbacks</t>
  </si>
  <si>
    <t>2005-02-17</t>
  </si>
  <si>
    <t>1991-02-04</t>
  </si>
  <si>
    <t>1743170:eng</t>
  </si>
  <si>
    <t>631805</t>
  </si>
  <si>
    <t>991003078749702656</t>
  </si>
  <si>
    <t>2263093740002656</t>
  </si>
  <si>
    <t>9780192850591</t>
  </si>
  <si>
    <t>32285000470954</t>
  </si>
  <si>
    <t>893530829</t>
  </si>
  <si>
    <t>DS598.S7 W8</t>
  </si>
  <si>
    <t>0                      DS 0598000S  7                  W  8</t>
  </si>
  <si>
    <t>Strategic significance of Singapore : a study in balance of power.</t>
  </si>
  <si>
    <t>Wu, Yuan-li.</t>
  </si>
  <si>
    <t>Washington : American Enterprise Institute for Public Policy Research, [1972]</t>
  </si>
  <si>
    <t>Foreign affairs study ; 6</t>
  </si>
  <si>
    <t>210222347:eng</t>
  </si>
  <si>
    <t>661733</t>
  </si>
  <si>
    <t>991003116239702656</t>
  </si>
  <si>
    <t>2268953620002656</t>
  </si>
  <si>
    <t>32285001502847</t>
  </si>
  <si>
    <t>893887151</t>
  </si>
  <si>
    <t>DS598.S742 L5 1989</t>
  </si>
  <si>
    <t>0                      DS 0598000S  742                L  5           1989</t>
  </si>
  <si>
    <t>Malays in Singapore : culture, economy, and ideology / Tania Li.</t>
  </si>
  <si>
    <t>Li, Tania, 1959-</t>
  </si>
  <si>
    <t>Singapore ; New York ; Oxford University Press, 1989.</t>
  </si>
  <si>
    <t>East Asian social science monographs</t>
  </si>
  <si>
    <t>18433393:eng</t>
  </si>
  <si>
    <t>18815023</t>
  </si>
  <si>
    <t>991001398859702656</t>
  </si>
  <si>
    <t>2263022450002656</t>
  </si>
  <si>
    <t>9780195889147</t>
  </si>
  <si>
    <t>32285000137322</t>
  </si>
  <si>
    <t>893497065</t>
  </si>
  <si>
    <t>DS601 .W18 1962</t>
  </si>
  <si>
    <t>0                      DS 0601000W  18          1962</t>
  </si>
  <si>
    <t>The Malay Archipelago : the land of the orang-utan and the bird of paradise ; a narrative of travel, with studies of man and nature / by Alfred Russel Wallace.</t>
  </si>
  <si>
    <t>Wallace, Alfred Russel, 1823-1913.</t>
  </si>
  <si>
    <t>New York : Dover Publications, [1962]</t>
  </si>
  <si>
    <t>2009-11-18</t>
  </si>
  <si>
    <t>491269:eng</t>
  </si>
  <si>
    <t>1141683</t>
  </si>
  <si>
    <t>991003567859702656</t>
  </si>
  <si>
    <t>2265010650002656</t>
  </si>
  <si>
    <t>32285000337849</t>
  </si>
  <si>
    <t>893699133</t>
  </si>
  <si>
    <t>DS61.52.B32 A35 1983</t>
  </si>
  <si>
    <t>0                      DS 0061520B  32                 A  35          1983</t>
  </si>
  <si>
    <t>The Middle East remembered / John S. Badeau.</t>
  </si>
  <si>
    <t>Badeau, John S. (John Stothoff), 1903-1995.</t>
  </si>
  <si>
    <t>Washington, D.C. : Middle East Institute, 1983.</t>
  </si>
  <si>
    <t>2979272:eng</t>
  </si>
  <si>
    <t>10162236</t>
  </si>
  <si>
    <t>991000323579702656</t>
  </si>
  <si>
    <t>2268091570002656</t>
  </si>
  <si>
    <t>9780916808211</t>
  </si>
  <si>
    <t>32285000291889</t>
  </si>
  <si>
    <t>893249248</t>
  </si>
  <si>
    <t>DS61.7.H87 M53 1997</t>
  </si>
  <si>
    <t>0                      DS 0061700H  87                 M  53          1997</t>
  </si>
  <si>
    <t>Middle Eastern politics and ideas : a history from within / edited by Ilan Pappé and Moshe Maʼoz.</t>
  </si>
  <si>
    <t>London ; New York : Tauris Academic Studies ; New York : In the U.S.A. and Canada distributed by St. Martin's Press, 1997.</t>
  </si>
  <si>
    <t>Library of modern Middle East studies ; 6</t>
  </si>
  <si>
    <t>2000-08-11</t>
  </si>
  <si>
    <t>795188385:eng</t>
  </si>
  <si>
    <t>40545317</t>
  </si>
  <si>
    <t>991003214369702656</t>
  </si>
  <si>
    <t>2265703320002656</t>
  </si>
  <si>
    <t>9781860640124</t>
  </si>
  <si>
    <t>32285003741716</t>
  </si>
  <si>
    <t>893342334</t>
  </si>
  <si>
    <t>DS61.85 .I79 2006</t>
  </si>
  <si>
    <t>0                      DS 0061850I  79          2006</t>
  </si>
  <si>
    <t>Dangerous knowledge : orientalism and its discontents / Robert Irwin.</t>
  </si>
  <si>
    <t>Irwin, Robert, 1946-</t>
  </si>
  <si>
    <t>Woodstock, NY : Overlook Press, 2006.</t>
  </si>
  <si>
    <t>2010-10-18</t>
  </si>
  <si>
    <t>2006-12-07</t>
  </si>
  <si>
    <t>364584674:eng</t>
  </si>
  <si>
    <t>69021089</t>
  </si>
  <si>
    <t>991004953429702656</t>
  </si>
  <si>
    <t>2263981930002656</t>
  </si>
  <si>
    <t>9781585678358</t>
  </si>
  <si>
    <t>32285005264881</t>
  </si>
  <si>
    <t>893895667</t>
  </si>
  <si>
    <t>DS615 .A68 1966</t>
  </si>
  <si>
    <t>0                      DS 0615000A  68          1966</t>
  </si>
  <si>
    <t>Indonesia : social and cultural revolution / by S. Takdir Alisjahbana. [Translated from the Indonesian by Benedict R. Anderson.</t>
  </si>
  <si>
    <t>Alisjahbana, S. Takdir (Sutan Takdir), 1908-1994.</t>
  </si>
  <si>
    <t>Kuala Lumpur : Oxford University Press, 1966.</t>
  </si>
  <si>
    <t>2d ed.]</t>
  </si>
  <si>
    <t>2001-03-11</t>
  </si>
  <si>
    <t>1994-03-08</t>
  </si>
  <si>
    <t>293836389:eng</t>
  </si>
  <si>
    <t>685473</t>
  </si>
  <si>
    <t>991003144719702656</t>
  </si>
  <si>
    <t>2264377750002656</t>
  </si>
  <si>
    <t>32285001852713</t>
  </si>
  <si>
    <t>893610765</t>
  </si>
  <si>
    <t>DS615 .P3</t>
  </si>
  <si>
    <t>0                      DS 0615000P  3</t>
  </si>
  <si>
    <t>Indonesia / [by] Leslie Palmier.</t>
  </si>
  <si>
    <t>Palmier, Leslie H.</t>
  </si>
  <si>
    <t>New York : Walker, [1966, c1965]</t>
  </si>
  <si>
    <t>New nations and peoples</t>
  </si>
  <si>
    <t>1994-05-06</t>
  </si>
  <si>
    <t>1460148:eng</t>
  </si>
  <si>
    <t>411923</t>
  </si>
  <si>
    <t>991002718289702656</t>
  </si>
  <si>
    <t>2264640190002656</t>
  </si>
  <si>
    <t>32285001907632</t>
  </si>
  <si>
    <t>893721594</t>
  </si>
  <si>
    <t>DS62 .C67</t>
  </si>
  <si>
    <t>0                      DS 0062000C  67</t>
  </si>
  <si>
    <t>The ancient Near Eastern tradition.</t>
  </si>
  <si>
    <t>Covensky, Milton, 1916-1995.</t>
  </si>
  <si>
    <t>Major traditions of world civilization</t>
  </si>
  <si>
    <t>1662894:eng</t>
  </si>
  <si>
    <t>712101</t>
  </si>
  <si>
    <t>991003182619702656</t>
  </si>
  <si>
    <t>2256750580002656</t>
  </si>
  <si>
    <t>32285002469111</t>
  </si>
  <si>
    <t>893787044</t>
  </si>
  <si>
    <t>DS62 .H37 2003</t>
  </si>
  <si>
    <t>0                      DS 0062000H  37          2003</t>
  </si>
  <si>
    <t>The Levant : a fractured mosaic / William Harris.</t>
  </si>
  <si>
    <t>Harris, William W.</t>
  </si>
  <si>
    <t>Princeton, N.J. : Markus Wiener Publishers, c2003.</t>
  </si>
  <si>
    <t>Princeton series on the Middle East</t>
  </si>
  <si>
    <t>2005-05-31</t>
  </si>
  <si>
    <t>1047713:eng</t>
  </si>
  <si>
    <t>49936084</t>
  </si>
  <si>
    <t>991004544149702656</t>
  </si>
  <si>
    <t>2256738280002656</t>
  </si>
  <si>
    <t>9781558762640</t>
  </si>
  <si>
    <t>32285005091680</t>
  </si>
  <si>
    <t>893241567</t>
  </si>
  <si>
    <t>DS62 .L594 1995</t>
  </si>
  <si>
    <t>0                      DS 0062000L  594         1995</t>
  </si>
  <si>
    <t>The Middle East : a brief history of the last 2,000 years / Bernard Lewis.</t>
  </si>
  <si>
    <t>New York, N.Y. : Scribner, c1995.</t>
  </si>
  <si>
    <t>2000-01-27</t>
  </si>
  <si>
    <t>1996-06-26</t>
  </si>
  <si>
    <t>2452481377:eng</t>
  </si>
  <si>
    <t>34190629</t>
  </si>
  <si>
    <t>991002609399702656</t>
  </si>
  <si>
    <t>2256281590002656</t>
  </si>
  <si>
    <t>9780684807126</t>
  </si>
  <si>
    <t>32285002174125</t>
  </si>
  <si>
    <t>893786331</t>
  </si>
  <si>
    <t>DS62 .P385 1992</t>
  </si>
  <si>
    <t>0                      DS 0062000P  385         1992</t>
  </si>
  <si>
    <t>The Middle East : fourteen Islamic centuries / Glenn E. Perry.</t>
  </si>
  <si>
    <t>Perry, Glenn E. (Glenn Earl), 1940-</t>
  </si>
  <si>
    <t>Englewood Cliffs, N.J. : Prentice-Hall, c1992.</t>
  </si>
  <si>
    <t>1991-11-16</t>
  </si>
  <si>
    <t>23973510:eng</t>
  </si>
  <si>
    <t>22952763</t>
  </si>
  <si>
    <t>991001826619702656</t>
  </si>
  <si>
    <t>2260912480002656</t>
  </si>
  <si>
    <t>9780135844595</t>
  </si>
  <si>
    <t>32285000815927</t>
  </si>
  <si>
    <t>893797856</t>
  </si>
  <si>
    <t>DS62.2 .A63 2006</t>
  </si>
  <si>
    <t>0                      DS 0062200A  63          2006</t>
  </si>
  <si>
    <t>The ancient Near East : historical sources in translation / edited by Mark W. Chavalas.</t>
  </si>
  <si>
    <t>Malden, MA ; Oxford : Blackwell Pub., 2006.</t>
  </si>
  <si>
    <t>Blackwell sourcebooks in ancient history</t>
  </si>
  <si>
    <t>2008-03-25</t>
  </si>
  <si>
    <t>2006-11-29</t>
  </si>
  <si>
    <t>803927509:eng</t>
  </si>
  <si>
    <t>60375467</t>
  </si>
  <si>
    <t>991004965679702656</t>
  </si>
  <si>
    <t>2270712220002656</t>
  </si>
  <si>
    <t>9780631235804</t>
  </si>
  <si>
    <t>32285005263404</t>
  </si>
  <si>
    <t>893895681</t>
  </si>
  <si>
    <t>DS62.2 .F55</t>
  </si>
  <si>
    <t>0                      DS 0062200F  55</t>
  </si>
  <si>
    <t>Archaeological history of the ancient Middle East / Jack Finegan.</t>
  </si>
  <si>
    <t>Boulder, Colo. : Westview Press, [1979]</t>
  </si>
  <si>
    <t>2004-04-15</t>
  </si>
  <si>
    <t>102183525:eng</t>
  </si>
  <si>
    <t>3608393</t>
  </si>
  <si>
    <t>991004473749702656</t>
  </si>
  <si>
    <t>2271639680002656</t>
  </si>
  <si>
    <t>9780891581642</t>
  </si>
  <si>
    <t>32285000291913</t>
  </si>
  <si>
    <t>893526129</t>
  </si>
  <si>
    <t>DS62.2 .H3</t>
  </si>
  <si>
    <t>0                      DS 0062200H  3</t>
  </si>
  <si>
    <t>The ancient Near East; a history [by] William W. Hallo [and] William Kelly Simpson. Under the general editorship of John Morton Blum.</t>
  </si>
  <si>
    <t>Hallo, William W.</t>
  </si>
  <si>
    <t>New York, Harcourt Brace Jovanovich [1971]</t>
  </si>
  <si>
    <t>1997-02-24</t>
  </si>
  <si>
    <t>1370991:eng</t>
  </si>
  <si>
    <t>197213</t>
  </si>
  <si>
    <t>991001222009702656</t>
  </si>
  <si>
    <t>2272641870002656</t>
  </si>
  <si>
    <t>9780155027558</t>
  </si>
  <si>
    <t>32285002469616</t>
  </si>
  <si>
    <t>893602440</t>
  </si>
  <si>
    <t>DS62.2 .M26 1985</t>
  </si>
  <si>
    <t>0                      DS 0062200M  26          1985</t>
  </si>
  <si>
    <t>Major cities of the biblical world / edited by R.K. Harrison.</t>
  </si>
  <si>
    <t>Nashville : T. Nelson Publishers, c1985.</t>
  </si>
  <si>
    <t>2006-09-28</t>
  </si>
  <si>
    <t>473871643:eng</t>
  </si>
  <si>
    <t>12050326</t>
  </si>
  <si>
    <t>991000628139702656</t>
  </si>
  <si>
    <t>2266972220002656</t>
  </si>
  <si>
    <t>9780840775207</t>
  </si>
  <si>
    <t>32285000274307</t>
  </si>
  <si>
    <t>893333635</t>
  </si>
  <si>
    <t>DS62.2 .V35 1983</t>
  </si>
  <si>
    <t>0                      DS 0062200V  35          1983</t>
  </si>
  <si>
    <t>In search of history : historiography in the ancient world and the origins of Biblical history / John Van Seters.</t>
  </si>
  <si>
    <t>Van Seters, John.</t>
  </si>
  <si>
    <t>New Haven : Yale University Press, c1983.</t>
  </si>
  <si>
    <t>836626692:eng</t>
  </si>
  <si>
    <t>8930041</t>
  </si>
  <si>
    <t>991000097199702656</t>
  </si>
  <si>
    <t>2257630030002656</t>
  </si>
  <si>
    <t>9780300028775</t>
  </si>
  <si>
    <t>32285000274315</t>
  </si>
  <si>
    <t>893689422</t>
  </si>
  <si>
    <t>DS62.2 .V44</t>
  </si>
  <si>
    <t>0                      DS 0062200V  44</t>
  </si>
  <si>
    <t>Ramses II and his time / Immanuel Velikovsky.</t>
  </si>
  <si>
    <t>Velikovsky, Immanuel, 1895-1979.</t>
  </si>
  <si>
    <t>Garden City, N.Y. : Doubleday, 1978.</t>
  </si>
  <si>
    <t>His Ages in chaos</t>
  </si>
  <si>
    <t>57497818:eng</t>
  </si>
  <si>
    <t>3910883</t>
  </si>
  <si>
    <t>991004543829702656</t>
  </si>
  <si>
    <t>2268724480002656</t>
  </si>
  <si>
    <t>9780385033947</t>
  </si>
  <si>
    <t>32285000222272</t>
  </si>
  <si>
    <t>893325495</t>
  </si>
  <si>
    <t>DS62.23 .A43 2000</t>
  </si>
  <si>
    <t>0                      DS 0062230A  43          2000</t>
  </si>
  <si>
    <t>Amarna diplomacy : the beginnings of international relations / edited by Raymond Cohen and Raymond Westbrook.</t>
  </si>
  <si>
    <t>Baltimore, MD : Johns Hopkins University Press, 2000.</t>
  </si>
  <si>
    <t>2001-08-23</t>
  </si>
  <si>
    <t>807077351:eng</t>
  </si>
  <si>
    <t>42289942</t>
  </si>
  <si>
    <t>991003580159702656</t>
  </si>
  <si>
    <t>2269530410002656</t>
  </si>
  <si>
    <t>9780801861994</t>
  </si>
  <si>
    <t>32285004380423</t>
  </si>
  <si>
    <t>893711507</t>
  </si>
  <si>
    <t>DS62.23 .S95 1990</t>
  </si>
  <si>
    <t>0                      DS 0062230S  95          1990</t>
  </si>
  <si>
    <t>Near Eastern royalty and Rome, 100-30 BC / Richard D. Sullivan.</t>
  </si>
  <si>
    <t>Sullivan, Richard D., 1936-1988.</t>
  </si>
  <si>
    <t>Toronto : University of Toronto Press, c1990.</t>
  </si>
  <si>
    <t>Phoenix. Supplementary volume ; 24 = Phoenix. Tome supplémentaire, 0079-1784 ; 24</t>
  </si>
  <si>
    <t>5218408356:eng</t>
  </si>
  <si>
    <t>26810857</t>
  </si>
  <si>
    <t>991001507929702656</t>
  </si>
  <si>
    <t>2266386960002656</t>
  </si>
  <si>
    <t>9780802026828</t>
  </si>
  <si>
    <t>32285000357508</t>
  </si>
  <si>
    <t>893426639</t>
  </si>
  <si>
    <t>DS62.23 .U78 2001</t>
  </si>
  <si>
    <t>0                      DS 0062230U  78          2001</t>
  </si>
  <si>
    <t>Uruk Mesopotamia &amp; its neighbors : cross-cultural interactions in the era of state formation / edited by Mitchell S. Rothman.</t>
  </si>
  <si>
    <t>Sante Fe, NM : School of American Research Press, 2001.</t>
  </si>
  <si>
    <t>nmu</t>
  </si>
  <si>
    <t>School of American Research advanced seminar series</t>
  </si>
  <si>
    <t>2004-02-28</t>
  </si>
  <si>
    <t>2003-03-26</t>
  </si>
  <si>
    <t>837023277:eng</t>
  </si>
  <si>
    <t>47271122</t>
  </si>
  <si>
    <t>991003990389702656</t>
  </si>
  <si>
    <t>2263255310002656</t>
  </si>
  <si>
    <t>9780852554609</t>
  </si>
  <si>
    <t>32285004687090</t>
  </si>
  <si>
    <t>893718322</t>
  </si>
  <si>
    <t>DS62.25 . S37 2001</t>
  </si>
  <si>
    <t>0                      DS 0062250S  37          2001</t>
  </si>
  <si>
    <t>D'Alexandre à Zénobie : histoire du Levant antique, IVe siècle avant J.-C.-IIIe siècle après J.-C. / Maurice Sartre.</t>
  </si>
  <si>
    <t>Sartre, Maurice.</t>
  </si>
  <si>
    <t>[Paris] : Fayard, c2001.</t>
  </si>
  <si>
    <t>316495:fre</t>
  </si>
  <si>
    <t>48559359</t>
  </si>
  <si>
    <t>991004198999702656</t>
  </si>
  <si>
    <t>2267258260002656</t>
  </si>
  <si>
    <t>9782213609218</t>
  </si>
  <si>
    <t>32285004849286</t>
  </si>
  <si>
    <t>893436012</t>
  </si>
  <si>
    <t>DS62.25 .S515 1995, v..., pt...</t>
  </si>
  <si>
    <t>0                      DS 0062250S  515         1995                                        v..., pt...</t>
  </si>
  <si>
    <t>Byzantium and the Arabs in the sixth century / Irfan Shahîd.</t>
  </si>
  <si>
    <t>V.1 PT.1</t>
  </si>
  <si>
    <t>Shahîd, Irfan, 1926-2016.</t>
  </si>
  <si>
    <t>Washington, D.C. : Dumbarton Oaks Research Library and Collection, c1995-</t>
  </si>
  <si>
    <t>4160054310:eng</t>
  </si>
  <si>
    <t>29184894</t>
  </si>
  <si>
    <t>991002253149702656</t>
  </si>
  <si>
    <t>2263541640002656</t>
  </si>
  <si>
    <t>9780884022145</t>
  </si>
  <si>
    <t>32285003473815</t>
  </si>
  <si>
    <t>893710054</t>
  </si>
  <si>
    <t>V.1 PT.2</t>
  </si>
  <si>
    <t>32285003473823</t>
  </si>
  <si>
    <t>893703867</t>
  </si>
  <si>
    <t>DS62.4 .B679 1996</t>
  </si>
  <si>
    <t>0                      DS 0062400B  679         1996</t>
  </si>
  <si>
    <t>Imperial legacy : the Ottoman imprint on the Balkans and the Middle East / edited by L. Carl Brown.</t>
  </si>
  <si>
    <t>2004-01-29</t>
  </si>
  <si>
    <t>7412400:eng</t>
  </si>
  <si>
    <t>32312142</t>
  </si>
  <si>
    <t>991002482349702656</t>
  </si>
  <si>
    <t>2266540780002656</t>
  </si>
  <si>
    <t>9780231103046</t>
  </si>
  <si>
    <t>32285003533568</t>
  </si>
  <si>
    <t>893347545</t>
  </si>
  <si>
    <t>DS62.4 .C67 1988</t>
  </si>
  <si>
    <t>0                      DS 0062400C  67          1988</t>
  </si>
  <si>
    <t>Fragmentation of the Middle East : the last thirty years / Georges G. Corm ; translated by Selina Cohen, Raj Isar and Margaret Owen.</t>
  </si>
  <si>
    <t>Corm, Georges.</t>
  </si>
  <si>
    <t>London : Hutchinson, c1988.</t>
  </si>
  <si>
    <t>The Making of the Middle East</t>
  </si>
  <si>
    <t>4495014555:eng</t>
  </si>
  <si>
    <t>21304858</t>
  </si>
  <si>
    <t>991001332729702656</t>
  </si>
  <si>
    <t>2256311010002656</t>
  </si>
  <si>
    <t>9780091732370</t>
  </si>
  <si>
    <t>32285000102227</t>
  </si>
  <si>
    <t>893509555</t>
  </si>
  <si>
    <t>DS62.4 .E86 1988</t>
  </si>
  <si>
    <t>0                      DS 0062400E  86          1988</t>
  </si>
  <si>
    <t>Ethnicity, pluralism, and the state in the Middle East / edited by Milton J. Esman, Itamar Rabinovich.</t>
  </si>
  <si>
    <t>Ithaca : Cornell University Press, 1988.</t>
  </si>
  <si>
    <t>351335791:eng</t>
  </si>
  <si>
    <t>17480015</t>
  </si>
  <si>
    <t>991001222389702656</t>
  </si>
  <si>
    <t>2258920020002656</t>
  </si>
  <si>
    <t>9780801495021</t>
  </si>
  <si>
    <t>32285000274323</t>
  </si>
  <si>
    <t>893243961</t>
  </si>
  <si>
    <t>DS62.4 .K4 2004</t>
  </si>
  <si>
    <t>0                      DS 0062400K  4           2004</t>
  </si>
  <si>
    <t>The Chatham House version and other Middle-Eastern studies / Elie Kedourie ; with a new introduction by David Pryce-Jones.</t>
  </si>
  <si>
    <t>Kedourie, Elie.</t>
  </si>
  <si>
    <t>2004-10-04</t>
  </si>
  <si>
    <t>779130:eng</t>
  </si>
  <si>
    <t>53356640</t>
  </si>
  <si>
    <t>991004372609702656</t>
  </si>
  <si>
    <t>2261240170002656</t>
  </si>
  <si>
    <t>9781566635615</t>
  </si>
  <si>
    <t>32285005000715</t>
  </si>
  <si>
    <t>893888624</t>
  </si>
  <si>
    <t>DS62.4 .L488 2002</t>
  </si>
  <si>
    <t>0                      DS 0062400L  488         2002</t>
  </si>
  <si>
    <t>What went wrong? : Western impact and Middle Eastern response / Bernard Lewis.</t>
  </si>
  <si>
    <t>Oxford ; New York : Oxford University Press, 2002.</t>
  </si>
  <si>
    <t>2007-11-28</t>
  </si>
  <si>
    <t>2002-02-14</t>
  </si>
  <si>
    <t>3901410331:eng</t>
  </si>
  <si>
    <t>47101073</t>
  </si>
  <si>
    <t>991003710669702656</t>
  </si>
  <si>
    <t>2260969380002656</t>
  </si>
  <si>
    <t>9780195144208</t>
  </si>
  <si>
    <t>32285004454368</t>
  </si>
  <si>
    <t>893410588</t>
  </si>
  <si>
    <t>DS62.4 .M36 2004</t>
  </si>
  <si>
    <t>0                      DS 0062400M  36          2004</t>
  </si>
  <si>
    <t>A history of the Middle East / Peter Mansfield.</t>
  </si>
  <si>
    <t>New York : Penguin Books, 2004.</t>
  </si>
  <si>
    <t>2nd ed. / rev. and updated by Nicolas Pelham.</t>
  </si>
  <si>
    <t>2007-09-29</t>
  </si>
  <si>
    <t>2005-01-08</t>
  </si>
  <si>
    <t>600095:eng</t>
  </si>
  <si>
    <t>54959856</t>
  </si>
  <si>
    <t>991004422079702656</t>
  </si>
  <si>
    <t>2271008300002656</t>
  </si>
  <si>
    <t>9780143034339</t>
  </si>
  <si>
    <t>32285005019699</t>
  </si>
  <si>
    <t>893901220</t>
  </si>
  <si>
    <t>DS62.4 .S22</t>
  </si>
  <si>
    <t>0                      DS 0062400S  22</t>
  </si>
  <si>
    <t>Armies in the sand : the struggle for Mecca and Medina / John Sabini.</t>
  </si>
  <si>
    <t>Sabini, John, 1921-</t>
  </si>
  <si>
    <t>New York : Thames and Hudson, 1981.</t>
  </si>
  <si>
    <t>2000-09-18</t>
  </si>
  <si>
    <t>12716426:eng</t>
  </si>
  <si>
    <t>7510780</t>
  </si>
  <si>
    <t>991005120799702656</t>
  </si>
  <si>
    <t>2263569680002656</t>
  </si>
  <si>
    <t>9780500012468</t>
  </si>
  <si>
    <t>32285000129956</t>
  </si>
  <si>
    <t>893242243</t>
  </si>
  <si>
    <t>DS62.4 .Y35 1987</t>
  </si>
  <si>
    <t>0                      DS 0062400Y  35          1987</t>
  </si>
  <si>
    <t>The making of the modern Near East, 1792-1923 / M.E. Yapp.</t>
  </si>
  <si>
    <t>Yapp, Malcolm.</t>
  </si>
  <si>
    <t>London ; New York : Longman, 1987.</t>
  </si>
  <si>
    <t>10262550:eng</t>
  </si>
  <si>
    <t>15224190</t>
  </si>
  <si>
    <t>991001004689702656</t>
  </si>
  <si>
    <t>2268087750002656</t>
  </si>
  <si>
    <t>9780582013667</t>
  </si>
  <si>
    <t>32285000274331</t>
  </si>
  <si>
    <t>893438791</t>
  </si>
  <si>
    <t>DS62.4 .Y36 1991</t>
  </si>
  <si>
    <t>0                      DS 0062400Y  36          1991</t>
  </si>
  <si>
    <t>The Near East since the First World War / M.E. Yapp.</t>
  </si>
  <si>
    <t>London ; New York : Longman, 1991.</t>
  </si>
  <si>
    <t>1999-03-16</t>
  </si>
  <si>
    <t>1991-06-20</t>
  </si>
  <si>
    <t>23384850:eng</t>
  </si>
  <si>
    <t>21483309</t>
  </si>
  <si>
    <t>991001695659702656</t>
  </si>
  <si>
    <t>2261763600002656</t>
  </si>
  <si>
    <t>9780582494992</t>
  </si>
  <si>
    <t>32285000658129</t>
  </si>
  <si>
    <t>893690821</t>
  </si>
  <si>
    <t>DS62.7 .C46 2000</t>
  </si>
  <si>
    <t>0                      DS 0062700C  46          2000</t>
  </si>
  <si>
    <t>Arab nationalism-- a history : nation and state in the Arab world / Youssef M. Choueiri.</t>
  </si>
  <si>
    <t>Choueiri, Youssef M., 1948-</t>
  </si>
  <si>
    <t>Oxford ; Malden, Mass. : Blackwell Pub., 2000.</t>
  </si>
  <si>
    <t>2008-07-02</t>
  </si>
  <si>
    <t>2002-02-20</t>
  </si>
  <si>
    <t>836999980:eng</t>
  </si>
  <si>
    <t>44039331</t>
  </si>
  <si>
    <t>991003716379702656</t>
  </si>
  <si>
    <t>2265486190002656</t>
  </si>
  <si>
    <t>9780631217282</t>
  </si>
  <si>
    <t>32285004455472</t>
  </si>
  <si>
    <t>893512270</t>
  </si>
  <si>
    <t>DS62.7 .K37 1999</t>
  </si>
  <si>
    <t>0                      DS 0062700K  37          1999</t>
  </si>
  <si>
    <t>Empires of the sand : the struggle for mastery in the Middle East, 1789-1923 / Efraim Karsh and Inari Karsh.</t>
  </si>
  <si>
    <t>2006-11-13</t>
  </si>
  <si>
    <t>2000-01-25</t>
  </si>
  <si>
    <t>14460300:eng</t>
  </si>
  <si>
    <t>41439554</t>
  </si>
  <si>
    <t>991003028699702656</t>
  </si>
  <si>
    <t>2270417680002656</t>
  </si>
  <si>
    <t>9780674251526</t>
  </si>
  <si>
    <t>32285003644100</t>
  </si>
  <si>
    <t>893774313</t>
  </si>
  <si>
    <t>DS62.8 .A5 1990</t>
  </si>
  <si>
    <t>0                      DS 0062800A  5           1990</t>
  </si>
  <si>
    <t>Politics and change in the Middle East : sources of conflict and accommodation / Roy R. Andersen, Robert F. Seibert, Jon G. Wagner.</t>
  </si>
  <si>
    <t>Andersen, Roy.</t>
  </si>
  <si>
    <t>Englewood Cliffs, N.J. : Prentice Hall, c1990.</t>
  </si>
  <si>
    <t>2010-07-12</t>
  </si>
  <si>
    <t>793044794:eng</t>
  </si>
  <si>
    <t>20012121</t>
  </si>
  <si>
    <t>991001524389702656</t>
  </si>
  <si>
    <t>2263025420002656</t>
  </si>
  <si>
    <t>9780136842002</t>
  </si>
  <si>
    <t>32285000136688</t>
  </si>
  <si>
    <t>893315830</t>
  </si>
  <si>
    <t>DS62.8 .B76 1984</t>
  </si>
  <si>
    <t>0                      DS 0062800B  76          1984</t>
  </si>
  <si>
    <t>International politics and the Middle East : old rules, dangerous game / L. Carl Brown.</t>
  </si>
  <si>
    <t>Brown, L. Carl (Leon Carl), 1928-</t>
  </si>
  <si>
    <t>Princeton studies on the Near East</t>
  </si>
  <si>
    <t>2006-04-11</t>
  </si>
  <si>
    <t>836672389:eng</t>
  </si>
  <si>
    <t>9894657</t>
  </si>
  <si>
    <t>991000275689702656</t>
  </si>
  <si>
    <t>2262689790002656</t>
  </si>
  <si>
    <t>9780691101590</t>
  </si>
  <si>
    <t>32285000274356</t>
  </si>
  <si>
    <t>893515155</t>
  </si>
  <si>
    <t>DS62.8 .F53 2005</t>
  </si>
  <si>
    <t>0                      DS 0062800F  53          2005</t>
  </si>
  <si>
    <t>The great war for civilisation : the conquest of the Middle East / Robert Fisk.</t>
  </si>
  <si>
    <t>Fisk, Robert.</t>
  </si>
  <si>
    <t>2005-12-12</t>
  </si>
  <si>
    <t>2005-11-30</t>
  </si>
  <si>
    <t>796411954:eng</t>
  </si>
  <si>
    <t>60401821</t>
  </si>
  <si>
    <t>991004681369702656</t>
  </si>
  <si>
    <t>2263606450002656</t>
  </si>
  <si>
    <t>9781400041510</t>
  </si>
  <si>
    <t>32285005149694</t>
  </si>
  <si>
    <t>893807355</t>
  </si>
  <si>
    <t>DS62.8 .I84</t>
  </si>
  <si>
    <t>0                      DS 0062800I  84</t>
  </si>
  <si>
    <t>The Middle East in world politics : a study in contemporary international relations / [edited by] Tareq Y. Ismael. With contributions from Naseer H. Aruri [and others]</t>
  </si>
  <si>
    <t>[Syracuse, N.Y.] : Syracuse University Press, 1974.</t>
  </si>
  <si>
    <t>196505301:eng</t>
  </si>
  <si>
    <t>749732</t>
  </si>
  <si>
    <t>991003224519702656</t>
  </si>
  <si>
    <t>2255407130002656</t>
  </si>
  <si>
    <t>9780815601012</t>
  </si>
  <si>
    <t>32285001301000</t>
  </si>
  <si>
    <t>893416173</t>
  </si>
  <si>
    <t>DS62.8 .M3213 1999</t>
  </si>
  <si>
    <t>0                      DS 0062800M  3213        1999</t>
  </si>
  <si>
    <t>Middle East conflicts / François Massoulié ; translated by Angela Parker.</t>
  </si>
  <si>
    <t>Massoulié, François.</t>
  </si>
  <si>
    <t>New York : Interlink Books, 1999.</t>
  </si>
  <si>
    <t>Interlink illustrated histories</t>
  </si>
  <si>
    <t>4160446962:eng</t>
  </si>
  <si>
    <t>39024698</t>
  </si>
  <si>
    <t>991003779649702656</t>
  </si>
  <si>
    <t>2265449050002656</t>
  </si>
  <si>
    <t>9781566562379</t>
  </si>
  <si>
    <t>32285004481726</t>
  </si>
  <si>
    <t>893611443</t>
  </si>
  <si>
    <t>DS62.8 .S53 1994</t>
  </si>
  <si>
    <t>0                      DS 0062800S  53          1994</t>
  </si>
  <si>
    <t>War and peace in the Middle East : a critique of American policy / Avi Shlaim.</t>
  </si>
  <si>
    <t>New York : Whittle Books in association with Viking, 1994.</t>
  </si>
  <si>
    <t>2287410684:eng</t>
  </si>
  <si>
    <t>29319927</t>
  </si>
  <si>
    <t>991002261219702656</t>
  </si>
  <si>
    <t>2262517660002656</t>
  </si>
  <si>
    <t>9780670853304</t>
  </si>
  <si>
    <t>32285001933471</t>
  </si>
  <si>
    <t>893523393</t>
  </si>
  <si>
    <t>DS62.9 .S23 1969</t>
  </si>
  <si>
    <t>0                      DS 0062900S  23          1969</t>
  </si>
  <si>
    <t>The emergence of the Middle East: 1914-1924 [by] Howard M. Sachar.</t>
  </si>
  <si>
    <t>New York, Knopf, 1969.</t>
  </si>
  <si>
    <t>1182274:eng</t>
  </si>
  <si>
    <t>31335</t>
  </si>
  <si>
    <t>991000079709702656</t>
  </si>
  <si>
    <t>2262151420002656</t>
  </si>
  <si>
    <t>32285002469699</t>
  </si>
  <si>
    <t>893242962</t>
  </si>
  <si>
    <t>DS63 .H62 1966a</t>
  </si>
  <si>
    <t>0                      DS 0063000H  62          1966a</t>
  </si>
  <si>
    <t>Egypt and the Fertile Crescent, 1516-1922; a political history [by] P. M. Holt.</t>
  </si>
  <si>
    <t>Holt, P. M. (Peter Malcolm)</t>
  </si>
  <si>
    <t>Ithaca, N.Y., Cornell University Press [1966]</t>
  </si>
  <si>
    <t>450858:eng</t>
  </si>
  <si>
    <t>397894</t>
  </si>
  <si>
    <t>991002679189702656</t>
  </si>
  <si>
    <t>2261628460002656</t>
  </si>
  <si>
    <t>32285002469749</t>
  </si>
  <si>
    <t>893610136</t>
  </si>
  <si>
    <t>DS63 .L44</t>
  </si>
  <si>
    <t>0                      DS 0063000L  44</t>
  </si>
  <si>
    <t>The Middle East and the West.</t>
  </si>
  <si>
    <t>Bloomington, Indiana University Press, 1964.</t>
  </si>
  <si>
    <t>2003-11-06</t>
  </si>
  <si>
    <t>1804073:eng</t>
  </si>
  <si>
    <t>249711</t>
  </si>
  <si>
    <t>991001933249702656</t>
  </si>
  <si>
    <t>2256402170002656</t>
  </si>
  <si>
    <t>32285002469798</t>
  </si>
  <si>
    <t>893866606</t>
  </si>
  <si>
    <t>DS63 .L5</t>
  </si>
  <si>
    <t>0                      DS 0063000L  5</t>
  </si>
  <si>
    <t>There goes the Middle East.</t>
  </si>
  <si>
    <t>New York, Devin-Adair Co., 1957.</t>
  </si>
  <si>
    <t>1544969:eng</t>
  </si>
  <si>
    <t>397723</t>
  </si>
  <si>
    <t>991002678679702656</t>
  </si>
  <si>
    <t>2261655160002656</t>
  </si>
  <si>
    <t>32285002469806</t>
  </si>
  <si>
    <t>893335571</t>
  </si>
  <si>
    <t>DS63 .S52</t>
  </si>
  <si>
    <t>0                      DS 0063000S  52</t>
  </si>
  <si>
    <t>Governments and politics of the Middle East in the twentieth century / H.G. Sharabi.</t>
  </si>
  <si>
    <t>Sharabi, Hisham, 1927-2005.</t>
  </si>
  <si>
    <t>Princeton, N.J. : Van Nostrand, c1962.</t>
  </si>
  <si>
    <t>Van Nostrand political science series</t>
  </si>
  <si>
    <t>2004-11-05</t>
  </si>
  <si>
    <t>2006-06-05</t>
  </si>
  <si>
    <t>52347089:eng</t>
  </si>
  <si>
    <t>310800</t>
  </si>
  <si>
    <t>991001631039702656</t>
  </si>
  <si>
    <t>2257273060002656</t>
  </si>
  <si>
    <t>32285002469848</t>
  </si>
  <si>
    <t>893885425</t>
  </si>
  <si>
    <t>DS63 .W47</t>
  </si>
  <si>
    <t>0                      DS 0063000W  47</t>
  </si>
  <si>
    <t>Britain and France in the Middle East and North Africa, 1914-1967.</t>
  </si>
  <si>
    <t>Williams, Ann.</t>
  </si>
  <si>
    <t>London ; Melborne [etc.] : Macmillan ; New York : St. Martin's P., 1968.</t>
  </si>
  <si>
    <t>The Making of the twentieth century</t>
  </si>
  <si>
    <t>2001-02-08</t>
  </si>
  <si>
    <t>1990-02-26</t>
  </si>
  <si>
    <t>1373024:eng</t>
  </si>
  <si>
    <t>311506</t>
  </si>
  <si>
    <t>991002286109702656</t>
  </si>
  <si>
    <t>2272496340002656</t>
  </si>
  <si>
    <t>32285000062124</t>
  </si>
  <si>
    <t>893685188</t>
  </si>
  <si>
    <t>DS63.1 .A246 1997</t>
  </si>
  <si>
    <t>0                      DS 0063100A  246         1997</t>
  </si>
  <si>
    <t>Instability and conflict in the Middle East : people, petroleum and security threats / Naji Abi-Aad and Michel Grenon ; foreword by Robert Marbo.</t>
  </si>
  <si>
    <t>Abi-Aad, Naji, 1959-</t>
  </si>
  <si>
    <t>1999-06-05</t>
  </si>
  <si>
    <t>1998-11-24</t>
  </si>
  <si>
    <t>837019842:eng</t>
  </si>
  <si>
    <t>35658039</t>
  </si>
  <si>
    <t>991002720029702656</t>
  </si>
  <si>
    <t>2256651230002656</t>
  </si>
  <si>
    <t>9780312172541</t>
  </si>
  <si>
    <t>32285003491635</t>
  </si>
  <si>
    <t>893780131</t>
  </si>
  <si>
    <t>DS63.1 .A35</t>
  </si>
  <si>
    <t>0                      DS 0063100A  35</t>
  </si>
  <si>
    <t>The Arab predicament : Arab political thought and practice since 1967 / Fouad Ajami.</t>
  </si>
  <si>
    <t>Ajami, Fouad.</t>
  </si>
  <si>
    <t>Cambridge ; New York : Cambridge University Press, 1981.</t>
  </si>
  <si>
    <t>2002-12-02</t>
  </si>
  <si>
    <t>20428178:eng</t>
  </si>
  <si>
    <t>7171425</t>
  </si>
  <si>
    <t>991005080659702656</t>
  </si>
  <si>
    <t>2255261580002656</t>
  </si>
  <si>
    <t>9780521239141</t>
  </si>
  <si>
    <t>32285000291939</t>
  </si>
  <si>
    <t>893876905</t>
  </si>
  <si>
    <t>DS63.1 .B54</t>
  </si>
  <si>
    <t>0                      DS 0063100B  54</t>
  </si>
  <si>
    <t>Politics in the Middle East / James A. Bill, Carl Leiden.</t>
  </si>
  <si>
    <t>Bill, James A.</t>
  </si>
  <si>
    <t>Boston : Little, Brown, c1979.</t>
  </si>
  <si>
    <t>The Little, Brown series in comparative politics</t>
  </si>
  <si>
    <t>15268566:eng</t>
  </si>
  <si>
    <t>5103072</t>
  </si>
  <si>
    <t>991004779889702656</t>
  </si>
  <si>
    <t>2270687360002656</t>
  </si>
  <si>
    <t>32285000274372</t>
  </si>
  <si>
    <t>893500950</t>
  </si>
  <si>
    <t>DS63.1 .B834 1994</t>
  </si>
  <si>
    <t>0                      DS 0063100B  834         1994</t>
  </si>
  <si>
    <t>Building peace in the Middle East : challenges for states and civil society / edited by Elise Boulding.</t>
  </si>
  <si>
    <t>Boulder, Colo. : Lynne Rienner Publishers, c1994.</t>
  </si>
  <si>
    <t>2002-04-27</t>
  </si>
  <si>
    <t>1994-02-01</t>
  </si>
  <si>
    <t>836865107:eng</t>
  </si>
  <si>
    <t>28548948</t>
  </si>
  <si>
    <t>991002217079702656</t>
  </si>
  <si>
    <t>2259506720002656</t>
  </si>
  <si>
    <t>9781555874360</t>
  </si>
  <si>
    <t>32285001834349</t>
  </si>
  <si>
    <t>893785866</t>
  </si>
  <si>
    <t>DS63.1 .D39 1986</t>
  </si>
  <si>
    <t>0                      DS 0063100D  39          1986</t>
  </si>
  <si>
    <t>The Arab radicals / Adeed Dawisha.</t>
  </si>
  <si>
    <t>Dawisha, A. I.</t>
  </si>
  <si>
    <t>New York : Council on Foreign Relations, c1986.</t>
  </si>
  <si>
    <t>8095945:eng</t>
  </si>
  <si>
    <t>14099361</t>
  </si>
  <si>
    <t>991000907209702656</t>
  </si>
  <si>
    <t>2262452460002656</t>
  </si>
  <si>
    <t>9780876090190</t>
  </si>
  <si>
    <t>32285000274380</t>
  </si>
  <si>
    <t>893432418</t>
  </si>
  <si>
    <t>DS63.1 .F54 1995</t>
  </si>
  <si>
    <t>0                      DS 0063100F  54          1995</t>
  </si>
  <si>
    <t>Inside the Arab world / Michael Field.</t>
  </si>
  <si>
    <t>Field, Michael, 1949-</t>
  </si>
  <si>
    <t>Cambridge, Mass. : Harvard University Press, 1995, c1994.</t>
  </si>
  <si>
    <t>9177011:eng</t>
  </si>
  <si>
    <t>30625231</t>
  </si>
  <si>
    <t>991002353599702656</t>
  </si>
  <si>
    <t>2260742270002656</t>
  </si>
  <si>
    <t>9780674455207</t>
  </si>
  <si>
    <t>32285002016557</t>
  </si>
  <si>
    <t>893427502</t>
  </si>
  <si>
    <t>DS63.1 .F6 1984</t>
  </si>
  <si>
    <t>0                      DS 0063100F  6           1984</t>
  </si>
  <si>
    <t>The Foreign policies of Arab states / [edited by] Bahgat Korany and Ali E. Hillal Dessouki ; with contributions by Ahmad Yousef Ahmad ... [et al.].</t>
  </si>
  <si>
    <t>Boulder, CO : Westview Press ; Cairo, Egypt : American Univ. in Cairo Press, 1984.</t>
  </si>
  <si>
    <t>1998-10-12</t>
  </si>
  <si>
    <t>865751297:eng</t>
  </si>
  <si>
    <t>11295125</t>
  </si>
  <si>
    <t>991000517779702656</t>
  </si>
  <si>
    <t>2256880810002656</t>
  </si>
  <si>
    <t>9780865316973</t>
  </si>
  <si>
    <t>32285000274406</t>
  </si>
  <si>
    <t>893878106</t>
  </si>
  <si>
    <t>DS63.1 .G73 1979</t>
  </si>
  <si>
    <t>0                      DS 0063100G  73          1979</t>
  </si>
  <si>
    <t>Great power intervention in the Middle East / edited by Milton Leitenberg, Gabriel Sheffer.</t>
  </si>
  <si>
    <t>New York : Pergamon Press, c1979.</t>
  </si>
  <si>
    <t>Pergamon policy studies on international politics</t>
  </si>
  <si>
    <t>1992-11-19</t>
  </si>
  <si>
    <t>351143046:eng</t>
  </si>
  <si>
    <t>4638152</t>
  </si>
  <si>
    <t>991004693899702656</t>
  </si>
  <si>
    <t>2256229260002656</t>
  </si>
  <si>
    <t>9780080238678</t>
  </si>
  <si>
    <t>32285000274414</t>
  </si>
  <si>
    <t>893338024</t>
  </si>
  <si>
    <t>DS63.1 .I598 1984</t>
  </si>
  <si>
    <t>0                      DS 0063100I  598         1984</t>
  </si>
  <si>
    <t>International relations of the Middle East and North Africa / edited by Abid A. Al-Marayati.</t>
  </si>
  <si>
    <t>Cambridge, Mass. : Schenkman, c1984.</t>
  </si>
  <si>
    <t>516226:eng</t>
  </si>
  <si>
    <t>7550722</t>
  </si>
  <si>
    <t>991005123069702656</t>
  </si>
  <si>
    <t>2266534650002656</t>
  </si>
  <si>
    <t>9780870738241</t>
  </si>
  <si>
    <t>32285000274422</t>
  </si>
  <si>
    <t>893533214</t>
  </si>
  <si>
    <t>DS63.1 .K4755 1991</t>
  </si>
  <si>
    <t>0                      DS 0063100K  4755        1991</t>
  </si>
  <si>
    <t>The Middle East postwar environment / Walid Khalidi.</t>
  </si>
  <si>
    <t>IPS papers</t>
  </si>
  <si>
    <t>1995-11-27</t>
  </si>
  <si>
    <t>43050829:eng</t>
  </si>
  <si>
    <t>24849295</t>
  </si>
  <si>
    <t>991001961849702656</t>
  </si>
  <si>
    <t>2270377260002656</t>
  </si>
  <si>
    <t>9780887282331</t>
  </si>
  <si>
    <t>32285002105012</t>
  </si>
  <si>
    <t>893885687</t>
  </si>
  <si>
    <t>DS63.1 .K656 1991</t>
  </si>
  <si>
    <t>0                      DS 0063100K  656         1991</t>
  </si>
  <si>
    <t>The foreign policies of Arab states : the challenge of change / Bahgat Korany and Ali E. Hillal Dessouki ; with contributions by Ahmad Yousef Ahmad ... [et al.].</t>
  </si>
  <si>
    <t>Korany, Bahgat.</t>
  </si>
  <si>
    <t>Boulder : Westview Press, 1991.</t>
  </si>
  <si>
    <t>2nd ed., fully rev. and updated</t>
  </si>
  <si>
    <t>1998-04-08</t>
  </si>
  <si>
    <t>4928539819:eng</t>
  </si>
  <si>
    <t>22767203</t>
  </si>
  <si>
    <t>991001813789702656</t>
  </si>
  <si>
    <t>2261635140002656</t>
  </si>
  <si>
    <t>9780813308753</t>
  </si>
  <si>
    <t>32285001288546</t>
  </si>
  <si>
    <t>893809196</t>
  </si>
  <si>
    <t>DS63.1 .M25</t>
  </si>
  <si>
    <t>0                      DS 0063100M  25</t>
  </si>
  <si>
    <t>Foreign policy making in the Middle East : domestic influences on policy in Egypt, Iraq, Israel, and Syria / R. D. McLaurin, Mohammed Mughisuddin, Abraham R. Wagner.</t>
  </si>
  <si>
    <t>McLaurin, R. D. (Ronald De), 1944-1995.</t>
  </si>
  <si>
    <t>New York : Praeger, 1977.</t>
  </si>
  <si>
    <t>2005-07-15</t>
  </si>
  <si>
    <t>1990-08-14</t>
  </si>
  <si>
    <t>6721276:eng</t>
  </si>
  <si>
    <t>3003639</t>
  </si>
  <si>
    <t>991004315389702656</t>
  </si>
  <si>
    <t>2271025560002656</t>
  </si>
  <si>
    <t>9780275238704</t>
  </si>
  <si>
    <t>32285000281336</t>
  </si>
  <si>
    <t>893700087</t>
  </si>
  <si>
    <t>DS63.1 .M484 2007</t>
  </si>
  <si>
    <t>0                      DS 0063100M  484         2007</t>
  </si>
  <si>
    <t>The Middle East.</t>
  </si>
  <si>
    <t>Washington, D.C. : CQ Press, c2007.</t>
  </si>
  <si>
    <t>11th ed.</t>
  </si>
  <si>
    <t>8907094011:eng</t>
  </si>
  <si>
    <t>126231245</t>
  </si>
  <si>
    <t>991005321309702656</t>
  </si>
  <si>
    <t>2256108540002656</t>
  </si>
  <si>
    <t>9780872893689</t>
  </si>
  <si>
    <t>32285005534564</t>
  </si>
  <si>
    <t>893783397</t>
  </si>
  <si>
    <t>DS63.1 .M4854 1982</t>
  </si>
  <si>
    <t>0                      DS 0063100M  4854        1982</t>
  </si>
  <si>
    <t>The Middle East and the Western Alliance / edited by Steven L. Spiegel.</t>
  </si>
  <si>
    <t>London ; Boston : G. Allen &amp; Unwin, c1982.</t>
  </si>
  <si>
    <t>54495343:eng</t>
  </si>
  <si>
    <t>8389618</t>
  </si>
  <si>
    <t>991005238159702656</t>
  </si>
  <si>
    <t>2261028980002656</t>
  </si>
  <si>
    <t>9780043270677</t>
  </si>
  <si>
    <t>32285000291996</t>
  </si>
  <si>
    <t>893338779</t>
  </si>
  <si>
    <t>DS63.1 .M545 1984</t>
  </si>
  <si>
    <t>0                      DS 0063100M  545         1984</t>
  </si>
  <si>
    <t>The Middle East since Camp David / edited by Robert O. Freedman.</t>
  </si>
  <si>
    <t>Boulder, Colo. : Westview Press, 1984.</t>
  </si>
  <si>
    <t>54597905:eng</t>
  </si>
  <si>
    <t>9971250</t>
  </si>
  <si>
    <t>991000293889702656</t>
  </si>
  <si>
    <t>2257933000002656</t>
  </si>
  <si>
    <t>9780865316584</t>
  </si>
  <si>
    <t>32285000129964</t>
  </si>
  <si>
    <t>893626263</t>
  </si>
  <si>
    <t>DS63.1 .M566 2001</t>
  </si>
  <si>
    <t>0                      DS 0063100M  566         2001</t>
  </si>
  <si>
    <t>Conflicts in the Middle East since 1945 / Beverley Milton-Edwards and Peter Hinchcliffe.</t>
  </si>
  <si>
    <t>Milton-Edwards, Beverley.</t>
  </si>
  <si>
    <t>London ; New York : Routledge, 2001.</t>
  </si>
  <si>
    <t>The making of the contemporary world</t>
  </si>
  <si>
    <t>2006-04-28</t>
  </si>
  <si>
    <t>2001-10-24</t>
  </si>
  <si>
    <t>695568:eng</t>
  </si>
  <si>
    <t>45958041</t>
  </si>
  <si>
    <t>991003639609702656</t>
  </si>
  <si>
    <t>2261411270002656</t>
  </si>
  <si>
    <t>9780415182577</t>
  </si>
  <si>
    <t>32285004399639</t>
  </si>
  <si>
    <t>893598788</t>
  </si>
  <si>
    <t>DS63.1 .P56 1996</t>
  </si>
  <si>
    <t>0                      DS 0063100P  56          1996</t>
  </si>
  <si>
    <t>The hidden hand : Middle East fears of conspiracy / Daniel Pipes.</t>
  </si>
  <si>
    <t>Pipes, Daniel, 1949-</t>
  </si>
  <si>
    <t>1997-04-24</t>
  </si>
  <si>
    <t>20446934:eng</t>
  </si>
  <si>
    <t>34912594</t>
  </si>
  <si>
    <t>991002668849702656</t>
  </si>
  <si>
    <t>2259116530002656</t>
  </si>
  <si>
    <t>9780312162542</t>
  </si>
  <si>
    <t>32285002540630</t>
  </si>
  <si>
    <t>893773892</t>
  </si>
  <si>
    <t>DS63.1 .P65</t>
  </si>
  <si>
    <t>0                      DS 0063100P  65</t>
  </si>
  <si>
    <t>Political dynamics in the Middle East. Edited by Paul Y. Hammond and Sidney S. Alexander.</t>
  </si>
  <si>
    <t>New York, American Elsevier Pub. Co. [1972]</t>
  </si>
  <si>
    <t>The Middle East: Economic and political problems and prospects</t>
  </si>
  <si>
    <t>2001-04-18</t>
  </si>
  <si>
    <t>793100328:eng</t>
  </si>
  <si>
    <t>387293</t>
  </si>
  <si>
    <t>991002651759702656</t>
  </si>
  <si>
    <t>2258205110002656</t>
  </si>
  <si>
    <t>9780444001108</t>
  </si>
  <si>
    <t>32285002469905</t>
  </si>
  <si>
    <t>893347752</t>
  </si>
  <si>
    <t>DS63.1 .S696 2010</t>
  </si>
  <si>
    <t>0                      DS 0063100S  696         2010</t>
  </si>
  <si>
    <t>Every man in this village is a liar : an education in war / Megan K. Stack.</t>
  </si>
  <si>
    <t>Stack, Megan K.</t>
  </si>
  <si>
    <t>New York : Doubleday, c2010.</t>
  </si>
  <si>
    <t>2010-10-05</t>
  </si>
  <si>
    <t>2010-09-21</t>
  </si>
  <si>
    <t>865265456:eng</t>
  </si>
  <si>
    <t>434438429</t>
  </si>
  <si>
    <t>991000106949702656</t>
  </si>
  <si>
    <t>2259357540002656</t>
  </si>
  <si>
    <t>9780385527163</t>
  </si>
  <si>
    <t>32285005595847</t>
  </si>
  <si>
    <t>893345390</t>
  </si>
  <si>
    <t>DS63.18 .R67 2009</t>
  </si>
  <si>
    <t>0                      DS 0063180R  67          2009</t>
  </si>
  <si>
    <t>The rebirth of the Middle East / Jerry M. Rosenberg.</t>
  </si>
  <si>
    <t>Lanham, Md. : Hamilton Books, c2009.</t>
  </si>
  <si>
    <t>316117619:eng</t>
  </si>
  <si>
    <t>429020403</t>
  </si>
  <si>
    <t>991005374819702656</t>
  </si>
  <si>
    <t>2271815430002656</t>
  </si>
  <si>
    <t>9780761848455</t>
  </si>
  <si>
    <t>32285005579528</t>
  </si>
  <si>
    <t>893594955</t>
  </si>
  <si>
    <t>DS63.2 .M33 2001</t>
  </si>
  <si>
    <t>0                      DS 0063200M  33          2001</t>
  </si>
  <si>
    <t>Epic encounters : culture, media, and U.S. interests in the Middle East, 1945-2000 / Melani McAlister.</t>
  </si>
  <si>
    <t>McAlister, Melani, 1962-</t>
  </si>
  <si>
    <t>Berkeley: University of California Press, c2001.</t>
  </si>
  <si>
    <t>American crossroads ; 6</t>
  </si>
  <si>
    <t>2001-12-18</t>
  </si>
  <si>
    <t>793021405:eng</t>
  </si>
  <si>
    <t>45015749</t>
  </si>
  <si>
    <t>991003677429702656</t>
  </si>
  <si>
    <t>2263250480002656</t>
  </si>
  <si>
    <t>9780520214439</t>
  </si>
  <si>
    <t>32285004429089</t>
  </si>
  <si>
    <t>893258709</t>
  </si>
  <si>
    <t>DS63.2.A4 L48</t>
  </si>
  <si>
    <t>0                      DS 0063200A  4                  L  48</t>
  </si>
  <si>
    <t>The Arab-African connection : political and economic realities / Victor T. Le Vine and Timothy W. Luke.</t>
  </si>
  <si>
    <t>Le Vine, Victor T.</t>
  </si>
  <si>
    <t>Westview special studies on Africa/the Middle East</t>
  </si>
  <si>
    <t>1996-03-01</t>
  </si>
  <si>
    <t>14830039:eng</t>
  </si>
  <si>
    <t>4515392</t>
  </si>
  <si>
    <t>991004670559702656</t>
  </si>
  <si>
    <t>2265563140002656</t>
  </si>
  <si>
    <t>9780891583981</t>
  </si>
  <si>
    <t>32285000292002</t>
  </si>
  <si>
    <t>893593953</t>
  </si>
  <si>
    <t>DS63.2.E8 A86 1989</t>
  </si>
  <si>
    <t>0                      DS 0063200E  8                  A  86          1989</t>
  </si>
  <si>
    <t>The Atlantic Alliance and the Middle East / edited by Joseph I. Coffey and Gianni Bonvicini.</t>
  </si>
  <si>
    <t>Pittsburgh, Pa. : University of Pittsburgh Press, c1989.</t>
  </si>
  <si>
    <t>Pitt series in policy and institutional studies</t>
  </si>
  <si>
    <t>350380583:eng</t>
  </si>
  <si>
    <t>18559456</t>
  </si>
  <si>
    <t>991001367459702656</t>
  </si>
  <si>
    <t>2260832030002656</t>
  </si>
  <si>
    <t>9780822911548</t>
  </si>
  <si>
    <t>32285000274463</t>
  </si>
  <si>
    <t>893621281</t>
  </si>
  <si>
    <t>DS63.2.E8 H68</t>
  </si>
  <si>
    <t>0                      DS 0063200E  8                  H  68</t>
  </si>
  <si>
    <t>Europe and the Middle East / Albert Hourani.</t>
  </si>
  <si>
    <t>Hourani, Albert, 1915-1993.</t>
  </si>
  <si>
    <t>Berkeley : University of California Press, 1980.</t>
  </si>
  <si>
    <t>352665190:eng</t>
  </si>
  <si>
    <t>6520352</t>
  </si>
  <si>
    <t>991004996489702656</t>
  </si>
  <si>
    <t>2255486490002656</t>
  </si>
  <si>
    <t>9780520037427</t>
  </si>
  <si>
    <t>32285000292010</t>
  </si>
  <si>
    <t>893418245</t>
  </si>
  <si>
    <t>DS63.2.E8 L48 1982</t>
  </si>
  <si>
    <t>0                      DS 0063200E  8                  L  48          1982</t>
  </si>
  <si>
    <t>The Muslim discovery of Europe / by Bernard Lewis.</t>
  </si>
  <si>
    <t>New York : W.W. Norton, c1982.</t>
  </si>
  <si>
    <t>12747763:eng</t>
  </si>
  <si>
    <t>8032662</t>
  </si>
  <si>
    <t>991005193679702656</t>
  </si>
  <si>
    <t>2269072640002656</t>
  </si>
  <si>
    <t>9780393015294</t>
  </si>
  <si>
    <t>32285000274489</t>
  </si>
  <si>
    <t>893877095</t>
  </si>
  <si>
    <t>DS63.2.G7 A22 1983</t>
  </si>
  <si>
    <t>0                      DS 0063200G  7                  A  22          1983</t>
  </si>
  <si>
    <t>Britain's withdrawal from the Middle East, 1947-1971 : the economic and strategic imperatives / by Jacob Abadi.</t>
  </si>
  <si>
    <t>Abadi, Jacob.</t>
  </si>
  <si>
    <t>Princeton, N.J. : Kingston Press, 1982, c1983.</t>
  </si>
  <si>
    <t>The Kingston Press series. Leaders, politics, and social change in the Islamic world</t>
  </si>
  <si>
    <t>890237415:eng</t>
  </si>
  <si>
    <t>9875115</t>
  </si>
  <si>
    <t>991000272349702656</t>
  </si>
  <si>
    <t>2271606630002656</t>
  </si>
  <si>
    <t>9780940670198</t>
  </si>
  <si>
    <t>32285000274497</t>
  </si>
  <si>
    <t>893502377</t>
  </si>
  <si>
    <t>DS63.2.G7 B34 1990</t>
  </si>
  <si>
    <t>0                      DS 0063200G  7                  B  34          1990</t>
  </si>
  <si>
    <t>The end of empire in the Middle East : Britain's relinquishment of power in her last three Arab dependencies / Glen Balfour-Paul.</t>
  </si>
  <si>
    <t>Balfour-Paul, Glen.</t>
  </si>
  <si>
    <t>Cambridge Middle East library ; 25</t>
  </si>
  <si>
    <t>1991-07-01</t>
  </si>
  <si>
    <t>795548454:eng</t>
  </si>
  <si>
    <t>20826327</t>
  </si>
  <si>
    <t>991001622769702656</t>
  </si>
  <si>
    <t>2261107190002656</t>
  </si>
  <si>
    <t>9780521382595</t>
  </si>
  <si>
    <t>32285000659366</t>
  </si>
  <si>
    <t>893791544</t>
  </si>
  <si>
    <t>DS63.2.G7 B74 1992a</t>
  </si>
  <si>
    <t>0                      DS 0063200G  7                  B  74          1992a</t>
  </si>
  <si>
    <t>Britain and the Middle East in the 1930s : security problems, 1935-39 / edited by Michael J. Cohen and Martin Kolinsky.</t>
  </si>
  <si>
    <t>Basingstoke : Macmillan in association with King's College, London, 1992.</t>
  </si>
  <si>
    <t>Studies in military and strategic history</t>
  </si>
  <si>
    <t>1998-01-12</t>
  </si>
  <si>
    <t>1993-04-13</t>
  </si>
  <si>
    <t>836885281:eng</t>
  </si>
  <si>
    <t>27072170</t>
  </si>
  <si>
    <t>991002113629702656</t>
  </si>
  <si>
    <t>2272250610002656</t>
  </si>
  <si>
    <t>9780333535141</t>
  </si>
  <si>
    <t>32285001499861</t>
  </si>
  <si>
    <t>893691235</t>
  </si>
  <si>
    <t>DS63.2.G7 D37 1981</t>
  </si>
  <si>
    <t>0                      DS 0063200G  7                  D  37          1981</t>
  </si>
  <si>
    <t>Britain, Egypt, and the Middle East : imperial policy in the aftermath of war, 1918-1922 / John Darwin.</t>
  </si>
  <si>
    <t>Darwin, John.</t>
  </si>
  <si>
    <t>New York : St. Martin's Press, 1981.</t>
  </si>
  <si>
    <t>441765:eng</t>
  </si>
  <si>
    <t>6251595</t>
  </si>
  <si>
    <t>991004952579702656</t>
  </si>
  <si>
    <t>2262907190002656</t>
  </si>
  <si>
    <t>9780312097363</t>
  </si>
  <si>
    <t>32285000274505</t>
  </si>
  <si>
    <t>893319813</t>
  </si>
  <si>
    <t>DS63.2.G7 K4</t>
  </si>
  <si>
    <t>0                      DS 0063200G  7                  K  4</t>
  </si>
  <si>
    <t>In the Anglo-Arab labyrinth : the McMahon-Husayn correspondence and its interpretations, 1914-1939 / Elie Kedourie.</t>
  </si>
  <si>
    <t>Cambridge ; New York : Cambridge University Press, 1976.</t>
  </si>
  <si>
    <t>Cambridge studies in the history and theory of politics</t>
  </si>
  <si>
    <t>2702719:eng</t>
  </si>
  <si>
    <t>1848902</t>
  </si>
  <si>
    <t>991003909349702656</t>
  </si>
  <si>
    <t>2257260520002656</t>
  </si>
  <si>
    <t>9780521208260</t>
  </si>
  <si>
    <t>32285001093219</t>
  </si>
  <si>
    <t>893525413</t>
  </si>
  <si>
    <t>DS63.2.G7 K58</t>
  </si>
  <si>
    <t>0                      DS 0063200G  7                  K  58</t>
  </si>
  <si>
    <t>Foundations of British policy in the Arab world : the Cairo Conference of 1921 / [by] Aaron S. Klieman.</t>
  </si>
  <si>
    <t>Klieman, Aaron S.</t>
  </si>
  <si>
    <t>Baltimore : Johns Hopkins Press, [1970]</t>
  </si>
  <si>
    <t>1333790:eng</t>
  </si>
  <si>
    <t>99612</t>
  </si>
  <si>
    <t>991000607589702656</t>
  </si>
  <si>
    <t>2268917640002656</t>
  </si>
  <si>
    <t>9780801811258</t>
  </si>
  <si>
    <t>32285001246775</t>
  </si>
  <si>
    <t>893419617</t>
  </si>
  <si>
    <t>DS63.2.G7 L68 1984</t>
  </si>
  <si>
    <t>0                      DS 0063200G  7                  L  68          1984</t>
  </si>
  <si>
    <t>The British Empire in the Middle East, 1945-1951 : Arab nationalism, the United States, and postwar imperialism / by Wm. Roger Louis.</t>
  </si>
  <si>
    <t>Louis, William Roger, 1936-</t>
  </si>
  <si>
    <t>Oxford : Clarendon Press ; New York : Oxford University Press, 1984.</t>
  </si>
  <si>
    <t>1992-11-11</t>
  </si>
  <si>
    <t>836629389:eng</t>
  </si>
  <si>
    <t>9919777</t>
  </si>
  <si>
    <t>991000283129702656</t>
  </si>
  <si>
    <t>2268126110002656</t>
  </si>
  <si>
    <t>9780198224891</t>
  </si>
  <si>
    <t>32285000292044</t>
  </si>
  <si>
    <t>893871550</t>
  </si>
  <si>
    <t>DS63.2.I68 R36 1986</t>
  </si>
  <si>
    <t>0                      DS 0063200I  68                 R  36          1986</t>
  </si>
  <si>
    <t>Revolutionary Iran : challenge and response in the Middle East / R.K. Ramazani.</t>
  </si>
  <si>
    <t>Ramazani, Rouhollah K., 1928-2016.</t>
  </si>
  <si>
    <t>Baltimore : Johns Hopkins University Press, c1986, 1987 printing.</t>
  </si>
  <si>
    <t>7121673:eng</t>
  </si>
  <si>
    <t>13667151</t>
  </si>
  <si>
    <t>991000858049702656</t>
  </si>
  <si>
    <t>2272027130002656</t>
  </si>
  <si>
    <t>9780801833779</t>
  </si>
  <si>
    <t>32285000274513</t>
  </si>
  <si>
    <t>893690101</t>
  </si>
  <si>
    <t>DS63.2.R9 K74 2007</t>
  </si>
  <si>
    <t>0                      DS 0063200R  9                  K  74          2007</t>
  </si>
  <si>
    <t>Russia in the Middle East : friend or foe? / Andrej Kreutz.</t>
  </si>
  <si>
    <t>Kreutz, Andrej.</t>
  </si>
  <si>
    <t>Westport, Conn. : Praeger Security International, 2007.</t>
  </si>
  <si>
    <t>327349979:eng</t>
  </si>
  <si>
    <t>71163997</t>
  </si>
  <si>
    <t>991005116219702656</t>
  </si>
  <si>
    <t>2259180770002656</t>
  </si>
  <si>
    <t>9780275993283</t>
  </si>
  <si>
    <t>32285005326094</t>
  </si>
  <si>
    <t>893507636</t>
  </si>
  <si>
    <t>DS63.2.R9 N59 1999</t>
  </si>
  <si>
    <t>0                      DS 0063200R  9                  N  59          1999</t>
  </si>
  <si>
    <t>Russia and the Middle East : towards a new foreign policy / Talal Nizameddin.</t>
  </si>
  <si>
    <t>Nizameddin, Talal.</t>
  </si>
  <si>
    <t>New York : St. Martin's Press, 1999.</t>
  </si>
  <si>
    <t>2000-03-23</t>
  </si>
  <si>
    <t>26008100:eng</t>
  </si>
  <si>
    <t>41026427</t>
  </si>
  <si>
    <t>991003016069702656</t>
  </si>
  <si>
    <t>2257962580002656</t>
  </si>
  <si>
    <t>9780312225384</t>
  </si>
  <si>
    <t>32285003673679</t>
  </si>
  <si>
    <t>893704806</t>
  </si>
  <si>
    <t>DS63.2.R9 S65 1959</t>
  </si>
  <si>
    <t>0                      DS 0063200R  9                  S  65          1959</t>
  </si>
  <si>
    <t>The Soviet Union and the Muslim world, 1917-1958.</t>
  </si>
  <si>
    <t>Spector, Ivar, 1898-1989.</t>
  </si>
  <si>
    <t>Seattle, Distributed by University of Washington Press, 1959.</t>
  </si>
  <si>
    <t>2001-04-21</t>
  </si>
  <si>
    <t>1370882:eng</t>
  </si>
  <si>
    <t>310686</t>
  </si>
  <si>
    <t>991002279019702656</t>
  </si>
  <si>
    <t>2259773970002656</t>
  </si>
  <si>
    <t>32285002460078</t>
  </si>
  <si>
    <t>893433705</t>
  </si>
  <si>
    <t>DS63.2.S65 F72 1991</t>
  </si>
  <si>
    <t>0                      DS 0063200S  65                 F  72          1991</t>
  </si>
  <si>
    <t>Moscow and the Middle East : Soviet policy since the invasion of Afghanistan / Robert O. Freedman.</t>
  </si>
  <si>
    <t>Freedman, Robert Owen.</t>
  </si>
  <si>
    <t>1991-05-31</t>
  </si>
  <si>
    <t>22525907:eng</t>
  </si>
  <si>
    <t>21080238</t>
  </si>
  <si>
    <t>991001650339702656</t>
  </si>
  <si>
    <t>2257098730002656</t>
  </si>
  <si>
    <t>9780521359764</t>
  </si>
  <si>
    <t>32285000590710</t>
  </si>
  <si>
    <t>893590509</t>
  </si>
  <si>
    <t>DS63.2.S65 G645 1992</t>
  </si>
  <si>
    <t>0                      DS 0063200S  65                 G  645         1992</t>
  </si>
  <si>
    <t>Moscow and the Middle East : new thinking on regional conflict / Galia Golan.</t>
  </si>
  <si>
    <t>Golan, Galia.</t>
  </si>
  <si>
    <t>New York : Published in North America for the Royal Institute of International Affairs [by] Council on Foreign Relations Press, c1992.</t>
  </si>
  <si>
    <t>28426089:eng</t>
  </si>
  <si>
    <t>25548508</t>
  </si>
  <si>
    <t>991002009759702656</t>
  </si>
  <si>
    <t>2260047970002656</t>
  </si>
  <si>
    <t>9780876091265</t>
  </si>
  <si>
    <t>32285001281749</t>
  </si>
  <si>
    <t>893322465</t>
  </si>
  <si>
    <t>DS63.2.S65 S67 1982</t>
  </si>
  <si>
    <t>0                      DS 0063200S  65                 S  67          1982</t>
  </si>
  <si>
    <t>The Soviet Union in the Middle East : policies and perspectives / edited by Adeed Dawisha and Karen Dawisha.</t>
  </si>
  <si>
    <t>New York, N.Y. : Published by Holmes &amp; Meier Publishers for the Royal Institute of International Affairs, 1982.</t>
  </si>
  <si>
    <t>768611954:eng</t>
  </si>
  <si>
    <t>8170124</t>
  </si>
  <si>
    <t>991005212189702656</t>
  </si>
  <si>
    <t>2256639070002656</t>
  </si>
  <si>
    <t>9780841907966</t>
  </si>
  <si>
    <t>32285000274539</t>
  </si>
  <si>
    <t>893344848</t>
  </si>
  <si>
    <t>DS63.2.S65 S87 1985</t>
  </si>
  <si>
    <t>0                      DS 0063200S  65                 S  87          1985</t>
  </si>
  <si>
    <t>Superpower involvement in the Middle East : dynamics of foreign policy / edited by Paul Marantz and Blema S. Steinberg.</t>
  </si>
  <si>
    <t>Boulder : Westview Press, 1985.</t>
  </si>
  <si>
    <t>Westview special studies in international relations</t>
  </si>
  <si>
    <t>375310110:eng</t>
  </si>
  <si>
    <t>12188475</t>
  </si>
  <si>
    <t>991000652569702656</t>
  </si>
  <si>
    <t>2254758220002656</t>
  </si>
  <si>
    <t>9780813371009</t>
  </si>
  <si>
    <t>32285000274547</t>
  </si>
  <si>
    <t>893333653</t>
  </si>
  <si>
    <t>DS63.2.T8 R64 1991</t>
  </si>
  <si>
    <t>0                      DS 0063200T  8                  R  64          1991</t>
  </si>
  <si>
    <t>Turkey and the Middle East / Philip Robins.</t>
  </si>
  <si>
    <t>New York : Council on Foreign Relations Press, c1991.</t>
  </si>
  <si>
    <t>2000-11-29</t>
  </si>
  <si>
    <t>14075011:eng</t>
  </si>
  <si>
    <t>23463522</t>
  </si>
  <si>
    <t>991001866479702656</t>
  </si>
  <si>
    <t>2256024950002656</t>
  </si>
  <si>
    <t>9780876091012</t>
  </si>
  <si>
    <t>32285000859586</t>
  </si>
  <si>
    <t>893238385</t>
  </si>
  <si>
    <t>DS63.2.U5 A64 1991</t>
  </si>
  <si>
    <t>0                      DS 0063200U  5                  A  64          1991</t>
  </si>
  <si>
    <t>After the storm : challenges for American policy in the Middle East : report of the Washington Institute's Strategic Study Group.</t>
  </si>
  <si>
    <t>Washington, D.C. : Washington Institute for Near East Policy, 1991.</t>
  </si>
  <si>
    <t>1994-10-10</t>
  </si>
  <si>
    <t>1992-07-09</t>
  </si>
  <si>
    <t>25109611:eng</t>
  </si>
  <si>
    <t>24066435</t>
  </si>
  <si>
    <t>991001904479702656</t>
  </si>
  <si>
    <t>2262050400002656</t>
  </si>
  <si>
    <t>9780944029114</t>
  </si>
  <si>
    <t>32285001158301</t>
  </si>
  <si>
    <t>893791818</t>
  </si>
  <si>
    <t>DS63.2.U5 B32</t>
  </si>
  <si>
    <t>0                      DS 0063200U  5                  B  32</t>
  </si>
  <si>
    <t>The American approach to the Arab world, by John S. Badeau.</t>
  </si>
  <si>
    <t>New York, Published for the Council on Foreign Relations by Harper &amp; Row [1968]</t>
  </si>
  <si>
    <t>Policy books of the Council on Foreign Relations</t>
  </si>
  <si>
    <t>2002-09-07</t>
  </si>
  <si>
    <t>1361855:eng</t>
  </si>
  <si>
    <t>233678</t>
  </si>
  <si>
    <t>991001633639702656</t>
  </si>
  <si>
    <t>2259220210002656</t>
  </si>
  <si>
    <t>32285002460102</t>
  </si>
  <si>
    <t>893250345</t>
  </si>
  <si>
    <t>DS63.2.U5 B6 2002</t>
  </si>
  <si>
    <t>0                      DS 0063200U  5                  B  6           2002</t>
  </si>
  <si>
    <t>The high cost of peace : how Washington's Middle East policy left America vulnerable to terrorism / Yossef Bodansky.</t>
  </si>
  <si>
    <t>Bodansky, Yossef.</t>
  </si>
  <si>
    <t>Roseville, Calif. : Forum, 2002.</t>
  </si>
  <si>
    <t>2003-01-08</t>
  </si>
  <si>
    <t>341673257:eng</t>
  </si>
  <si>
    <t>49530004</t>
  </si>
  <si>
    <t>991003955969702656</t>
  </si>
  <si>
    <t>2268070560002656</t>
  </si>
  <si>
    <t>9780761535799</t>
  </si>
  <si>
    <t>32285004692348</t>
  </si>
  <si>
    <t>893263033</t>
  </si>
  <si>
    <t>DS63.2.U5 F47</t>
  </si>
  <si>
    <t>0                      DS 0063200U  5                  F  47</t>
  </si>
  <si>
    <t>America and the Mediterranean world, 1776-1882, by James A. Field, Jr.</t>
  </si>
  <si>
    <t>Field, James A.</t>
  </si>
  <si>
    <t>1124106:eng</t>
  </si>
  <si>
    <t>821</t>
  </si>
  <si>
    <t>991005431969702656</t>
  </si>
  <si>
    <t>2272652540002656</t>
  </si>
  <si>
    <t>32285002460177</t>
  </si>
  <si>
    <t>893508254</t>
  </si>
  <si>
    <t>DS63.2.U5 F7 1989</t>
  </si>
  <si>
    <t>0                      DS 0063200U  5                  F  7           1989</t>
  </si>
  <si>
    <t>The USA and the Middle East since World War 2 / T.G. Fraser.</t>
  </si>
  <si>
    <t>Fraser, T. G.</t>
  </si>
  <si>
    <t>1990-07-05</t>
  </si>
  <si>
    <t>19450010:eng</t>
  </si>
  <si>
    <t>18949652</t>
  </si>
  <si>
    <t>991001416489702656</t>
  </si>
  <si>
    <t>2270746820002656</t>
  </si>
  <si>
    <t>9780312030186</t>
  </si>
  <si>
    <t>32285000207430</t>
  </si>
  <si>
    <t>893866217</t>
  </si>
  <si>
    <t>DS63.2.U5 F74 1992</t>
  </si>
  <si>
    <t>0                      DS 0063200U  5                  F  74          1992</t>
  </si>
  <si>
    <t>Dawn over Suez : the rise of American power in the Middle East, 1953-1957 / Steven Z. Freiberger.</t>
  </si>
  <si>
    <t>Freiberger, Steven Z.</t>
  </si>
  <si>
    <t>Chicago : I.R. Dee, 1992.</t>
  </si>
  <si>
    <t>365417108:eng</t>
  </si>
  <si>
    <t>25131069</t>
  </si>
  <si>
    <t>991001980469702656</t>
  </si>
  <si>
    <t>2271262330002656</t>
  </si>
  <si>
    <t>9780929587837</t>
  </si>
  <si>
    <t>32285001199263</t>
  </si>
  <si>
    <t>893785585</t>
  </si>
  <si>
    <t>DS63.2.U5 F85 2006</t>
  </si>
  <si>
    <t>0                      DS 0063200U  5                  F  85          2006</t>
  </si>
  <si>
    <t>Advertising's war on terrorism : the story of the U.S. State Department's Shared Values Initiative / Jami A. Fullerton, Alice G. Kendrick.</t>
  </si>
  <si>
    <t>Fullerton, Jami A., 1963-</t>
  </si>
  <si>
    <t>Spokane, Wash. : Marquette Books, c2006.</t>
  </si>
  <si>
    <t>2007-02-09</t>
  </si>
  <si>
    <t>2007-01-30</t>
  </si>
  <si>
    <t>47793309:eng</t>
  </si>
  <si>
    <t>63679944</t>
  </si>
  <si>
    <t>991005017719702656</t>
  </si>
  <si>
    <t>2270028810002656</t>
  </si>
  <si>
    <t>9780922993437</t>
  </si>
  <si>
    <t>32285005273759</t>
  </si>
  <si>
    <t>893254332</t>
  </si>
  <si>
    <t>DS63.2.U5 G47 1984</t>
  </si>
  <si>
    <t>0                      DS 0063200U  5                  G  47          1984</t>
  </si>
  <si>
    <t>The Kissinger legacy : American-Middle East policy / by Ishaq I. Ghanayem and Alden H. Voth.</t>
  </si>
  <si>
    <t>Ghanayem, Ishaq I.</t>
  </si>
  <si>
    <t>New York : Praeger, 1984.</t>
  </si>
  <si>
    <t>1994-10-09</t>
  </si>
  <si>
    <t>2559869:eng</t>
  </si>
  <si>
    <t>10163252</t>
  </si>
  <si>
    <t>991000324649702656</t>
  </si>
  <si>
    <t>2268558130002656</t>
  </si>
  <si>
    <t>9780030697524</t>
  </si>
  <si>
    <t>32285000107838</t>
  </si>
  <si>
    <t>893871568</t>
  </si>
  <si>
    <t>DS63.2.U5 H345 2005</t>
  </si>
  <si>
    <t>0                      DS 0063200U  5                  H  345         2005</t>
  </si>
  <si>
    <t>Sandstorm : policy failure in the Middle East / Leon Hadar.</t>
  </si>
  <si>
    <t>Hadar, Leon T.</t>
  </si>
  <si>
    <t>2006-10-13</t>
  </si>
  <si>
    <t>793983007:eng</t>
  </si>
  <si>
    <t>56840484</t>
  </si>
  <si>
    <t>991004911589702656</t>
  </si>
  <si>
    <t>2256143670002656</t>
  </si>
  <si>
    <t>9781403967244</t>
  </si>
  <si>
    <t>32285005225213</t>
  </si>
  <si>
    <t>893241962</t>
  </si>
  <si>
    <t>DS63.2.U5 K35 1993</t>
  </si>
  <si>
    <t>0                      DS 0063200U  5                  K  35          1993</t>
  </si>
  <si>
    <t>The Arabists : the romance of an American elite / Robert D. Kaplan.</t>
  </si>
  <si>
    <t>New York : Free Press ; Toronto : Maxwell Macmillan Canada ; New York : Maxwell Macmillan International, c1993.</t>
  </si>
  <si>
    <t>837009956:eng</t>
  </si>
  <si>
    <t>28182832</t>
  </si>
  <si>
    <t>991005223419702656</t>
  </si>
  <si>
    <t>2270348040002656</t>
  </si>
  <si>
    <t>9780029167854</t>
  </si>
  <si>
    <t>32285005409684</t>
  </si>
  <si>
    <t>893720009</t>
  </si>
  <si>
    <t>DS63.2.U5 M43 2003</t>
  </si>
  <si>
    <t>0                      DS 0063200U  5                  M  43          2003</t>
  </si>
  <si>
    <t>The Middle East and the United States : a historical and political reassessment / edited by David W. Lesch.</t>
  </si>
  <si>
    <t>Boulder, Colo. : Westview Press, 2003.</t>
  </si>
  <si>
    <t>792572048:eng</t>
  </si>
  <si>
    <t>51519564</t>
  </si>
  <si>
    <t>991004016149702656</t>
  </si>
  <si>
    <t>2260357640002656</t>
  </si>
  <si>
    <t>9780813339405</t>
  </si>
  <si>
    <t>32285004689997</t>
  </si>
  <si>
    <t>893605534</t>
  </si>
  <si>
    <t>DS63.2.U5 O54 2007</t>
  </si>
  <si>
    <t>0                      DS 0063200U  5                  O  54          2007</t>
  </si>
  <si>
    <t>Power, faith, and fantasy : America in the Middle East, 1776 to the present / Michael B. Oren.</t>
  </si>
  <si>
    <t>Oren, Michael B., 1955-</t>
  </si>
  <si>
    <t>New York : W.W. Norton &amp; Co., c2007.</t>
  </si>
  <si>
    <t>2007-06-05</t>
  </si>
  <si>
    <t>793074724:eng</t>
  </si>
  <si>
    <t>74965235</t>
  </si>
  <si>
    <t>991005082999702656</t>
  </si>
  <si>
    <t>2257913310002656</t>
  </si>
  <si>
    <t>9780393058260</t>
  </si>
  <si>
    <t>32285005315055</t>
  </si>
  <si>
    <t>893326131</t>
  </si>
  <si>
    <t>DS63.2.U5 S62 1985</t>
  </si>
  <si>
    <t>0                      DS 0063200U  5                  S  62          1985</t>
  </si>
  <si>
    <t>The other Arab-Israeli conflict : making America's Middle East policy, from Truman to Reagan / Steven L. Spiegel.</t>
  </si>
  <si>
    <t>Spiegel, Steven L.</t>
  </si>
  <si>
    <t>Chicago : University of Chicago Press, c1985.</t>
  </si>
  <si>
    <t>Middle Eastern studies ; monograph 1</t>
  </si>
  <si>
    <t>1993-09-22</t>
  </si>
  <si>
    <t>19974274:eng</t>
  </si>
  <si>
    <t>11211328</t>
  </si>
  <si>
    <t>991000506259702656</t>
  </si>
  <si>
    <t>2255422190002656</t>
  </si>
  <si>
    <t>9780226769615</t>
  </si>
  <si>
    <t>32285000152420</t>
  </si>
  <si>
    <t>893607967</t>
  </si>
  <si>
    <t>DS63.2.U5 S64 1983</t>
  </si>
  <si>
    <t>0                      DS 0063200U  5                  S  64          1983</t>
  </si>
  <si>
    <t>Split vision : the portrayal of Arabs in the American media / edited by Edmund Ghareeb.</t>
  </si>
  <si>
    <t>Washington, D.C. : American-Arab Affairs Council, c1983.</t>
  </si>
  <si>
    <t>Rev. and expanded ed.</t>
  </si>
  <si>
    <t>364113501:eng</t>
  </si>
  <si>
    <t>9715095</t>
  </si>
  <si>
    <t>991000246649702656</t>
  </si>
  <si>
    <t>2265638880002656</t>
  </si>
  <si>
    <t>9780943182001</t>
  </si>
  <si>
    <t>32285000111624</t>
  </si>
  <si>
    <t>893802625</t>
  </si>
  <si>
    <t>DS63.2.U5 S72 2003</t>
  </si>
  <si>
    <t>0                      DS 0063200U  5                  S  72          2003</t>
  </si>
  <si>
    <t>Challenges to peace in the Middle East / Dennis G. Stevens.</t>
  </si>
  <si>
    <t>Stevens, Dennis G.</t>
  </si>
  <si>
    <t>New York : Longman, c2003.</t>
  </si>
  <si>
    <t>665844:eng</t>
  </si>
  <si>
    <t>50645583</t>
  </si>
  <si>
    <t>991004141629702656</t>
  </si>
  <si>
    <t>2257670190002656</t>
  </si>
  <si>
    <t>9780205280636</t>
  </si>
  <si>
    <t>32285004795661</t>
  </si>
  <si>
    <t>893435934</t>
  </si>
  <si>
    <t>DS63.2.U5 S8 1988</t>
  </si>
  <si>
    <t>0                      DS 0063200U  5                  S  8           1988</t>
  </si>
  <si>
    <t>The Arabs in the mind of America.</t>
  </si>
  <si>
    <t>Suleiman, Michael W.</t>
  </si>
  <si>
    <t>Brattleboro : Amana Books, c1988.</t>
  </si>
  <si>
    <t>2000-11-05</t>
  </si>
  <si>
    <t>1099374463:eng</t>
  </si>
  <si>
    <t>18467164</t>
  </si>
  <si>
    <t>991001355609702656</t>
  </si>
  <si>
    <t>2267160560002656</t>
  </si>
  <si>
    <t>9780915597697</t>
  </si>
  <si>
    <t>32285000274620</t>
  </si>
  <si>
    <t>893225796</t>
  </si>
  <si>
    <t>DS63.2.U5 T45 1993</t>
  </si>
  <si>
    <t>0                      DS 0063200U  5                  T  45          1993</t>
  </si>
  <si>
    <t>Twin pillars to Desert Storm : America's flawed vision in the Middle East from Nixon to Bush / Howard Teicher and Gayle Radley Teicher.</t>
  </si>
  <si>
    <t>Teicher, Howard.</t>
  </si>
  <si>
    <t>New York : William Morrow and Co., 1993.</t>
  </si>
  <si>
    <t>29165776:eng</t>
  </si>
  <si>
    <t>26850955</t>
  </si>
  <si>
    <t>991002091529702656</t>
  </si>
  <si>
    <t>2265811490002656</t>
  </si>
  <si>
    <t>9780688112547</t>
  </si>
  <si>
    <t>32285001583953</t>
  </si>
  <si>
    <t>893873091</t>
  </si>
  <si>
    <t>DS63.2.U5 T459 2002</t>
  </si>
  <si>
    <t>0                      DS 0063200U  5                  T  459         2002</t>
  </si>
  <si>
    <t>The stakes : America and the Middle East : the consequences of power and the choice for peace / Shibley Telhami.</t>
  </si>
  <si>
    <t>Telhami, Shibley.</t>
  </si>
  <si>
    <t>Boulder, Colo. : Westview Press, 2002.</t>
  </si>
  <si>
    <t>2003-10-15</t>
  </si>
  <si>
    <t>2003-02-06</t>
  </si>
  <si>
    <t>3901268913:eng</t>
  </si>
  <si>
    <t>51115357</t>
  </si>
  <si>
    <t>991003968289702656</t>
  </si>
  <si>
    <t>2272433770002656</t>
  </si>
  <si>
    <t>9780813340784</t>
  </si>
  <si>
    <t>32285004697594</t>
  </si>
  <si>
    <t>893718297</t>
  </si>
  <si>
    <t>DS63.2.U5 Y48  2004</t>
  </si>
  <si>
    <t>0                      DS 0063200U  5                  Y  48          2004</t>
  </si>
  <si>
    <t>Crude awakenings : global oil security and American foreign policy / Steve A. Yetiv.</t>
  </si>
  <si>
    <t>Ithaca : Cornell University Press, 2004.</t>
  </si>
  <si>
    <t>864151282:eng</t>
  </si>
  <si>
    <t>54529089</t>
  </si>
  <si>
    <t>991004406699702656</t>
  </si>
  <si>
    <t>2272491480002656</t>
  </si>
  <si>
    <t>9780801442681</t>
  </si>
  <si>
    <t>32285005013676</t>
  </si>
  <si>
    <t>893343798</t>
  </si>
  <si>
    <t>DS63.2.U5 Y48 2008</t>
  </si>
  <si>
    <t>0                      DS 0063200U  5                  Y  48          2008</t>
  </si>
  <si>
    <t>The absence of grand strategy : the United States in the Persian Gulf, 1972-2005 / Steve A. Yetiv.</t>
  </si>
  <si>
    <t>Baltimore, MD : Johns Hopkins University Press, 2008.</t>
  </si>
  <si>
    <t>2009-02-18</t>
  </si>
  <si>
    <t>2009-02-12</t>
  </si>
  <si>
    <t>797250851:eng</t>
  </si>
  <si>
    <t>162502014</t>
  </si>
  <si>
    <t>991005294619702656</t>
  </si>
  <si>
    <t>2259386740002656</t>
  </si>
  <si>
    <t>9780801887819</t>
  </si>
  <si>
    <t>32285005503908</t>
  </si>
  <si>
    <t>893418703</t>
  </si>
  <si>
    <t>DS63.4 .T39 1995</t>
  </si>
  <si>
    <t>0                      DS 0063400T  39          1995</t>
  </si>
  <si>
    <t>The formation of modern Syria and Iraq / Eliezer Tauber.</t>
  </si>
  <si>
    <t>Ṭaʼuber, Eliʻezer.</t>
  </si>
  <si>
    <t>Ilford, Essex, England ; Portland, Or. : Frank Cass, 1995.</t>
  </si>
  <si>
    <t>2699541:eng</t>
  </si>
  <si>
    <t>30667943</t>
  </si>
  <si>
    <t>991002357589702656</t>
  </si>
  <si>
    <t>2268048000002656</t>
  </si>
  <si>
    <t>9780714641058</t>
  </si>
  <si>
    <t>32285003273264</t>
  </si>
  <si>
    <t>893703967</t>
  </si>
  <si>
    <t>DS63.6 .B22 2004</t>
  </si>
  <si>
    <t>0                      DS 0063600B  22          2004</t>
  </si>
  <si>
    <t>Arab unity and disunity : past and present / Fuad Baali.</t>
  </si>
  <si>
    <t>Baali, Fuad.</t>
  </si>
  <si>
    <t>Lanham, MD : University Press of America, 2004.</t>
  </si>
  <si>
    <t>2004-08-30</t>
  </si>
  <si>
    <t>15997389:eng</t>
  </si>
  <si>
    <t>55672822</t>
  </si>
  <si>
    <t>991004328949702656</t>
  </si>
  <si>
    <t>2264094100002656</t>
  </si>
  <si>
    <t>9780761829157</t>
  </si>
  <si>
    <t>32285004983986</t>
  </si>
  <si>
    <t>893888572</t>
  </si>
  <si>
    <t>DS63.6 .K73 1996</t>
  </si>
  <si>
    <t>0                      DS 0063600K  73          1996</t>
  </si>
  <si>
    <t>Arab awakening &amp; Islamic revival : the politics of ideas in the Middle East / Martin Kramer.</t>
  </si>
  <si>
    <t>Kramer, Martin S.</t>
  </si>
  <si>
    <t>New Brunswick : Transaction Publishers, c1996.</t>
  </si>
  <si>
    <t>1998-11-01</t>
  </si>
  <si>
    <t>1998-06-10</t>
  </si>
  <si>
    <t>284800769:eng</t>
  </si>
  <si>
    <t>34598181</t>
  </si>
  <si>
    <t>991002643609702656</t>
  </si>
  <si>
    <t>2268710950002656</t>
  </si>
  <si>
    <t>9781560002727</t>
  </si>
  <si>
    <t>32285003414686</t>
  </si>
  <si>
    <t>893873777</t>
  </si>
  <si>
    <t>DS63.6 .O75 1991</t>
  </si>
  <si>
    <t>0                      DS 0063600O  75          1991</t>
  </si>
  <si>
    <t>The Origins of Arab nationalism / edited by Rashid Khalidi ... [et al.].</t>
  </si>
  <si>
    <t>New York : Columbia University Press, c1991.</t>
  </si>
  <si>
    <t>55461222:eng</t>
  </si>
  <si>
    <t>23732543</t>
  </si>
  <si>
    <t>991001882019702656</t>
  </si>
  <si>
    <t>2265472980002656</t>
  </si>
  <si>
    <t>9780231074346</t>
  </si>
  <si>
    <t>32285001039949</t>
  </si>
  <si>
    <t>893879263</t>
  </si>
  <si>
    <t>DS63.6 .R47 1997</t>
  </si>
  <si>
    <t>0                      DS 0063600R  47          1997</t>
  </si>
  <si>
    <t>Rethinking nationalism in the Arab Middle East / James Jankowski and Israel Gershoni, editors.</t>
  </si>
  <si>
    <t>1081639401:eng</t>
  </si>
  <si>
    <t>36621944</t>
  </si>
  <si>
    <t>991002788299702656</t>
  </si>
  <si>
    <t>2265323800002656</t>
  </si>
  <si>
    <t>9780231106948</t>
  </si>
  <si>
    <t>32285003533535</t>
  </si>
  <si>
    <t>893622726</t>
  </si>
  <si>
    <t>DS63.6 .W38 2006</t>
  </si>
  <si>
    <t>0                      DS 0063600W  38          2006</t>
  </si>
  <si>
    <t>Being modern in the Middle East : revolution, nationalism, colonialism, and the Arab middle class / Keith David Watenpaugh.</t>
  </si>
  <si>
    <t>Watenpaugh, Keith David, 1966-</t>
  </si>
  <si>
    <t>Princeton, N.J. : Princeton University Press, c2006.</t>
  </si>
  <si>
    <t>2007-04-24</t>
  </si>
  <si>
    <t>890964472:eng</t>
  </si>
  <si>
    <t>61162277</t>
  </si>
  <si>
    <t>991005066189702656</t>
  </si>
  <si>
    <t>2269060720002656</t>
  </si>
  <si>
    <t>9780691121697</t>
  </si>
  <si>
    <t>32285005289417</t>
  </si>
  <si>
    <t>893807769</t>
  </si>
  <si>
    <t>DS63.74 .G46 1999</t>
  </si>
  <si>
    <t>0                      DS 0063740G  46          1999</t>
  </si>
  <si>
    <t>America and political Islam : clash of cultures or clash of interests? / Fawaz A. Gerges.</t>
  </si>
  <si>
    <t>Gerges, Fawaz A., 1958-</t>
  </si>
  <si>
    <t>Cambridge, UK ; New York, NY : Cambridge University Press, 1999.</t>
  </si>
  <si>
    <t>2006-05-17</t>
  </si>
  <si>
    <t>836977503:eng</t>
  </si>
  <si>
    <t>39654883</t>
  </si>
  <si>
    <t>991003884299702656</t>
  </si>
  <si>
    <t>2268139100002656</t>
  </si>
  <si>
    <t>9780521630429</t>
  </si>
  <si>
    <t>32285004755673</t>
  </si>
  <si>
    <t>893435593</t>
  </si>
  <si>
    <t>DS632.B25 W55 1990</t>
  </si>
  <si>
    <t>0                      DS 0632000B  25                 W  55          1990</t>
  </si>
  <si>
    <t>Managing turbulent hearts : a Balinese formula for living / Unni Wikan.</t>
  </si>
  <si>
    <t>Wikan, Unni, 1944-</t>
  </si>
  <si>
    <t>Chicago : University of Chicago Press, 1990.</t>
  </si>
  <si>
    <t>1991-08-06</t>
  </si>
  <si>
    <t>23939843:eng</t>
  </si>
  <si>
    <t>21948938</t>
  </si>
  <si>
    <t>991001732429702656</t>
  </si>
  <si>
    <t>2258510960002656</t>
  </si>
  <si>
    <t>9780226896809</t>
  </si>
  <si>
    <t>32285000664051</t>
  </si>
  <si>
    <t>893626804</t>
  </si>
  <si>
    <t>DS632.L33 B37 1996</t>
  </si>
  <si>
    <t>0                      DS 0632000L  33                 B  37          1996</t>
  </si>
  <si>
    <t>Sea hunters of Indonesia : fishers and weavers of Lamalera / R.H. Barnes.</t>
  </si>
  <si>
    <t>Barnes, R. H. (Robert Harrison), 1944-</t>
  </si>
  <si>
    <t>Oxford : Clarendon Press ; New York : Oxford University Press, 1996.</t>
  </si>
  <si>
    <t>Oxford studies in social and cultural anthropology</t>
  </si>
  <si>
    <t>1998-11-22</t>
  </si>
  <si>
    <t>1997-12-05</t>
  </si>
  <si>
    <t>39539219:eng</t>
  </si>
  <si>
    <t>34705093</t>
  </si>
  <si>
    <t>991002654749702656</t>
  </si>
  <si>
    <t>2264800020002656</t>
  </si>
  <si>
    <t>9780198280705</t>
  </si>
  <si>
    <t>32285003281549</t>
  </si>
  <si>
    <t>893710520</t>
  </si>
  <si>
    <t>DS632.M4 B53 2000</t>
  </si>
  <si>
    <t>0                      DS 0632000M  4                  B  53          2000</t>
  </si>
  <si>
    <t>Webs of power : women, kin, and community in a Sumatran village / Evelyn Blackwood.</t>
  </si>
  <si>
    <t>Blackwood, Evelyn.</t>
  </si>
  <si>
    <t>Lanham : Rowman &amp; Littlefield, c2000.</t>
  </si>
  <si>
    <t>366475603:eng</t>
  </si>
  <si>
    <t>42296701</t>
  </si>
  <si>
    <t>991003321829702656</t>
  </si>
  <si>
    <t>2255610660002656</t>
  </si>
  <si>
    <t>9780847699100</t>
  </si>
  <si>
    <t>32285004276563</t>
  </si>
  <si>
    <t>893899862</t>
  </si>
  <si>
    <t>DS632.M4 H34 2008</t>
  </si>
  <si>
    <t>0                      DS 0632000M  4                  H  34          2008</t>
  </si>
  <si>
    <t>Muslims and matriarchs : cultural resilience in Indonesia through jihad and colonialism / Jeffrey Hadler.</t>
  </si>
  <si>
    <t>Hadler, Jeffrey Alan, 1968-2017.</t>
  </si>
  <si>
    <t>Ithaca : Cornell University Press, 2008.</t>
  </si>
  <si>
    <t>2010-10-13</t>
  </si>
  <si>
    <t>917854169:eng</t>
  </si>
  <si>
    <t>225852390</t>
  </si>
  <si>
    <t>991000179639702656</t>
  </si>
  <si>
    <t>2254849760002656</t>
  </si>
  <si>
    <t>9780801446979</t>
  </si>
  <si>
    <t>32285005601272</t>
  </si>
  <si>
    <t>893884205</t>
  </si>
  <si>
    <t>DS632.S89 F67 2001</t>
  </si>
  <si>
    <t>0                      DS 0632000S  89                 F  67          2001</t>
  </si>
  <si>
    <t>Between the folds : stories of cloth, lives, and travels from Sumba / Jill Forshee.</t>
  </si>
  <si>
    <t>Forshee, Jill.</t>
  </si>
  <si>
    <t>[Honolulu] : University of Hawai'i Press, c2001.</t>
  </si>
  <si>
    <t>2001-10-23</t>
  </si>
  <si>
    <t>793843714:eng</t>
  </si>
  <si>
    <t>44019162</t>
  </si>
  <si>
    <t>991003641589702656</t>
  </si>
  <si>
    <t>2262413980002656</t>
  </si>
  <si>
    <t>9780824822880</t>
  </si>
  <si>
    <t>32285004399522</t>
  </si>
  <si>
    <t>893781226</t>
  </si>
  <si>
    <t>DS632.S9 J32</t>
  </si>
  <si>
    <t>0                      DS 0632000S  9                  J  32</t>
  </si>
  <si>
    <t>Traditional authority, Islam, and rebellion : a study of Indonesian political behavior / Karl D. Jackson.</t>
  </si>
  <si>
    <t>Jackson, Karl D.</t>
  </si>
  <si>
    <t>Berkeley : University of California Press, c1980.</t>
  </si>
  <si>
    <t>501868:eng</t>
  </si>
  <si>
    <t>6176114</t>
  </si>
  <si>
    <t>991004940059702656</t>
  </si>
  <si>
    <t>2258124960002656</t>
  </si>
  <si>
    <t>9780520037694</t>
  </si>
  <si>
    <t>32285000337856</t>
  </si>
  <si>
    <t>893801525</t>
  </si>
  <si>
    <t>DS632.T62 R63 1997</t>
  </si>
  <si>
    <t>0                      DS 0632000T  62                 R  63          1997</t>
  </si>
  <si>
    <t>In the shadow of migration : rural women and their households in North Tapanuli, Indonesia / Janet Rodenburg.</t>
  </si>
  <si>
    <t>Rodenburg, Janet, 1960-</t>
  </si>
  <si>
    <t>Leiden : KITLV Press, 1997.</t>
  </si>
  <si>
    <t>Verhandelingen van het Koninklijk Instituut voor Taal-, Land- en Volkenkunde ; 174</t>
  </si>
  <si>
    <t>1998-09-23</t>
  </si>
  <si>
    <t>635470:eng</t>
  </si>
  <si>
    <t>37971841</t>
  </si>
  <si>
    <t>991002880799702656</t>
  </si>
  <si>
    <t>2263411150002656</t>
  </si>
  <si>
    <t>9789067181082</t>
  </si>
  <si>
    <t>32285003470662</t>
  </si>
  <si>
    <t>893610415</t>
  </si>
  <si>
    <t>DS634 .Z3 1970</t>
  </si>
  <si>
    <t>0                      DS 0634000Z  3           1970</t>
  </si>
  <si>
    <t>A short history of Indonesia / [by] Ailsa Zainu'ddin.</t>
  </si>
  <si>
    <t>Zainu'ddin, Ailsa Gwennyth.</t>
  </si>
  <si>
    <t>New York : Praeger Publishers, [1970, c1968]</t>
  </si>
  <si>
    <t>1997-02-11</t>
  </si>
  <si>
    <t>1992-11-04</t>
  </si>
  <si>
    <t>1139015:eng</t>
  </si>
  <si>
    <t>81178</t>
  </si>
  <si>
    <t>991000499699702656</t>
  </si>
  <si>
    <t>2269807900002656</t>
  </si>
  <si>
    <t>32285001380640</t>
  </si>
  <si>
    <t>893777984</t>
  </si>
  <si>
    <t>DS640.M34 M3</t>
  </si>
  <si>
    <t>0                      DS 0640000M  34                 M  3</t>
  </si>
  <si>
    <t>Konfrontasi : the Indonesia-Malaysia dispute, 1963-1966 / J. A. C. Mackie.</t>
  </si>
  <si>
    <t>Mackie, J. A. C.</t>
  </si>
  <si>
    <t>Kuala Lumpur ; New York : Published for the Australian Institute of International Affairs [by] Oxford University Press, 1974.</t>
  </si>
  <si>
    <t>131916879:eng</t>
  </si>
  <si>
    <t>1366675</t>
  </si>
  <si>
    <t>991003721879702656</t>
  </si>
  <si>
    <t>2255219100002656</t>
  </si>
  <si>
    <t>9780196382470</t>
  </si>
  <si>
    <t>32285002445384</t>
  </si>
  <si>
    <t>893711701</t>
  </si>
  <si>
    <t>DS644 .L364 1983</t>
  </si>
  <si>
    <t>0                      DS 0644000L  364         1983</t>
  </si>
  <si>
    <t>Indonesia's foreign policy / Michael Leifer.</t>
  </si>
  <si>
    <t>Leifer, Michael.</t>
  </si>
  <si>
    <t>London ; Boston : Published for the Royal Institute of International Affairs by Allen &amp; Unwin, 1983.</t>
  </si>
  <si>
    <t>2005-01-04</t>
  </si>
  <si>
    <t>43559754:eng</t>
  </si>
  <si>
    <t>9133040</t>
  </si>
  <si>
    <t>991000135929702656</t>
  </si>
  <si>
    <t>2270321430002656</t>
  </si>
  <si>
    <t>9780043270691</t>
  </si>
  <si>
    <t>32285000672492</t>
  </si>
  <si>
    <t>893601491</t>
  </si>
  <si>
    <t>DS644.1.S8 H47 2002</t>
  </si>
  <si>
    <t>0                      DS 0644100S  8                  H  47          2002</t>
  </si>
  <si>
    <t>Soekarno : founding father of Indonesia, 1901-1945 / Bob Hering.</t>
  </si>
  <si>
    <t>Hering, B. B.</t>
  </si>
  <si>
    <t>Leiden : KITLV Press, 2002.</t>
  </si>
  <si>
    <t>Verhandelingen van het Koninklijk Instituut voor Taal-, Land- en Volkenkunde ; 192</t>
  </si>
  <si>
    <t>2004-09-08</t>
  </si>
  <si>
    <t>4146933:eng</t>
  </si>
  <si>
    <t>51245342</t>
  </si>
  <si>
    <t>991004359439702656</t>
  </si>
  <si>
    <t>2268045570002656</t>
  </si>
  <si>
    <t>9789067181914</t>
  </si>
  <si>
    <t>32285004985627</t>
  </si>
  <si>
    <t>893888608</t>
  </si>
  <si>
    <t>DS644.4 .I55 2001</t>
  </si>
  <si>
    <t>0                      DS 0644400I  55          2001</t>
  </si>
  <si>
    <t>Indonesia today : challenges of history / edited by Grayson Lloyd, Shannon Smith.</t>
  </si>
  <si>
    <t>Singapore : Rowman &amp; Littlefield Publishers, c2001.</t>
  </si>
  <si>
    <t>Indonesia assessment series</t>
  </si>
  <si>
    <t>795437716:eng</t>
  </si>
  <si>
    <t>50662498</t>
  </si>
  <si>
    <t>991003715909702656</t>
  </si>
  <si>
    <t>2259458870002656</t>
  </si>
  <si>
    <t>9780742517622</t>
  </si>
  <si>
    <t>32285004454574</t>
  </si>
  <si>
    <t>893416707</t>
  </si>
  <si>
    <t>DS644.4 .R347 1995</t>
  </si>
  <si>
    <t>0                      DS 0644400R  347         1995</t>
  </si>
  <si>
    <t>Politics in Indonesia : democracy, Islam, and the ideology of tolerance / Douglas E. Ramage.</t>
  </si>
  <si>
    <t>Ramage, Douglas E., 1963-</t>
  </si>
  <si>
    <t>Politics in Asia series</t>
  </si>
  <si>
    <t>799703502:eng</t>
  </si>
  <si>
    <t>32626197</t>
  </si>
  <si>
    <t>991002509049702656</t>
  </si>
  <si>
    <t>2267609650002656</t>
  </si>
  <si>
    <t>9780415125482</t>
  </si>
  <si>
    <t>32285002479888</t>
  </si>
  <si>
    <t>893716544</t>
  </si>
  <si>
    <t>DS644.4 .S38 1994</t>
  </si>
  <si>
    <t>0                      DS 0644400S  38          1994</t>
  </si>
  <si>
    <t>A nation in waiting : Indonesia in the 1990s / Adam Schwarz.</t>
  </si>
  <si>
    <t>Schwarz, Adam.</t>
  </si>
  <si>
    <t>32039689:eng</t>
  </si>
  <si>
    <t>30356852</t>
  </si>
  <si>
    <t>991002332499702656</t>
  </si>
  <si>
    <t>2254707920002656</t>
  </si>
  <si>
    <t>9780813388816</t>
  </si>
  <si>
    <t>32285002143500</t>
  </si>
  <si>
    <t>893804485</t>
  </si>
  <si>
    <t>DS644.4 .V38 1994</t>
  </si>
  <si>
    <t>0                      DS 0644400V  38          1994</t>
  </si>
  <si>
    <t>Indonesian politics under Suharto : order, development and pressure for change / Michael R.J. Vatikiotis.</t>
  </si>
  <si>
    <t>Vatikiotis, Michael R. J., 1957-</t>
  </si>
  <si>
    <t>London ; New York : Routledge, 1994.</t>
  </si>
  <si>
    <t>Rev. ed</t>
  </si>
  <si>
    <t>2007-02-24</t>
  </si>
  <si>
    <t>4924954270:eng</t>
  </si>
  <si>
    <t>29634275</t>
  </si>
  <si>
    <t>991002284879702656</t>
  </si>
  <si>
    <t>2255487450002656</t>
  </si>
  <si>
    <t>9780415107075</t>
  </si>
  <si>
    <t>32285002113503</t>
  </si>
  <si>
    <t>893591163</t>
  </si>
  <si>
    <t>DS646.15.A8 D74 2008</t>
  </si>
  <si>
    <t>0                      DS 0646150A  8                  D  74          2008</t>
  </si>
  <si>
    <t>Aceh, Indonesia : securing the insecure state / Elizabeth F. Drexler.</t>
  </si>
  <si>
    <t>Drexler, Elizabeth F.</t>
  </si>
  <si>
    <t>Philadelphia, Pa. : University of Pennsylvania Press, c2008.</t>
  </si>
  <si>
    <t>Ethnography of political violence</t>
  </si>
  <si>
    <t>2009-03-31</t>
  </si>
  <si>
    <t>304802223:eng</t>
  </si>
  <si>
    <t>213447358</t>
  </si>
  <si>
    <t>991005304999702656</t>
  </si>
  <si>
    <t>2264998050002656</t>
  </si>
  <si>
    <t>9780812240573</t>
  </si>
  <si>
    <t>32285005511794</t>
  </si>
  <si>
    <t>893248698</t>
  </si>
  <si>
    <t>DS646.2 .W82</t>
  </si>
  <si>
    <t>0                      DS 0646200W  82</t>
  </si>
  <si>
    <t>Java, facts and fancies, by Augusta de Wit. With 160 illustrations.</t>
  </si>
  <si>
    <t>Wit, Augusta de.</t>
  </si>
  <si>
    <t>Philadelphia, J.B. Lippincott company; The Hague, W. P. van Stockum &amp; son, 1906.</t>
  </si>
  <si>
    <t>1906</t>
  </si>
  <si>
    <t>1997-03-07</t>
  </si>
  <si>
    <t>3962794:eng</t>
  </si>
  <si>
    <t>6529681</t>
  </si>
  <si>
    <t>991004997309702656</t>
  </si>
  <si>
    <t>2267822810002656</t>
  </si>
  <si>
    <t>32285002273497</t>
  </si>
  <si>
    <t>893905163</t>
  </si>
  <si>
    <t>DS646.23 .B43 1990</t>
  </si>
  <si>
    <t>0                      DS 0646230B  43          1990</t>
  </si>
  <si>
    <t>Life in the Javanese kraton / Aart van Beek.</t>
  </si>
  <si>
    <t>Van Beek, Aart.</t>
  </si>
  <si>
    <t>Singapore ; New York : Oxford University Press, 1990.</t>
  </si>
  <si>
    <t>Images of Asia</t>
  </si>
  <si>
    <t>1996-11-22</t>
  </si>
  <si>
    <t>23055822:eng</t>
  </si>
  <si>
    <t>21910498</t>
  </si>
  <si>
    <t>991001730439702656</t>
  </si>
  <si>
    <t>2264109870002656</t>
  </si>
  <si>
    <t>9780195889253</t>
  </si>
  <si>
    <t>32285002385325</t>
  </si>
  <si>
    <t>893433071</t>
  </si>
  <si>
    <t>DS646.3 .O44 1985</t>
  </si>
  <si>
    <t>0                      DS 0646300O  44          1985</t>
  </si>
  <si>
    <t>Into the heart of Borneo / Redmond O'Hanlon.</t>
  </si>
  <si>
    <t>O'Hanlon, Redmond, 1947-</t>
  </si>
  <si>
    <t>New York : Random House, [c1985], 1984.</t>
  </si>
  <si>
    <t>2287555575:eng</t>
  </si>
  <si>
    <t>11370658</t>
  </si>
  <si>
    <t>991000526079702656</t>
  </si>
  <si>
    <t>2259979330002656</t>
  </si>
  <si>
    <t>9780394544816</t>
  </si>
  <si>
    <t>32285000337872</t>
  </si>
  <si>
    <t>893607994</t>
  </si>
  <si>
    <t>DS646.33 .K43</t>
  </si>
  <si>
    <t>0                      DS 0646330K  43</t>
  </si>
  <si>
    <t>White man returns. Sketches by the author.</t>
  </si>
  <si>
    <t>Keith, Agnes Newton.</t>
  </si>
  <si>
    <t>Boston, Little, Brown, 1951.</t>
  </si>
  <si>
    <t>348178:eng</t>
  </si>
  <si>
    <t>876502</t>
  </si>
  <si>
    <t>991003344779702656</t>
  </si>
  <si>
    <t>2263833320002656</t>
  </si>
  <si>
    <t>32285002445541</t>
  </si>
  <si>
    <t>893592436</t>
  </si>
  <si>
    <t>DS647.B2 B4</t>
  </si>
  <si>
    <t>0                      DS 0647000B  2                  B  4</t>
  </si>
  <si>
    <t>Traditional Balinese culture : essays.</t>
  </si>
  <si>
    <t>Belo, Jane, 1904-1968, compiler.</t>
  </si>
  <si>
    <t>480938683:eng</t>
  </si>
  <si>
    <t>91322</t>
  </si>
  <si>
    <t>991000545679702656</t>
  </si>
  <si>
    <t>2264513360002656</t>
  </si>
  <si>
    <t>9780231030847</t>
  </si>
  <si>
    <t>32285000155050</t>
  </si>
  <si>
    <t>893407294</t>
  </si>
  <si>
    <t>DS647.B2 C68 1986</t>
  </si>
  <si>
    <t>0                      DS 0647000B  2                  C  68          1986</t>
  </si>
  <si>
    <t>Island of Bali / by Miguel Covarrubias.</t>
  </si>
  <si>
    <t>Covarrubias, Miguel, 1904-1957.</t>
  </si>
  <si>
    <t>London : KPI, 1986, c1973</t>
  </si>
  <si>
    <t>Pacific Basin books</t>
  </si>
  <si>
    <t>1996-11-12</t>
  </si>
  <si>
    <t>1069335:eng</t>
  </si>
  <si>
    <t>16013560</t>
  </si>
  <si>
    <t>991001075999702656</t>
  </si>
  <si>
    <t>2256014520002656</t>
  </si>
  <si>
    <t>9780710301345</t>
  </si>
  <si>
    <t>32285002395266</t>
  </si>
  <si>
    <t>893249943</t>
  </si>
  <si>
    <t>DS647.B2 E35 1990, v...</t>
  </si>
  <si>
    <t>0                      DS 0647000B  2                  E  35          1990                  v...</t>
  </si>
  <si>
    <t>Bali, sekala and niskala / Fred B. Eiseman, Jr., with two chapters by Margaret Eiseman.</t>
  </si>
  <si>
    <t>Eiseman, Fred B., Jr., 1926-2013.</t>
  </si>
  <si>
    <t>Berkeley, Calif. : Periplus Editions, c1990-</t>
  </si>
  <si>
    <t>2822283128:eng</t>
  </si>
  <si>
    <t>20801506</t>
  </si>
  <si>
    <t>991001619669702656</t>
  </si>
  <si>
    <t>2255922140002656</t>
  </si>
  <si>
    <t>9780945971030</t>
  </si>
  <si>
    <t>32285001419281</t>
  </si>
  <si>
    <t>893797673</t>
  </si>
  <si>
    <t>1998-11-16</t>
  </si>
  <si>
    <t>32285001419299</t>
  </si>
  <si>
    <t>893797672</t>
  </si>
  <si>
    <t>DS647.B2 H58 1996</t>
  </si>
  <si>
    <t>0                      DS 0647000B  2                  H  58          1996</t>
  </si>
  <si>
    <t>The peoples of Bali / Angela Hobart, Urs Ramseyer, and Albert Leemann.</t>
  </si>
  <si>
    <t>Hobart, Angela.</t>
  </si>
  <si>
    <t>Oxford ; Cambridge, Mass., USA : Blackwell, c1996.</t>
  </si>
  <si>
    <t>The peoples of South-East Asia and the Pacific</t>
  </si>
  <si>
    <t>39883720:eng</t>
  </si>
  <si>
    <t>33897434</t>
  </si>
  <si>
    <t>991002585829702656</t>
  </si>
  <si>
    <t>2270880840002656</t>
  </si>
  <si>
    <t>9780631176879</t>
  </si>
  <si>
    <t>32285003281705</t>
  </si>
  <si>
    <t>893445257</t>
  </si>
  <si>
    <t>DS65 .H513 1973</t>
  </si>
  <si>
    <t>0                      DS 0065000H  513         1973</t>
  </si>
  <si>
    <t>The lost world of Elam; re-creation of a vanished civilization. Translated [from the German] by Jennifer Barnes.</t>
  </si>
  <si>
    <t>Hinz, Walther, 1906-1992.</t>
  </si>
  <si>
    <t>New York, New York University Press, 1973 [c1972]</t>
  </si>
  <si>
    <t>4926263448:eng</t>
  </si>
  <si>
    <t>633902</t>
  </si>
  <si>
    <t>991003081839702656</t>
  </si>
  <si>
    <t>2256774730002656</t>
  </si>
  <si>
    <t>9780283978630</t>
  </si>
  <si>
    <t>32285002460227</t>
  </si>
  <si>
    <t>893780593</t>
  </si>
  <si>
    <t>DS653 .B63</t>
  </si>
  <si>
    <t>0                      DS 0653000B  63</t>
  </si>
  <si>
    <t>The Philippine islands, 1493-1803.</t>
  </si>
  <si>
    <t>V.34</t>
  </si>
  <si>
    <t>Blair, Emma Helen, 1851-1911, editor.</t>
  </si>
  <si>
    <t>Cleveland, Ohio : The A.H. Clark company, 1903-09.</t>
  </si>
  <si>
    <t>1903</t>
  </si>
  <si>
    <t>2004-10-05</t>
  </si>
  <si>
    <t>1994-11-14</t>
  </si>
  <si>
    <t>1994-11-15</t>
  </si>
  <si>
    <t>5417037337:eng</t>
  </si>
  <si>
    <t>445792</t>
  </si>
  <si>
    <t>991002797719702656</t>
  </si>
  <si>
    <t>2262962570002656</t>
  </si>
  <si>
    <t>32285001966380</t>
  </si>
  <si>
    <t>893445366</t>
  </si>
  <si>
    <t>V.28</t>
  </si>
  <si>
    <t>32285001966323</t>
  </si>
  <si>
    <t>893428042</t>
  </si>
  <si>
    <t>2001-01-31</t>
  </si>
  <si>
    <t>32285001966083</t>
  </si>
  <si>
    <t>893428037</t>
  </si>
  <si>
    <t>V.49</t>
  </si>
  <si>
    <t>32285001966539</t>
  </si>
  <si>
    <t>893428041</t>
  </si>
  <si>
    <t>V.31</t>
  </si>
  <si>
    <t>1995-02-13</t>
  </si>
  <si>
    <t>32285001966356</t>
  </si>
  <si>
    <t>893428035</t>
  </si>
  <si>
    <t>2001-03-15</t>
  </si>
  <si>
    <t>32285001966109</t>
  </si>
  <si>
    <t>893409545</t>
  </si>
  <si>
    <t>1994-11-28</t>
  </si>
  <si>
    <t>32285001966158</t>
  </si>
  <si>
    <t>893445370</t>
  </si>
  <si>
    <t>V.44</t>
  </si>
  <si>
    <t>2003-02-10</t>
  </si>
  <si>
    <t>32285001966489</t>
  </si>
  <si>
    <t>893445365</t>
  </si>
  <si>
    <t>V.55</t>
  </si>
  <si>
    <t>1995-04-14</t>
  </si>
  <si>
    <t>32285001966596</t>
  </si>
  <si>
    <t>893434296</t>
  </si>
  <si>
    <t>V.51</t>
  </si>
  <si>
    <t>1995-04-12</t>
  </si>
  <si>
    <t>32285001966554</t>
  </si>
  <si>
    <t>893421811</t>
  </si>
  <si>
    <t>V.43</t>
  </si>
  <si>
    <t>1995-04-01</t>
  </si>
  <si>
    <t>32285001966471</t>
  </si>
  <si>
    <t>893409543</t>
  </si>
  <si>
    <t>32285001966091</t>
  </si>
  <si>
    <t>893445368</t>
  </si>
  <si>
    <t>V.22</t>
  </si>
  <si>
    <t>1995-01-05</t>
  </si>
  <si>
    <t>32285001966265</t>
  </si>
  <si>
    <t>893421813</t>
  </si>
  <si>
    <t>V.38</t>
  </si>
  <si>
    <t>1995-03-17</t>
  </si>
  <si>
    <t>32285001966422</t>
  </si>
  <si>
    <t>893409555</t>
  </si>
  <si>
    <t>V.20</t>
  </si>
  <si>
    <t>32285001966240</t>
  </si>
  <si>
    <t>893409549</t>
  </si>
  <si>
    <t>V.40</t>
  </si>
  <si>
    <t>1995-03-27</t>
  </si>
  <si>
    <t>32285001966448</t>
  </si>
  <si>
    <t>893428045</t>
  </si>
  <si>
    <t>V.21</t>
  </si>
  <si>
    <t>32285001966257</t>
  </si>
  <si>
    <t>893409560</t>
  </si>
  <si>
    <t>32285001966125</t>
  </si>
  <si>
    <t>893428029</t>
  </si>
  <si>
    <t>V.53</t>
  </si>
  <si>
    <t>32285001966570</t>
  </si>
  <si>
    <t>893421810</t>
  </si>
  <si>
    <t>V.33</t>
  </si>
  <si>
    <t>32285001966372</t>
  </si>
  <si>
    <t>893409559</t>
  </si>
  <si>
    <t>V.54</t>
  </si>
  <si>
    <t>32285001966588</t>
  </si>
  <si>
    <t>893428044</t>
  </si>
  <si>
    <t>V.13</t>
  </si>
  <si>
    <t>1994-12-05</t>
  </si>
  <si>
    <t>32285001966174</t>
  </si>
  <si>
    <t>893428043</t>
  </si>
  <si>
    <t>V.39</t>
  </si>
  <si>
    <t>1995-03-20</t>
  </si>
  <si>
    <t>32285001966430</t>
  </si>
  <si>
    <t>893428034</t>
  </si>
  <si>
    <t>V.16</t>
  </si>
  <si>
    <t>1994-12-16</t>
  </si>
  <si>
    <t>32285001966208</t>
  </si>
  <si>
    <t>893409551</t>
  </si>
  <si>
    <t>V.29</t>
  </si>
  <si>
    <t>32285001966331</t>
  </si>
  <si>
    <t>893409546</t>
  </si>
  <si>
    <t>32285001966133</t>
  </si>
  <si>
    <t>893434295</t>
  </si>
  <si>
    <t>V.26</t>
  </si>
  <si>
    <t>1995-01-27</t>
  </si>
  <si>
    <t>32285001966307</t>
  </si>
  <si>
    <t>893434297</t>
  </si>
  <si>
    <t>V.25</t>
  </si>
  <si>
    <t>1995-01-23</t>
  </si>
  <si>
    <t>32285001966299</t>
  </si>
  <si>
    <t>893409547</t>
  </si>
  <si>
    <t>V.46</t>
  </si>
  <si>
    <t>32285001966505</t>
  </si>
  <si>
    <t>893428032</t>
  </si>
  <si>
    <t>V.35</t>
  </si>
  <si>
    <t>1995-03-07</t>
  </si>
  <si>
    <t>32285001966398</t>
  </si>
  <si>
    <t>893409558</t>
  </si>
  <si>
    <t>V.15</t>
  </si>
  <si>
    <t>32285001966190</t>
  </si>
  <si>
    <t>893409552</t>
  </si>
  <si>
    <t>V.14</t>
  </si>
  <si>
    <t>32285001966182</t>
  </si>
  <si>
    <t>893428047</t>
  </si>
  <si>
    <t>V.52</t>
  </si>
  <si>
    <t>32285001966562</t>
  </si>
  <si>
    <t>893428030</t>
  </si>
  <si>
    <t>V.48</t>
  </si>
  <si>
    <t>32285001966521</t>
  </si>
  <si>
    <t>893409554</t>
  </si>
  <si>
    <t>V.42</t>
  </si>
  <si>
    <t>32285001966463</t>
  </si>
  <si>
    <t>893409544</t>
  </si>
  <si>
    <t>32285001966075</t>
  </si>
  <si>
    <t>893434298</t>
  </si>
  <si>
    <t>32285001966612</t>
  </si>
  <si>
    <t>893409553</t>
  </si>
  <si>
    <t>V.41</t>
  </si>
  <si>
    <t>1995-03-31</t>
  </si>
  <si>
    <t>32285001966455</t>
  </si>
  <si>
    <t>893428033</t>
  </si>
  <si>
    <t>V.47</t>
  </si>
  <si>
    <t>1995-04-08</t>
  </si>
  <si>
    <t>32285001966513</t>
  </si>
  <si>
    <t>893428031</t>
  </si>
  <si>
    <t>V.36</t>
  </si>
  <si>
    <t>1995-03-13</t>
  </si>
  <si>
    <t>32285001966406</t>
  </si>
  <si>
    <t>893409557</t>
  </si>
  <si>
    <t>32285001966166</t>
  </si>
  <si>
    <t>893428039</t>
  </si>
  <si>
    <t>V.37</t>
  </si>
  <si>
    <t>1995-03-15</t>
  </si>
  <si>
    <t>32285001966414</t>
  </si>
  <si>
    <t>893409556</t>
  </si>
  <si>
    <t>32285001966117</t>
  </si>
  <si>
    <t>893445363</t>
  </si>
  <si>
    <t>32285001966604</t>
  </si>
  <si>
    <t>893409541</t>
  </si>
  <si>
    <t>V.45</t>
  </si>
  <si>
    <t>32285001966497</t>
  </si>
  <si>
    <t>893445364</t>
  </si>
  <si>
    <t>32285001966224</t>
  </si>
  <si>
    <t>893409550</t>
  </si>
  <si>
    <t>32285001966281</t>
  </si>
  <si>
    <t>893428046</t>
  </si>
  <si>
    <t>V.30</t>
  </si>
  <si>
    <t>32285001966349</t>
  </si>
  <si>
    <t>893428036</t>
  </si>
  <si>
    <t>V.27</t>
  </si>
  <si>
    <t>32285001966315</t>
  </si>
  <si>
    <t>893421812</t>
  </si>
  <si>
    <t>V.19</t>
  </si>
  <si>
    <t>32285001966232</t>
  </si>
  <si>
    <t>893445369</t>
  </si>
  <si>
    <t>V.32</t>
  </si>
  <si>
    <t>1995-02-17</t>
  </si>
  <si>
    <t>32285001966364</t>
  </si>
  <si>
    <t>893445367</t>
  </si>
  <si>
    <t>32285001966141</t>
  </si>
  <si>
    <t>893428040</t>
  </si>
  <si>
    <t>V.17</t>
  </si>
  <si>
    <t>32285001966216</t>
  </si>
  <si>
    <t>893428038</t>
  </si>
  <si>
    <t>V.23</t>
  </si>
  <si>
    <t>32285001966273</t>
  </si>
  <si>
    <t>893409548</t>
  </si>
  <si>
    <t>V.50</t>
  </si>
  <si>
    <t>32285001966547</t>
  </si>
  <si>
    <t>893409542</t>
  </si>
  <si>
    <t>DS655 .C67</t>
  </si>
  <si>
    <t>0                      DS 0655000C  67</t>
  </si>
  <si>
    <t>The Philippines / [by] Onofre D. Corpuz.</t>
  </si>
  <si>
    <t>Corpuz, Onofre D.</t>
  </si>
  <si>
    <t>Englewood Cliffs, N.J. : Prentice-Hall, [1966, c1965]</t>
  </si>
  <si>
    <t>1999-02-02</t>
  </si>
  <si>
    <t>1990-05-15</t>
  </si>
  <si>
    <t>1362411:eng</t>
  </si>
  <si>
    <t>233903</t>
  </si>
  <si>
    <t>991001651399702656</t>
  </si>
  <si>
    <t>2259217810002656</t>
  </si>
  <si>
    <t>32285000155621</t>
  </si>
  <si>
    <t>893238236</t>
  </si>
  <si>
    <t>DS655 .L5 1973</t>
  </si>
  <si>
    <t>0                      DS 0655000L  5           1973</t>
  </si>
  <si>
    <t>The Philippines.</t>
  </si>
  <si>
    <t>Lightfoot, Keith.</t>
  </si>
  <si>
    <t>New York : Praeger, [1973]</t>
  </si>
  <si>
    <t>2005-02-16</t>
  </si>
  <si>
    <t>1733745:eng</t>
  </si>
  <si>
    <t>695241</t>
  </si>
  <si>
    <t>991003155819702656</t>
  </si>
  <si>
    <t>2267766170002656</t>
  </si>
  <si>
    <t>32285001297232</t>
  </si>
  <si>
    <t>893686242</t>
  </si>
  <si>
    <t>DS658 .S85</t>
  </si>
  <si>
    <t>0                      DS 0658000S  85</t>
  </si>
  <si>
    <t>Yesterdays in the Philippines. By Joseph Earle Stevens.</t>
  </si>
  <si>
    <t>Stevens, Joseph Earle, 1870-</t>
  </si>
  <si>
    <t>New York, C. Scribner's sons, 1898.</t>
  </si>
  <si>
    <t>1898</t>
  </si>
  <si>
    <t>1998-11-20</t>
  </si>
  <si>
    <t>1757608:eng</t>
  </si>
  <si>
    <t>587476</t>
  </si>
  <si>
    <t>991003022719702656</t>
  </si>
  <si>
    <t>2266972580002656</t>
  </si>
  <si>
    <t>32285002445590</t>
  </si>
  <si>
    <t>893440842</t>
  </si>
  <si>
    <t>DS66 .L3713</t>
  </si>
  <si>
    <t>0                      DS 0066000L  3713</t>
  </si>
  <si>
    <t>The Hittites : people of a thousand gods / Johannes Lehmann ; translated by J. Maxwell Brownjohn.</t>
  </si>
  <si>
    <t>Lehmann, Johannes, 1929-2011.</t>
  </si>
  <si>
    <t>New York : Viking Press, 1977.</t>
  </si>
  <si>
    <t>1993-04-02</t>
  </si>
  <si>
    <t>5630826:eng</t>
  </si>
  <si>
    <t>2542539</t>
  </si>
  <si>
    <t>991004157919702656</t>
  </si>
  <si>
    <t>2272090620002656</t>
  </si>
  <si>
    <t>9780670374151</t>
  </si>
  <si>
    <t>32285000281294</t>
  </si>
  <si>
    <t>893624416</t>
  </si>
  <si>
    <t>DS66 .M284</t>
  </si>
  <si>
    <t>0                      DS 0066000M  284</t>
  </si>
  <si>
    <t>The secret of the Hittites : the discovery of an ancient empire / by C.W. Ceram [pseud.] Translated from the German by Richard and Clara Winston.</t>
  </si>
  <si>
    <t>Ceram, C. W., 1915-1972.</t>
  </si>
  <si>
    <t>New York : Knopf, 1956 [c1955]</t>
  </si>
  <si>
    <t>1956</t>
  </si>
  <si>
    <t>2002-02-03</t>
  </si>
  <si>
    <t>2908477446:eng</t>
  </si>
  <si>
    <t>284899</t>
  </si>
  <si>
    <t>991002203029702656</t>
  </si>
  <si>
    <t>2262591810002656</t>
  </si>
  <si>
    <t>32285001086817</t>
  </si>
  <si>
    <t>893615822</t>
  </si>
  <si>
    <t>DS66 .N483 1951</t>
  </si>
  <si>
    <t>0                      DS 0066000N  483         1951</t>
  </si>
  <si>
    <t>The Hittite laws / translated into English and Hebrew with commentary by E. Neufeld.</t>
  </si>
  <si>
    <t>Neufeld, E. (Ephraim), 1912-</t>
  </si>
  <si>
    <t>London : Luzac, 1951.</t>
  </si>
  <si>
    <t>1993-02-03</t>
  </si>
  <si>
    <t>54009055:eng</t>
  </si>
  <si>
    <t>883794</t>
  </si>
  <si>
    <t>991002955129702656</t>
  </si>
  <si>
    <t>2268532390002656</t>
  </si>
  <si>
    <t>32285001520153</t>
  </si>
  <si>
    <t>893348153</t>
  </si>
  <si>
    <t>DS660 .C47 1980</t>
  </si>
  <si>
    <t>0                      DS 0660000C  47          1980</t>
  </si>
  <si>
    <t>Philippines / text and direction by Richard Z. Chesnoff ; photography by Larry Secrist with Jeffrey Aas ; pref. by Ferdinand E. Marcos ; introd. to Manila by Imelda Romualdez Marcos.</t>
  </si>
  <si>
    <t>Chesnoff, Richard Z., 1937-</t>
  </si>
  <si>
    <t>New York : Abrams, c1980.</t>
  </si>
  <si>
    <t>Concise ed.</t>
  </si>
  <si>
    <t>1999-11-24</t>
  </si>
  <si>
    <t>470227:eng</t>
  </si>
  <si>
    <t>6532638</t>
  </si>
  <si>
    <t>991004998619702656</t>
  </si>
  <si>
    <t>2262081730002656</t>
  </si>
  <si>
    <t>9780810914759</t>
  </si>
  <si>
    <t>32285001732139</t>
  </si>
  <si>
    <t>893520274</t>
  </si>
  <si>
    <t>DS665 .K7 1974</t>
  </si>
  <si>
    <t>0                      DS 0665000K  7           1974</t>
  </si>
  <si>
    <t>Peoples of the Philippines.</t>
  </si>
  <si>
    <t>Kroeber, A. L. (Alfred Louis), 1876-1960.</t>
  </si>
  <si>
    <t>Westport, Conn. : Greenwood Press, [1974]</t>
  </si>
  <si>
    <t>1370345:eng</t>
  </si>
  <si>
    <t>714154</t>
  </si>
  <si>
    <t>991003188169702656</t>
  </si>
  <si>
    <t>2255993710002656</t>
  </si>
  <si>
    <t>9780837170404</t>
  </si>
  <si>
    <t>32285000116268</t>
  </si>
  <si>
    <t>893262660</t>
  </si>
  <si>
    <t>DS666.T32 H46 2003</t>
  </si>
  <si>
    <t>0                      DS 0666000T  32                 H  46          2003</t>
  </si>
  <si>
    <t>Invented Eden : the elusive, disputed history of the Tasaday / Robin Hemley.</t>
  </si>
  <si>
    <t>Hemley, Robin, 1958-</t>
  </si>
  <si>
    <t>New York : Farrar, Straus and Giroux, 2003.</t>
  </si>
  <si>
    <t>2003-06-10</t>
  </si>
  <si>
    <t>290702060:eng</t>
  </si>
  <si>
    <t>50670547</t>
  </si>
  <si>
    <t>991004057279702656</t>
  </si>
  <si>
    <t>2264366240002656</t>
  </si>
  <si>
    <t>9780374177164</t>
  </si>
  <si>
    <t>32285004751599</t>
  </si>
  <si>
    <t>893699782</t>
  </si>
  <si>
    <t>DS673.J3 S3</t>
  </si>
  <si>
    <t>0                      DS 0673000J  3                  S  3</t>
  </si>
  <si>
    <t>Japan and the Philippines, 1868-1898.</t>
  </si>
  <si>
    <t>Saniel, Josefa M.</t>
  </si>
  <si>
    <t>Quezon City, University of the Philippines, 1962.</t>
  </si>
  <si>
    <t>1635632:eng</t>
  </si>
  <si>
    <t>7429335</t>
  </si>
  <si>
    <t>991005111049702656</t>
  </si>
  <si>
    <t>2258221520002656</t>
  </si>
  <si>
    <t>32285002445632</t>
  </si>
  <si>
    <t>893443415</t>
  </si>
  <si>
    <t>DS679 .F2</t>
  </si>
  <si>
    <t>0                      DS 0679000F  2</t>
  </si>
  <si>
    <t>Campaigning in the Philippines / by Karl Irving Faust.</t>
  </si>
  <si>
    <t>Faust, Karl Irving.</t>
  </si>
  <si>
    <t>San Francisco : Hicks-Judd Co., 1899.</t>
  </si>
  <si>
    <t>1998-02-11</t>
  </si>
  <si>
    <t>3094760335:eng</t>
  </si>
  <si>
    <t>31207168</t>
  </si>
  <si>
    <t>991002401179702656</t>
  </si>
  <si>
    <t>2257382900002656</t>
  </si>
  <si>
    <t>32285002028933</t>
  </si>
  <si>
    <t>893609818</t>
  </si>
  <si>
    <t>DS679 .G38</t>
  </si>
  <si>
    <t>0                      DS 0679000G  38</t>
  </si>
  <si>
    <t>Schoolbooks and Krags; the United States Army in the Philippines, 1898-1902.</t>
  </si>
  <si>
    <t>Gates, John Morgan, 1937-</t>
  </si>
  <si>
    <t>Westport, Conn., Greenwood Press [1973]</t>
  </si>
  <si>
    <t>Contributions in military history ; no. 3</t>
  </si>
  <si>
    <t>784462641:eng</t>
  </si>
  <si>
    <t>540933</t>
  </si>
  <si>
    <t>991002953769702656</t>
  </si>
  <si>
    <t>2270373740002656</t>
  </si>
  <si>
    <t>9780837158181</t>
  </si>
  <si>
    <t>32285002445665</t>
  </si>
  <si>
    <t>893805257</t>
  </si>
  <si>
    <t>DS679 .M59 1982</t>
  </si>
  <si>
    <t>0                      DS 0679000M  59          1982</t>
  </si>
  <si>
    <t>"Benevolent assimilation" : the American conquest of the Philippines, 1899-1903 / Stuart Creighton Miller.</t>
  </si>
  <si>
    <t>Miller, Stuart Creighton, 1927-2010.</t>
  </si>
  <si>
    <t>4958347:eng</t>
  </si>
  <si>
    <t>8169994</t>
  </si>
  <si>
    <t>991005211969702656</t>
  </si>
  <si>
    <t>2269605320002656</t>
  </si>
  <si>
    <t>9780300026979</t>
  </si>
  <si>
    <t>32285000337880</t>
  </si>
  <si>
    <t>893783211</t>
  </si>
  <si>
    <t>DS68 .L8 1968</t>
  </si>
  <si>
    <t>0                      DS 0068000L  8           1968</t>
  </si>
  <si>
    <t>Ancient records of Assyria and Babylonia.</t>
  </si>
  <si>
    <t>Luckenbill, Daniel David, 1881-1927.</t>
  </si>
  <si>
    <t>New York, Greenwood Press [1968, c1926]</t>
  </si>
  <si>
    <t>2006-11-05</t>
  </si>
  <si>
    <t>5579916093:eng</t>
  </si>
  <si>
    <t>2845</t>
  </si>
  <si>
    <t>991005435179702656</t>
  </si>
  <si>
    <t>2262892490002656</t>
  </si>
  <si>
    <t>32285002460250</t>
  </si>
  <si>
    <t>893620005</t>
  </si>
  <si>
    <t>2004-09-09</t>
  </si>
  <si>
    <t>32285002460243</t>
  </si>
  <si>
    <t>893595062</t>
  </si>
  <si>
    <t>DS682.A1 W6</t>
  </si>
  <si>
    <t>0                      DS 0682000A  1                  W  6</t>
  </si>
  <si>
    <t>Little brown brother; how the United States purchased and pacified the Philippine Islands at the century's turn.</t>
  </si>
  <si>
    <t>Wolff, Leon.</t>
  </si>
  <si>
    <t>Garden City, N.Y., Doubleday, 1961.</t>
  </si>
  <si>
    <t>3980136455:eng</t>
  </si>
  <si>
    <t>248073</t>
  </si>
  <si>
    <t>991001928729702656</t>
  </si>
  <si>
    <t>2257764390002656</t>
  </si>
  <si>
    <t>32285002445673</t>
  </si>
  <si>
    <t>893879313</t>
  </si>
  <si>
    <t>DS685 .F6</t>
  </si>
  <si>
    <t>0                      DS 0685000F  6</t>
  </si>
  <si>
    <t>The Philippine Islands, by W. Cameron Forbes.</t>
  </si>
  <si>
    <t>Forbes, W. Cameron (William Cameron), 1870-1959.</t>
  </si>
  <si>
    <t>Boston, New York, Houghton Mifflin company, 1928.</t>
  </si>
  <si>
    <t>1928</t>
  </si>
  <si>
    <t>10678220816:eng</t>
  </si>
  <si>
    <t>1863181</t>
  </si>
  <si>
    <t>991003917039702656</t>
  </si>
  <si>
    <t>2263102910002656</t>
  </si>
  <si>
    <t>32285002445707</t>
  </si>
  <si>
    <t>893781632</t>
  </si>
  <si>
    <t>32285002445699</t>
  </si>
  <si>
    <t>893800367</t>
  </si>
  <si>
    <t>DS685 .G75 1973</t>
  </si>
  <si>
    <t>0                      DS 0685000G  75          1973</t>
  </si>
  <si>
    <t>The Philippines and the United States / by Garel A. Grunder and William E. Livezey.</t>
  </si>
  <si>
    <t>Grunder, Garel A.</t>
  </si>
  <si>
    <t>Westport, Conn. : Greenwood Press, [1973, c1951]</t>
  </si>
  <si>
    <t>1457815:eng</t>
  </si>
  <si>
    <t>595313</t>
  </si>
  <si>
    <t>991003032579702656</t>
  </si>
  <si>
    <t>2272286920002656</t>
  </si>
  <si>
    <t>9780837167312</t>
  </si>
  <si>
    <t>32285000155126</t>
  </si>
  <si>
    <t>893317588</t>
  </si>
  <si>
    <t>DS685 .H3</t>
  </si>
  <si>
    <t>0                      DS 0685000H  3</t>
  </si>
  <si>
    <t>The corner-stone of Philippine independence.</t>
  </si>
  <si>
    <t>Harrison, Francis Burton, 1873-1957.</t>
  </si>
  <si>
    <t>New York : The Century co., 1922.</t>
  </si>
  <si>
    <t>1922</t>
  </si>
  <si>
    <t>431696082:eng</t>
  </si>
  <si>
    <t>411378</t>
  </si>
  <si>
    <t>991002716379702656</t>
  </si>
  <si>
    <t>2265057960002656</t>
  </si>
  <si>
    <t>32285000155068</t>
  </si>
  <si>
    <t>893530363</t>
  </si>
  <si>
    <t>DS685 .M3</t>
  </si>
  <si>
    <t>0                      DS 0685000M  3</t>
  </si>
  <si>
    <t>The isles of fear; the truth about the Philippines, by Katherine Mayo, illustrated from photographs.</t>
  </si>
  <si>
    <t>New York, Harcourt, Brace and company [c1925]</t>
  </si>
  <si>
    <t>1925</t>
  </si>
  <si>
    <t>2001-06-26</t>
  </si>
  <si>
    <t>36159163:eng</t>
  </si>
  <si>
    <t>652425</t>
  </si>
  <si>
    <t>991003103139702656</t>
  </si>
  <si>
    <t>2262782890002656</t>
  </si>
  <si>
    <t>32285002445715</t>
  </si>
  <si>
    <t>893416041</t>
  </si>
  <si>
    <t>DS685 .R74</t>
  </si>
  <si>
    <t>0                      DS 0685000R  74</t>
  </si>
  <si>
    <t>Muddy glory : America's "Indian wars" in the Philippines, 1899-1935 / by Russell Roth.</t>
  </si>
  <si>
    <t>Roth, Russell.</t>
  </si>
  <si>
    <t>W. Hanover, Mass. : Christopher Pub. House, c1981.</t>
  </si>
  <si>
    <t>1993-04-16</t>
  </si>
  <si>
    <t>43362958:eng</t>
  </si>
  <si>
    <t>7475676</t>
  </si>
  <si>
    <t>991005118959702656</t>
  </si>
  <si>
    <t>2264537480002656</t>
  </si>
  <si>
    <t>9780815804024</t>
  </si>
  <si>
    <t>32285000337898</t>
  </si>
  <si>
    <t>893870546</t>
  </si>
  <si>
    <t>DS685 .S2</t>
  </si>
  <si>
    <t>0                      DS 0685000S  2</t>
  </si>
  <si>
    <t>The Filipino reaction to American rule, 1901-1913 / by Bonifacio S. Salamanca.</t>
  </si>
  <si>
    <t>Salamanca, Bonifacio S.</t>
  </si>
  <si>
    <t>[Hamden, Conn.] : Shoe String Press, 1968.</t>
  </si>
  <si>
    <t>1576055:eng</t>
  </si>
  <si>
    <t>443890</t>
  </si>
  <si>
    <t>991002792059702656</t>
  </si>
  <si>
    <t>2264351220002656</t>
  </si>
  <si>
    <t>32285000410117</t>
  </si>
  <si>
    <t>893805039</t>
  </si>
  <si>
    <t>DS686.5 .K44 1982</t>
  </si>
  <si>
    <t>0                      DS 0686500K  44          1982</t>
  </si>
  <si>
    <t>The Huk rebellion : a study of peasant revolt in the Philippines / by Benedict J. Kerkvliet.</t>
  </si>
  <si>
    <t>Kerkvliet, Benedict J.</t>
  </si>
  <si>
    <t>Berkeley, Calif. : University of California Press, 1982, c1977.</t>
  </si>
  <si>
    <t>1996-03-19</t>
  </si>
  <si>
    <t>502680:eng</t>
  </si>
  <si>
    <t>3019766</t>
  </si>
  <si>
    <t>991000167089702656</t>
  </si>
  <si>
    <t>2262191440002656</t>
  </si>
  <si>
    <t>9780520046351</t>
  </si>
  <si>
    <t>32285000337906</t>
  </si>
  <si>
    <t>893230931</t>
  </si>
  <si>
    <t>DS69.6 .J23 1970</t>
  </si>
  <si>
    <t>0                      DS 0069600J  23          1970</t>
  </si>
  <si>
    <t>Toward the image of Tammuz and other essays on Mesopotamian history and culture / edited by William L. Moran.</t>
  </si>
  <si>
    <t>Jacobsen, Thorkild, 1904-1993.</t>
  </si>
  <si>
    <t>Cambridge : Harvard University Press, 1970.</t>
  </si>
  <si>
    <t>Harvard Semitic series ; v. 21</t>
  </si>
  <si>
    <t>1992-03-11</t>
  </si>
  <si>
    <t>314038992:eng</t>
  </si>
  <si>
    <t>107416</t>
  </si>
  <si>
    <t>991000635119702656</t>
  </si>
  <si>
    <t>2261906320002656</t>
  </si>
  <si>
    <t>9780674898103</t>
  </si>
  <si>
    <t>32285000996743</t>
  </si>
  <si>
    <t>893255591</t>
  </si>
  <si>
    <t>DS70 .A32</t>
  </si>
  <si>
    <t>0                      DS 0070000A  32</t>
  </si>
  <si>
    <t>Heartland of cities : surveys of ancient settlement and land use on the central floodplain of the Euphrates / Robert McC. Adams.</t>
  </si>
  <si>
    <t>Adams, Robert McC. (Robert McCormick), 1926-2018.</t>
  </si>
  <si>
    <t>Chicago : University of Chicago Press, 1981.</t>
  </si>
  <si>
    <t>1999-11-26</t>
  </si>
  <si>
    <t>230638417:eng</t>
  </si>
  <si>
    <t>6223045</t>
  </si>
  <si>
    <t>991004947949702656</t>
  </si>
  <si>
    <t>2268400000002656</t>
  </si>
  <si>
    <t>9780226005447</t>
  </si>
  <si>
    <t>32285000292101</t>
  </si>
  <si>
    <t>893430645</t>
  </si>
  <si>
    <t>DS70 .L42 1852</t>
  </si>
  <si>
    <t>0                      DS 0070000L  42          1852</t>
  </si>
  <si>
    <t>Nineveh and its remains: with an account of a visit to the Chaldæan Christians of Kurdistan, and the Yezidis, or devil worshippers; and an inquiry into the manners and arts of the ancient Assyrians. By Austen Henry Layard.</t>
  </si>
  <si>
    <t>Layard, Austen Henry, 1817-1894.</t>
  </si>
  <si>
    <t>New York, G. P. Putnam, 1852.</t>
  </si>
  <si>
    <t>1852</t>
  </si>
  <si>
    <t>13th thousand.</t>
  </si>
  <si>
    <t>2000-09-11</t>
  </si>
  <si>
    <t>5453690072:eng</t>
  </si>
  <si>
    <t>5654518</t>
  </si>
  <si>
    <t>991004853769702656</t>
  </si>
  <si>
    <t>2255426410002656</t>
  </si>
  <si>
    <t>32285002460268</t>
  </si>
  <si>
    <t>893619156</t>
  </si>
  <si>
    <t>DS70 .L437</t>
  </si>
  <si>
    <t>0                      DS 0070000L  437</t>
  </si>
  <si>
    <t>Discoveries among the ruins of Nineveh and Babylon : with travels in Armenia, Kurdistan, and the desert : being the result of a second expedition undertaken for the Trustees of the British museum / by Austen H. Layard.</t>
  </si>
  <si>
    <t>New York : Harper &amp; brothers, 1853.</t>
  </si>
  <si>
    <t>1853</t>
  </si>
  <si>
    <t>2002-09-24</t>
  </si>
  <si>
    <t>3901123143:eng</t>
  </si>
  <si>
    <t>1852091</t>
  </si>
  <si>
    <t>991003911119702656</t>
  </si>
  <si>
    <t>2263798970002656</t>
  </si>
  <si>
    <t>32285001086809</t>
  </si>
  <si>
    <t>893423145</t>
  </si>
  <si>
    <t>DS70 .L48 1978</t>
  </si>
  <si>
    <t>0                      DS 0070000L  48          1978</t>
  </si>
  <si>
    <t>Foundations in the dust : a story of Mesopotamian exploration / Seton Lloyd.</t>
  </si>
  <si>
    <t>1082352407:eng</t>
  </si>
  <si>
    <t>3543320</t>
  </si>
  <si>
    <t>991004460999702656</t>
  </si>
  <si>
    <t>2265019850002656</t>
  </si>
  <si>
    <t>9780404153649</t>
  </si>
  <si>
    <t>32285000292119</t>
  </si>
  <si>
    <t>893519676</t>
  </si>
  <si>
    <t>DS70.5.B3 B33 2009</t>
  </si>
  <si>
    <t>0                      DS 0070500B  3                  B  33          2009</t>
  </si>
  <si>
    <t>Babylon / edited by I.L. Finkel and M.J. Seymour ; with contributions from J.E. Curtis ... [et al.].</t>
  </si>
  <si>
    <t>Oxford ; New York : Oxford University Press, 2009.</t>
  </si>
  <si>
    <t>8907914093:eng</t>
  </si>
  <si>
    <t>234260201</t>
  </si>
  <si>
    <t>991005311369702656</t>
  </si>
  <si>
    <t>2267852260002656</t>
  </si>
  <si>
    <t>9780195385403</t>
  </si>
  <si>
    <t>32285005530034</t>
  </si>
  <si>
    <t>893628681</t>
  </si>
  <si>
    <t>DS70.5.U7 W63 1964</t>
  </si>
  <si>
    <t>0                      DS 0070500U  7                  W  63          1964</t>
  </si>
  <si>
    <t>Excavations at Ur : a record of twelve years' work.</t>
  </si>
  <si>
    <t>Woolley, Leonard, 1880-1960.</t>
  </si>
  <si>
    <t>London : E. Benn ; New York : Barnes &amp; Noble, [1964]</t>
  </si>
  <si>
    <t>1999-09-15</t>
  </si>
  <si>
    <t>4923552962:eng</t>
  </si>
  <si>
    <t>5535145</t>
  </si>
  <si>
    <t>991004843759702656</t>
  </si>
  <si>
    <t>2255923620002656</t>
  </si>
  <si>
    <t>32285000996735</t>
  </si>
  <si>
    <t>893876638</t>
  </si>
  <si>
    <t>DS70.5.U7 W63 1982</t>
  </si>
  <si>
    <t>0                      DS 0070500U  7                  W  63          1982</t>
  </si>
  <si>
    <t>Ur 'of the Chaldees' : a revised and updated edition of Sir Leonard Woolley's Excavations at Ur / by P.R.S. Moorey.</t>
  </si>
  <si>
    <t>Ithaca, N.Y. : Cornell University Press, 1982.</t>
  </si>
  <si>
    <t>Rev., updated ed.</t>
  </si>
  <si>
    <t>3768521133:eng</t>
  </si>
  <si>
    <t>8800122</t>
  </si>
  <si>
    <t>991000073939702656</t>
  </si>
  <si>
    <t>2264401700002656</t>
  </si>
  <si>
    <t>9780801415180</t>
  </si>
  <si>
    <t>32285000274653</t>
  </si>
  <si>
    <t>893326984</t>
  </si>
  <si>
    <t>DS70.6 .B58 2004</t>
  </si>
  <si>
    <t>0                      DS 0070600B  58          2004</t>
  </si>
  <si>
    <t>Banking on Baghdad : inside Iraq's 7,000-year history of war, profit,and conflict / Edwin Black.</t>
  </si>
  <si>
    <t>Black, Edwin.</t>
  </si>
  <si>
    <t>Hoboken, N.J. : John Wiley &amp; Sons, Inc., 2004.</t>
  </si>
  <si>
    <t>2005-01-21</t>
  </si>
  <si>
    <t>2004-12-14</t>
  </si>
  <si>
    <t>116906517:eng</t>
  </si>
  <si>
    <t>56068808</t>
  </si>
  <si>
    <t>991004419589702656</t>
  </si>
  <si>
    <t>2272075450002656</t>
  </si>
  <si>
    <t>9780471671862</t>
  </si>
  <si>
    <t>32285005016737</t>
  </si>
  <si>
    <t>893446204</t>
  </si>
  <si>
    <t>DS70.6 .H3</t>
  </si>
  <si>
    <t>0                      DS 0070600H  3</t>
  </si>
  <si>
    <t>Iraq : its people, its society, its culture / in collaboration with Moukhtar Ani [and others]</t>
  </si>
  <si>
    <t>Harris, George L. (George Lawrence), 1910-2011.</t>
  </si>
  <si>
    <t>New Haven : HRAF Press, [1958]</t>
  </si>
  <si>
    <t>Survey of world cultures ; 3</t>
  </si>
  <si>
    <t>3856215367:eng</t>
  </si>
  <si>
    <t>398138</t>
  </si>
  <si>
    <t>991002679899702656</t>
  </si>
  <si>
    <t>2257269650002656</t>
  </si>
  <si>
    <t>32285000281286</t>
  </si>
  <si>
    <t>893610138</t>
  </si>
  <si>
    <t>DS70.65 .B57 2004</t>
  </si>
  <si>
    <t>0                      DS 0070650B  57          2004</t>
  </si>
  <si>
    <t>A thousand sighs, a thousand revolts : journeys in Kurdistan / Christiane Bird.</t>
  </si>
  <si>
    <t>Bird, Christiane.</t>
  </si>
  <si>
    <t>New York : Ballantine Books, 2004.</t>
  </si>
  <si>
    <t>2006-04-01</t>
  </si>
  <si>
    <t>2004-06-29</t>
  </si>
  <si>
    <t>902894599:eng</t>
  </si>
  <si>
    <t>53967115</t>
  </si>
  <si>
    <t>991004303819702656</t>
  </si>
  <si>
    <t>2256890240002656</t>
  </si>
  <si>
    <t>9780345468925</t>
  </si>
  <si>
    <t>32285004921705</t>
  </si>
  <si>
    <t>893506682</t>
  </si>
  <si>
    <t>DS70.65 .P76 2005</t>
  </si>
  <si>
    <t>0                      DS 0070650P  76          2005</t>
  </si>
  <si>
    <t>Two birthdays in Baghdad : finding the heart of Iraq / by Anna Prouse; translated by Elizabeth Griffith.</t>
  </si>
  <si>
    <t>Prouse, Anna.</t>
  </si>
  <si>
    <t>Washington, DC : The Compass Press, c2005.</t>
  </si>
  <si>
    <t>2005-11-17</t>
  </si>
  <si>
    <t>46519374:eng</t>
  </si>
  <si>
    <t>62096210</t>
  </si>
  <si>
    <t>991004661749702656</t>
  </si>
  <si>
    <t>2268687180002656</t>
  </si>
  <si>
    <t>9780929590202</t>
  </si>
  <si>
    <t>32285005089064</t>
  </si>
  <si>
    <t>893253966</t>
  </si>
  <si>
    <t>DS70.7 .F4 1969</t>
  </si>
  <si>
    <t>0                      DS 0070700F  4           1969</t>
  </si>
  <si>
    <t>Guests of the Sheik : an ethnography of an Iraqi village / Elizabeth Warnock Fernea.</t>
  </si>
  <si>
    <t>Garden City, N.Y. : Anchor books, 1969.</t>
  </si>
  <si>
    <t>Anchor books ed.</t>
  </si>
  <si>
    <t>A Doubleday Anchor book</t>
  </si>
  <si>
    <t>196675519:eng</t>
  </si>
  <si>
    <t>6798767</t>
  </si>
  <si>
    <t>991005041659702656</t>
  </si>
  <si>
    <t>2265527710002656</t>
  </si>
  <si>
    <t>9780385014854</t>
  </si>
  <si>
    <t>32285002460284</t>
  </si>
  <si>
    <t>893418299</t>
  </si>
  <si>
    <t>DS70.7 .I73 2003</t>
  </si>
  <si>
    <t>0                      DS 0070700I  73          2003</t>
  </si>
  <si>
    <t>Iraq : its history, people, and politics / edited by Shams C. Inati.</t>
  </si>
  <si>
    <t>Amherst, N.Y. : Humanity Books, 2003.</t>
  </si>
  <si>
    <t>939792:eng</t>
  </si>
  <si>
    <t>51553058</t>
  </si>
  <si>
    <t>991004143669702656</t>
  </si>
  <si>
    <t>2263645850002656</t>
  </si>
  <si>
    <t>9781591020967</t>
  </si>
  <si>
    <t>32285004792635</t>
  </si>
  <si>
    <t>893411167</t>
  </si>
  <si>
    <t>DS70.7 .O6</t>
  </si>
  <si>
    <t>0                      DS 0070700O  6</t>
  </si>
  <si>
    <t>Ancient Mesopotamia : portrait of a dead civilization / by A. Leo Oppenheim.</t>
  </si>
  <si>
    <t>Oppenheim, A. Leo, 1904-1974.</t>
  </si>
  <si>
    <t>Chicago : University of Chicago Press, [1964]</t>
  </si>
  <si>
    <t>571518:eng</t>
  </si>
  <si>
    <t>1175501</t>
  </si>
  <si>
    <t>991003594309702656</t>
  </si>
  <si>
    <t>2271903620002656</t>
  </si>
  <si>
    <t>32285000281278</t>
  </si>
  <si>
    <t>893686695</t>
  </si>
  <si>
    <t>DS70.7 .S26 1987</t>
  </si>
  <si>
    <t>0                      DS 0070700S  26          1987</t>
  </si>
  <si>
    <t>Everyday life in Babylonia &amp; Assyria / H.W.F. Saggs ; drawings by Helen Nixon Fairfield.</t>
  </si>
  <si>
    <t>Saggs, H. W. F.</t>
  </si>
  <si>
    <t>New York : Dorset Press, 1987.</t>
  </si>
  <si>
    <t>2008-11-02</t>
  </si>
  <si>
    <t>1548967:eng</t>
  </si>
  <si>
    <t>16002825</t>
  </si>
  <si>
    <t>991001072989702656</t>
  </si>
  <si>
    <t>2272102950002656</t>
  </si>
  <si>
    <t>9780880291279</t>
  </si>
  <si>
    <t>32285000129972</t>
  </si>
  <si>
    <t>893426294</t>
  </si>
  <si>
    <t>DS70.8.K8 B58 1993</t>
  </si>
  <si>
    <t>0                      DS 0070800K  8                  B  58          1993</t>
  </si>
  <si>
    <t>Genocide in Iraq : the Anfal campaign against the Kurds.</t>
  </si>
  <si>
    <t>Black, George, 1949-</t>
  </si>
  <si>
    <t>New York : Human Rights Watch, [c1993].</t>
  </si>
  <si>
    <t>Middle East Watch report</t>
  </si>
  <si>
    <t>152303531:eng</t>
  </si>
  <si>
    <t>28687194</t>
  </si>
  <si>
    <t>991005417529702656</t>
  </si>
  <si>
    <t>2271115460002656</t>
  </si>
  <si>
    <t>9781564321084</t>
  </si>
  <si>
    <t>32285005018964</t>
  </si>
  <si>
    <t>893714074</t>
  </si>
  <si>
    <t>DS70.8.K8 F88 2005</t>
  </si>
  <si>
    <t>0                      DS 0070800K  8                  F  88          2005</t>
  </si>
  <si>
    <t>The future of Kurdistan in Iraq / edited by Brendan O'Leary, John McGarry, and Khaled Salih.</t>
  </si>
  <si>
    <t>Philadelphia : University of Pennsylvania Press, 2005.</t>
  </si>
  <si>
    <t>367168202:eng</t>
  </si>
  <si>
    <t>57001883</t>
  </si>
  <si>
    <t>991004776759702656</t>
  </si>
  <si>
    <t>2271841910002656</t>
  </si>
  <si>
    <t>9780812238709</t>
  </si>
  <si>
    <t>32285005169247</t>
  </si>
  <si>
    <t>893500946</t>
  </si>
  <si>
    <t>DS70.8.K8 G86 1992</t>
  </si>
  <si>
    <t>0                      DS 0070800K  8                  G  86          1992</t>
  </si>
  <si>
    <t>The Kurds of Iraq : tragedy and hope / by Michael M. Gunter.</t>
  </si>
  <si>
    <t>Gunter, Michael M.</t>
  </si>
  <si>
    <t>New York : St. Martin's Press, 1992.</t>
  </si>
  <si>
    <t>330873:eng</t>
  </si>
  <si>
    <t>26502786</t>
  </si>
  <si>
    <t>991002068349702656</t>
  </si>
  <si>
    <t>2257047070002656</t>
  </si>
  <si>
    <t>9780312090845</t>
  </si>
  <si>
    <t>32285001703064</t>
  </si>
  <si>
    <t>893703634</t>
  </si>
  <si>
    <t>DS70.8.K8 G86 1999</t>
  </si>
  <si>
    <t>0                      DS 0070800K  8                  G  86          1999</t>
  </si>
  <si>
    <t>The Kurdish predicament in Iraq : a political analysis / Michael M. Gunter.</t>
  </si>
  <si>
    <t>New York : St. Martin's Press, c1999.</t>
  </si>
  <si>
    <t>2002-10-17</t>
  </si>
  <si>
    <t>838199341:eng</t>
  </si>
  <si>
    <t>39875103</t>
  </si>
  <si>
    <t>991003875509702656</t>
  </si>
  <si>
    <t>2260384430002656</t>
  </si>
  <si>
    <t>9780312218966</t>
  </si>
  <si>
    <t>32285004656046</t>
  </si>
  <si>
    <t>893518965</t>
  </si>
  <si>
    <t>DS70.8.S55 N35 2003</t>
  </si>
  <si>
    <t>0                      DS 0070800S  55                 N  35          2003</t>
  </si>
  <si>
    <t>The Shiʻis of Iraq / with a new introduction by the author, Yitzhak Nakash.</t>
  </si>
  <si>
    <t>Nakash, Yitzhak.</t>
  </si>
  <si>
    <t>Princeton, N.J. : Princeton University Press, 2003.</t>
  </si>
  <si>
    <t>2nd pbk. ed.</t>
  </si>
  <si>
    <t>2003-11-13</t>
  </si>
  <si>
    <t>30942936:eng</t>
  </si>
  <si>
    <t>52807402</t>
  </si>
  <si>
    <t>991004163849702656</t>
  </si>
  <si>
    <t>2268033090002656</t>
  </si>
  <si>
    <t>9780691115757</t>
  </si>
  <si>
    <t>32285004797782</t>
  </si>
  <si>
    <t>893411193</t>
  </si>
  <si>
    <t>DS70.88.L3 B7</t>
  </si>
  <si>
    <t>0                      DS 0070880L  3                  B  7</t>
  </si>
  <si>
    <t>The luck of Nineveh : archaeology's great adventure / by Arnold C. Brackman.</t>
  </si>
  <si>
    <t>Brackman, Arnold C.</t>
  </si>
  <si>
    <t>New York : McGraw-Hill, 1978.</t>
  </si>
  <si>
    <t>2006-04-07</t>
  </si>
  <si>
    <t>3944109572:eng</t>
  </si>
  <si>
    <t>3669502</t>
  </si>
  <si>
    <t>991004492219702656</t>
  </si>
  <si>
    <t>2262034160002656</t>
  </si>
  <si>
    <t>9780070070301</t>
  </si>
  <si>
    <t>32285000292127</t>
  </si>
  <si>
    <t>893712664</t>
  </si>
  <si>
    <t>DS70.9 .P66 2005</t>
  </si>
  <si>
    <t>0                      DS 0070900P  66          2005</t>
  </si>
  <si>
    <t>Understanding Iraq : the whole sweep of Iraqi history, from Genghis Khan's Mongols to the Ottoman Turks to the British mandate to the American occupation / William R. Polk.</t>
  </si>
  <si>
    <t>Polk, William R. (William Roe), 1929-</t>
  </si>
  <si>
    <t>New York : HarperCollins, c2005.</t>
  </si>
  <si>
    <t>2005-04-30</t>
  </si>
  <si>
    <t>979847:eng</t>
  </si>
  <si>
    <t>58731526</t>
  </si>
  <si>
    <t>991004530809702656</t>
  </si>
  <si>
    <t>2263138060002656</t>
  </si>
  <si>
    <t>9780060764685</t>
  </si>
  <si>
    <t>32285005034565</t>
  </si>
  <si>
    <t>893599948</t>
  </si>
  <si>
    <t>DS70.95 .I72 2003</t>
  </si>
  <si>
    <t>0                      DS 0070950I  72          2003</t>
  </si>
  <si>
    <t>Iraq : issues, historical background, bibliography / Leon M. Jeffries, editor.</t>
  </si>
  <si>
    <t>New York : Nova Science Publishers, c2003.</t>
  </si>
  <si>
    <t>2003-07-31</t>
  </si>
  <si>
    <t>478431734:eng</t>
  </si>
  <si>
    <t>51813560</t>
  </si>
  <si>
    <t>991004082609702656</t>
  </si>
  <si>
    <t>2256809750002656</t>
  </si>
  <si>
    <t>9781590332924</t>
  </si>
  <si>
    <t>32285004758586</t>
  </si>
  <si>
    <t>893781828</t>
  </si>
  <si>
    <t>DS70.95 .L36 2007</t>
  </si>
  <si>
    <t>0                      DS 0070950L  36          2007</t>
  </si>
  <si>
    <t>Web of deceit : the history of Western complicity in Iraq, from Churchill to Kennedy to George W. Bush / Barry M. Lando.</t>
  </si>
  <si>
    <t>Lando, Barry.</t>
  </si>
  <si>
    <t>New York : Other Press, c2007.</t>
  </si>
  <si>
    <t>196595537:eng</t>
  </si>
  <si>
    <t>67240550</t>
  </si>
  <si>
    <t>991005083319702656</t>
  </si>
  <si>
    <t>2266344900002656</t>
  </si>
  <si>
    <t>9781590512388</t>
  </si>
  <si>
    <t>32285005315592</t>
  </si>
  <si>
    <t>893338478</t>
  </si>
  <si>
    <t>DS70.96.G7 C37 2004</t>
  </si>
  <si>
    <t>0                      DS 0070960G  7                  C  37          2004</t>
  </si>
  <si>
    <t>Churchill's folly : how Winston Churchill created modern Iraq / Christopher Catherwood.</t>
  </si>
  <si>
    <t>Catherwood, Christopher.</t>
  </si>
  <si>
    <t>New York : Carroll &amp; Graf Pub., 2004.</t>
  </si>
  <si>
    <t>892794772:eng</t>
  </si>
  <si>
    <t>55660169</t>
  </si>
  <si>
    <t>991004318539702656</t>
  </si>
  <si>
    <t>2263782960002656</t>
  </si>
  <si>
    <t>9780786713516</t>
  </si>
  <si>
    <t>32285004922695</t>
  </si>
  <si>
    <t>893429918</t>
  </si>
  <si>
    <t>DS70.96.G7 D633 2003</t>
  </si>
  <si>
    <t>0                      DS 0070960G  7                  D  633         2003</t>
  </si>
  <si>
    <t>Inventing Iraq : the failure of nation building and a history denied / by Toby Dodge.</t>
  </si>
  <si>
    <t>Dodge, Toby.</t>
  </si>
  <si>
    <t>New York : Columbia University Press, c2003.</t>
  </si>
  <si>
    <t>839370713:eng</t>
  </si>
  <si>
    <t>52127749</t>
  </si>
  <si>
    <t>991004457369702656</t>
  </si>
  <si>
    <t>2262613430002656</t>
  </si>
  <si>
    <t>9780231131667</t>
  </si>
  <si>
    <t>32285005045025</t>
  </si>
  <si>
    <t>893882491</t>
  </si>
  <si>
    <t>DS702 .C48 1982</t>
  </si>
  <si>
    <t>0                      DS 0702000C  48          1982</t>
  </si>
  <si>
    <t>Chinese social and economic history from the Song to 1900 : report of the American delegation to a Sino-American Symposium, Beijing, 26 October-1 November 1980 / edited by Albert Feuerwerker.</t>
  </si>
  <si>
    <t>Ann Arbor : Center for Chinese Studies, University of Michigan, 1982.</t>
  </si>
  <si>
    <t>Michigan monographs in Chinese studies ; no. 45</t>
  </si>
  <si>
    <t>428303907:eng</t>
  </si>
  <si>
    <t>9197164</t>
  </si>
  <si>
    <t>991000148469702656</t>
  </si>
  <si>
    <t>2265995290002656</t>
  </si>
  <si>
    <t>9780892640454</t>
  </si>
  <si>
    <t>32285001991636</t>
  </si>
  <si>
    <t>893689469</t>
  </si>
  <si>
    <t>DS706 .A68 1973</t>
  </si>
  <si>
    <t>0                      DS 0706000A  68          1973</t>
  </si>
  <si>
    <t>Why the Chinese are the way they are. With maps by Samuel H. Bryant.</t>
  </si>
  <si>
    <t>Appel, Benjamin, 1907-1977.</t>
  </si>
  <si>
    <t>Boston, Little, Brown [1973]</t>
  </si>
  <si>
    <t>1997-11-10</t>
  </si>
  <si>
    <t>103503025:eng</t>
  </si>
  <si>
    <t>622683</t>
  </si>
  <si>
    <t>991003066849702656</t>
  </si>
  <si>
    <t>2257223950002656</t>
  </si>
  <si>
    <t>9780316048675</t>
  </si>
  <si>
    <t>32285002273521</t>
  </si>
  <si>
    <t>893610688</t>
  </si>
  <si>
    <t>DS706 .B393 2000</t>
  </si>
  <si>
    <t>0                      DS 0706000B  393         2000</t>
  </si>
  <si>
    <t>The Chinese / Jasper Becker.</t>
  </si>
  <si>
    <t>Becker, Jasper.</t>
  </si>
  <si>
    <t>New York : Free Press, c2000.</t>
  </si>
  <si>
    <t>2010-11-12</t>
  </si>
  <si>
    <t>2001-02-01</t>
  </si>
  <si>
    <t>7084173:eng</t>
  </si>
  <si>
    <t>44131814</t>
  </si>
  <si>
    <t>991003473359702656</t>
  </si>
  <si>
    <t>2270709500002656</t>
  </si>
  <si>
    <t>9780684844121</t>
  </si>
  <si>
    <t>32285004293402</t>
  </si>
  <si>
    <t>893598609</t>
  </si>
  <si>
    <t>DS706 .B3935 2006</t>
  </si>
  <si>
    <t>0                      DS 0706000B  3935        2006</t>
  </si>
  <si>
    <t>Dragon rising : an inside look at China today / Jasper Becker.</t>
  </si>
  <si>
    <t>Washington, D.C. : National Geographic Society, c2006.</t>
  </si>
  <si>
    <t>2010-10-26</t>
  </si>
  <si>
    <t>2007-01-23</t>
  </si>
  <si>
    <t>252681458:eng</t>
  </si>
  <si>
    <t>70054394</t>
  </si>
  <si>
    <t>991005011849702656</t>
  </si>
  <si>
    <t>2267996020002656</t>
  </si>
  <si>
    <t>9780792253082</t>
  </si>
  <si>
    <t>32285005272587</t>
  </si>
  <si>
    <t>893326049</t>
  </si>
  <si>
    <t>DS706 .B716 2007</t>
  </si>
  <si>
    <t>0                      DS 0706000B  716         2007</t>
  </si>
  <si>
    <t>Struggling giant : China in the 21st century / Kerry Brown ; foreword by Jonathan Fenby.</t>
  </si>
  <si>
    <t>Brown, Kerry, 1967-</t>
  </si>
  <si>
    <t>London ; New York : Anthem : 2007.</t>
  </si>
  <si>
    <t>2010-04-28</t>
  </si>
  <si>
    <t>208374906:eng</t>
  </si>
  <si>
    <t>166332441</t>
  </si>
  <si>
    <t>991005390579702656</t>
  </si>
  <si>
    <t>2267824860002656</t>
  </si>
  <si>
    <t>9781843312789</t>
  </si>
  <si>
    <t>32285005568612</t>
  </si>
  <si>
    <t>893877463</t>
  </si>
  <si>
    <t>DS706 .C496 1975</t>
  </si>
  <si>
    <t>0                      DS 0706000C  496         1975</t>
  </si>
  <si>
    <t>China in transition / edited by William A. Robson and Bernard Crick.</t>
  </si>
  <si>
    <t>Beverly Hills, Calif. : Sage Publications, 1975, c1974.</t>
  </si>
  <si>
    <t>Sage contemporary social science issues ; 17</t>
  </si>
  <si>
    <t>1997-04-18</t>
  </si>
  <si>
    <t>676421210:eng</t>
  </si>
  <si>
    <t>1530632</t>
  </si>
  <si>
    <t>991003805669702656</t>
  </si>
  <si>
    <t>2269697770002656</t>
  </si>
  <si>
    <t>9780803905573</t>
  </si>
  <si>
    <t>32285002507324</t>
  </si>
  <si>
    <t>893525248</t>
  </si>
  <si>
    <t>DS706 .C51137 2001</t>
  </si>
  <si>
    <t>0                      DS 0706000C  51137       2001</t>
  </si>
  <si>
    <t>China's century : the awakening of the next economic powerhouse / [edited by] Laurence J. Brahm.</t>
  </si>
  <si>
    <t>Singapore ; New York : Wiley, 2001.</t>
  </si>
  <si>
    <t>2001-08-21</t>
  </si>
  <si>
    <t>836997213:eng</t>
  </si>
  <si>
    <t>45506036</t>
  </si>
  <si>
    <t>991003587059702656</t>
  </si>
  <si>
    <t>2259930030002656</t>
  </si>
  <si>
    <t>9780471479017</t>
  </si>
  <si>
    <t>32285004378898</t>
  </si>
  <si>
    <t>893874922</t>
  </si>
  <si>
    <t>DS706 .C51138 2007</t>
  </si>
  <si>
    <t>0                      DS 0706000C  51138       2007</t>
  </si>
  <si>
    <t>China's geography : globalization and the dynamics of political, economic, and social change / Gregory Veeck ... [et al.].</t>
  </si>
  <si>
    <t>Lanham : Rowman &amp; Littlefield Publishers, c2007.</t>
  </si>
  <si>
    <t>Changing regions in a global context</t>
  </si>
  <si>
    <t>2010-09-16</t>
  </si>
  <si>
    <t>796522810:eng</t>
  </si>
  <si>
    <t>67405645</t>
  </si>
  <si>
    <t>991004954289702656</t>
  </si>
  <si>
    <t>2267107130002656</t>
  </si>
  <si>
    <t>9780742554023</t>
  </si>
  <si>
    <t>32285005238463</t>
  </si>
  <si>
    <t>893807660</t>
  </si>
  <si>
    <t>DS706 .D55 2009</t>
  </si>
  <si>
    <t>0                      DS 0706000D  55          2009</t>
  </si>
  <si>
    <t>Contemporary China : an introduction/ Michael Dillon.</t>
  </si>
  <si>
    <t>Dillon, Michael, 1949-</t>
  </si>
  <si>
    <t>London ; New York : Routledge, c2009.</t>
  </si>
  <si>
    <t>2009-11-21</t>
  </si>
  <si>
    <t>800183145:eng</t>
  </si>
  <si>
    <t>228427411</t>
  </si>
  <si>
    <t>991005320779702656</t>
  </si>
  <si>
    <t>2258495070002656</t>
  </si>
  <si>
    <t>9780415343190</t>
  </si>
  <si>
    <t>32285005535074</t>
  </si>
  <si>
    <t>893536547</t>
  </si>
  <si>
    <t>DS706 .E45</t>
  </si>
  <si>
    <t>0                      DS 0706000E  45</t>
  </si>
  <si>
    <t>Emerging China / edited by Thomas Draper.</t>
  </si>
  <si>
    <t>New York : H. W. Wilson, 1980.</t>
  </si>
  <si>
    <t>The Reference shelf ; v. 52, no. 1</t>
  </si>
  <si>
    <t>490740:eng</t>
  </si>
  <si>
    <t>6015707</t>
  </si>
  <si>
    <t>991004914769702656</t>
  </si>
  <si>
    <t>2269065790002656</t>
  </si>
  <si>
    <t>9780824206444</t>
  </si>
  <si>
    <t>32285000337922</t>
  </si>
  <si>
    <t>893807626</t>
  </si>
  <si>
    <t>DS706 .G73 1994</t>
  </si>
  <si>
    <t>0                      DS 0706000G  73          1994</t>
  </si>
  <si>
    <t>China : a literary companion / A.C.Grayling and Susan Whitfield.</t>
  </si>
  <si>
    <t>Grayling, A. C.</t>
  </si>
  <si>
    <t>London : J. Murray, 1994.</t>
  </si>
  <si>
    <t>1997-03-31</t>
  </si>
  <si>
    <t>24231123:eng</t>
  </si>
  <si>
    <t>30916762</t>
  </si>
  <si>
    <t>991002380109702656</t>
  </si>
  <si>
    <t>2269614370002656</t>
  </si>
  <si>
    <t>9780719553530</t>
  </si>
  <si>
    <t>32285002053709</t>
  </si>
  <si>
    <t>893622216</t>
  </si>
  <si>
    <t>DS706 .H8</t>
  </si>
  <si>
    <t>0                      DS 0706000H  8</t>
  </si>
  <si>
    <t>China : its people, its society, its culture / in collaboration with Samuel C. Chu [and others] Editor: Hsiao Hsia.</t>
  </si>
  <si>
    <t>Hu, Changdu, 1920-</t>
  </si>
  <si>
    <t>New Haven : HRAF Press, [1960]</t>
  </si>
  <si>
    <t>Survey of world cultures ; 6</t>
  </si>
  <si>
    <t>1994-02-16</t>
  </si>
  <si>
    <t>1540775:eng</t>
  </si>
  <si>
    <t>396193</t>
  </si>
  <si>
    <t>991002673569702656</t>
  </si>
  <si>
    <t>2261045540002656</t>
  </si>
  <si>
    <t>32285001838597</t>
  </si>
  <si>
    <t>893434148</t>
  </si>
  <si>
    <t>DS706 .K4613 1997</t>
  </si>
  <si>
    <t>0                      DS 0706000K  4613        1997</t>
  </si>
  <si>
    <t>China, Hong Kong, Taiwan, Inc. / Willem van Kemenade ; translated from the Dutch by Diane Webb.</t>
  </si>
  <si>
    <t>Kemenade, Willem van.</t>
  </si>
  <si>
    <t>New York : Knopf, c1997.</t>
  </si>
  <si>
    <t>1997-06-30</t>
  </si>
  <si>
    <t>570397:eng</t>
  </si>
  <si>
    <t>37106624</t>
  </si>
  <si>
    <t>991002820179702656</t>
  </si>
  <si>
    <t>2268708330002656</t>
  </si>
  <si>
    <t>9780679454847</t>
  </si>
  <si>
    <t>32285002754181</t>
  </si>
  <si>
    <t>893805074</t>
  </si>
  <si>
    <t>DS706 .K8 1963</t>
  </si>
  <si>
    <t>0                      DS 0706000K  8           1963</t>
  </si>
  <si>
    <t>China / Ping-chia Kuo.</t>
  </si>
  <si>
    <t>Kuo, P. C. (Ping-chia)</t>
  </si>
  <si>
    <t>[London] : Oxford University Press, 1963.</t>
  </si>
  <si>
    <t>The Modern world ; 3</t>
  </si>
  <si>
    <t>8908591888:eng</t>
  </si>
  <si>
    <t>3431246</t>
  </si>
  <si>
    <t>991004432699702656</t>
  </si>
  <si>
    <t>2268023160002656</t>
  </si>
  <si>
    <t>32285000337930</t>
  </si>
  <si>
    <t>893782237</t>
  </si>
  <si>
    <t>DS706 .L3 1934</t>
  </si>
  <si>
    <t>0                      DS 0706000L  3           1934</t>
  </si>
  <si>
    <t>The Chinese, their history and culture, by Kenneth Scott Latourette.</t>
  </si>
  <si>
    <t>New York, The Macmillan Company, 1934.</t>
  </si>
  <si>
    <t>Second edition, revised.</t>
  </si>
  <si>
    <t>1998-05-24</t>
  </si>
  <si>
    <t>1392960:eng</t>
  </si>
  <si>
    <t>2556704</t>
  </si>
  <si>
    <t>991004162899702656</t>
  </si>
  <si>
    <t>2271228230002656</t>
  </si>
  <si>
    <t>32285002445855</t>
  </si>
  <si>
    <t>893512882</t>
  </si>
  <si>
    <t>DS706 .L3 1964</t>
  </si>
  <si>
    <t>0                      DS 0706000L  3           1964</t>
  </si>
  <si>
    <t>The Chinese, their history and culture.</t>
  </si>
  <si>
    <t>4th ed., thoroughly rev.</t>
  </si>
  <si>
    <t>722633</t>
  </si>
  <si>
    <t>991005356599702656</t>
  </si>
  <si>
    <t>2256797830002656</t>
  </si>
  <si>
    <t>32285001838589</t>
  </si>
  <si>
    <t>893254866</t>
  </si>
  <si>
    <t>DS706 .O53 2003</t>
  </si>
  <si>
    <t>0                      DS 0706000O  53          2003</t>
  </si>
  <si>
    <t>One China, many paths / edited by Chaohua Wang.</t>
  </si>
  <si>
    <t>London ; New York : Verso, 2003.</t>
  </si>
  <si>
    <t>2004-05-25</t>
  </si>
  <si>
    <t>56929742:eng</t>
  </si>
  <si>
    <t>52395979</t>
  </si>
  <si>
    <t>991004284619702656</t>
  </si>
  <si>
    <t>2271458770002656</t>
  </si>
  <si>
    <t>9781859845370</t>
  </si>
  <si>
    <t>32285004907431</t>
  </si>
  <si>
    <t>893436107</t>
  </si>
  <si>
    <t>DS706 .P38 1979</t>
  </si>
  <si>
    <t>0                      DS 0706000P  38          1979</t>
  </si>
  <si>
    <t>The People's Republic of China : a handbook / edited by Harold C. Hinton.</t>
  </si>
  <si>
    <t>1997-04-20</t>
  </si>
  <si>
    <t>889785860:eng</t>
  </si>
  <si>
    <t>4496454</t>
  </si>
  <si>
    <t>991004659759702656</t>
  </si>
  <si>
    <t>2268580680002656</t>
  </si>
  <si>
    <t>9780891584193</t>
  </si>
  <si>
    <t>32285000337948</t>
  </si>
  <si>
    <t>893350250</t>
  </si>
  <si>
    <t>DS706 .T4 1999</t>
  </si>
  <si>
    <t>0                      DS 0706000T  4           1999</t>
  </si>
  <si>
    <t>New York before Chinatown : Orientalism and the shaping of American culture, 1776-1882 / John Kuo Wei Tchen.</t>
  </si>
  <si>
    <t>Tchen, John Kuo Wei.</t>
  </si>
  <si>
    <t>Baltimore, Md. : Johns Hopkins University Press, 1999.</t>
  </si>
  <si>
    <t>13205597:eng</t>
  </si>
  <si>
    <t>40602867</t>
  </si>
  <si>
    <t>991003338389702656</t>
  </si>
  <si>
    <t>2256143320002656</t>
  </si>
  <si>
    <t>9780801860065</t>
  </si>
  <si>
    <t>32285004276399</t>
  </si>
  <si>
    <t>893416276</t>
  </si>
  <si>
    <t>DS706 .W65</t>
  </si>
  <si>
    <t>0                      DS 0706000W  65</t>
  </si>
  <si>
    <t>The World and its peoples, China.</t>
  </si>
  <si>
    <t>New York : Greystone Press, [1965]</t>
  </si>
  <si>
    <t>1243933:eng</t>
  </si>
  <si>
    <t>412110</t>
  </si>
  <si>
    <t>991002719079702656</t>
  </si>
  <si>
    <t>2264523130002656</t>
  </si>
  <si>
    <t>32285001477024</t>
  </si>
  <si>
    <t>893335636</t>
  </si>
  <si>
    <t>32285002463197</t>
  </si>
  <si>
    <t>893317166</t>
  </si>
  <si>
    <t>DS706.5 .Z66 2003</t>
  </si>
  <si>
    <t>0                      DS 0706500Z  66          2003</t>
  </si>
  <si>
    <t>Zhongguo di li li shi wei jie zhi mi / Zong Hao bian zhu.</t>
  </si>
  <si>
    <t>Zong, Hao.</t>
  </si>
  <si>
    <t>Nanning Shi : Guangxi min zu chu ban she, 2003.</t>
  </si>
  <si>
    <t>Di 1 ban.</t>
  </si>
  <si>
    <t xml:space="preserve">cc </t>
  </si>
  <si>
    <t>Tan suo wen cong</t>
  </si>
  <si>
    <t>3374263996:chi</t>
  </si>
  <si>
    <t>55501836</t>
  </si>
  <si>
    <t>991005074709702656</t>
  </si>
  <si>
    <t>2267792700002656</t>
  </si>
  <si>
    <t>9787536344044</t>
  </si>
  <si>
    <t>32285005288856</t>
  </si>
  <si>
    <t>893870471</t>
  </si>
  <si>
    <t>32285005288864</t>
  </si>
  <si>
    <t>893870472</t>
  </si>
  <si>
    <t>DS706.7 .L44 1993</t>
  </si>
  <si>
    <t>0                      DS 0706700L  44          1993</t>
  </si>
  <si>
    <t>The changing geography of China / Frank Leeming.</t>
  </si>
  <si>
    <t>Leeming, Frank.</t>
  </si>
  <si>
    <t>Oxford ; Cambridge, Mass. : Blackwell, 1993.</t>
  </si>
  <si>
    <t>IBG studies in geography</t>
  </si>
  <si>
    <t>345104:eng</t>
  </si>
  <si>
    <t>25872550</t>
  </si>
  <si>
    <t>991002031699702656</t>
  </si>
  <si>
    <t>2270850860002656</t>
  </si>
  <si>
    <t>9780631176756</t>
  </si>
  <si>
    <t>32285001729192</t>
  </si>
  <si>
    <t>893590845</t>
  </si>
  <si>
    <t>DS706.7 .S65 1991</t>
  </si>
  <si>
    <t>0                      DS 0706700S  65          1991</t>
  </si>
  <si>
    <t>China : people and places in the land of one billion / Christopher J. Smith.</t>
  </si>
  <si>
    <t>Smith, Christopher J.</t>
  </si>
  <si>
    <t>1991-04-10</t>
  </si>
  <si>
    <t>233371636:eng</t>
  </si>
  <si>
    <t>22386903</t>
  </si>
  <si>
    <t>991001773009702656</t>
  </si>
  <si>
    <t>2265705830002656</t>
  </si>
  <si>
    <t>9780813308548</t>
  </si>
  <si>
    <t>32285000567171</t>
  </si>
  <si>
    <t>893697023</t>
  </si>
  <si>
    <t>DS709 .D3 1972</t>
  </si>
  <si>
    <t>0                      DS 0709000D  3           1972</t>
  </si>
  <si>
    <t>The Chinese: a general description of the empire of China and its inhabitants.</t>
  </si>
  <si>
    <t>Davis, John Francis, Sir, 1795-1890.</t>
  </si>
  <si>
    <t>Wilmington, Del., Scholarly Resources [1972]</t>
  </si>
  <si>
    <t>1999-06-14</t>
  </si>
  <si>
    <t>193519435:eng</t>
  </si>
  <si>
    <t>796857</t>
  </si>
  <si>
    <t>991003271069702656</t>
  </si>
  <si>
    <t>2260601140002656</t>
  </si>
  <si>
    <t>9780842013529</t>
  </si>
  <si>
    <t>32285002445921</t>
  </si>
  <si>
    <t>893410114</t>
  </si>
  <si>
    <t>32285002445913</t>
  </si>
  <si>
    <t>893434825</t>
  </si>
  <si>
    <t>DS709 .F64 1996</t>
  </si>
  <si>
    <t>0                      DS 0709000F  64          1996</t>
  </si>
  <si>
    <t>The literature of travel in the Japanese rediscovery of China, 1862-1945 / Joshua A. Fogel.</t>
  </si>
  <si>
    <t>Fogel, Joshua A., 1950-</t>
  </si>
  <si>
    <t>Stanford, Calif. : Stanford University Press, c1996.</t>
  </si>
  <si>
    <t>36758064:eng</t>
  </si>
  <si>
    <t>32626862</t>
  </si>
  <si>
    <t>991002509609702656</t>
  </si>
  <si>
    <t>2267243410002656</t>
  </si>
  <si>
    <t>9780804725675</t>
  </si>
  <si>
    <t>32285003594339</t>
  </si>
  <si>
    <t>893892648</t>
  </si>
  <si>
    <t>DS709 .F76 1972</t>
  </si>
  <si>
    <t>0                      DS 0709000F  76          1972</t>
  </si>
  <si>
    <t>A residence among the Chinese: inland, on the coast, and at sea. Being a narrative of scenes and adventures during a third visit to China, from 1853 to 1856, including notices of many natural productions and works of art, the culture of silk, &amp;c; with suggestions on the present war.</t>
  </si>
  <si>
    <t>Fortune, Robert, 1813-1880.</t>
  </si>
  <si>
    <t>3300045:eng</t>
  </si>
  <si>
    <t>2656172</t>
  </si>
  <si>
    <t>991004202529702656</t>
  </si>
  <si>
    <t>2258604370002656</t>
  </si>
  <si>
    <t>9780842013635</t>
  </si>
  <si>
    <t>32285002445939</t>
  </si>
  <si>
    <t>893718618</t>
  </si>
  <si>
    <t>DS709 .M47</t>
  </si>
  <si>
    <t>0                      DS 0709000M  47</t>
  </si>
  <si>
    <t>China : its state and prospects.</t>
  </si>
  <si>
    <t>Medhurst, Walter Henry, 1796-1857.</t>
  </si>
  <si>
    <t>Wilmington, Del., Scholarly Resources [1973]</t>
  </si>
  <si>
    <t>1996-09-09</t>
  </si>
  <si>
    <t>5378201625:eng</t>
  </si>
  <si>
    <t>797638</t>
  </si>
  <si>
    <t>991003271999702656</t>
  </si>
  <si>
    <t>2258289790002656</t>
  </si>
  <si>
    <t>9780842013796</t>
  </si>
  <si>
    <t>32285002273539</t>
  </si>
  <si>
    <t>893893556</t>
  </si>
  <si>
    <t>DS709 .M645 1900</t>
  </si>
  <si>
    <t>0                      DS 0709000M  645         1900</t>
  </si>
  <si>
    <t>The story of China past and present : a history of the Chinese empire from the dawn of civilization to the present time / by J. Martin Miller ; illustrated with reproductions of original photographs, many of which were taken by the author.</t>
  </si>
  <si>
    <t>Chicago : A. B. Kuhlman, [1900]</t>
  </si>
  <si>
    <t>1900</t>
  </si>
  <si>
    <t>2002-03-04</t>
  </si>
  <si>
    <t>1995-11-28</t>
  </si>
  <si>
    <t>8086821:eng</t>
  </si>
  <si>
    <t>9375822</t>
  </si>
  <si>
    <t>991000180889702656</t>
  </si>
  <si>
    <t>2269712890002656</t>
  </si>
  <si>
    <t>32285002120243</t>
  </si>
  <si>
    <t>893502317</t>
  </si>
  <si>
    <t>DS709 .W723 1895</t>
  </si>
  <si>
    <t>0                      DS 0709000W  723         1895</t>
  </si>
  <si>
    <t>The Middle kingdom. A survey of the geography, government, literature, social life, arts, and history of the Chinese empire and its inhabitants. By S. Wells Williams.</t>
  </si>
  <si>
    <t>Williams, S. Wells (Samuel Wells), 1812-1884.</t>
  </si>
  <si>
    <t>New York, C. Scribner's sons, 1895 [c1882]</t>
  </si>
  <si>
    <t>1895</t>
  </si>
  <si>
    <t>10178148371:eng</t>
  </si>
  <si>
    <t>2700557</t>
  </si>
  <si>
    <t>991004217079702656</t>
  </si>
  <si>
    <t>2257781320002656</t>
  </si>
  <si>
    <t>32285002446002</t>
  </si>
  <si>
    <t>893593424</t>
  </si>
  <si>
    <t>32285002446010</t>
  </si>
  <si>
    <t>893593423</t>
  </si>
  <si>
    <t>DS709 .W74 1972</t>
  </si>
  <si>
    <t>0                      DS 0709000W  74          1972</t>
  </si>
  <si>
    <t>China: travels and investigations in the "Middle Kingdom," a study of its civilization and possibilities, with a glance at Japan.</t>
  </si>
  <si>
    <t>Wilson, James Harrison, 1837-1925.</t>
  </si>
  <si>
    <t>2003-01-31</t>
  </si>
  <si>
    <t>1574659:eng</t>
  </si>
  <si>
    <t>488042</t>
  </si>
  <si>
    <t>991002852869702656</t>
  </si>
  <si>
    <t>2255009490002656</t>
  </si>
  <si>
    <t>9780842013642</t>
  </si>
  <si>
    <t>32285002446028</t>
  </si>
  <si>
    <t>893530560</t>
  </si>
  <si>
    <t>DS71 .O33</t>
  </si>
  <si>
    <t>0                      DS 0071000O  33</t>
  </si>
  <si>
    <t>Studies in the ancient history of Northern Iraq.</t>
  </si>
  <si>
    <t>Oates, David, 1927-2004.</t>
  </si>
  <si>
    <t>London, published for the British Academy by Oxford, U.P., 1968.</t>
  </si>
  <si>
    <t>1999-12-05</t>
  </si>
  <si>
    <t>1480938:eng</t>
  </si>
  <si>
    <t>458715</t>
  </si>
  <si>
    <t>991002815679702656</t>
  </si>
  <si>
    <t>2265952640002656</t>
  </si>
  <si>
    <t>32285002460292</t>
  </si>
  <si>
    <t>893511227</t>
  </si>
  <si>
    <t>DS71 .R34</t>
  </si>
  <si>
    <t>0                      DS 0071000R  34</t>
  </si>
  <si>
    <t>Assyria : from the rise of the empire to the fall of Nineveh ; continued from the story of Chaldea / by Zénaïde A. Ragozin.</t>
  </si>
  <si>
    <t>Ragozin, Zénaïde A. (Zénaïde Alexeïevna), 1835-1924.</t>
  </si>
  <si>
    <t>New York : G. P. Putnam's sons, 1901.</t>
  </si>
  <si>
    <t>The story of the nations.</t>
  </si>
  <si>
    <t>905397208:eng</t>
  </si>
  <si>
    <t>14013189</t>
  </si>
  <si>
    <t>991000899339702656</t>
  </si>
  <si>
    <t>2259110600002656</t>
  </si>
  <si>
    <t>32285002121217</t>
  </si>
  <si>
    <t>893772089</t>
  </si>
  <si>
    <t>DS71 .R78 1980</t>
  </si>
  <si>
    <t>0                      DS 0071000R  78          1980</t>
  </si>
  <si>
    <t>Ancient Iraq / Georges Roux.</t>
  </si>
  <si>
    <t>Roux, Georges, 1914-</t>
  </si>
  <si>
    <t>Harmondsworth, Middlesex, Eng. : Penguin Books, 1980.</t>
  </si>
  <si>
    <t>12372978:eng</t>
  </si>
  <si>
    <t>6896516</t>
  </si>
  <si>
    <t>991005056239702656</t>
  </si>
  <si>
    <t>2272525810002656</t>
  </si>
  <si>
    <t>9780140208283</t>
  </si>
  <si>
    <t>32285000655638</t>
  </si>
  <si>
    <t>893242128</t>
  </si>
  <si>
    <t>DS71 .S24 1995b</t>
  </si>
  <si>
    <t>0                      DS 0071000S  24          1995b</t>
  </si>
  <si>
    <t>Babylonians / H.W.F. Saggs.</t>
  </si>
  <si>
    <t>Norman : University of Oklahoma Press, c1995.</t>
  </si>
  <si>
    <t>Peoples of the past ; v. 1</t>
  </si>
  <si>
    <t>1997-10-19</t>
  </si>
  <si>
    <t>1997-10-02</t>
  </si>
  <si>
    <t>33871476:eng</t>
  </si>
  <si>
    <t>31971453</t>
  </si>
  <si>
    <t>991002452419702656</t>
  </si>
  <si>
    <t>2266994900002656</t>
  </si>
  <si>
    <t>9780806127651</t>
  </si>
  <si>
    <t>32285003252276</t>
  </si>
  <si>
    <t>893510753</t>
  </si>
  <si>
    <t>DS71 .V35 1999</t>
  </si>
  <si>
    <t>0                      DS 0071000V  35          1999</t>
  </si>
  <si>
    <t>Cuneiform texts and the writing of history / Marc Van de Mieroop.</t>
  </si>
  <si>
    <t>Van de Mieroop, Marc.</t>
  </si>
  <si>
    <t>London ; New York : Routledge, 1999.</t>
  </si>
  <si>
    <t>Approaching the ancient world</t>
  </si>
  <si>
    <t>2003-08-19</t>
  </si>
  <si>
    <t>2527903:eng</t>
  </si>
  <si>
    <t>40180227</t>
  </si>
  <si>
    <t>991004099249702656</t>
  </si>
  <si>
    <t>2262528750002656</t>
  </si>
  <si>
    <t>9780415195324</t>
  </si>
  <si>
    <t>32285004759873</t>
  </si>
  <si>
    <t>893687365</t>
  </si>
  <si>
    <t>DS71.S29 A8</t>
  </si>
  <si>
    <t>0                      DS 0071000S  29                 A  8</t>
  </si>
  <si>
    <t>Assyria : its princes, priests and people / by A.H. Sayce.</t>
  </si>
  <si>
    <t>Sayce, A. H. (Archibald Henry), 1845-1933.</t>
  </si>
  <si>
    <t>New York : Revell ; London : Religious tract society, 1895.</t>
  </si>
  <si>
    <t>By-paths of Bible knowledge ; v. 7</t>
  </si>
  <si>
    <t>10628100605:eng</t>
  </si>
  <si>
    <t>23887418</t>
  </si>
  <si>
    <t>991001891829702656</t>
  </si>
  <si>
    <t>2272582410002656</t>
  </si>
  <si>
    <t>32285001953826</t>
  </si>
  <si>
    <t>893779167</t>
  </si>
  <si>
    <t>DS711 .G7 1973</t>
  </si>
  <si>
    <t>0                      DS 0711000G  7           1973</t>
  </si>
  <si>
    <t>Awakened China: the country Americans don't know.</t>
  </si>
  <si>
    <t>Greene, Felix.</t>
  </si>
  <si>
    <t>Westport, Conn., Greenwood Press [1973, c1961]</t>
  </si>
  <si>
    <t>1997-10-29</t>
  </si>
  <si>
    <t>500695:eng</t>
  </si>
  <si>
    <t>578765</t>
  </si>
  <si>
    <t>991003011949702656</t>
  </si>
  <si>
    <t>2258725850002656</t>
  </si>
  <si>
    <t>9780837167732</t>
  </si>
  <si>
    <t>32285002446101</t>
  </si>
  <si>
    <t>893434562</t>
  </si>
  <si>
    <t>DS711 .L58</t>
  </si>
  <si>
    <t>0                      DS 0711000L  58</t>
  </si>
  <si>
    <t>China's largest river / by Jiang Liu.</t>
  </si>
  <si>
    <t>Liu, Jiang.</t>
  </si>
  <si>
    <t>Beijung : Foreign Languages Press, 1980.</t>
  </si>
  <si>
    <t>2001-03-25</t>
  </si>
  <si>
    <t>2987881:eng</t>
  </si>
  <si>
    <t>10857263</t>
  </si>
  <si>
    <t>991005149099702656</t>
  </si>
  <si>
    <t>2261410100002656</t>
  </si>
  <si>
    <t>32285000338003</t>
  </si>
  <si>
    <t>893619541</t>
  </si>
  <si>
    <t>DS711 .S245 1973</t>
  </si>
  <si>
    <t>0                      DS 0711000S  245         1973</t>
  </si>
  <si>
    <t>To Peking-and beyond : a report on the new Asia / by Harrison E. Salisbury.</t>
  </si>
  <si>
    <t>Salisbury, Harrison E. (Harrison Evans), 1908-1993.</t>
  </si>
  <si>
    <t>[New York] : Quadrangle, [1973]</t>
  </si>
  <si>
    <t>1999-03-11</t>
  </si>
  <si>
    <t>283210965:eng</t>
  </si>
  <si>
    <t>595471</t>
  </si>
  <si>
    <t>991003033019702656</t>
  </si>
  <si>
    <t>2272329540002656</t>
  </si>
  <si>
    <t>9780812903331</t>
  </si>
  <si>
    <t>32285000338011</t>
  </si>
  <si>
    <t>893434589</t>
  </si>
  <si>
    <t>DS711 .S57</t>
  </si>
  <si>
    <t>0                      DS 0711000S  57</t>
  </si>
  <si>
    <t>The long revolution.</t>
  </si>
  <si>
    <t>Snow, Edgar, 1905-1972.</t>
  </si>
  <si>
    <t>New York, Random House [1972]</t>
  </si>
  <si>
    <t>2006-10-30</t>
  </si>
  <si>
    <t>3901047996:eng</t>
  </si>
  <si>
    <t>340479</t>
  </si>
  <si>
    <t>991002412959702656</t>
  </si>
  <si>
    <t>2262608910002656</t>
  </si>
  <si>
    <t>9780394468594</t>
  </si>
  <si>
    <t>32285002446176</t>
  </si>
  <si>
    <t>893238998</t>
  </si>
  <si>
    <t>DS711 .T68 1966</t>
  </si>
  <si>
    <t>0                      DS 0711000T  68          1966</t>
  </si>
  <si>
    <t>A geography of China, by T. R. Tregear.</t>
  </si>
  <si>
    <t>Tregear, T. R. (Thomas R.)</t>
  </si>
  <si>
    <t>Chicago, Aldine Pub. Co. [1966, c1965]</t>
  </si>
  <si>
    <t>1410162:eng</t>
  </si>
  <si>
    <t>248972</t>
  </si>
  <si>
    <t>991001931409702656</t>
  </si>
  <si>
    <t>2258637400002656</t>
  </si>
  <si>
    <t>32285002446218</t>
  </si>
  <si>
    <t>893773035</t>
  </si>
  <si>
    <t>DS712 .B68 1997</t>
  </si>
  <si>
    <t>0                      DS 0712000B  68          1997</t>
  </si>
  <si>
    <t>Yak butter &amp; black tea : a journey into forbidden China / Wade Brackenbury.</t>
  </si>
  <si>
    <t>Brackenbury, Wade, 1964-</t>
  </si>
  <si>
    <t>Chapel Hill, N.C. : Algonquin Books of Chapel Hill, 1997.</t>
  </si>
  <si>
    <t>1997-03-14</t>
  </si>
  <si>
    <t>897717034:eng</t>
  </si>
  <si>
    <t>35192194</t>
  </si>
  <si>
    <t>991002694839702656</t>
  </si>
  <si>
    <t>2256353770002656</t>
  </si>
  <si>
    <t>9781565121485</t>
  </si>
  <si>
    <t>32285002443231</t>
  </si>
  <si>
    <t>893798891</t>
  </si>
  <si>
    <t>DS712 .D39 1989</t>
  </si>
  <si>
    <t>0                      DS 0712000D  39          1989</t>
  </si>
  <si>
    <t>A Day in the life of China / photographed by 90 of the world's leading photojournalists on one day, April 15, 1989 ; [project director, David Cohen ; art director, Jennifer Barry].</t>
  </si>
  <si>
    <t>San Francisco : Collins, 1989.</t>
  </si>
  <si>
    <t>1996-07-15</t>
  </si>
  <si>
    <t>55223823:eng</t>
  </si>
  <si>
    <t>19845449</t>
  </si>
  <si>
    <t>991001505749702656</t>
  </si>
  <si>
    <t>2268481300002656</t>
  </si>
  <si>
    <t>9780002153225</t>
  </si>
  <si>
    <t>32285000004647</t>
  </si>
  <si>
    <t>893256288</t>
  </si>
  <si>
    <t>DS712 .P36 2003</t>
  </si>
  <si>
    <t>0                      DS 0712000P  36          2003</t>
  </si>
  <si>
    <t>Zhongguo lü you di li = Zhongguo luyou dili / Pang Guiquan bian zhu.</t>
  </si>
  <si>
    <t>Pang, Guiquan.</t>
  </si>
  <si>
    <t>Beijing Shi : Lü you jiao yu chu ban she, 2003.</t>
  </si>
  <si>
    <t>Quan guo lü you zhuan ye xi lie jiao cai</t>
  </si>
  <si>
    <t>4020247587:chi</t>
  </si>
  <si>
    <t>71289316</t>
  </si>
  <si>
    <t>991005074559702656</t>
  </si>
  <si>
    <t>2267417070002656</t>
  </si>
  <si>
    <t>9787563711222</t>
  </si>
  <si>
    <t>32285005288773</t>
  </si>
  <si>
    <t>893513990</t>
  </si>
  <si>
    <t>DS712 .S245 1986</t>
  </si>
  <si>
    <t>0                      DS 0712000S  245         1986</t>
  </si>
  <si>
    <t>Iron &amp; silk / Mark Salzman.</t>
  </si>
  <si>
    <t>Salzman, Mark.</t>
  </si>
  <si>
    <t>New York : Random House, c1986.</t>
  </si>
  <si>
    <t>2003-09-28</t>
  </si>
  <si>
    <t>10557186:eng</t>
  </si>
  <si>
    <t>13580691</t>
  </si>
  <si>
    <t>991000848609702656</t>
  </si>
  <si>
    <t>2257552100002656</t>
  </si>
  <si>
    <t>9780394551562</t>
  </si>
  <si>
    <t>32285000338078</t>
  </si>
  <si>
    <t>893797038</t>
  </si>
  <si>
    <t>DS72 .K6 1968</t>
  </si>
  <si>
    <t>0                      DS 0072000K  6           1968</t>
  </si>
  <si>
    <t>A history of Sumer and Akkad; an account of the early races of Babylonia from prehistoric times to the foundation of the Babylonian monarchy.</t>
  </si>
  <si>
    <t>King, L. W. (Leonard William), 1869-1919.</t>
  </si>
  <si>
    <t>New York, Greenwood Press [1968]</t>
  </si>
  <si>
    <t>3768452371:eng</t>
  </si>
  <si>
    <t>22873</t>
  </si>
  <si>
    <t>991000051369702656</t>
  </si>
  <si>
    <t>2268194110002656</t>
  </si>
  <si>
    <t>32285001120186</t>
  </si>
  <si>
    <t>893877750</t>
  </si>
  <si>
    <t>DS721 .B213</t>
  </si>
  <si>
    <t>0                      DS 0721000B  213</t>
  </si>
  <si>
    <t>Chinese civilization and bureaucracy : variations on a theme / translated by H.M. Wright. Edited by Arthur F. Wright.</t>
  </si>
  <si>
    <t>Balazs, Etienne, 1905-1963.</t>
  </si>
  <si>
    <t>2008-06-22</t>
  </si>
  <si>
    <t>1992-01-17</t>
  </si>
  <si>
    <t>1310278:eng</t>
  </si>
  <si>
    <t>176109</t>
  </si>
  <si>
    <t>991001045939702656</t>
  </si>
  <si>
    <t>2267731870002656</t>
  </si>
  <si>
    <t>32285000914910</t>
  </si>
  <si>
    <t>893231655</t>
  </si>
  <si>
    <t>DS721 .B59 1983</t>
  </si>
  <si>
    <t>0                      DS 0721000B  59          1983</t>
  </si>
  <si>
    <t>Cultural atlas of China / by Caroline Blunden and Mark Elvin.</t>
  </si>
  <si>
    <t>Blunden, Caroline.</t>
  </si>
  <si>
    <t>New York : Facts on File Inc., c1983.</t>
  </si>
  <si>
    <t>1990-07-02</t>
  </si>
  <si>
    <t>4479196870:eng</t>
  </si>
  <si>
    <t>9042225</t>
  </si>
  <si>
    <t>991000116639702656</t>
  </si>
  <si>
    <t>2265344870002656</t>
  </si>
  <si>
    <t>9780871961327</t>
  </si>
  <si>
    <t>32285000220698</t>
  </si>
  <si>
    <t>893345398</t>
  </si>
  <si>
    <t>DS721 .B615 1994</t>
  </si>
  <si>
    <t>0                      DS 0721000B  615         1994</t>
  </si>
  <si>
    <t>Body, subject &amp; power in China / edited by Angela Zito and Tani E. Barlow.</t>
  </si>
  <si>
    <t>Chicago : University of Chicago Press, c1994.</t>
  </si>
  <si>
    <t>2001-09-21</t>
  </si>
  <si>
    <t>351583364:eng</t>
  </si>
  <si>
    <t>27934874</t>
  </si>
  <si>
    <t>991002169489702656</t>
  </si>
  <si>
    <t>2256332740002656</t>
  </si>
  <si>
    <t>9780226987262</t>
  </si>
  <si>
    <t>32285003673695</t>
  </si>
  <si>
    <t>893879574</t>
  </si>
  <si>
    <t>DS721 .B617 1991</t>
  </si>
  <si>
    <t>0                      DS 0721000B  617         1991</t>
  </si>
  <si>
    <t>Beyond the Chinese face : insights from psychology / Michael Harris Bond.</t>
  </si>
  <si>
    <t>Bond, Michael Harris, 1944-</t>
  </si>
  <si>
    <t>Hong Kong ; New York : Oxford University Press, 1991.</t>
  </si>
  <si>
    <t xml:space="preserve">hk </t>
  </si>
  <si>
    <t>1994-12-13</t>
  </si>
  <si>
    <t>25074165:eng</t>
  </si>
  <si>
    <t>24064886</t>
  </si>
  <si>
    <t>991001902999702656</t>
  </si>
  <si>
    <t>2263542310002656</t>
  </si>
  <si>
    <t>9780195851168</t>
  </si>
  <si>
    <t>32285001976983</t>
  </si>
  <si>
    <t>893334697</t>
  </si>
  <si>
    <t>DS721 .B95 1959a</t>
  </si>
  <si>
    <t>0                      DS 0721000B  95          1959a</t>
  </si>
  <si>
    <t>Chinese creeds &amp; customs.</t>
  </si>
  <si>
    <t>Burkhardt, V. R. (Valentine Rodolphe), 1884-1967.</t>
  </si>
  <si>
    <t>Hong Kong : South China Morning Post, [1959-1960, c1955]</t>
  </si>
  <si>
    <t>2008-03-03</t>
  </si>
  <si>
    <t>104394289:eng</t>
  </si>
  <si>
    <t>12698945</t>
  </si>
  <si>
    <t>991000726689702656</t>
  </si>
  <si>
    <t>2267285740002656</t>
  </si>
  <si>
    <t>32285001578201</t>
  </si>
  <si>
    <t>893521945</t>
  </si>
  <si>
    <t>32285001578193</t>
  </si>
  <si>
    <t>893528339</t>
  </si>
  <si>
    <t>DS721 .C47545</t>
  </si>
  <si>
    <t>0                      DS 0721000C  47545</t>
  </si>
  <si>
    <t>China and the West : society and culture, 1815-1937 / Jerome Chʻen.</t>
  </si>
  <si>
    <t>Chʼên, Jerome, 1919-2019.</t>
  </si>
  <si>
    <t>Bloomington : Indiana University Press, c1979.</t>
  </si>
  <si>
    <t>198125698:eng</t>
  </si>
  <si>
    <t>5171918</t>
  </si>
  <si>
    <t>991004793159702656</t>
  </si>
  <si>
    <t>2259052440002656</t>
  </si>
  <si>
    <t>9780253120328</t>
  </si>
  <si>
    <t>32285000338094</t>
  </si>
  <si>
    <t>893247984</t>
  </si>
  <si>
    <t>DS721 .C48757 2007</t>
  </si>
  <si>
    <t>0                      DS 0721000C  48757       2007</t>
  </si>
  <si>
    <t>China on paper : European and Chinese works from the late sixteenth to the early nineteenth century / edited by Marcia Reed and Paola Demattè.</t>
  </si>
  <si>
    <t>Los Angeles, Calif. : Getty Research Institute, c2007.</t>
  </si>
  <si>
    <t>2010-04-26</t>
  </si>
  <si>
    <t>890576789:eng</t>
  </si>
  <si>
    <t>76937359</t>
  </si>
  <si>
    <t>991005272249702656</t>
  </si>
  <si>
    <t>2265710430002656</t>
  </si>
  <si>
    <t>9780892368693</t>
  </si>
  <si>
    <t>32285005467021</t>
  </si>
  <si>
    <t>893344954</t>
  </si>
  <si>
    <t>DS721 .C5</t>
  </si>
  <si>
    <t>0                      DS 0721000C  5</t>
  </si>
  <si>
    <t>Story of China and Japan, embracing their geographical positions, enormous resources, wealth, emperors and courts, governments and people, manners and customs, how the people of these great nations live and die and maintain in oriental splendor the China and Japan of to-day, together with a sketch of Corea and the Coreans, and causes leading to the conflict of 1894, by James Hyde Clark, assisted by Chang Wong and K. Tatoni.</t>
  </si>
  <si>
    <t>Clark, James Hyde.</t>
  </si>
  <si>
    <t>[n. p.] Oriental Pub. Co. [c1894]</t>
  </si>
  <si>
    <t>2005-11-22</t>
  </si>
  <si>
    <t>200895345:eng</t>
  </si>
  <si>
    <t>1853785</t>
  </si>
  <si>
    <t>991003912039702656</t>
  </si>
  <si>
    <t>2264686220002656</t>
  </si>
  <si>
    <t>32285002446226</t>
  </si>
  <si>
    <t>893330983</t>
  </si>
  <si>
    <t>DS721 .D36</t>
  </si>
  <si>
    <t>0                      DS 0721000D  36</t>
  </si>
  <si>
    <t>The legacy of China / edited by Raymond Dawson.</t>
  </si>
  <si>
    <t>Dawson, Raymond editor.</t>
  </si>
  <si>
    <t>Oxford : Clarendon Press, 1964.</t>
  </si>
  <si>
    <t>The legacy series</t>
  </si>
  <si>
    <t>2001-04-22</t>
  </si>
  <si>
    <t>8861403592:eng</t>
  </si>
  <si>
    <t>305061</t>
  </si>
  <si>
    <t>991002262479702656</t>
  </si>
  <si>
    <t>2262961750002656</t>
  </si>
  <si>
    <t>32285000914902</t>
  </si>
  <si>
    <t>893433687</t>
  </si>
  <si>
    <t>DS721 .E3713 1969b</t>
  </si>
  <si>
    <t>0                      DS 0721000E  3713        1969b</t>
  </si>
  <si>
    <t>Chinese civilization; an introduction. Translated by Janet Seligman.</t>
  </si>
  <si>
    <t>Eichhorn, Werner, 1899-1990.</t>
  </si>
  <si>
    <t>New York, Praeger [1969]</t>
  </si>
  <si>
    <t>2001-09-04</t>
  </si>
  <si>
    <t>2452479286:eng</t>
  </si>
  <si>
    <t>21358</t>
  </si>
  <si>
    <t>991000038849702656</t>
  </si>
  <si>
    <t>2261558680002656</t>
  </si>
  <si>
    <t>32285002446267</t>
  </si>
  <si>
    <t>893502167</t>
  </si>
  <si>
    <t>DS721 .H71114 1991</t>
  </si>
  <si>
    <t>0                      DS 0721000H  71114       1991</t>
  </si>
  <si>
    <t>Encountering the Chinese : a guide for Americans / Hu Wenzhong and Cornelius L. Grove.</t>
  </si>
  <si>
    <t>Hu, Wenzhong, 1935-</t>
  </si>
  <si>
    <t>Yarmouth, Me., USA : Intercultural Press, c1991.</t>
  </si>
  <si>
    <t>The InterAct series ; 7</t>
  </si>
  <si>
    <t>2007-02-27</t>
  </si>
  <si>
    <t>1993-09-17</t>
  </si>
  <si>
    <t>1863743526:eng</t>
  </si>
  <si>
    <t>23582916</t>
  </si>
  <si>
    <t>991001869009702656</t>
  </si>
  <si>
    <t>2256099930002656</t>
  </si>
  <si>
    <t>9780933662957</t>
  </si>
  <si>
    <t>32285001766863</t>
  </si>
  <si>
    <t>893785457</t>
  </si>
  <si>
    <t>DS721 .H724</t>
  </si>
  <si>
    <t>0                      DS 0721000H  724</t>
  </si>
  <si>
    <t>China's imperial past : an introduction to Chinese history and culture / Charles O. Hucker.</t>
  </si>
  <si>
    <t>Hucker, Charles O.</t>
  </si>
  <si>
    <t>Stanford, Calif. : Stanford University Press, 1975.</t>
  </si>
  <si>
    <t>2006-01-03</t>
  </si>
  <si>
    <t>1992-02-19</t>
  </si>
  <si>
    <t>459563:eng</t>
  </si>
  <si>
    <t>1868549</t>
  </si>
  <si>
    <t>991003920129702656</t>
  </si>
  <si>
    <t>2266027040002656</t>
  </si>
  <si>
    <t>9780804708876</t>
  </si>
  <si>
    <t>32285000947837</t>
  </si>
  <si>
    <t>893234826</t>
  </si>
  <si>
    <t>DS721 .I34 1990</t>
  </si>
  <si>
    <t>0                      DS 0721000I  34          1990</t>
  </si>
  <si>
    <t>Ideas across cultures : essays on Chinese thought in honor of Benjamin I. Schwartz / edited by Paul A. Cohen and Merle Goldman.</t>
  </si>
  <si>
    <t>Cambridge, Mass. : Council on East Asian Studies, Harvard University : Distributed by Harvard University Press, 1990.</t>
  </si>
  <si>
    <t>Harvard East Asian monographs ; 150</t>
  </si>
  <si>
    <t>1999-04-22</t>
  </si>
  <si>
    <t>836867096:eng</t>
  </si>
  <si>
    <t>21227823</t>
  </si>
  <si>
    <t>991001667099702656</t>
  </si>
  <si>
    <t>2269368680002656</t>
  </si>
  <si>
    <t>9780674442252</t>
  </si>
  <si>
    <t>32285003554614</t>
  </si>
  <si>
    <t>893866382</t>
  </si>
  <si>
    <t>DS721 .L5435 1967</t>
  </si>
  <si>
    <t>0                      DS 0721000L  5435        1967</t>
  </si>
  <si>
    <t>The essence of Chinese civilization. Edited by Dun J. Li.</t>
  </si>
  <si>
    <t>Li, Dun Jen, 1920- compiler.</t>
  </si>
  <si>
    <t>Princeton, N.J., Van Nostrand [1967]</t>
  </si>
  <si>
    <t>1457447:eng</t>
  </si>
  <si>
    <t>411286</t>
  </si>
  <si>
    <t>991002715949702656</t>
  </si>
  <si>
    <t>2265060960002656</t>
  </si>
  <si>
    <t>32285000947845</t>
  </si>
  <si>
    <t>893798919</t>
  </si>
  <si>
    <t>DS721 .L625 1991</t>
  </si>
  <si>
    <t>0                      DS 0721000L  625         1991</t>
  </si>
  <si>
    <t>China, empire of living symbols / Cecilia Lindqvist ; translated from the Swedish by Joan Tate ; foreword by Michael Loewe.</t>
  </si>
  <si>
    <t>Lindqvist, Cecilia.</t>
  </si>
  <si>
    <t>Reading, Mass. : Addison-Wesley, 1991.</t>
  </si>
  <si>
    <t>1996-12-18</t>
  </si>
  <si>
    <t>5090399103:eng</t>
  </si>
  <si>
    <t>24106801</t>
  </si>
  <si>
    <t>991001908489702656</t>
  </si>
  <si>
    <t>2256035740002656</t>
  </si>
  <si>
    <t>9780201570090</t>
  </si>
  <si>
    <t>32285002400033</t>
  </si>
  <si>
    <t>893879287</t>
  </si>
  <si>
    <t>DS721 .N392</t>
  </si>
  <si>
    <t>0                      DS 0721000N  392</t>
  </si>
  <si>
    <t>The shorter Science and civilisation in China : an abridgement of Joseph Needham's original text / Colin A. Ronan.</t>
  </si>
  <si>
    <t>Needham, Joseph, 1900-1995.</t>
  </si>
  <si>
    <t>Cambridge ; New York : Cambridge University Press, 1978-</t>
  </si>
  <si>
    <t>2615353802:eng</t>
  </si>
  <si>
    <t>3345021</t>
  </si>
  <si>
    <t>991005371029702656</t>
  </si>
  <si>
    <t>2256952110002656</t>
  </si>
  <si>
    <t>9780521218214</t>
  </si>
  <si>
    <t>32285000338144</t>
  </si>
  <si>
    <t>893902627</t>
  </si>
  <si>
    <t>DS721 .S78</t>
  </si>
  <si>
    <t>0                      DS 0721000S  78</t>
  </si>
  <si>
    <t>The cultural ecology of Chinese civilization : peasants and elites in the last of the agrarian states / [by] Leon E. Stover.</t>
  </si>
  <si>
    <t>Stover, Leon E.</t>
  </si>
  <si>
    <t>New York : Pica Press, [1974]</t>
  </si>
  <si>
    <t>1783545:eng</t>
  </si>
  <si>
    <t>841249</t>
  </si>
  <si>
    <t>991003316359702656</t>
  </si>
  <si>
    <t>2264990540002656</t>
  </si>
  <si>
    <t>9780876637098</t>
  </si>
  <si>
    <t>32285001984078</t>
  </si>
  <si>
    <t>893717533</t>
  </si>
  <si>
    <t>DS721 .T46 1986</t>
  </si>
  <si>
    <t>0                      DS 0721000T  46          1986</t>
  </si>
  <si>
    <t>The genius of China : 3,000 years of science, discovery, and invention / Robert Temple ; introduced by Joseph Needham.</t>
  </si>
  <si>
    <t>Temple, Robert K. G.</t>
  </si>
  <si>
    <t>New York, N.Y. : Simon and Schuster, c1986.</t>
  </si>
  <si>
    <t>1996-05-20</t>
  </si>
  <si>
    <t>43996213:eng</t>
  </si>
  <si>
    <t>13859505</t>
  </si>
  <si>
    <t>991000883269702656</t>
  </si>
  <si>
    <t>2265235000002656</t>
  </si>
  <si>
    <t>9780671620288</t>
  </si>
  <si>
    <t>32285000272673</t>
  </si>
  <si>
    <t>893407619</t>
  </si>
  <si>
    <t>DS721 .W4813 1970</t>
  </si>
  <si>
    <t>0                      DS 0721000W  4813        1970</t>
  </si>
  <si>
    <t>A short history of Chinese civilization / translated by Joan Joshua. With an introd. by Lionel Giles.</t>
  </si>
  <si>
    <t>Wilhelm, Richard, 1873-1930.</t>
  </si>
  <si>
    <t>Port Washington, N.Y. : Kennikat Press, [1970]</t>
  </si>
  <si>
    <t>1992-01-24</t>
  </si>
  <si>
    <t>2148876:eng</t>
  </si>
  <si>
    <t>103477</t>
  </si>
  <si>
    <t>991005353169702656</t>
  </si>
  <si>
    <t>2260035520002656</t>
  </si>
  <si>
    <t>9780804611046</t>
  </si>
  <si>
    <t>32285000918549</t>
  </si>
  <si>
    <t>893789843</t>
  </si>
  <si>
    <t>DS723 .C73 1978</t>
  </si>
  <si>
    <t>0                      DS 0723000C  73          1978</t>
  </si>
  <si>
    <t>Studies in early Chinese culture, first series / by Herrlee Glessner Creel.</t>
  </si>
  <si>
    <t>Creel, Herrlee Glessner, 1905-1994.</t>
  </si>
  <si>
    <t>Philadelphia : Porcupine Press, 1978.</t>
  </si>
  <si>
    <t>Perspectives in Asian history ; no. 3</t>
  </si>
  <si>
    <t>475891841:eng</t>
  </si>
  <si>
    <t>4135609</t>
  </si>
  <si>
    <t>991004593189702656</t>
  </si>
  <si>
    <t>2255360570002656</t>
  </si>
  <si>
    <t>9780879916015</t>
  </si>
  <si>
    <t>32285000338177</t>
  </si>
  <si>
    <t>893442791</t>
  </si>
  <si>
    <t>DS723 .G7</t>
  </si>
  <si>
    <t>0                      DS 0723000G  7</t>
  </si>
  <si>
    <t>The world of ancient China / text by J. B. Grosier ; translated [from the French] by Lana Castellano and Christina Campbell-Thomson.</t>
  </si>
  <si>
    <t>Grosier, J.-B. (Jean-Baptiste), 1743-1823.</t>
  </si>
  <si>
    <t>Geneve, Minerva [1972]</t>
  </si>
  <si>
    <t>1681049:eng</t>
  </si>
  <si>
    <t>773576</t>
  </si>
  <si>
    <t>991003675719702656</t>
  </si>
  <si>
    <t>2263335740002656</t>
  </si>
  <si>
    <t>32285000917640</t>
  </si>
  <si>
    <t>893693016</t>
  </si>
  <si>
    <t>DS723 .L5</t>
  </si>
  <si>
    <t>0                      DS 0723000L  5</t>
  </si>
  <si>
    <t>The beginnings of Chinese civilization : three lectures illustrated with finds at Anyang.</t>
  </si>
  <si>
    <t>Li, Ji, 1896-1979.</t>
  </si>
  <si>
    <t>Seattle : University of Washington Press, [1957]</t>
  </si>
  <si>
    <t>1994-02-25</t>
  </si>
  <si>
    <t>433381788:eng</t>
  </si>
  <si>
    <t>412354</t>
  </si>
  <si>
    <t>991002720109702656</t>
  </si>
  <si>
    <t>2264521050002656</t>
  </si>
  <si>
    <t>32285000917632</t>
  </si>
  <si>
    <t>893786450</t>
  </si>
  <si>
    <t>32285000917624</t>
  </si>
  <si>
    <t>893773953</t>
  </si>
  <si>
    <t>DS723 .S3 1967</t>
  </si>
  <si>
    <t>0                      DS 0723000S  3           1967</t>
  </si>
  <si>
    <t>Ancient China / by Edward H. Schafer and the editors of Time-Life Books.</t>
  </si>
  <si>
    <t>Schafer, Edward H.</t>
  </si>
  <si>
    <t>New York : Time-Life Books, [1967]</t>
  </si>
  <si>
    <t>Great ages of man : a history of the world's cultures</t>
  </si>
  <si>
    <t>1998-10-14</t>
  </si>
  <si>
    <t>4739869048:eng</t>
  </si>
  <si>
    <t>406427</t>
  </si>
  <si>
    <t>991002703679702656</t>
  </si>
  <si>
    <t>2260956860002656</t>
  </si>
  <si>
    <t>32285000338185</t>
  </si>
  <si>
    <t>893904042</t>
  </si>
  <si>
    <t>DS723.C7 B5</t>
  </si>
  <si>
    <t>0                      DS 0723000C  7                  B  5</t>
  </si>
  <si>
    <t>The birth of China : a study of the formative period of Chinese civilization.</t>
  </si>
  <si>
    <t>New York : F. Ungar Pub. Co., [1954, c1937]</t>
  </si>
  <si>
    <t>1993-11-03</t>
  </si>
  <si>
    <t>1992-09-14</t>
  </si>
  <si>
    <t>475902048:eng</t>
  </si>
  <si>
    <t>412344</t>
  </si>
  <si>
    <t>991002719929702656</t>
  </si>
  <si>
    <t>2264552820002656</t>
  </si>
  <si>
    <t>32285001300069</t>
  </si>
  <si>
    <t>893691922</t>
  </si>
  <si>
    <t>DS724 .B66 1980</t>
  </si>
  <si>
    <t>0                      DS 0724000B  66          1980</t>
  </si>
  <si>
    <t>The Chinese / David Bonavia ; [photos. by Magnus Bartlett ; map by Paul J. Pugliese].</t>
  </si>
  <si>
    <t>Bonavia, David, 1940-</t>
  </si>
  <si>
    <t>New York : Lippincott &amp; Crowell, c1980.</t>
  </si>
  <si>
    <t>1994-03-04</t>
  </si>
  <si>
    <t>439639:eng</t>
  </si>
  <si>
    <t>6486624</t>
  </si>
  <si>
    <t>991004990029702656</t>
  </si>
  <si>
    <t>2269698660002656</t>
  </si>
  <si>
    <t>9780690019964</t>
  </si>
  <si>
    <t>32285000338193</t>
  </si>
  <si>
    <t>893513880</t>
  </si>
  <si>
    <t>DS724 .S56</t>
  </si>
  <si>
    <t>0                      DS 0724000S  56</t>
  </si>
  <si>
    <t>Families of Fengsheng : urban life in China / by Ruth Sidel ; photos. by Victor W. Sidel.</t>
  </si>
  <si>
    <t>Sidel, Ruth.</t>
  </si>
  <si>
    <t>Baltimore : Penguin Books, 1974.</t>
  </si>
  <si>
    <t>2057290:eng</t>
  </si>
  <si>
    <t>1138028</t>
  </si>
  <si>
    <t>991003565629702656</t>
  </si>
  <si>
    <t>2270134500002656</t>
  </si>
  <si>
    <t>9780140616163</t>
  </si>
  <si>
    <t>32285000338219</t>
  </si>
  <si>
    <t>893422702</t>
  </si>
  <si>
    <t>DS724 .W56 1979</t>
  </si>
  <si>
    <t>0                      DS 0724000W  56          1979</t>
  </si>
  <si>
    <t>The China difference / edited by Ross Terrill.</t>
  </si>
  <si>
    <t>New York : Harper &amp; Row, c1979.</t>
  </si>
  <si>
    <t>1995-10-12</t>
  </si>
  <si>
    <t>54314968:eng</t>
  </si>
  <si>
    <t>5316467</t>
  </si>
  <si>
    <t>991004818879702656</t>
  </si>
  <si>
    <t>2258345700002656</t>
  </si>
  <si>
    <t>9780060142490</t>
  </si>
  <si>
    <t>32285000272681</t>
  </si>
  <si>
    <t>893424225</t>
  </si>
  <si>
    <t>DS727 .S28 2001</t>
  </si>
  <si>
    <t>0                      DS 0727000S  28          2001</t>
  </si>
  <si>
    <t>Great walls of discourse and other adventures in cultural China / Haun Saussy.</t>
  </si>
  <si>
    <t>Saussy, Haun, 1960-</t>
  </si>
  <si>
    <t>Cambridge, Mass. : Harvard University Asia Center : Distributed by Harvard University Press, c2001.</t>
  </si>
  <si>
    <t>Harvard East Asian monographs ; 212</t>
  </si>
  <si>
    <t>2003-03-19</t>
  </si>
  <si>
    <t>36682491:eng</t>
  </si>
  <si>
    <t>47716403</t>
  </si>
  <si>
    <t>991003990259702656</t>
  </si>
  <si>
    <t>2272500390002656</t>
  </si>
  <si>
    <t>9780674008595</t>
  </si>
  <si>
    <t>32285004685672</t>
  </si>
  <si>
    <t>893423246</t>
  </si>
  <si>
    <t>DS727 .W7 1975</t>
  </si>
  <si>
    <t>0                      DS 0727000W  7           1975</t>
  </si>
  <si>
    <t>Confucianism and Chinese civilization / edited by Arthur F. Wright.</t>
  </si>
  <si>
    <t>Wright, Arthur F., 1913-1976 editor.</t>
  </si>
  <si>
    <t>Stanford, Calif. : Stanford University Press, 1975, c1964.</t>
  </si>
  <si>
    <t>5609202073:eng</t>
  </si>
  <si>
    <t>1637827</t>
  </si>
  <si>
    <t>991003849929702656</t>
  </si>
  <si>
    <t>2263058210002656</t>
  </si>
  <si>
    <t>9780804708906</t>
  </si>
  <si>
    <t>32285002107091</t>
  </si>
  <si>
    <t>893445900</t>
  </si>
  <si>
    <t>DS727 .W78 2000</t>
  </si>
  <si>
    <t>0                      DS 0727000W  78          2000</t>
  </si>
  <si>
    <t>Se cai yu Zhongguo ren de sheng huo / Wu Dongping zhu.</t>
  </si>
  <si>
    <t>Wu, Dongping.</t>
  </si>
  <si>
    <t>Beijing Shi : Tuan jie chu ban she, 2000.</t>
  </si>
  <si>
    <t>Zhu zi zhai cong shu</t>
  </si>
  <si>
    <t>2008-08-07</t>
  </si>
  <si>
    <t>34669741:chi</t>
  </si>
  <si>
    <t>45269500</t>
  </si>
  <si>
    <t>991005258009702656</t>
  </si>
  <si>
    <t>2267724790002656</t>
  </si>
  <si>
    <t>9787801303356</t>
  </si>
  <si>
    <t>32285005452577</t>
  </si>
  <si>
    <t>893883588</t>
  </si>
  <si>
    <t>DS73.1 .A44 1993</t>
  </si>
  <si>
    <t>0                      DS 0073100A  44          1993</t>
  </si>
  <si>
    <t>The Uruk world system : the dynamics of expansion of early Mesopotamian civilization / Guillermo Algaze.</t>
  </si>
  <si>
    <t>Algaze, Guillermo, 1954-</t>
  </si>
  <si>
    <t>Chicago : University of Chicago Press, c1993.</t>
  </si>
  <si>
    <t>1995-08-26</t>
  </si>
  <si>
    <t>18195529:eng</t>
  </si>
  <si>
    <t>26306576</t>
  </si>
  <si>
    <t>991002057249702656</t>
  </si>
  <si>
    <t>2266422810002656</t>
  </si>
  <si>
    <t>9780226013817</t>
  </si>
  <si>
    <t>32285002047198</t>
  </si>
  <si>
    <t>893408640</t>
  </si>
  <si>
    <t>DS73.2 .G5313 2004</t>
  </si>
  <si>
    <t>0                      DS 0073200G  5313        2004</t>
  </si>
  <si>
    <t>Mesopotamian chronicles / by Jean-Jacques Glassner ; edited by Benjamin R. Foster.</t>
  </si>
  <si>
    <t>Glassner, Jean-Jacques.</t>
  </si>
  <si>
    <t>Atlanta : Society of Biblical Literature, c2004.</t>
  </si>
  <si>
    <t>Writings from the ancient world ; no. 19</t>
  </si>
  <si>
    <t>2007-10-03</t>
  </si>
  <si>
    <t>2007-09-18</t>
  </si>
  <si>
    <t>46289160:eng</t>
  </si>
  <si>
    <t>55518370</t>
  </si>
  <si>
    <t>991005107719702656</t>
  </si>
  <si>
    <t>2266086840002656</t>
  </si>
  <si>
    <t>9781589830905</t>
  </si>
  <si>
    <t>32285005325146</t>
  </si>
  <si>
    <t>893430855</t>
  </si>
  <si>
    <t>DS73.2 .V47 1996</t>
  </si>
  <si>
    <t>0                      DS 0073200V  47          1996</t>
  </si>
  <si>
    <t>Berossos and Manetho, introduced and translated : native traditions in ancient Mesopotamia and Egypt / Gerald P. Verbrugghe, John M. Wickersham.</t>
  </si>
  <si>
    <t>Verbrugghe, Gerald.</t>
  </si>
  <si>
    <t>Ann Arbor : University of Michigan Press, c1996.</t>
  </si>
  <si>
    <t>20656134:eng</t>
  </si>
  <si>
    <t>34117151</t>
  </si>
  <si>
    <t>991002604979702656</t>
  </si>
  <si>
    <t>2272304700002656</t>
  </si>
  <si>
    <t>9780472107223</t>
  </si>
  <si>
    <t>32285003275582</t>
  </si>
  <si>
    <t>893227061</t>
  </si>
  <si>
    <t>DS73.35 .V36 2005</t>
  </si>
  <si>
    <t>0                      DS 0073350V  36          2005</t>
  </si>
  <si>
    <t>King Hammurabi of Babylon : a biography / Marc Van de Mieroop.</t>
  </si>
  <si>
    <t>Malden, MA : Blackwell Pub., c2005.</t>
  </si>
  <si>
    <t>Blackwell ancient lives</t>
  </si>
  <si>
    <t>2008-09-04</t>
  </si>
  <si>
    <t>2007-01-25</t>
  </si>
  <si>
    <t>797301173:eng</t>
  </si>
  <si>
    <t>55645033</t>
  </si>
  <si>
    <t>991004965589702656</t>
  </si>
  <si>
    <t>2265248440002656</t>
  </si>
  <si>
    <t>9781405126595</t>
  </si>
  <si>
    <t>32285005272686</t>
  </si>
  <si>
    <t>893436968</t>
  </si>
  <si>
    <t>DS73.7 .O33</t>
  </si>
  <si>
    <t>0                      DS 0073700O  33</t>
  </si>
  <si>
    <t>Mass deportations and deportees in the Neo-Assyrian Empire / by Bustenay Oded.</t>
  </si>
  <si>
    <t>Oded, Bustenay.</t>
  </si>
  <si>
    <t>Wiesbaden : Reichert, 1979.</t>
  </si>
  <si>
    <t>2006-10-26</t>
  </si>
  <si>
    <t>21970583:eng</t>
  </si>
  <si>
    <t>6357269</t>
  </si>
  <si>
    <t>991004970239702656</t>
  </si>
  <si>
    <t>2256170090002656</t>
  </si>
  <si>
    <t>9783882260434</t>
  </si>
  <si>
    <t>32285000672294</t>
  </si>
  <si>
    <t>893801545</t>
  </si>
  <si>
    <t>DS730 .W5 1967</t>
  </si>
  <si>
    <t>0                      DS 0730000W  5           1967</t>
  </si>
  <si>
    <t>Han Chinese expansion in South China, by Herold J. Wiens.</t>
  </si>
  <si>
    <t>Wiens, Herold J. (Herold Jacob), 1912-1971.</t>
  </si>
  <si>
    <t>[Hamden, Conn.] Shoe String Press, 1967 [c1954]</t>
  </si>
  <si>
    <t>2006-10-27</t>
  </si>
  <si>
    <t>143579120:eng</t>
  </si>
  <si>
    <t>827271</t>
  </si>
  <si>
    <t>991003304009702656</t>
  </si>
  <si>
    <t>2270465720002656</t>
  </si>
  <si>
    <t>32285002273562</t>
  </si>
  <si>
    <t>893499165</t>
  </si>
  <si>
    <t>DS731.H3 K53 1991</t>
  </si>
  <si>
    <t>0                      DS 0731000H  3                  K  53          1991</t>
  </si>
  <si>
    <t>The Hakka search for a homeland / by Clyde Kiang.</t>
  </si>
  <si>
    <t>Kiang, Clyde.</t>
  </si>
  <si>
    <t>Elgin, PA : Allegheny Press, 1991.</t>
  </si>
  <si>
    <t>20978189:eng</t>
  </si>
  <si>
    <t>24313304</t>
  </si>
  <si>
    <t>991001924529702656</t>
  </si>
  <si>
    <t>2270862570002656</t>
  </si>
  <si>
    <t>9780910042611</t>
  </si>
  <si>
    <t>32285001995355</t>
  </si>
  <si>
    <t>893522979</t>
  </si>
  <si>
    <t>DS731.M35 C75 2002</t>
  </si>
  <si>
    <t>0                      DS 0731000M  35                 C  75          2002</t>
  </si>
  <si>
    <t>The Manchus / Pamela Kyle Crossley.</t>
  </si>
  <si>
    <t>Crossley, Pamela Kyle.</t>
  </si>
  <si>
    <t>Oxford, UK ; Malden, MA : Blackwell, 2002.</t>
  </si>
  <si>
    <t>The peoples of Asia</t>
  </si>
  <si>
    <t>926304:eng</t>
  </si>
  <si>
    <t>48883951</t>
  </si>
  <si>
    <t>991004019039702656</t>
  </si>
  <si>
    <t>2269705230002656</t>
  </si>
  <si>
    <t>9780631235910</t>
  </si>
  <si>
    <t>32285004745625</t>
  </si>
  <si>
    <t>893417129</t>
  </si>
  <si>
    <t>DS731.M35 C76 1990</t>
  </si>
  <si>
    <t>0                      DS 0731000M  35                 C  76          1990</t>
  </si>
  <si>
    <t>Orphan warriors : three Manchu generations and the end of the Qing world / Pamela Kyle Crossley.</t>
  </si>
  <si>
    <t>Princeton, N.J. : Princeton University Press, c1990.</t>
  </si>
  <si>
    <t>2010-10-19</t>
  </si>
  <si>
    <t>1997-10-14</t>
  </si>
  <si>
    <t>836709735:eng</t>
  </si>
  <si>
    <t>19921564</t>
  </si>
  <si>
    <t>991001515089702656</t>
  </si>
  <si>
    <t>2269578940002656</t>
  </si>
  <si>
    <t>9780691055831</t>
  </si>
  <si>
    <t>32285003254181</t>
  </si>
  <si>
    <t>893439186</t>
  </si>
  <si>
    <t>DS731.M35 E55 2001</t>
  </si>
  <si>
    <t>0                      DS 0731000M  35                 E  55          2001</t>
  </si>
  <si>
    <t>The Manchu way ; the eight banners and ethnic identity in late imperial China / Mark C. Elliott.</t>
  </si>
  <si>
    <t>Elliott, Mark C.</t>
  </si>
  <si>
    <t>Stanford, Calif. : Stanford University Press, 2001.</t>
  </si>
  <si>
    <t>837067410:eng</t>
  </si>
  <si>
    <t>44818294</t>
  </si>
  <si>
    <t>991003696849702656</t>
  </si>
  <si>
    <t>2255030260002656</t>
  </si>
  <si>
    <t>9780804736060</t>
  </si>
  <si>
    <t>32285004447024</t>
  </si>
  <si>
    <t>893252651</t>
  </si>
  <si>
    <t>DS732 .F56</t>
  </si>
  <si>
    <t>0                      DS 0732000F  56</t>
  </si>
  <si>
    <t>China and the overseas Chinese; a study of Peking's changing policy, 1949-1970.</t>
  </si>
  <si>
    <t>FitzGerald, Stephen.</t>
  </si>
  <si>
    <t>Cambridge [Eng.] University Press, 1972.</t>
  </si>
  <si>
    <t>Cambridge studies in Chinese history, literature, and institutions</t>
  </si>
  <si>
    <t>808285516:eng</t>
  </si>
  <si>
    <t>376077</t>
  </si>
  <si>
    <t>991002592089702656</t>
  </si>
  <si>
    <t>2263527330002656</t>
  </si>
  <si>
    <t>9780521084109</t>
  </si>
  <si>
    <t>32285002446408</t>
  </si>
  <si>
    <t>893867429</t>
  </si>
  <si>
    <t>DS732 .P36 1994</t>
  </si>
  <si>
    <t>0                      DS 0732000P  36          1994</t>
  </si>
  <si>
    <t>Sons of the yellow emperor : a history of the Chinese diaspora / Lynn Pan ; with a new afterword by the author.</t>
  </si>
  <si>
    <t>Pan, Lynn.</t>
  </si>
  <si>
    <t>3901347983:eng</t>
  </si>
  <si>
    <t>30155598</t>
  </si>
  <si>
    <t>991002324769702656</t>
  </si>
  <si>
    <t>2262967490002656</t>
  </si>
  <si>
    <t>9781568360324</t>
  </si>
  <si>
    <t>32285002391828</t>
  </si>
  <si>
    <t>893886110</t>
  </si>
  <si>
    <t>DS734.7 .E83 1975</t>
  </si>
  <si>
    <t>0                      DS 0734700E  83          1975</t>
  </si>
  <si>
    <t>Essays on the sources for Chinese history / editors: Donald D. Leslie, Colin Mackerras [and] Wang Gungwu.</t>
  </si>
  <si>
    <t>Columbia : University of South Carolina Press, [1975, c1973]</t>
  </si>
  <si>
    <t>498015466:eng</t>
  </si>
  <si>
    <t>934670</t>
  </si>
  <si>
    <t>991003396239702656</t>
  </si>
  <si>
    <t>2271512360002656</t>
  </si>
  <si>
    <t>9780872493292</t>
  </si>
  <si>
    <t>32285000914894</t>
  </si>
  <si>
    <t>893793582</t>
  </si>
  <si>
    <t>DS734.9.C4 N5</t>
  </si>
  <si>
    <t>0                      DS 0734900C  4                  N  5</t>
  </si>
  <si>
    <t>The life and thought of Chang Hsüeh-ch'eng, 1738-1801.</t>
  </si>
  <si>
    <t>Nivison, David S.</t>
  </si>
  <si>
    <t>Stanford, Calif., Stanford University Press, 1966.</t>
  </si>
  <si>
    <t>Stanford studies in the civilization of eastern Asia</t>
  </si>
  <si>
    <t>1998-08-05</t>
  </si>
  <si>
    <t>1365775:eng</t>
  </si>
  <si>
    <t>259525</t>
  </si>
  <si>
    <t>991002023129702656</t>
  </si>
  <si>
    <t>2272742710002656</t>
  </si>
  <si>
    <t>32285002446440</t>
  </si>
  <si>
    <t>893709780</t>
  </si>
  <si>
    <t>DS734.9.N34 F64 1989</t>
  </si>
  <si>
    <t>0                      DS 0734900N  34                 F  64          1989</t>
  </si>
  <si>
    <t>Nakae Ushikichi in China : the mourning of spirit / Joshua A. Fogel.</t>
  </si>
  <si>
    <t>Cambridge, Mass. : Council on East Asian Studies, Harvard University : Distributed by Harvard University Press, 1989.</t>
  </si>
  <si>
    <t>Harvard East Asian monographs ; 139</t>
  </si>
  <si>
    <t>2002-10-14</t>
  </si>
  <si>
    <t>890113816:eng</t>
  </si>
  <si>
    <t>19518308</t>
  </si>
  <si>
    <t>991003912029702656</t>
  </si>
  <si>
    <t>2262272560002656</t>
  </si>
  <si>
    <t>9780674598423</t>
  </si>
  <si>
    <t>32285004654520</t>
  </si>
  <si>
    <t>893337123</t>
  </si>
  <si>
    <t>DS734.9.S8 W3</t>
  </si>
  <si>
    <t>0                      DS 0734900S  8                  W  3</t>
  </si>
  <si>
    <t>Ssu-ma Chʻien, grand historian of China.</t>
  </si>
  <si>
    <t>Watson, Burton, 1925-2017.</t>
  </si>
  <si>
    <t>New York, Columbia University Press, 1958.</t>
  </si>
  <si>
    <t>119227698:eng</t>
  </si>
  <si>
    <t>411698</t>
  </si>
  <si>
    <t>991002717489702656</t>
  </si>
  <si>
    <t>2264992750002656</t>
  </si>
  <si>
    <t>32285002446457</t>
  </si>
  <si>
    <t>893530365</t>
  </si>
  <si>
    <t>DS735 .C365</t>
  </si>
  <si>
    <t>0                      DS 0735000C  365</t>
  </si>
  <si>
    <t>The making of China : main themes in premodern Chinese history / edited by Chun-shu Chang.</t>
  </si>
  <si>
    <t>Chang, Chun-shu, 1934-, compiler.</t>
  </si>
  <si>
    <t>Englewood Cliffs, N.J. : Prentice-Hall, [1975]</t>
  </si>
  <si>
    <t>2005-05-03</t>
  </si>
  <si>
    <t>2123114:eng</t>
  </si>
  <si>
    <t>1176613</t>
  </si>
  <si>
    <t>991003598269702656</t>
  </si>
  <si>
    <t>2269696630002656</t>
  </si>
  <si>
    <t>9780135456408</t>
  </si>
  <si>
    <t>32285001806263</t>
  </si>
  <si>
    <t>893330531</t>
  </si>
  <si>
    <t>DS735 .E214 1987</t>
  </si>
  <si>
    <t>0                      DS 0735000E  214         1987</t>
  </si>
  <si>
    <t>A history of China / Wolfram Eberhard.</t>
  </si>
  <si>
    <t>Eberhard, Wolfram, 1909-1989.</t>
  </si>
  <si>
    <t>Berkeley : University of California Press, 1987, c1977.</t>
  </si>
  <si>
    <t>4th ed., corrected in the 3rd printing.</t>
  </si>
  <si>
    <t>1991-04-09</t>
  </si>
  <si>
    <t>51606110:eng</t>
  </si>
  <si>
    <t>21075055</t>
  </si>
  <si>
    <t>991001647419702656</t>
  </si>
  <si>
    <t>2269286610002656</t>
  </si>
  <si>
    <t>9780520032682</t>
  </si>
  <si>
    <t>32285000566405</t>
  </si>
  <si>
    <t>893879032</t>
  </si>
  <si>
    <t>DS735 .E48 1973</t>
  </si>
  <si>
    <t>0                      DS 0735000E  48          1973</t>
  </si>
  <si>
    <t>The pattern of the Chinese past.</t>
  </si>
  <si>
    <t>Elvin, Mark.</t>
  </si>
  <si>
    <t>Stanford : Stanford University Press, 1973.</t>
  </si>
  <si>
    <t>5577014171:eng</t>
  </si>
  <si>
    <t>640275</t>
  </si>
  <si>
    <t>991003089929702656</t>
  </si>
  <si>
    <t>2263288410002656</t>
  </si>
  <si>
    <t>9780804708265</t>
  </si>
  <si>
    <t>32285001910602</t>
  </si>
  <si>
    <t>893258064</t>
  </si>
  <si>
    <t>DS735 .F55 1969</t>
  </si>
  <si>
    <t>0                      DS 0735000F  55          1969</t>
  </si>
  <si>
    <t>The Horizon history of China / by the editors of Horizon Magazine. Editor in charge: Norman Kotker. Author: C. P. Fitzgerald.</t>
  </si>
  <si>
    <t>Fitzgerald, C. P. (Charles Patrick), 1902-1992.</t>
  </si>
  <si>
    <t>New York : American Heritage Pub. Co., [1969]</t>
  </si>
  <si>
    <t>1993-06-14</t>
  </si>
  <si>
    <t>1219080:eng</t>
  </si>
  <si>
    <t>49491</t>
  </si>
  <si>
    <t>991005352839702656</t>
  </si>
  <si>
    <t>2263558080002656</t>
  </si>
  <si>
    <t>9780828100052</t>
  </si>
  <si>
    <t>32285001701175</t>
  </si>
  <si>
    <t>893501734</t>
  </si>
  <si>
    <t>DS735 .G63</t>
  </si>
  <si>
    <t>0                      DS 0735000G  63</t>
  </si>
  <si>
    <t>An outline history of China, with a thorough account of the republican era interpreted in its historical perspective, by Herbert H. Gowen ...and Josef Washington Hall ...</t>
  </si>
  <si>
    <t>Gowen, Herbert H. (Herbert Henry), 1864-1960.</t>
  </si>
  <si>
    <t>New York, London, D. Appleton and Company, 1926.</t>
  </si>
  <si>
    <t>1926</t>
  </si>
  <si>
    <t>1992-03-31</t>
  </si>
  <si>
    <t>4020156287:eng</t>
  </si>
  <si>
    <t>412280</t>
  </si>
  <si>
    <t>991002719729702656</t>
  </si>
  <si>
    <t>2264618580002656</t>
  </si>
  <si>
    <t>32285001050029</t>
  </si>
  <si>
    <t>893616486</t>
  </si>
  <si>
    <t>DS735 .L43</t>
  </si>
  <si>
    <t>0                      DS 0735000L  43</t>
  </si>
  <si>
    <t>The ageless Chinese : a history / [by] Dun J. Li.</t>
  </si>
  <si>
    <t>Li, Dun Jen, 1920-</t>
  </si>
  <si>
    <t>New York : Scribner, [1965]</t>
  </si>
  <si>
    <t>398628:eng</t>
  </si>
  <si>
    <t>410947</t>
  </si>
  <si>
    <t>991002714669702656</t>
  </si>
  <si>
    <t>2262562310002656</t>
  </si>
  <si>
    <t>32285001890713</t>
  </si>
  <si>
    <t>893427921</t>
  </si>
  <si>
    <t>DS735 .L73 1966a</t>
  </si>
  <si>
    <t>0                      DS 0735000L  73          1966a</t>
  </si>
  <si>
    <t>Imperial China; the historical background to the modern age.</t>
  </si>
  <si>
    <t>Loewe, Michael.</t>
  </si>
  <si>
    <t>New York, Praeger [1966, c1965]</t>
  </si>
  <si>
    <t>836706916:eng</t>
  </si>
  <si>
    <t>293493</t>
  </si>
  <si>
    <t>991002229499702656</t>
  </si>
  <si>
    <t>2266671000002656</t>
  </si>
  <si>
    <t>32285002446580</t>
  </si>
  <si>
    <t>893232706</t>
  </si>
  <si>
    <t>DS735 .M2 1973</t>
  </si>
  <si>
    <t>0                      DS 0735000M  2           1973</t>
  </si>
  <si>
    <t>The imperial history of China : being a history of the Empire as compiled by the Chinese historians.</t>
  </si>
  <si>
    <t>Macgowan, J. (John), -1922.</t>
  </si>
  <si>
    <t>London : Curzon Press ; New York : Barnes &amp; Noble Books, [1973]</t>
  </si>
  <si>
    <t>20843499:eng</t>
  </si>
  <si>
    <t>792813</t>
  </si>
  <si>
    <t>991005356819702656</t>
  </si>
  <si>
    <t>2260775840002656</t>
  </si>
  <si>
    <t>9780064944540</t>
  </si>
  <si>
    <t>32285000914886</t>
  </si>
  <si>
    <t>893713921</t>
  </si>
  <si>
    <t>DS735 .M555</t>
  </si>
  <si>
    <t>0                      DS 0735000M  555</t>
  </si>
  <si>
    <t>Tradition and revolt : imperial China, islands of the Rising Sun / Joyce Milton, Wendy B. Murphy.</t>
  </si>
  <si>
    <t>Milton, Joyce.</t>
  </si>
  <si>
    <t>New York : HBJ Press, c1980.</t>
  </si>
  <si>
    <t>Imperial visions</t>
  </si>
  <si>
    <t>1990-10-15</t>
  </si>
  <si>
    <t>413205:eng</t>
  </si>
  <si>
    <t>5750042</t>
  </si>
  <si>
    <t>991004868939702656</t>
  </si>
  <si>
    <t>2270696680002656</t>
  </si>
  <si>
    <t>9780150040286</t>
  </si>
  <si>
    <t>32285000338300</t>
  </si>
  <si>
    <t>893722644</t>
  </si>
  <si>
    <t>DS735 .S4</t>
  </si>
  <si>
    <t>0                      DS 0735000S  4</t>
  </si>
  <si>
    <t>The Great Wall of China.</t>
  </si>
  <si>
    <t>Silverberg, Robert.</t>
  </si>
  <si>
    <t>Philadelphia, Chilton Books [1965]</t>
  </si>
  <si>
    <t>2241899:eng</t>
  </si>
  <si>
    <t>1350115</t>
  </si>
  <si>
    <t>991003711129702656</t>
  </si>
  <si>
    <t>2264598800002656</t>
  </si>
  <si>
    <t>32285002446598</t>
  </si>
  <si>
    <t>893868748</t>
  </si>
  <si>
    <t>DS735.A2 F7</t>
  </si>
  <si>
    <t>0                      DS 0735000A  2                  F  7</t>
  </si>
  <si>
    <t>Catalogue of translations from the Chinese dynastic histories for the period 220-960 / compiled by Hans H. Frankel.</t>
  </si>
  <si>
    <t>Frankel, Hans H. (Hans Hermann), 1916-2003 compiler.</t>
  </si>
  <si>
    <t>Westport, Conn. : Greenwood Press, 1974.</t>
  </si>
  <si>
    <t>1771046:eng</t>
  </si>
  <si>
    <t>1056702</t>
  </si>
  <si>
    <t>991003504929702656</t>
  </si>
  <si>
    <t>2272241090002656</t>
  </si>
  <si>
    <t>9780837176611</t>
  </si>
  <si>
    <t>32285002446473</t>
  </si>
  <si>
    <t>893810014</t>
  </si>
  <si>
    <t>DS736 .C5123</t>
  </si>
  <si>
    <t>0                      DS 0736000C  5123</t>
  </si>
  <si>
    <t>Peasant revolts in China, 1840-1949. Translated by C. A. Curwen.</t>
  </si>
  <si>
    <t>Chesneaux, Jean.</t>
  </si>
  <si>
    <t>New York] Norton [1973]</t>
  </si>
  <si>
    <t>[1st American ed.</t>
  </si>
  <si>
    <t>2006-11-11</t>
  </si>
  <si>
    <t>2864029906:eng</t>
  </si>
  <si>
    <t>524215</t>
  </si>
  <si>
    <t>991002916539702656</t>
  </si>
  <si>
    <t>2261306000002656</t>
  </si>
  <si>
    <t>9780393054859</t>
  </si>
  <si>
    <t>32285002446606</t>
  </si>
  <si>
    <t>893692162</t>
  </si>
  <si>
    <t>DS736 .L52</t>
  </si>
  <si>
    <t>0                      DS 0736000L  52</t>
  </si>
  <si>
    <t>The story of China; illustrated by Elaine Haxton.</t>
  </si>
  <si>
    <t>Luo, Huimin.</t>
  </si>
  <si>
    <t>[Sydney] Angus and Robertson [1971, c1970]</t>
  </si>
  <si>
    <t>2002-02-18</t>
  </si>
  <si>
    <t>1992-09-08</t>
  </si>
  <si>
    <t>2038894:eng</t>
  </si>
  <si>
    <t>59196857</t>
  </si>
  <si>
    <t>991004182529702656</t>
  </si>
  <si>
    <t>2267361980002656</t>
  </si>
  <si>
    <t>32285001296135</t>
  </si>
  <si>
    <t>893585250</t>
  </si>
  <si>
    <t>DS736.5 .J85 1995</t>
  </si>
  <si>
    <t>0                      DS 0736500J  85          1995</t>
  </si>
  <si>
    <t>The propensity of things : toward a history of efficacy in China / by François Jullien ; translated by Janet Lloyd.</t>
  </si>
  <si>
    <t>Jullien, François, 1951-</t>
  </si>
  <si>
    <t>New York : Zone Books, 1995.</t>
  </si>
  <si>
    <t>1996-01-02</t>
  </si>
  <si>
    <t>9020854238:eng</t>
  </si>
  <si>
    <t>30914241</t>
  </si>
  <si>
    <t>991002378809702656</t>
  </si>
  <si>
    <t>2272401900002656</t>
  </si>
  <si>
    <t>9780942299946</t>
  </si>
  <si>
    <t>32285002113982</t>
  </si>
  <si>
    <t>893347434</t>
  </si>
  <si>
    <t>DS740 .G36 2004</t>
  </si>
  <si>
    <t>0                      DS 0740000G  36          2004</t>
  </si>
  <si>
    <t>Huang quan, li yi yu jing dian quan shi : Zhongguo gu dai zheng zhi shi yan jiu / Gan Huaizhen zhu.</t>
  </si>
  <si>
    <t>Gan, Huaizhen, 1963-</t>
  </si>
  <si>
    <t>Taibei Shi : Guo li Taiwan da xue chu ban zhong xin, 2004.</t>
  </si>
  <si>
    <t>Dong Ya wen ming yan jiu cong shu ; 7</t>
  </si>
  <si>
    <t>10568121457:chi</t>
  </si>
  <si>
    <t>58532870</t>
  </si>
  <si>
    <t>991005074609702656</t>
  </si>
  <si>
    <t>2270871580002656</t>
  </si>
  <si>
    <t>9789570172553</t>
  </si>
  <si>
    <t>32285005288815</t>
  </si>
  <si>
    <t>893722738</t>
  </si>
  <si>
    <t>DS740 .L463</t>
  </si>
  <si>
    <t>0                      DS 0740000L  463</t>
  </si>
  <si>
    <t>The political history of China, 1840-1928. Translated and edited by Ssu-yu Teng and Jeremy Ingalls.</t>
  </si>
  <si>
    <t>Li, Jiannong.</t>
  </si>
  <si>
    <t>Princeton, N.J., D. Van Nostrand Co. [1956]</t>
  </si>
  <si>
    <t>2007-11-25</t>
  </si>
  <si>
    <t>55900203:eng</t>
  </si>
  <si>
    <t>419920</t>
  </si>
  <si>
    <t>991002737859702656</t>
  </si>
  <si>
    <t>2261695070002656</t>
  </si>
  <si>
    <t>32285002446663</t>
  </si>
  <si>
    <t>893899147</t>
  </si>
  <si>
    <t>DS740.2 .G7</t>
  </si>
  <si>
    <t>0                      DS 0740200G  7</t>
  </si>
  <si>
    <t>The foreigner in China, by O.M. Green.</t>
  </si>
  <si>
    <t>Green, O. M. (Owen Mortimer)</t>
  </si>
  <si>
    <t>London, Hutchinson &amp; Co., limited [1943]</t>
  </si>
  <si>
    <t>375568023:eng</t>
  </si>
  <si>
    <t>780794</t>
  </si>
  <si>
    <t>991003255759702656</t>
  </si>
  <si>
    <t>2260290370002656</t>
  </si>
  <si>
    <t>32285002273588</t>
  </si>
  <si>
    <t>893887292</t>
  </si>
  <si>
    <t>DS740.2 .I8</t>
  </si>
  <si>
    <t>0                      DS 0740200I  8</t>
  </si>
  <si>
    <t>Student nationalism in China, 1927-1937.</t>
  </si>
  <si>
    <t>Israel, John.</t>
  </si>
  <si>
    <t>Stanford, Calif., Published for the Hoover Institution on War, Revolution, and Peace by Stanford University Press, 1966.</t>
  </si>
  <si>
    <t>Hoover Institution publications</t>
  </si>
  <si>
    <t>297997974:eng</t>
  </si>
  <si>
    <t>412225</t>
  </si>
  <si>
    <t>991002719519702656</t>
  </si>
  <si>
    <t>2264479800002656</t>
  </si>
  <si>
    <t>32285002273596</t>
  </si>
  <si>
    <t>893610198</t>
  </si>
  <si>
    <t>DS740.4 .C2 1976</t>
  </si>
  <si>
    <t>0                      DS 0740400C  2           1976</t>
  </si>
  <si>
    <t>Barbarians and mandarins : thirteen centuries of Western travelers in China / Nigel Cameron.</t>
  </si>
  <si>
    <t>Cameron, Nigel, 1911-</t>
  </si>
  <si>
    <t>Chicago : University of Chicago Press, 1976.</t>
  </si>
  <si>
    <t>2004-11-28</t>
  </si>
  <si>
    <t>22455445:eng</t>
  </si>
  <si>
    <t>2307520</t>
  </si>
  <si>
    <t>991004072359702656</t>
  </si>
  <si>
    <t>2264481710002656</t>
  </si>
  <si>
    <t>9780226092294</t>
  </si>
  <si>
    <t>32285002446697</t>
  </si>
  <si>
    <t>893353198</t>
  </si>
  <si>
    <t>DS740.4 .C35455</t>
  </si>
  <si>
    <t>0                      DS 0740400C  35455</t>
  </si>
  <si>
    <t>The Chinese world order; traditional China's foreign relations. Edited by John King Fairbank. With contributions by Ta-tuan Chʻen [and others]</t>
  </si>
  <si>
    <t>Cambridge, Harvard University Press, 1968.</t>
  </si>
  <si>
    <t>Harvard East Asian series ; 32</t>
  </si>
  <si>
    <t>498019940:eng</t>
  </si>
  <si>
    <t>322527</t>
  </si>
  <si>
    <t>991002332749702656</t>
  </si>
  <si>
    <t>2257163740002656</t>
  </si>
  <si>
    <t>9780196264257</t>
  </si>
  <si>
    <t>32285002446739</t>
  </si>
  <si>
    <t>893792332</t>
  </si>
  <si>
    <t>DS740.4 .C56</t>
  </si>
  <si>
    <t>0                      DS 0740400C  56</t>
  </si>
  <si>
    <t>Chinese perception of the world / G. W. Choudhury. --</t>
  </si>
  <si>
    <t>Choudhury, G. W. (Golam Wahed), 1926-1997.</t>
  </si>
  <si>
    <t>Washington : University Press of America, c1977.</t>
  </si>
  <si>
    <t>North Carolina Central University. Center for International Studies. International studies series.</t>
  </si>
  <si>
    <t>13868485:eng</t>
  </si>
  <si>
    <t>4013300</t>
  </si>
  <si>
    <t>991004569399702656</t>
  </si>
  <si>
    <t>2270665530002656</t>
  </si>
  <si>
    <t>9780819105271</t>
  </si>
  <si>
    <t>32285000338334</t>
  </si>
  <si>
    <t>893618826</t>
  </si>
  <si>
    <t>DS740.4 .M6</t>
  </si>
  <si>
    <t>0                      DS 0740400M  6</t>
  </si>
  <si>
    <t>The international relations of the Chinese empire, by Hosea Ballou Morse ...</t>
  </si>
  <si>
    <t>Morse, Hosea Ballou, 1855-1934.</t>
  </si>
  <si>
    <t>London, New York [etc.] Longmans, Green, and Co., 1910-18.</t>
  </si>
  <si>
    <t>1910</t>
  </si>
  <si>
    <t>1999-06-08</t>
  </si>
  <si>
    <t>2864024169:eng</t>
  </si>
  <si>
    <t>2792331</t>
  </si>
  <si>
    <t>991004242619702656</t>
  </si>
  <si>
    <t>2267772300002656</t>
  </si>
  <si>
    <t>32285002446838</t>
  </si>
  <si>
    <t>893353301</t>
  </si>
  <si>
    <t>32285002446820</t>
  </si>
  <si>
    <t>893353302</t>
  </si>
  <si>
    <t>32285002446812</t>
  </si>
  <si>
    <t>893331357</t>
  </si>
  <si>
    <t>DS740.4 .M67 2000</t>
  </si>
  <si>
    <t>0                      DS 0740400M  67          2000</t>
  </si>
  <si>
    <t>Hegemon : China's plan to dominate Asia and the world / Steven W. Mosher.</t>
  </si>
  <si>
    <t>Mosher, Steven W.</t>
  </si>
  <si>
    <t>San Francisco : Encounter Books, c2000.</t>
  </si>
  <si>
    <t>2008-08-11</t>
  </si>
  <si>
    <t>7915269:eng</t>
  </si>
  <si>
    <t>43615718</t>
  </si>
  <si>
    <t>991003729879702656</t>
  </si>
  <si>
    <t>2264267080002656</t>
  </si>
  <si>
    <t>9781893554085</t>
  </si>
  <si>
    <t>32285004455209</t>
  </si>
  <si>
    <t>893623828</t>
  </si>
  <si>
    <t>DS740.4 .S62</t>
  </si>
  <si>
    <t>0                      DS 0740400S  62</t>
  </si>
  <si>
    <t>To change China : Western advisers in China, 1620-1960 / by Jonathan Spence.</t>
  </si>
  <si>
    <t>Spence, Jonathan D.</t>
  </si>
  <si>
    <t>Boston : Little, Brown, [1969]</t>
  </si>
  <si>
    <t>1995-08-23</t>
  </si>
  <si>
    <t>4927711334:eng</t>
  </si>
  <si>
    <t>4518</t>
  </si>
  <si>
    <t>991005436519702656</t>
  </si>
  <si>
    <t>2266307360002656</t>
  </si>
  <si>
    <t>32285000914860</t>
  </si>
  <si>
    <t>893777479</t>
  </si>
  <si>
    <t>DS740.4 .T79</t>
  </si>
  <si>
    <t>0                      DS 0740400T  79</t>
  </si>
  <si>
    <t>China and the foreign powers : the impact of and reaction to unequal treaties / by William L. Tung.</t>
  </si>
  <si>
    <t>Tung, William L., 1907-</t>
  </si>
  <si>
    <t>Dobbs Ferry, N.Y. : Oceana Publications, 1970.</t>
  </si>
  <si>
    <t>422216773:eng</t>
  </si>
  <si>
    <t>110528</t>
  </si>
  <si>
    <t>991000644269702656</t>
  </si>
  <si>
    <t>2266846750002656</t>
  </si>
  <si>
    <t>9780397004638</t>
  </si>
  <si>
    <t>32285000118462</t>
  </si>
  <si>
    <t>893333647</t>
  </si>
  <si>
    <t>DS740.5.C15 R54 2010</t>
  </si>
  <si>
    <t>0                      DS 0740500C  15                 R  54          2010</t>
  </si>
  <si>
    <t>China, Cambodia, and the five principles of peaceful coexistence / Sophie Richardson.</t>
  </si>
  <si>
    <t>Richardson, Sophie.</t>
  </si>
  <si>
    <t>New York : Columbia University Press, c2010.</t>
  </si>
  <si>
    <t>2010-10-11</t>
  </si>
  <si>
    <t>181437093:eng</t>
  </si>
  <si>
    <t>301798067</t>
  </si>
  <si>
    <t>991000165249702656</t>
  </si>
  <si>
    <t>2255406270002656</t>
  </si>
  <si>
    <t>9780231143868</t>
  </si>
  <si>
    <t>32285005599500</t>
  </si>
  <si>
    <t>893425497</t>
  </si>
  <si>
    <t>DS740.5.G5 F7 1974</t>
  </si>
  <si>
    <t>0                      DS 0740500G  5                  F  7           1974</t>
  </si>
  <si>
    <t>British relations with China: 1931-1939, by Irving S. Friedman.</t>
  </si>
  <si>
    <t>Friedman, Irving S. (Irving Sigmund), 1915-1989.</t>
  </si>
  <si>
    <t>New York, Octagon Books, 1974 [c1940]</t>
  </si>
  <si>
    <t>2005-11-21</t>
  </si>
  <si>
    <t>1847069:eng</t>
  </si>
  <si>
    <t>874169</t>
  </si>
  <si>
    <t>991003343079702656</t>
  </si>
  <si>
    <t>2262423270002656</t>
  </si>
  <si>
    <t>9780374929312</t>
  </si>
  <si>
    <t>32285002273612</t>
  </si>
  <si>
    <t>893324009</t>
  </si>
  <si>
    <t>DS740.5.I5 S525 2003</t>
  </si>
  <si>
    <t>0                      DS 0740500I  5                  S  525         2003</t>
  </si>
  <si>
    <t>China and India : cooperation or conflict? / Waheguru Pal Singh Sidhu, Jing-dong Yuan.</t>
  </si>
  <si>
    <t>Sidhu, Waheguru Pal Singh.</t>
  </si>
  <si>
    <t>840549508:eng</t>
  </si>
  <si>
    <t>51518378</t>
  </si>
  <si>
    <t>991004461859702656</t>
  </si>
  <si>
    <t>2259872170002656</t>
  </si>
  <si>
    <t>9781588261694</t>
  </si>
  <si>
    <t>32285005042519</t>
  </si>
  <si>
    <t>893532415</t>
  </si>
  <si>
    <t>DS740.5.J3 C3975</t>
  </si>
  <si>
    <t>0                      DS 0740500J  3                  C  3975</t>
  </si>
  <si>
    <t>China and Japan : search for balance since World War I / Alvin D. Coox and Hilary Conroy, editors.</t>
  </si>
  <si>
    <t>Santa Barbara, Calif. : ABC-Clio Books, c1978.</t>
  </si>
  <si>
    <t>2004-12-03</t>
  </si>
  <si>
    <t>1993-05-11</t>
  </si>
  <si>
    <t>836682159:eng</t>
  </si>
  <si>
    <t>3072395</t>
  </si>
  <si>
    <t>991004334989702656</t>
  </si>
  <si>
    <t>2265357990002656</t>
  </si>
  <si>
    <t>9780874362756</t>
  </si>
  <si>
    <t>32285001653467</t>
  </si>
  <si>
    <t>893605891</t>
  </si>
  <si>
    <t>DS740.5.J3 C399</t>
  </si>
  <si>
    <t>0                      DS 0740500J  3                  C  399</t>
  </si>
  <si>
    <t>The Chinese and the Japanese : essays in political and cultural interactions / edited by Akira Iriye ; contributors Madeleine Chi ... [et al.].</t>
  </si>
  <si>
    <t>Princeton, N.Y. : Princeton University Press, c1980.</t>
  </si>
  <si>
    <t>859765817:eng</t>
  </si>
  <si>
    <t>5946559</t>
  </si>
  <si>
    <t>991004905579702656</t>
  </si>
  <si>
    <t>2257601540002656</t>
  </si>
  <si>
    <t>9780691031262</t>
  </si>
  <si>
    <t>32285000338342</t>
  </si>
  <si>
    <t>893513786</t>
  </si>
  <si>
    <t>DS740.5.J3 J6</t>
  </si>
  <si>
    <t>0                      DS 0740500J  3                  J  6</t>
  </si>
  <si>
    <t>Chinese-Japanese war / compiled by Julia E. Johnsen.</t>
  </si>
  <si>
    <t>Johnsen, Julia E. (Julia Emily), compiler.</t>
  </si>
  <si>
    <t>New York : The H.W. Wilson Company, 1933.</t>
  </si>
  <si>
    <t>1933</t>
  </si>
  <si>
    <t>The reference shelf, vol. VIII, no. 8</t>
  </si>
  <si>
    <t>2909173917:eng</t>
  </si>
  <si>
    <t>1033580</t>
  </si>
  <si>
    <t>991003486439702656</t>
  </si>
  <si>
    <t>2268587230002656</t>
  </si>
  <si>
    <t>32285001653459</t>
  </si>
  <si>
    <t>893686584</t>
  </si>
  <si>
    <t>DS740.5.J3 W365 2005</t>
  </si>
  <si>
    <t>0                      DS 0740500J  3                  W  365         2005</t>
  </si>
  <si>
    <t>Ambassadors from the islands of immortals : China-Japan relations in the Han-Tang period / Wang Zhenping.</t>
  </si>
  <si>
    <t>Wang, Zhenping.</t>
  </si>
  <si>
    <t>[Ann Arbor, MI] : Association for Asian Studies ; Honolulu : University of Hawai'i Press, c2005.</t>
  </si>
  <si>
    <t>Asian interactions and comparisons</t>
  </si>
  <si>
    <t>2008-08-13</t>
  </si>
  <si>
    <t>891922061:eng</t>
  </si>
  <si>
    <t>58647984</t>
  </si>
  <si>
    <t>991005255799702656</t>
  </si>
  <si>
    <t>2268951530002656</t>
  </si>
  <si>
    <t>9780824828714</t>
  </si>
  <si>
    <t>32285005453765</t>
  </si>
  <si>
    <t>893613401</t>
  </si>
  <si>
    <t>DS740.5.M3 C45 1984</t>
  </si>
  <si>
    <t>0                      DS 0740500M  3                  C  45          1984</t>
  </si>
  <si>
    <t>China and Malaysia, 1949-1983 / edited by R.K. Jain.</t>
  </si>
  <si>
    <t>Atlantic Highlands, N.J. : Humanities Press, 1984.</t>
  </si>
  <si>
    <t>China and Southeast Asia since 1949 ; v. 2</t>
  </si>
  <si>
    <t>761317087:eng</t>
  </si>
  <si>
    <t>11033814</t>
  </si>
  <si>
    <t>991000477379702656</t>
  </si>
  <si>
    <t>2262453710002656</t>
  </si>
  <si>
    <t>9780391025981</t>
  </si>
  <si>
    <t>32285000338359</t>
  </si>
  <si>
    <t>893702135</t>
  </si>
  <si>
    <t>DS740.5.R8 B7</t>
  </si>
  <si>
    <t>0                      DS 0740500R  8                  B  7</t>
  </si>
  <si>
    <t>Stalin's failure in China, 1924-1927.</t>
  </si>
  <si>
    <t>Brandt, Conrad.</t>
  </si>
  <si>
    <t>Cambridge, Harvard University Press, 1958.</t>
  </si>
  <si>
    <t>Russian Research Center studies ; 31</t>
  </si>
  <si>
    <t>2002-12-01</t>
  </si>
  <si>
    <t>1435064:eng</t>
  </si>
  <si>
    <t>386102</t>
  </si>
  <si>
    <t>991002647209702656</t>
  </si>
  <si>
    <t>2257584740002656</t>
  </si>
  <si>
    <t>32285002446929</t>
  </si>
  <si>
    <t>893445283</t>
  </si>
  <si>
    <t>DS740.5.R8 J33</t>
  </si>
  <si>
    <t>0                      DS 0740500R  8                  J  33</t>
  </si>
  <si>
    <t>Sino-Soviet relations since Mao : the chairman's legacy / C. G. Jacobsen.</t>
  </si>
  <si>
    <t>Jacobsen, C. G. (Carl G.)</t>
  </si>
  <si>
    <t>New York : Praeger, 1981.</t>
  </si>
  <si>
    <t>366224831:eng</t>
  </si>
  <si>
    <t>6982270</t>
  </si>
  <si>
    <t>991005067999702656</t>
  </si>
  <si>
    <t>2272584610002656</t>
  </si>
  <si>
    <t>9780030583469</t>
  </si>
  <si>
    <t>32285000338367</t>
  </si>
  <si>
    <t>893520362</t>
  </si>
  <si>
    <t>DS740.5.R8 M373</t>
  </si>
  <si>
    <t>0                      DS 0740500R  8                  M  373</t>
  </si>
  <si>
    <t>Peking and Moscow. Translated from the German by Leila Vennewitz.</t>
  </si>
  <si>
    <t>Mehnert, Klaus, 1906-1984.</t>
  </si>
  <si>
    <t>New York, Putnam [1963]</t>
  </si>
  <si>
    <t>770340327:eng</t>
  </si>
  <si>
    <t>411701</t>
  </si>
  <si>
    <t>991002717549702656</t>
  </si>
  <si>
    <t>2264723960002656</t>
  </si>
  <si>
    <t>32285002273646</t>
  </si>
  <si>
    <t>893809633</t>
  </si>
  <si>
    <t>DS740.5.R8 M48</t>
  </si>
  <si>
    <t>0                      DS 0740500R  8                  M  48</t>
  </si>
  <si>
    <t>The duel of the giants : China and Russia in Asia / by Drew Middleton.</t>
  </si>
  <si>
    <t>Middleton, Drew, 1913-1990.</t>
  </si>
  <si>
    <t>New York : Scribner, c1978.</t>
  </si>
  <si>
    <t>13167445:eng</t>
  </si>
  <si>
    <t>3913197</t>
  </si>
  <si>
    <t>991004545339702656</t>
  </si>
  <si>
    <t>2258254070002656</t>
  </si>
  <si>
    <t>9780684157856</t>
  </si>
  <si>
    <t>32285000338375</t>
  </si>
  <si>
    <t>893593840</t>
  </si>
  <si>
    <t>DS740.5.R8 S26 1969</t>
  </si>
  <si>
    <t>0                      DS 0740500R  8                  S  26          1969</t>
  </si>
  <si>
    <t>War between Russia and China / [by] Harrison E. Salisbury.</t>
  </si>
  <si>
    <t>1136490376:eng</t>
  </si>
  <si>
    <t>52189</t>
  </si>
  <si>
    <t>991000126609702656</t>
  </si>
  <si>
    <t>2259396880002656</t>
  </si>
  <si>
    <t>9780393053944</t>
  </si>
  <si>
    <t>32285001893691</t>
  </si>
  <si>
    <t>893595311</t>
  </si>
  <si>
    <t>DS740.5.R8 W53</t>
  </si>
  <si>
    <t>0                      DS 0740500R  8                  W  53</t>
  </si>
  <si>
    <t>Sino-Soviet crisis politics : a study of political change and communication / Richard Wich.</t>
  </si>
  <si>
    <t>Wich, Richard, 1933-</t>
  </si>
  <si>
    <t>Cambridge, Mass. : Council on East Asian Studies, Harvard University : distributed by Harvard University Press, 1980.</t>
  </si>
  <si>
    <t>Harvard East Asian monographs ; 96</t>
  </si>
  <si>
    <t>198819937:eng</t>
  </si>
  <si>
    <t>6378741</t>
  </si>
  <si>
    <t>991004974179702656</t>
  </si>
  <si>
    <t>2270889340002656</t>
  </si>
  <si>
    <t>9780674809352</t>
  </si>
  <si>
    <t>32285000338383</t>
  </si>
  <si>
    <t>893694569</t>
  </si>
  <si>
    <t>DS740.5.S65 C48</t>
  </si>
  <si>
    <t>0                      DS 0740500S  65                 C  48</t>
  </si>
  <si>
    <t>China, the Soviet Union, and the West : strategic and political dimensions in the 1980s / edited by Douglas T. Stuart and William T. Tow.</t>
  </si>
  <si>
    <t>Boulder, Colo. : Westview Press, 1982.</t>
  </si>
  <si>
    <t>864591028:eng</t>
  </si>
  <si>
    <t>7572684</t>
  </si>
  <si>
    <t>991005131319702656</t>
  </si>
  <si>
    <t>2271707230002656</t>
  </si>
  <si>
    <t>9780865310919</t>
  </si>
  <si>
    <t>32285000150705</t>
  </si>
  <si>
    <t>893533233</t>
  </si>
  <si>
    <t>DS741 .C5 no.10</t>
  </si>
  <si>
    <t>0                      DS 0741000C  5                                                       no.10</t>
  </si>
  <si>
    <t>The chronicle of Fu Chien: a case of exemplar history. Translated and annotated, with prolegomena, by Michael C. Rogers.</t>
  </si>
  <si>
    <t>no.10*</t>
  </si>
  <si>
    <t>Fang, Xuanling, 579-648.</t>
  </si>
  <si>
    <t>Berkeley, University of California Press, 1968.</t>
  </si>
  <si>
    <t>Chinese dynastic histories translations ; no. 10</t>
  </si>
  <si>
    <t>931706120:eng</t>
  </si>
  <si>
    <t>633831522</t>
  </si>
  <si>
    <t>991001990909702656</t>
  </si>
  <si>
    <t>2268859560002656</t>
  </si>
  <si>
    <t>32285002273661</t>
  </si>
  <si>
    <t>893420832</t>
  </si>
  <si>
    <t>DS741.65 .C528 2005</t>
  </si>
  <si>
    <t>0                      DS 0741650C  528         2005</t>
  </si>
  <si>
    <t>The formation of Chinese civilization : an archaeological perspective / Kwang-chih Chang, Xu Pingfang ; Lu Liancheng ... [et al.] ; edited and with an introduction by Sarah Allan ; foreword by Peter J. Ucko.</t>
  </si>
  <si>
    <t>Chang, Kwang-chih.</t>
  </si>
  <si>
    <t>New Haven : Yale University Press, c2005.</t>
  </si>
  <si>
    <t>Culture &amp; civilization of China</t>
  </si>
  <si>
    <t>2006-10-11</t>
  </si>
  <si>
    <t>908314799:eng</t>
  </si>
  <si>
    <t>49260208</t>
  </si>
  <si>
    <t>991004940679702656</t>
  </si>
  <si>
    <t>2254861840002656</t>
  </si>
  <si>
    <t>9780300093827</t>
  </si>
  <si>
    <t>32285005229132</t>
  </si>
  <si>
    <t>893236077</t>
  </si>
  <si>
    <t>DS744 .C383</t>
  </si>
  <si>
    <t>0                      DS 0744000C  383</t>
  </si>
  <si>
    <t>Shang civilization / Kwang-chih Chang.</t>
  </si>
  <si>
    <t>New Haven : Yale University Press, 1980.</t>
  </si>
  <si>
    <t>6470297:eng</t>
  </si>
  <si>
    <t>5310792</t>
  </si>
  <si>
    <t>991005378229702656</t>
  </si>
  <si>
    <t>2264359050002656</t>
  </si>
  <si>
    <t>9780300024289</t>
  </si>
  <si>
    <t>32285000338425</t>
  </si>
  <si>
    <t>893508161</t>
  </si>
  <si>
    <t>DS745 .M313</t>
  </si>
  <si>
    <t>0                      DS 0745000M  313</t>
  </si>
  <si>
    <t>China in antiquity / by Henri Maspero ; translated by Frank A. Kierman, Jr.</t>
  </si>
  <si>
    <t>Maspero, Henri, 1883-1945.</t>
  </si>
  <si>
    <t>Amherst : University of Massachusetts Press, 1978.</t>
  </si>
  <si>
    <t>347965881:eng</t>
  </si>
  <si>
    <t>3542846</t>
  </si>
  <si>
    <t>991005371279702656</t>
  </si>
  <si>
    <t>2264813240002656</t>
  </si>
  <si>
    <t>9780870231933</t>
  </si>
  <si>
    <t>32285000338433</t>
  </si>
  <si>
    <t>893508151</t>
  </si>
  <si>
    <t>DS747.42 .M36 1988</t>
  </si>
  <si>
    <t>0                      DS 0747420M  36          1988</t>
  </si>
  <si>
    <t>State and scholars in Tʻang China / David McMullen.</t>
  </si>
  <si>
    <t>McMullen, David.</t>
  </si>
  <si>
    <t>Cambridge [England] ; New York : Cambridge University Press, 1988.</t>
  </si>
  <si>
    <t>1993-11-22</t>
  </si>
  <si>
    <t>10146321:eng</t>
  </si>
  <si>
    <t>15518675</t>
  </si>
  <si>
    <t>991001031549702656</t>
  </si>
  <si>
    <t>2264800250002656</t>
  </si>
  <si>
    <t>9780521329910</t>
  </si>
  <si>
    <t>32285001812238</t>
  </si>
  <si>
    <t>893708940</t>
  </si>
  <si>
    <t>DS747.9.Q254 F57 2007</t>
  </si>
  <si>
    <t>0                      DS 0747900Q  254                F  57          2007</t>
  </si>
  <si>
    <t>The first emperor : China's Terracotta Army / edited by Jane Portal ; with the assistance of Hiromi Kinoshita.</t>
  </si>
  <si>
    <t>Cambridge, Mass. : Harvard University Press, c2007.</t>
  </si>
  <si>
    <t>2009-02-05</t>
  </si>
  <si>
    <t>865024287:eng</t>
  </si>
  <si>
    <t>123119878</t>
  </si>
  <si>
    <t>991005292039702656</t>
  </si>
  <si>
    <t>2272024100002656</t>
  </si>
  <si>
    <t>9780674026971</t>
  </si>
  <si>
    <t>32285005503098</t>
  </si>
  <si>
    <t>893431192</t>
  </si>
  <si>
    <t>DS748 .P3 1974</t>
  </si>
  <si>
    <t>0                      DS 0748000P  3           1974</t>
  </si>
  <si>
    <t>Courtier and commoner in ancient China : selections from the History of the former Han / translated by Burton Watson.</t>
  </si>
  <si>
    <t>Ban, Gu, 32-92.</t>
  </si>
  <si>
    <t>New York : Columbia University Press, 1974.</t>
  </si>
  <si>
    <t>2006-01-04</t>
  </si>
  <si>
    <t>1991-02-28</t>
  </si>
  <si>
    <t>9937179741:eng</t>
  </si>
  <si>
    <t>730822</t>
  </si>
  <si>
    <t>991003206109702656</t>
  </si>
  <si>
    <t>2267254290002656</t>
  </si>
  <si>
    <t>9780231037655</t>
  </si>
  <si>
    <t>32285000494665</t>
  </si>
  <si>
    <t>893880918</t>
  </si>
  <si>
    <t>DS748 .P5713 1982</t>
  </si>
  <si>
    <t>0                      DS 0748000P  5713        1982</t>
  </si>
  <si>
    <t>The Han Dynasty / Michèle Pirazzoli-t'Serstevens ; translated by Janet Seligman.</t>
  </si>
  <si>
    <t>Pirazzoli-tʼSerstevens, Michèle.</t>
  </si>
  <si>
    <t>New York : Rizzoli, c1982.</t>
  </si>
  <si>
    <t>1999-07-13</t>
  </si>
  <si>
    <t>43588389:eng</t>
  </si>
  <si>
    <t>8627967</t>
  </si>
  <si>
    <t>991000037039702656</t>
  </si>
  <si>
    <t>2261520890002656</t>
  </si>
  <si>
    <t>9780847804382</t>
  </si>
  <si>
    <t>32285000338441</t>
  </si>
  <si>
    <t>893796346</t>
  </si>
  <si>
    <t>DS749.2 .B5 1970</t>
  </si>
  <si>
    <t>0                      DS 0749200B  5           1970</t>
  </si>
  <si>
    <t>The founding of the Tʻang dynasty : the fall of Sui and rise of Tʻang, a preliminary survey.</t>
  </si>
  <si>
    <t>Bingham, Woodbridge.</t>
  </si>
  <si>
    <t>New York : Octagon Books, 1970, [c1941]</t>
  </si>
  <si>
    <t>American Council of Learned Societies. Studies in Chinese and related civilizations, no. 4</t>
  </si>
  <si>
    <t>1993-05-03</t>
  </si>
  <si>
    <t>1299188:eng</t>
  </si>
  <si>
    <t>90726</t>
  </si>
  <si>
    <t>991000542419702656</t>
  </si>
  <si>
    <t>2266350870002656</t>
  </si>
  <si>
    <t>32285001632446</t>
  </si>
  <si>
    <t>893896988</t>
  </si>
  <si>
    <t>DS749.2 .W74 1978</t>
  </si>
  <si>
    <t>0                      DS 0749200W  74          1978</t>
  </si>
  <si>
    <t>The Sui dynasty / Arthur F. Wright.</t>
  </si>
  <si>
    <t>Wright, Arthur F., 1913-1976.</t>
  </si>
  <si>
    <t>5369525:eng</t>
  </si>
  <si>
    <t>4036322</t>
  </si>
  <si>
    <t>991004572199702656</t>
  </si>
  <si>
    <t>2269420750002656</t>
  </si>
  <si>
    <t>9780394492766</t>
  </si>
  <si>
    <t>32285000338458</t>
  </si>
  <si>
    <t>893895162</t>
  </si>
  <si>
    <t>DS749.3 .P46</t>
  </si>
  <si>
    <t>0                      DS 0749300P  46</t>
  </si>
  <si>
    <t>Perspectives on the Tʻang / edited by Arthur F. Wright and Denis Twitchett.</t>
  </si>
  <si>
    <t>New Haven : Yale University Press, 1973.</t>
  </si>
  <si>
    <t>2008-09-05</t>
  </si>
  <si>
    <t>602513767:eng</t>
  </si>
  <si>
    <t>754293</t>
  </si>
  <si>
    <t>991003229229702656</t>
  </si>
  <si>
    <t>2270016200002656</t>
  </si>
  <si>
    <t>9780300015225</t>
  </si>
  <si>
    <t>32285001632438</t>
  </si>
  <si>
    <t>893893503</t>
  </si>
  <si>
    <t>DS749.3 .S3</t>
  </si>
  <si>
    <t>0                      DS 0749300S  3</t>
  </si>
  <si>
    <t>The vermilion bird; T'ang images of the South [by] Edward H. Schafer.</t>
  </si>
  <si>
    <t>1997-03-13</t>
  </si>
  <si>
    <t>1103441279:eng</t>
  </si>
  <si>
    <t>300850</t>
  </si>
  <si>
    <t>991002254169702656</t>
  </si>
  <si>
    <t>2269505690002656</t>
  </si>
  <si>
    <t>32285002447216</t>
  </si>
  <si>
    <t>893716231</t>
  </si>
  <si>
    <t>DS749.3.W36 W42</t>
  </si>
  <si>
    <t>0                      DS 0749300W  36                 W  42</t>
  </si>
  <si>
    <t>Mirror to the Son of Heaven : Wei Cheng at the court of Tʻang Tʻai-tsung / Howard J. Wechsler.</t>
  </si>
  <si>
    <t>Wechsler, Howard J.</t>
  </si>
  <si>
    <t>New Haven : Yale University Press, 1974 [i.e. 1975]</t>
  </si>
  <si>
    <t>Yale historical publications. Miscellany ; 105</t>
  </si>
  <si>
    <t>797251118:eng</t>
  </si>
  <si>
    <t>1151924</t>
  </si>
  <si>
    <t>991003574809702656</t>
  </si>
  <si>
    <t>2267974600002656</t>
  </si>
  <si>
    <t>9780300017151</t>
  </si>
  <si>
    <t>32285001910594</t>
  </si>
  <si>
    <t>893787474</t>
  </si>
  <si>
    <t>DS750.64 .M67 2003</t>
  </si>
  <si>
    <t>0                      DS 0750640M  67          2003</t>
  </si>
  <si>
    <t>Imperial China 900-1800 / F.W. Mote.</t>
  </si>
  <si>
    <t>Mote, Frederick W., 1922-2005.</t>
  </si>
  <si>
    <t>Cambridge, Mass. : Harvard University Press, 2003.</t>
  </si>
  <si>
    <t>1st Harvard University Press pbk. ed.</t>
  </si>
  <si>
    <t>2008-09-14</t>
  </si>
  <si>
    <t>2004-03-08</t>
  </si>
  <si>
    <t>725122:eng</t>
  </si>
  <si>
    <t>54436613</t>
  </si>
  <si>
    <t>991004242109702656</t>
  </si>
  <si>
    <t>2267470720002656</t>
  </si>
  <si>
    <t>9780674012127</t>
  </si>
  <si>
    <t>32285004892815</t>
  </si>
  <si>
    <t>893423552</t>
  </si>
  <si>
    <t>DS753 .H79813</t>
  </si>
  <si>
    <t>0                      DS 0753000H  79813</t>
  </si>
  <si>
    <t>1587, a year of no significance : the Ming dynasty in decline / Ray Huang.</t>
  </si>
  <si>
    <t>Huang, Ray.</t>
  </si>
  <si>
    <t>2008-10-24</t>
  </si>
  <si>
    <t>435983:eng</t>
  </si>
  <si>
    <t>6280586</t>
  </si>
  <si>
    <t>991004956859702656</t>
  </si>
  <si>
    <t>2255943620002656</t>
  </si>
  <si>
    <t>9780300025187</t>
  </si>
  <si>
    <t>32285000272715</t>
  </si>
  <si>
    <t>893436958</t>
  </si>
  <si>
    <t>DS753 .H82</t>
  </si>
  <si>
    <t>0                      DS 0753000H  82</t>
  </si>
  <si>
    <t>The censorial system of Ming China / [by] Charles O. Hucker.</t>
  </si>
  <si>
    <t>Stanford, Calif. : Stanford University Press, 1966.</t>
  </si>
  <si>
    <t>Stanford studies in the civilizations of eastern Asia</t>
  </si>
  <si>
    <t>1996-01-25</t>
  </si>
  <si>
    <t>1460781:eng</t>
  </si>
  <si>
    <t>412075</t>
  </si>
  <si>
    <t>991002718959702656</t>
  </si>
  <si>
    <t>2264367130002656</t>
  </si>
  <si>
    <t>32285001633147</t>
  </si>
  <si>
    <t>893504737</t>
  </si>
  <si>
    <t>DS753 .M5 1965</t>
  </si>
  <si>
    <t>0                      DS 0753000M  5           1965</t>
  </si>
  <si>
    <t>The origin of Manchu rule in China; frontier and bureaucracy as interacting forces in the Chinese Empire.</t>
  </si>
  <si>
    <t>Michael, Franz H.</t>
  </si>
  <si>
    <t>New York, Octagon Books, [1965 c1942]</t>
  </si>
  <si>
    <t>2000-04-17</t>
  </si>
  <si>
    <t>53961300:eng</t>
  </si>
  <si>
    <t>335275</t>
  </si>
  <si>
    <t>991002397649702656</t>
  </si>
  <si>
    <t>2256566670002656</t>
  </si>
  <si>
    <t>32285002448909</t>
  </si>
  <si>
    <t>893716399</t>
  </si>
  <si>
    <t>DS753 .P36</t>
  </si>
  <si>
    <t>0                      DS 0753000P  36</t>
  </si>
  <si>
    <t>The peasant rebellions of the late Ming dynasty.</t>
  </si>
  <si>
    <t>Parsons, James Bunyan.</t>
  </si>
  <si>
    <t>Tucson, Published for the Association for Asian Studies by the University of Arizona Press [1970]</t>
  </si>
  <si>
    <t>The Association for Asian Studies. Monographs and papers, no. 26</t>
  </si>
  <si>
    <t>1998-06-15</t>
  </si>
  <si>
    <t>1234062:eng</t>
  </si>
  <si>
    <t>67493</t>
  </si>
  <si>
    <t>991000219029702656</t>
  </si>
  <si>
    <t>2258122630002656</t>
  </si>
  <si>
    <t>9780816501557</t>
  </si>
  <si>
    <t>32285002448917</t>
  </si>
  <si>
    <t>893689539</t>
  </si>
  <si>
    <t>DS754 .H74 2000</t>
  </si>
  <si>
    <t>0                      DS 0754000H  74          2000</t>
  </si>
  <si>
    <t>The rise of modern China / Immanuel C. Y. Hs©ơ.</t>
  </si>
  <si>
    <t>Hsü, Immanuel C. Y. (Immanuel Chung-Yueh), 1923-2005.</t>
  </si>
  <si>
    <t>New York : Oxford University Press, 2000.</t>
  </si>
  <si>
    <t>2007-12-21</t>
  </si>
  <si>
    <t>2000-04-11</t>
  </si>
  <si>
    <t>4809213:eng</t>
  </si>
  <si>
    <t>40595619</t>
  </si>
  <si>
    <t>991002999099702656</t>
  </si>
  <si>
    <t>2262259370002656</t>
  </si>
  <si>
    <t>9780195125030</t>
  </si>
  <si>
    <t>32285003676326</t>
  </si>
  <si>
    <t>893616876</t>
  </si>
  <si>
    <t>DS754 .M6</t>
  </si>
  <si>
    <t>0                      DS 0754000M  6</t>
  </si>
  <si>
    <t>Modern East Asia : essays in interpretation. Volume editor: James B. Crowley. Contributors: Frederic Wakeman, Jr. [and others] Under the general editorship of John Morton Blum.</t>
  </si>
  <si>
    <t>New York, Harcourt, Brace &amp; World [1970]</t>
  </si>
  <si>
    <t>375260111:eng</t>
  </si>
  <si>
    <t>75316</t>
  </si>
  <si>
    <t>991005352989702656</t>
  </si>
  <si>
    <t>2256054260002656</t>
  </si>
  <si>
    <t>9780155610002</t>
  </si>
  <si>
    <t>32285002273679</t>
  </si>
  <si>
    <t>893722919</t>
  </si>
  <si>
    <t>DS754 .N4 1987</t>
  </si>
  <si>
    <t>0                      DS 0754000N  4           1987</t>
  </si>
  <si>
    <t>Chinese society in the eighteenth century / Susan Naquin and Evelyn S. Rawski.</t>
  </si>
  <si>
    <t>Naquin, Susan.</t>
  </si>
  <si>
    <t>New Haven : Yale University Press, c1987.</t>
  </si>
  <si>
    <t>1994-01-14</t>
  </si>
  <si>
    <t>8191766:eng</t>
  </si>
  <si>
    <t>14904813</t>
  </si>
  <si>
    <t>991000964909702656</t>
  </si>
  <si>
    <t>2266904430002656</t>
  </si>
  <si>
    <t>9780300038484</t>
  </si>
  <si>
    <t>32285001832020</t>
  </si>
  <si>
    <t>893522168</t>
  </si>
  <si>
    <t>DS754 .S65 1990</t>
  </si>
  <si>
    <t>0                      DS 0754000S  65          1990</t>
  </si>
  <si>
    <t>The search for modern China / by Jonathan D. Spence.</t>
  </si>
  <si>
    <t>2008-08-27</t>
  </si>
  <si>
    <t>4820491417:eng</t>
  </si>
  <si>
    <t>19553922</t>
  </si>
  <si>
    <t>991001472029702656</t>
  </si>
  <si>
    <t>2272058340002656</t>
  </si>
  <si>
    <t>32285000175678</t>
  </si>
  <si>
    <t>893615152</t>
  </si>
  <si>
    <t>DS754 .W13</t>
  </si>
  <si>
    <t>0                      DS 0754000W  13</t>
  </si>
  <si>
    <t>The fall of imperial China / Frederic Wakeman, Jr.</t>
  </si>
  <si>
    <t>Wakeman, Frederic E.</t>
  </si>
  <si>
    <t>New York : Free Press, [1975]</t>
  </si>
  <si>
    <t>The Transformation of modern China series</t>
  </si>
  <si>
    <t>400854:eng</t>
  </si>
  <si>
    <t>1195113</t>
  </si>
  <si>
    <t>991003612479702656</t>
  </si>
  <si>
    <t>2260236720002656</t>
  </si>
  <si>
    <t>9780029336908</t>
  </si>
  <si>
    <t>32285001623445</t>
  </si>
  <si>
    <t>893774947</t>
  </si>
  <si>
    <t>DS754.14 .S6 1983</t>
  </si>
  <si>
    <t>0                      DS 0754140S  6           1983</t>
  </si>
  <si>
    <t>China's cultural heritage : the Chʻing dynasty, 1644-1912 / Richard J. Smith.</t>
  </si>
  <si>
    <t>Smith, Richard J. (Richard Joseph), 1944-</t>
  </si>
  <si>
    <t>Boulder, Colo. : Westview Press ; London : Francis Pinter, 1983.</t>
  </si>
  <si>
    <t>2005-10-21</t>
  </si>
  <si>
    <t>2287485367:eng</t>
  </si>
  <si>
    <t>9643791</t>
  </si>
  <si>
    <t>991000231329702656</t>
  </si>
  <si>
    <t>2270235210002656</t>
  </si>
  <si>
    <t>9780865316287</t>
  </si>
  <si>
    <t>32285000338557</t>
  </si>
  <si>
    <t>893784080</t>
  </si>
  <si>
    <t>DS754.17 .K8413 2002</t>
  </si>
  <si>
    <t>0                      DS 0754170K  8413        2002</t>
  </si>
  <si>
    <t>Origins of the modern Chinese State / Philip A. Kuhn.</t>
  </si>
  <si>
    <t>Kuhn, Philip A.</t>
  </si>
  <si>
    <t>Stanford, Calif. : Stanford University Press, 2002.</t>
  </si>
  <si>
    <t>2006-04-18</t>
  </si>
  <si>
    <t>1809563132:eng</t>
  </si>
  <si>
    <t>48871121</t>
  </si>
  <si>
    <t>991003820739702656</t>
  </si>
  <si>
    <t>2255748620002656</t>
  </si>
  <si>
    <t>9780804742832</t>
  </si>
  <si>
    <t>32285004497383</t>
  </si>
  <si>
    <t>893410737</t>
  </si>
  <si>
    <t>DS754.18 .M36 1984</t>
  </si>
  <si>
    <t>0                      DS 0754180M  36          1984</t>
  </si>
  <si>
    <t>China at the center : 300 years of foreign policy / Mark Mancall.</t>
  </si>
  <si>
    <t>Mancall, Mark.</t>
  </si>
  <si>
    <t>New York : Free Press ; London : Collier Macmillan, c1984.</t>
  </si>
  <si>
    <t>2007-03-11</t>
  </si>
  <si>
    <t>795302666:eng</t>
  </si>
  <si>
    <t>9557616</t>
  </si>
  <si>
    <t>991000215489702656</t>
  </si>
  <si>
    <t>2266898770002656</t>
  </si>
  <si>
    <t>9780029198100</t>
  </si>
  <si>
    <t>32285000272723</t>
  </si>
  <si>
    <t>893515112</t>
  </si>
  <si>
    <t>DS754.4.C53 A33 1974</t>
  </si>
  <si>
    <t>0                      DS 0754400C  53                 A  33          1974</t>
  </si>
  <si>
    <t>Emperor of China; self portrait of Kʻang Hsi, by Jonathan D. Spence.</t>
  </si>
  <si>
    <t>Kangxi, Emperor of China, 1654-1722.</t>
  </si>
  <si>
    <t>New York, Knopf; [distributed by Random House] 1974.</t>
  </si>
  <si>
    <t>2007-12-04</t>
  </si>
  <si>
    <t>462403:eng</t>
  </si>
  <si>
    <t>805015</t>
  </si>
  <si>
    <t>991003282869702656</t>
  </si>
  <si>
    <t>2265405710002656</t>
  </si>
  <si>
    <t>9780394488356</t>
  </si>
  <si>
    <t>32285002447281</t>
  </si>
  <si>
    <t>893317838</t>
  </si>
  <si>
    <t>DS754.4.C53 K47</t>
  </si>
  <si>
    <t>0                      DS 0754400C  53                 K  47</t>
  </si>
  <si>
    <t>Kʻang-hsi and the consolidation of Chʻing rule, 1661-1684 / Lawrence D. Kessler.</t>
  </si>
  <si>
    <t>Kessler, Lawrence D.</t>
  </si>
  <si>
    <t>1995-03-16</t>
  </si>
  <si>
    <t>418658:eng</t>
  </si>
  <si>
    <t>2020026</t>
  </si>
  <si>
    <t>991003980869702656</t>
  </si>
  <si>
    <t>2271699990002656</t>
  </si>
  <si>
    <t>9780226432038</t>
  </si>
  <si>
    <t>32285000338565</t>
  </si>
  <si>
    <t>893331064</t>
  </si>
  <si>
    <t>DS754.4.T72 S66</t>
  </si>
  <si>
    <t>0                      DS 0754400T  72                 S  66</t>
  </si>
  <si>
    <t>Tsʻao Yin and the Kʻang-hsi Emperor; bondservant and master, by Jonathan D. Spence.</t>
  </si>
  <si>
    <t>New Haven, Yale University Press, 1966.</t>
  </si>
  <si>
    <t>Yale historical publications. Miscellany ; 85</t>
  </si>
  <si>
    <t>2005-09-30</t>
  </si>
  <si>
    <t>53968801:eng</t>
  </si>
  <si>
    <t>412869</t>
  </si>
  <si>
    <t>991002721939702656</t>
  </si>
  <si>
    <t>2264500000002656</t>
  </si>
  <si>
    <t>32285002447299</t>
  </si>
  <si>
    <t>893504741</t>
  </si>
  <si>
    <t>DS755 .C63 1984</t>
  </si>
  <si>
    <t>0                      DS 0755000C  63          1984</t>
  </si>
  <si>
    <t>Discovering history in China : American historical writing on the recent Chinese past / Paul A. Cohen.</t>
  </si>
  <si>
    <t>Cohen, Paul A.</t>
  </si>
  <si>
    <t>Studies of the East Asian Institute</t>
  </si>
  <si>
    <t>9677535:eng</t>
  </si>
  <si>
    <t>9970587</t>
  </si>
  <si>
    <t>991000292819702656</t>
  </si>
  <si>
    <t>2254725350002656</t>
  </si>
  <si>
    <t>9780231058100</t>
  </si>
  <si>
    <t>32285001813509</t>
  </si>
  <si>
    <t>893896762</t>
  </si>
  <si>
    <t>DS755 .W72</t>
  </si>
  <si>
    <t>0                      DS 0755000W  72</t>
  </si>
  <si>
    <t>A history of China : being the historical chapters from "The Middle kingdom" / by the late S. Wells Williams. With a concluding chapter narrating recent events, by Frederick Wells Williams.</t>
  </si>
  <si>
    <t>New York : C. Scribner's sons, 1897.</t>
  </si>
  <si>
    <t>1897</t>
  </si>
  <si>
    <t>2379046:eng</t>
  </si>
  <si>
    <t>1526532</t>
  </si>
  <si>
    <t>991003799979702656</t>
  </si>
  <si>
    <t>2258870740002656</t>
  </si>
  <si>
    <t>32285001623437</t>
  </si>
  <si>
    <t>893531603</t>
  </si>
  <si>
    <t>DS755.2 .M63 1998</t>
  </si>
  <si>
    <t>0                      DS 0755200M  63          1998</t>
  </si>
  <si>
    <t>Modern China : an encyclopedia of history, culture, and nationalism / editor Wang Ke-wen.</t>
  </si>
  <si>
    <t>New York : Garland Pub., 1998.</t>
  </si>
  <si>
    <t>Garland reference library of the humanities ; v. 1519</t>
  </si>
  <si>
    <t>2000-01-31</t>
  </si>
  <si>
    <t>799903320:eng</t>
  </si>
  <si>
    <t>36798358</t>
  </si>
  <si>
    <t>991002801119702656</t>
  </si>
  <si>
    <t>2257054080002656</t>
  </si>
  <si>
    <t>9780815307204</t>
  </si>
  <si>
    <t>32285003656922</t>
  </si>
  <si>
    <t>893335729</t>
  </si>
  <si>
    <t>DS755.2 .Z463 2004</t>
  </si>
  <si>
    <t>0                      DS 0755200Z  463         2004</t>
  </si>
  <si>
    <t>A nation-state by construction : dynamics of modern Chinese nationalism / Suisheng Zhao.</t>
  </si>
  <si>
    <t>Zhao, Suisheng.</t>
  </si>
  <si>
    <t>2006-04-19</t>
  </si>
  <si>
    <t>367255430:eng</t>
  </si>
  <si>
    <t>54694622</t>
  </si>
  <si>
    <t>991004642609702656</t>
  </si>
  <si>
    <t>2260289990002656</t>
  </si>
  <si>
    <t>9780804748971</t>
  </si>
  <si>
    <t>32285005087126</t>
  </si>
  <si>
    <t>893344075</t>
  </si>
  <si>
    <t>DS757 .G7 1978</t>
  </si>
  <si>
    <t>0                      DS 0757000G  7           1978</t>
  </si>
  <si>
    <t>The China station : war and diplomacy 1830-1860 / by Gerald S. Graham.</t>
  </si>
  <si>
    <t>Graham, Gerald S. (Gerald Sandford), 1903-1988.</t>
  </si>
  <si>
    <t>Oxford [Eng.] : Clarendon Press ; New York : Oxford University Press, 1978.</t>
  </si>
  <si>
    <t>14873505:eng</t>
  </si>
  <si>
    <t>4578191</t>
  </si>
  <si>
    <t>991004682849702656</t>
  </si>
  <si>
    <t>2261913550002656</t>
  </si>
  <si>
    <t>9780198224723</t>
  </si>
  <si>
    <t>32285000338599</t>
  </si>
  <si>
    <t>893600118</t>
  </si>
  <si>
    <t>DS757 .G98 1972</t>
  </si>
  <si>
    <t>0                      DS 0757000G  98          1972</t>
  </si>
  <si>
    <t>The life of Taou-Kwang, late Emperor of China: with memoirs of the court of Peking; including a sketch of the principal events in the history of the Chinese empire during the last fifty years, by the late Charles Gutzlaff.</t>
  </si>
  <si>
    <t>Gützlaff, Karl Friedrich August, 1803-1851.</t>
  </si>
  <si>
    <t>9593770942:eng</t>
  </si>
  <si>
    <t>797637</t>
  </si>
  <si>
    <t>991003271969702656</t>
  </si>
  <si>
    <t>2258270080002656</t>
  </si>
  <si>
    <t>9780842013512</t>
  </si>
  <si>
    <t>32285002447315</t>
  </si>
  <si>
    <t>893686383</t>
  </si>
  <si>
    <t>DS757.5 .C45</t>
  </si>
  <si>
    <t>0                      DS 0757500C  45</t>
  </si>
  <si>
    <t>Commissioner Lin and the Opium War.</t>
  </si>
  <si>
    <t>Chang, Hsin-pao, 1922-</t>
  </si>
  <si>
    <t>Harvard East Asian series ; 18</t>
  </si>
  <si>
    <t>1993-04-12</t>
  </si>
  <si>
    <t>118486282:eng</t>
  </si>
  <si>
    <t>411914</t>
  </si>
  <si>
    <t>991002718159702656</t>
  </si>
  <si>
    <t>2264643340002656</t>
  </si>
  <si>
    <t>32285001615896</t>
  </si>
  <si>
    <t>893504735</t>
  </si>
  <si>
    <t>DS757.5 .M62</t>
  </si>
  <si>
    <t>0                      DS 0757500M  62</t>
  </si>
  <si>
    <t>Modern China : from mandarin to commissar / translations and introductions by Dun J. Li.</t>
  </si>
  <si>
    <t>1994-12-22</t>
  </si>
  <si>
    <t>859768036:eng</t>
  </si>
  <si>
    <t>3310323</t>
  </si>
  <si>
    <t>991004402549702656</t>
  </si>
  <si>
    <t>2269968820002656</t>
  </si>
  <si>
    <t>9780684153735</t>
  </si>
  <si>
    <t>32285001985414</t>
  </si>
  <si>
    <t>893343794</t>
  </si>
  <si>
    <t>DS759 .G7 1969b</t>
  </si>
  <si>
    <t>0                      DS 0759000G  7           1969b</t>
  </si>
  <si>
    <t>Great Britain and the Taipings / by J. S. Gregory.</t>
  </si>
  <si>
    <t>Gregory, J. S. (John Stradbroke), 1923-</t>
  </si>
  <si>
    <t>1996-04-19</t>
  </si>
  <si>
    <t>1993-11-18</t>
  </si>
  <si>
    <t>1127922:eng</t>
  </si>
  <si>
    <t>4429</t>
  </si>
  <si>
    <t>991005436469702656</t>
  </si>
  <si>
    <t>2266272630002656</t>
  </si>
  <si>
    <t>32285001799666</t>
  </si>
  <si>
    <t>893808454</t>
  </si>
  <si>
    <t>DS759 .H15 1964</t>
  </si>
  <si>
    <t>0                      DS 0759000H  15          1964</t>
  </si>
  <si>
    <t>Tsêng Kuo-fan and the Taiping Rebellion : with a short sketch of his later career.</t>
  </si>
  <si>
    <t>Hail, William James, 1877-</t>
  </si>
  <si>
    <t>New York : Paragon Book Reprint Corp., 1964 [c1927]</t>
  </si>
  <si>
    <t>Yale historical publications. Miscellany ; 18</t>
  </si>
  <si>
    <t>207137328:eng</t>
  </si>
  <si>
    <t>2916819</t>
  </si>
  <si>
    <t>991004283559702656</t>
  </si>
  <si>
    <t>2270232140002656</t>
  </si>
  <si>
    <t>32285001984060</t>
  </si>
  <si>
    <t>893700054</t>
  </si>
  <si>
    <t>DS759 .M14 1972</t>
  </si>
  <si>
    <t>0                      DS 0759000M  14          1972</t>
  </si>
  <si>
    <t>The Chinese revolution : with details of the habits, manners, and customs of China and the Chinese.</t>
  </si>
  <si>
    <t>MacFarlane, Charles, 1799-1858.</t>
  </si>
  <si>
    <t>Wilmington, Del. : Scholarly Resources, [1972]</t>
  </si>
  <si>
    <t>2003-02-05</t>
  </si>
  <si>
    <t>1737797:eng</t>
  </si>
  <si>
    <t>583516</t>
  </si>
  <si>
    <t>991003018679702656</t>
  </si>
  <si>
    <t>2272222160002656</t>
  </si>
  <si>
    <t>9780842013581</t>
  </si>
  <si>
    <t>32285001799658</t>
  </si>
  <si>
    <t>893440832</t>
  </si>
  <si>
    <t>DS759 .T455</t>
  </si>
  <si>
    <t>0                      DS 0759000T  455</t>
  </si>
  <si>
    <t>The Taiping rebellion and the Western powers : a comprehensive survey / [by] S. Y. Teng.</t>
  </si>
  <si>
    <t>Teng, Ssu-yü, 1906-1988.</t>
  </si>
  <si>
    <t>Oxford : Clarendon P., 1971.</t>
  </si>
  <si>
    <t>1365508:eng</t>
  </si>
  <si>
    <t>195831</t>
  </si>
  <si>
    <t>991001218949702656</t>
  </si>
  <si>
    <t>2267353440002656</t>
  </si>
  <si>
    <t>9780198215486</t>
  </si>
  <si>
    <t>32285001984052</t>
  </si>
  <si>
    <t>893772407</t>
  </si>
  <si>
    <t>DS76.4 .P6613 1999</t>
  </si>
  <si>
    <t>0                      DS 0076400P  6613        1999</t>
  </si>
  <si>
    <t>The revolt of African slaves in Iraq in the 3rd/9th century / Alexandre Popovic ; with a new introduction by Henry Louis Gates, Jr. ; translated from French by Léon King.</t>
  </si>
  <si>
    <t>Popović, Alexandre.</t>
  </si>
  <si>
    <t>Princeton, N.J. : Markus Wiener Publishers, c1999.</t>
  </si>
  <si>
    <t>2005-03-29</t>
  </si>
  <si>
    <t>2000-01-05</t>
  </si>
  <si>
    <t>498119900:eng</t>
  </si>
  <si>
    <t>39505710</t>
  </si>
  <si>
    <t>991002957679702656</t>
  </si>
  <si>
    <t>2266102480002656</t>
  </si>
  <si>
    <t>9781558761629</t>
  </si>
  <si>
    <t>32285003636999</t>
  </si>
  <si>
    <t>893805264</t>
  </si>
  <si>
    <t>DS760 .B3</t>
  </si>
  <si>
    <t>0                      DS 0760000B  3</t>
  </si>
  <si>
    <t>China and the West, 1858-1861: the origins of the Tsungli yamen.</t>
  </si>
  <si>
    <t>Banno, Masataka, 1916-1985.</t>
  </si>
  <si>
    <t>Cambridge, Harvard University Press, 1964.</t>
  </si>
  <si>
    <t>Harvard East Asian series ; 15</t>
  </si>
  <si>
    <t>2006-11-27</t>
  </si>
  <si>
    <t>193973348:eng</t>
  </si>
  <si>
    <t>411988</t>
  </si>
  <si>
    <t>991002718859702656</t>
  </si>
  <si>
    <t>2264652480002656</t>
  </si>
  <si>
    <t>32285001050052</t>
  </si>
  <si>
    <t>893427927</t>
  </si>
  <si>
    <t>DS761 .P8</t>
  </si>
  <si>
    <t>0                      DS 0761000P  8</t>
  </si>
  <si>
    <t>The Boxer Uprising, a background study.</t>
  </si>
  <si>
    <t>Purcell, Victor, 1896-1965.</t>
  </si>
  <si>
    <t>Cambridge [Eng.] University Press, 1963.</t>
  </si>
  <si>
    <t>1459245:eng</t>
  </si>
  <si>
    <t>411717</t>
  </si>
  <si>
    <t>991002717709702656</t>
  </si>
  <si>
    <t>2264721830002656</t>
  </si>
  <si>
    <t>32285002447448</t>
  </si>
  <si>
    <t>893691915</t>
  </si>
  <si>
    <t>DS762 .C6</t>
  </si>
  <si>
    <t>0                      DS 0762000C  6</t>
  </si>
  <si>
    <t>China and Christianity : the missionary movement and the growth of Chinese antiforeignism, 1860-1870.</t>
  </si>
  <si>
    <t>Cambridge : Harvard University Press, 1963.</t>
  </si>
  <si>
    <t>Harvard East Asian series ; 11</t>
  </si>
  <si>
    <t>2005-02-18</t>
  </si>
  <si>
    <t>836663759:eng</t>
  </si>
  <si>
    <t>710958</t>
  </si>
  <si>
    <t>991003177049702656</t>
  </si>
  <si>
    <t>2262450400002656</t>
  </si>
  <si>
    <t>32285001890705</t>
  </si>
  <si>
    <t>893698724</t>
  </si>
  <si>
    <t>DS763.P2 L3 1973</t>
  </si>
  <si>
    <t>0                      DS 0763000P  2                  L  3           1973</t>
  </si>
  <si>
    <t>The life of Sir Harry Parkes, K.C.B., G.C.M.G., sometime Her Majesty's mminister to China &amp; Japan.</t>
  </si>
  <si>
    <t>Lane-Poole, Stanley, 1854-1931.</t>
  </si>
  <si>
    <t>2001-08-14</t>
  </si>
  <si>
    <t>10043204:eng</t>
  </si>
  <si>
    <t>645510</t>
  </si>
  <si>
    <t>991003095969702656</t>
  </si>
  <si>
    <t>2259705850002656</t>
  </si>
  <si>
    <t>32285002273687</t>
  </si>
  <si>
    <t>893239882</t>
  </si>
  <si>
    <t>32285002273695</t>
  </si>
  <si>
    <t>893246022</t>
  </si>
  <si>
    <t>DS763.T8 V32 1936a</t>
  </si>
  <si>
    <t>0                      DS 0763000T  8                  V  32          1936a</t>
  </si>
  <si>
    <t>The last empress.</t>
  </si>
  <si>
    <t>Varè, Daniele, 1880-1956.</t>
  </si>
  <si>
    <t>New York, Doubleday, Doran &amp; Company, inc., 1936.</t>
  </si>
  <si>
    <t>8066445:eng</t>
  </si>
  <si>
    <t>3048625</t>
  </si>
  <si>
    <t>991004327819702656</t>
  </si>
  <si>
    <t>2262470280002656</t>
  </si>
  <si>
    <t>32285002447497</t>
  </si>
  <si>
    <t>893525955</t>
  </si>
  <si>
    <t>DS763.T8 W37 1972</t>
  </si>
  <si>
    <t>0                      DS 0763000T  8                  W  37          1972</t>
  </si>
  <si>
    <t>The Dragon Empress; the life and times of Tzʻu-hsi, Empress Dowager of China, 1835-1908.</t>
  </si>
  <si>
    <t>Warner, Marina, 1946-</t>
  </si>
  <si>
    <t>New York, Macmillan [1972]</t>
  </si>
  <si>
    <t>1802133:eng</t>
  </si>
  <si>
    <t>514835</t>
  </si>
  <si>
    <t>991002897799702656</t>
  </si>
  <si>
    <t>2261997610002656</t>
  </si>
  <si>
    <t>32285002447505</t>
  </si>
  <si>
    <t>893329692</t>
  </si>
  <si>
    <t>DS765 .M8913 1982</t>
  </si>
  <si>
    <t>0                      DS 0765000M  8913        1982</t>
  </si>
  <si>
    <t>A diplomatic record of the Sino-Japanese War, 1894-95 / Mutsu Munemitsu ; edited and translated with historical notes by Gordon Mark Berger.</t>
  </si>
  <si>
    <t>Mutsu, Munemitsu, 1844-1897.</t>
  </si>
  <si>
    <t>Princeton, NJ : Princeton University Press ; [Tokyo] : University of Tokyo Press, c1982.</t>
  </si>
  <si>
    <t>Princeton library of Asian translations</t>
  </si>
  <si>
    <t>1995-10-20</t>
  </si>
  <si>
    <t>1990-10-19</t>
  </si>
  <si>
    <t>5652336:eng</t>
  </si>
  <si>
    <t>8280496</t>
  </si>
  <si>
    <t>991005225089702656</t>
  </si>
  <si>
    <t>2257263490002656</t>
  </si>
  <si>
    <t>9780691031064</t>
  </si>
  <si>
    <t>32285000338623</t>
  </si>
  <si>
    <t>893437362</t>
  </si>
  <si>
    <t>DS771 .D84</t>
  </si>
  <si>
    <t>0                      DS 0771000D  84</t>
  </si>
  <si>
    <t>Cultures in collision : the boxer rebellion / William J. Duiker. --</t>
  </si>
  <si>
    <t>Duiker, William J., 1932-</t>
  </si>
  <si>
    <t>[San Rafael, CA] : Presidio Press, [1978]</t>
  </si>
  <si>
    <t>2010-03-23</t>
  </si>
  <si>
    <t>11753041:eng</t>
  </si>
  <si>
    <t>3630779</t>
  </si>
  <si>
    <t>991004482899702656</t>
  </si>
  <si>
    <t>2258571500002656</t>
  </si>
  <si>
    <t>9780891410287</t>
  </si>
  <si>
    <t>32285000338631</t>
  </si>
  <si>
    <t>893526136</t>
  </si>
  <si>
    <t>DS773 .C51513 1967</t>
  </si>
  <si>
    <t>0                      DS 0773000C  51513       1967</t>
  </si>
  <si>
    <t>The last Manchu : the autobiography of Henry Pu Yi, last Emperor of China / Edited, with an introduction by Paul Kramer; Translated by Kuo Ying Paul Tsai.</t>
  </si>
  <si>
    <t>Puyi, 1906-1967.</t>
  </si>
  <si>
    <t>New York : Putnam, [1967]</t>
  </si>
  <si>
    <t>1998-05-20</t>
  </si>
  <si>
    <t>1866211432:eng</t>
  </si>
  <si>
    <t>642804</t>
  </si>
  <si>
    <t>991003092649702656</t>
  </si>
  <si>
    <t>2262026880002656</t>
  </si>
  <si>
    <t>32285000338649</t>
  </si>
  <si>
    <t>893342233</t>
  </si>
  <si>
    <t>DS773 .E83</t>
  </si>
  <si>
    <t>0                      DS 0773000E  83</t>
  </si>
  <si>
    <t>Reform and revolution in China : the 1911 revolution in Hunan and Hubei / Joseph W. Esherick.</t>
  </si>
  <si>
    <t>Esherick, Joseph.</t>
  </si>
  <si>
    <t>Michigan studies on China</t>
  </si>
  <si>
    <t>9348539:eng</t>
  </si>
  <si>
    <t>2494494</t>
  </si>
  <si>
    <t>991004139909702656</t>
  </si>
  <si>
    <t>2255182420002656</t>
  </si>
  <si>
    <t>9780520030848</t>
  </si>
  <si>
    <t>32285002447570</t>
  </si>
  <si>
    <t>893253291</t>
  </si>
  <si>
    <t>DS773 .G35</t>
  </si>
  <si>
    <t>0                      DS 0773000G  35</t>
  </si>
  <si>
    <t>Chinese intellectuals and the revolution of 1911; the birth of modern Chinese radicalism.</t>
  </si>
  <si>
    <t>Gasster, Michael, 1930-</t>
  </si>
  <si>
    <t>Seattle, University of Washington Press [1969]</t>
  </si>
  <si>
    <t>Far Eastern and Russian Institute publications on Asia ; no. 19</t>
  </si>
  <si>
    <t>836623158:eng</t>
  </si>
  <si>
    <t>20700</t>
  </si>
  <si>
    <t>991000037289702656</t>
  </si>
  <si>
    <t>2261647410002656</t>
  </si>
  <si>
    <t>32285002447596</t>
  </si>
  <si>
    <t>893701781</t>
  </si>
  <si>
    <t>DS773 .L8 1991</t>
  </si>
  <si>
    <t>0                      DS 0773000L  8           1991</t>
  </si>
  <si>
    <t>The Revolution of 1911 : turning point in modern Chinese history / edited by Dong Caishi ; written by Lu Bowei and Wang Guoping ; [translated by He Fei].</t>
  </si>
  <si>
    <t>Lu, Bowei.</t>
  </si>
  <si>
    <t>Beijing : Foreign Languages Press, 1991.</t>
  </si>
  <si>
    <t>57512285:chi</t>
  </si>
  <si>
    <t>27412915</t>
  </si>
  <si>
    <t>991002136669702656</t>
  </si>
  <si>
    <t>2260931450002656</t>
  </si>
  <si>
    <t>9780835128889</t>
  </si>
  <si>
    <t>32285002178969</t>
  </si>
  <si>
    <t>893773255</t>
  </si>
  <si>
    <t>DS773 .M28</t>
  </si>
  <si>
    <t>0                      DS 0773000M  28</t>
  </si>
  <si>
    <t>A dream of Tartary : the origins and misfortunes of Henry Pʻu Yi / by Henry McAleavy.</t>
  </si>
  <si>
    <t>McAleavy, Henry.</t>
  </si>
  <si>
    <t>London : G. Allen &amp; Unwin, 1963.</t>
  </si>
  <si>
    <t>1998-06-02</t>
  </si>
  <si>
    <t>34370500:eng</t>
  </si>
  <si>
    <t>940036</t>
  </si>
  <si>
    <t>991003399949702656</t>
  </si>
  <si>
    <t>2261724280002656</t>
  </si>
  <si>
    <t>32285002447620</t>
  </si>
  <si>
    <t>893441251</t>
  </si>
  <si>
    <t>DS773 .W86 1964</t>
  </si>
  <si>
    <t>0                      DS 0773000W  86          1964</t>
  </si>
  <si>
    <t>The revolution of 1911 : a great democratic revolution of China / Wu Yu-Chang.</t>
  </si>
  <si>
    <t>Wu, Yuzhang, 1878-1966.</t>
  </si>
  <si>
    <t>Peking : Foreign Languages Press, 1964.</t>
  </si>
  <si>
    <t>3rd ed., rev. translation.</t>
  </si>
  <si>
    <t>16458869:eng</t>
  </si>
  <si>
    <t>3875889</t>
  </si>
  <si>
    <t>991004537729702656</t>
  </si>
  <si>
    <t>2269513620002656</t>
  </si>
  <si>
    <t>32285002447661</t>
  </si>
  <si>
    <t>893876224</t>
  </si>
  <si>
    <t>DS773.C4 F7</t>
  </si>
  <si>
    <t>0                      DS 0773000C  4                  F  7</t>
  </si>
  <si>
    <t>From Emperor to citizen : autobiography of Aisin-Gioro Pu Yi. [Translated by W. J. F. Jenner]</t>
  </si>
  <si>
    <t>Peking, Foreign Languages Press, 1964-65.</t>
  </si>
  <si>
    <t>1996-08-12</t>
  </si>
  <si>
    <t>9622136624:eng</t>
  </si>
  <si>
    <t>2173237</t>
  </si>
  <si>
    <t>991004036759702656</t>
  </si>
  <si>
    <t>2265842630002656</t>
  </si>
  <si>
    <t>9780835111591</t>
  </si>
  <si>
    <t>32285002274032</t>
  </si>
  <si>
    <t>893593194</t>
  </si>
  <si>
    <t>DS774 .B27 2001</t>
  </si>
  <si>
    <t>0                      DS 0774000B  27          2001</t>
  </si>
  <si>
    <t>China in the twentieth century / Paul J. Bailey.</t>
  </si>
  <si>
    <t>Bailey, Paul John, 1950-</t>
  </si>
  <si>
    <t>Oxford ; Malden, Mass. : Blackwell Publishers, 2001.</t>
  </si>
  <si>
    <t>Historical Association studies</t>
  </si>
  <si>
    <t>2008-01-28</t>
  </si>
  <si>
    <t>914794:eng</t>
  </si>
  <si>
    <t>45917231</t>
  </si>
  <si>
    <t>991004019019702656</t>
  </si>
  <si>
    <t>2268422690002656</t>
  </si>
  <si>
    <t>9780631203285</t>
  </si>
  <si>
    <t>32285004745583</t>
  </si>
  <si>
    <t>893349514</t>
  </si>
  <si>
    <t>DS774 .B47 2003</t>
  </si>
  <si>
    <t>0                      DS 0774000B  47          2003</t>
  </si>
  <si>
    <t>The United States marines in North China, 1894-1942 / by Chester M. Biggs, Jr.</t>
  </si>
  <si>
    <t>Biggs, Chester M., 1921-</t>
  </si>
  <si>
    <t>Jefferson, N.C. : McFarland &amp; Co. Publishers, c2003.</t>
  </si>
  <si>
    <t>770507:eng</t>
  </si>
  <si>
    <t>51898965</t>
  </si>
  <si>
    <t>991004359769702656</t>
  </si>
  <si>
    <t>2259187810002656</t>
  </si>
  <si>
    <t>9780786414888</t>
  </si>
  <si>
    <t>32285005000301</t>
  </si>
  <si>
    <t>893693849</t>
  </si>
  <si>
    <t>DS774 .C44</t>
  </si>
  <si>
    <t>0                      DS 0774000C  44</t>
  </si>
  <si>
    <t>China : the impact of revolution : a survey of twentieth century China / edited by Colin Mackerras ; contributors, Ian Davies ... [et al.].</t>
  </si>
  <si>
    <t>Hawthorn, Australia : Longman, 1976.</t>
  </si>
  <si>
    <t>370450926:eng</t>
  </si>
  <si>
    <t>2739233</t>
  </si>
  <si>
    <t>991004228799702656</t>
  </si>
  <si>
    <t>2272054770002656</t>
  </si>
  <si>
    <t>9780582686854</t>
  </si>
  <si>
    <t>32285002447679</t>
  </si>
  <si>
    <t>893618414</t>
  </si>
  <si>
    <t>DS774 .C57 1972</t>
  </si>
  <si>
    <t>0                      DS 0774000C  57          1972</t>
  </si>
  <si>
    <t>20th century China, by O. Edmund Clubb.</t>
  </si>
  <si>
    <t>Clubb, O. Edmund (Oliver Edmund), 1901-1989.</t>
  </si>
  <si>
    <t>New York, Columbia University Press, 1972.</t>
  </si>
  <si>
    <t>2006-04-25</t>
  </si>
  <si>
    <t>184082331:eng</t>
  </si>
  <si>
    <t>405391</t>
  </si>
  <si>
    <t>991002700539702656</t>
  </si>
  <si>
    <t>2260516950002656</t>
  </si>
  <si>
    <t>9780231036481</t>
  </si>
  <si>
    <t>32285002447687</t>
  </si>
  <si>
    <t>893710567</t>
  </si>
  <si>
    <t>DS774 .H796 2001</t>
  </si>
  <si>
    <t>0                      DS 0774000H  796         2001</t>
  </si>
  <si>
    <t>Modern China : a guide to a century of change / Graham Hutchings.</t>
  </si>
  <si>
    <t>Hutchings, Graham.</t>
  </si>
  <si>
    <t>Cambridge, Mass. : Harvard University Press, 2001.</t>
  </si>
  <si>
    <t>35442782:eng</t>
  </si>
  <si>
    <t>46575441</t>
  </si>
  <si>
    <t>991003717069702656</t>
  </si>
  <si>
    <t>2272789270002656</t>
  </si>
  <si>
    <t>9780674006584</t>
  </si>
  <si>
    <t>32285004458922</t>
  </si>
  <si>
    <t>893246666</t>
  </si>
  <si>
    <t>DS774 .J6 1973</t>
  </si>
  <si>
    <t>0                      DS 0774000J  6           1973</t>
  </si>
  <si>
    <t>Twilight in the Forbidden City. With a pref. by the Emperor.</t>
  </si>
  <si>
    <t>Johnston, Reginald Fleming, Sir, 1874-1938.</t>
  </si>
  <si>
    <t>2001-04-06</t>
  </si>
  <si>
    <t>1992-04-01</t>
  </si>
  <si>
    <t>3943310408:eng</t>
  </si>
  <si>
    <t>1736985</t>
  </si>
  <si>
    <t>991003885969702656</t>
  </si>
  <si>
    <t>2271795820002656</t>
  </si>
  <si>
    <t>9780842013789</t>
  </si>
  <si>
    <t>32285001050524</t>
  </si>
  <si>
    <t>893228604</t>
  </si>
  <si>
    <t>DS774 .N38 1991</t>
  </si>
  <si>
    <t>0                      DS 0774000N  38          1991</t>
  </si>
  <si>
    <t>The Nationalist era in China, 1927-1949 / Lloyd E. Eastman ... [et al.].</t>
  </si>
  <si>
    <t>917506838:eng</t>
  </si>
  <si>
    <t>20992381</t>
  </si>
  <si>
    <t>991001637359702656</t>
  </si>
  <si>
    <t>2269094590002656</t>
  </si>
  <si>
    <t>9780521385916</t>
  </si>
  <si>
    <t>32285001006112</t>
  </si>
  <si>
    <t>893778943</t>
  </si>
  <si>
    <t>DS774 .P46 1981</t>
  </si>
  <si>
    <t>0                      DS 0774000P  46          1981</t>
  </si>
  <si>
    <t>A Pictorial history of the Republic of China : its founding and development.</t>
  </si>
  <si>
    <t>Taipei, ROC : Modern China Press : Distributor, Chungyang wenwu Kungyingshe, 1981.</t>
  </si>
  <si>
    <t>1993-02-15</t>
  </si>
  <si>
    <t>42930713:eng</t>
  </si>
  <si>
    <t>8883106</t>
  </si>
  <si>
    <t>991000089049702656</t>
  </si>
  <si>
    <t>2266157800002656</t>
  </si>
  <si>
    <t>32285000338672</t>
  </si>
  <si>
    <t>893314661</t>
  </si>
  <si>
    <t>32285000672500</t>
  </si>
  <si>
    <t>893320794</t>
  </si>
  <si>
    <t>DS774 .S59 1981</t>
  </si>
  <si>
    <t>0                      DS 0774000S  59          1981</t>
  </si>
  <si>
    <t>The Gate of Heavenly Peace : the Chinese and their revolution, 1895-1980 / Jonathan D. Spence.</t>
  </si>
  <si>
    <t>New York : Viking Press, 1981.</t>
  </si>
  <si>
    <t>7352816:eng</t>
  </si>
  <si>
    <t>7555180</t>
  </si>
  <si>
    <t>991005128469702656</t>
  </si>
  <si>
    <t>2266323750002656</t>
  </si>
  <si>
    <t>9780670292479</t>
  </si>
  <si>
    <t>32285000272749</t>
  </si>
  <si>
    <t>893326210</t>
  </si>
  <si>
    <t>DS775 .B66</t>
  </si>
  <si>
    <t>0                      DS 0775000B  66</t>
  </si>
  <si>
    <t>The protracted game; a wei-chʻi interpretation of Maoist revolutionary strategy [by] Scott A. Boorman.</t>
  </si>
  <si>
    <t>Boorman, Scott A.</t>
  </si>
  <si>
    <t>New York, Oxford University Press, 1969.</t>
  </si>
  <si>
    <t>1213877:eng</t>
  </si>
  <si>
    <t>44515</t>
  </si>
  <si>
    <t>991000100999702656</t>
  </si>
  <si>
    <t>2261069660002656</t>
  </si>
  <si>
    <t>32285002447729</t>
  </si>
  <si>
    <t>893714305</t>
  </si>
  <si>
    <t>DS775 .H55 1974</t>
  </si>
  <si>
    <t>0                      DS 0775000H  55          1974</t>
  </si>
  <si>
    <t>The Chinese revolution : a phase in the regeneration of a world power / by Arthur N. Holcombe.</t>
  </si>
  <si>
    <t>Holcombe, Arthur N. (Arthur Norman), 1884-1977.</t>
  </si>
  <si>
    <t>New York : H. Fertig, 1974, [c1930]</t>
  </si>
  <si>
    <t>233710069:eng</t>
  </si>
  <si>
    <t>641854</t>
  </si>
  <si>
    <t>991003091669702656</t>
  </si>
  <si>
    <t>2263994510002656</t>
  </si>
  <si>
    <t>32285001987030</t>
  </si>
  <si>
    <t>893518134</t>
  </si>
  <si>
    <t>DS775 .P6 1931</t>
  </si>
  <si>
    <t>0                      DS 0775000P  6           1931</t>
  </si>
  <si>
    <t>China's foreign relations, 1917-1931, by Robert T. Pollard.</t>
  </si>
  <si>
    <t>Pollard, Robert Thomas, 1897-1939.</t>
  </si>
  <si>
    <t>New York, The Macmillan Company, 1933.</t>
  </si>
  <si>
    <t>1332925:eng</t>
  </si>
  <si>
    <t>1576445</t>
  </si>
  <si>
    <t>991001140139702656</t>
  </si>
  <si>
    <t>2266212290002656</t>
  </si>
  <si>
    <t>32285002447786</t>
  </si>
  <si>
    <t>893702770</t>
  </si>
  <si>
    <t>DS775 .T7 1967</t>
  </si>
  <si>
    <t>0                      DS 0775000T  7           1967</t>
  </si>
  <si>
    <t>Problems of the Chinese Revolution. With appendices by Zinoviev, Vuyovitch, Nassonov &amp; others. With a new foreword by Max Shachtman.</t>
  </si>
  <si>
    <t>Trotsky, Leon, 1879-1940.</t>
  </si>
  <si>
    <t>[Ann Arbor] University of Michigan Press [1967]</t>
  </si>
  <si>
    <t>Ann Arbor paperbacks for the study of communism and Marxism</t>
  </si>
  <si>
    <t>2162341:eng</t>
  </si>
  <si>
    <t>1198769</t>
  </si>
  <si>
    <t>991005358029702656</t>
  </si>
  <si>
    <t>2266831750002656</t>
  </si>
  <si>
    <t>32285002447828</t>
  </si>
  <si>
    <t>893254881</t>
  </si>
  <si>
    <t>DS775.2 .H53 2009</t>
  </si>
  <si>
    <t>0                      DS 0775200H  53          2009</t>
  </si>
  <si>
    <t>Letters home : an American in China, 1939 to 1944 / John Hlavacek.</t>
  </si>
  <si>
    <t>Hlavacek, John.</t>
  </si>
  <si>
    <t>Omaha, Neb. : Hlucky Books, 2009.</t>
  </si>
  <si>
    <t>Rev. and expanded 2nd ed.</t>
  </si>
  <si>
    <t>2010-11-02</t>
  </si>
  <si>
    <t>315596495:eng</t>
  </si>
  <si>
    <t>428424423</t>
  </si>
  <si>
    <t>991000191129702656</t>
  </si>
  <si>
    <t>2263809520002656</t>
  </si>
  <si>
    <t>9780981903453</t>
  </si>
  <si>
    <t>32285005603583</t>
  </si>
  <si>
    <t>893601564</t>
  </si>
  <si>
    <t>DS775.7 .H67 1994</t>
  </si>
  <si>
    <t>0                      DS 0775700H  67          1994</t>
  </si>
  <si>
    <t>The State, identity, and the national question in China and Japan / Germaine A. Hoston.</t>
  </si>
  <si>
    <t>Hoston, Germaine A., 1954-</t>
  </si>
  <si>
    <t>Princeton, N.J. : Princeton University Press, c1994.</t>
  </si>
  <si>
    <t>1996-04-23</t>
  </si>
  <si>
    <t>20921603:eng</t>
  </si>
  <si>
    <t>29634279</t>
  </si>
  <si>
    <t>991002284909702656</t>
  </si>
  <si>
    <t>2255487010002656</t>
  </si>
  <si>
    <t>9780691023342</t>
  </si>
  <si>
    <t>32285002156072</t>
  </si>
  <si>
    <t>893597247</t>
  </si>
  <si>
    <t>DS775.7 .T48 1982</t>
  </si>
  <si>
    <t>0                      DS 0775700T  48          1982</t>
  </si>
  <si>
    <t>China, a political history, 1917-1980 / Richard C. Thornton.</t>
  </si>
  <si>
    <t>Thornton, Richard C.</t>
  </si>
  <si>
    <t>5620298421:eng</t>
  </si>
  <si>
    <t>8031396</t>
  </si>
  <si>
    <t>991005192849702656</t>
  </si>
  <si>
    <t>2257272130002656</t>
  </si>
  <si>
    <t>9780865311978</t>
  </si>
  <si>
    <t>32285000050616</t>
  </si>
  <si>
    <t>893594632</t>
  </si>
  <si>
    <t>DS777 .J3</t>
  </si>
  <si>
    <t>0                      DS 0777000J  3</t>
  </si>
  <si>
    <t>The Japanese and Sun Yat-sen.</t>
  </si>
  <si>
    <t>Jansen, Marius B.</t>
  </si>
  <si>
    <t>Cambridge, Harvard University Press, 1954.</t>
  </si>
  <si>
    <t>Harvard historical monographs ; 27</t>
  </si>
  <si>
    <t>1231660:eng</t>
  </si>
  <si>
    <t>412532</t>
  </si>
  <si>
    <t>991002720549702656</t>
  </si>
  <si>
    <t>2264544550002656</t>
  </si>
  <si>
    <t>32285001054070</t>
  </si>
  <si>
    <t>893591683</t>
  </si>
  <si>
    <t>DS777 .L4 1961</t>
  </si>
  <si>
    <t>0                      DS 0777000L  4           1961</t>
  </si>
  <si>
    <t>Sun Yat-sen and communism, by Shao Chuan Leng and Norman D. Palmer.</t>
  </si>
  <si>
    <t>Leng, Shao Chuan, 1921-2000.</t>
  </si>
  <si>
    <t>New York, F. A. Praeger [1961, c1960]</t>
  </si>
  <si>
    <t>The Foreign Policy Research Institute series, no. 10</t>
  </si>
  <si>
    <t>1995-10-25</t>
  </si>
  <si>
    <t>628825687:eng</t>
  </si>
  <si>
    <t>6214287</t>
  </si>
  <si>
    <t>991004946279702656</t>
  </si>
  <si>
    <t>2260926940002656</t>
  </si>
  <si>
    <t>32285001054088</t>
  </si>
  <si>
    <t>893713249</t>
  </si>
  <si>
    <t>DS777 .M3 1970</t>
  </si>
  <si>
    <t>0                      DS 0777000M  3           1970</t>
  </si>
  <si>
    <t>Strange vigour; a biography of Sun Yat-sen.</t>
  </si>
  <si>
    <t>Martin, Bernard, 1897-1986.</t>
  </si>
  <si>
    <t>Port Washington, N.Y., Kennikat Press [1970]</t>
  </si>
  <si>
    <t>1172108:eng</t>
  </si>
  <si>
    <t>101616</t>
  </si>
  <si>
    <t>991000615739702656</t>
  </si>
  <si>
    <t>2261359690002656</t>
  </si>
  <si>
    <t>9780804610810</t>
  </si>
  <si>
    <t>32285001054096</t>
  </si>
  <si>
    <t>893225154</t>
  </si>
  <si>
    <t>DS777 .S33</t>
  </si>
  <si>
    <t>0                      DS 0777000S  33</t>
  </si>
  <si>
    <t>Sun Yat-sen, reluctant revolutionary / by Harold Z. Schiffrin.</t>
  </si>
  <si>
    <t>Schiffrin, Harold Z.</t>
  </si>
  <si>
    <t>Boston : Little, Brown, c1980.</t>
  </si>
  <si>
    <t>The Library of world biography</t>
  </si>
  <si>
    <t>1999-11-11</t>
  </si>
  <si>
    <t>366325195:eng</t>
  </si>
  <si>
    <t>6331543</t>
  </si>
  <si>
    <t>991004965819702656</t>
  </si>
  <si>
    <t>2272383170002656</t>
  </si>
  <si>
    <t>9780316773393</t>
  </si>
  <si>
    <t>32285000338722</t>
  </si>
  <si>
    <t>893436970</t>
  </si>
  <si>
    <t>DS777.2 .C48 1972</t>
  </si>
  <si>
    <t>0                      DS 0777200C  48          1972</t>
  </si>
  <si>
    <t>Yuan Shih-kʻai.</t>
  </si>
  <si>
    <t>Stanford, Calif., Stanford University Press, 1972.</t>
  </si>
  <si>
    <t>2008-07-08</t>
  </si>
  <si>
    <t>3901376606:eng</t>
  </si>
  <si>
    <t>315291</t>
  </si>
  <si>
    <t>991002295589702656</t>
  </si>
  <si>
    <t>2270873900002656</t>
  </si>
  <si>
    <t>9780804707893</t>
  </si>
  <si>
    <t>32285002447851</t>
  </si>
  <si>
    <t>893627056</t>
  </si>
  <si>
    <t>DS777.47 .A6</t>
  </si>
  <si>
    <t>0                      DS 0777470A  6</t>
  </si>
  <si>
    <t>My life in China, 1926-1941 [by] Hallett Abend.</t>
  </si>
  <si>
    <t>Abend, Hallett, 1884-1955.</t>
  </si>
  <si>
    <t>New York, Harcourt, Brace and Company [1943]</t>
  </si>
  <si>
    <t>2013715:eng</t>
  </si>
  <si>
    <t>1043453</t>
  </si>
  <si>
    <t>991003493229702656</t>
  </si>
  <si>
    <t>2267127830002656</t>
  </si>
  <si>
    <t>32285002447877</t>
  </si>
  <si>
    <t>893422622</t>
  </si>
  <si>
    <t>DS777.47 .C495</t>
  </si>
  <si>
    <t>0                      DS 0777470C  495</t>
  </si>
  <si>
    <t>China at the crossroads : Nationalists and Communists, 1927-1949 / edited by F. Gilbert Chan.</t>
  </si>
  <si>
    <t>859759338:eng</t>
  </si>
  <si>
    <t>6196662</t>
  </si>
  <si>
    <t>991004943739702656</t>
  </si>
  <si>
    <t>2266185390002656</t>
  </si>
  <si>
    <t>9780891589136</t>
  </si>
  <si>
    <t>32285000338748</t>
  </si>
  <si>
    <t>893782826</t>
  </si>
  <si>
    <t>DS777.488.C515 L52 2006</t>
  </si>
  <si>
    <t>0                      DS 0777488C  515                L  52          2006</t>
  </si>
  <si>
    <t>Madame Chiang Kai-Shek : China's eternal first lady / Laura Tyson Li.</t>
  </si>
  <si>
    <t>Li, Laura Tyson.</t>
  </si>
  <si>
    <t>New York : Atlantic Monthly Press : Distributed by Publishers Group West, c2006.</t>
  </si>
  <si>
    <t>47053644:eng</t>
  </si>
  <si>
    <t>62732875</t>
  </si>
  <si>
    <t>991004843079702656</t>
  </si>
  <si>
    <t>2258795830002656</t>
  </si>
  <si>
    <t>9780871139337</t>
  </si>
  <si>
    <t>32285005225429</t>
  </si>
  <si>
    <t>893418078</t>
  </si>
  <si>
    <t>DS777.488.C515 P35 2009</t>
  </si>
  <si>
    <t>0                      DS 0777488C  515                P  35          2009</t>
  </si>
  <si>
    <t>The last empress : Madame Chiang Kai-Shek and the birth of modern China / Hannah Pakula.</t>
  </si>
  <si>
    <t>Pakula, Hannah.</t>
  </si>
  <si>
    <t>New York : Simon &amp; Schuster, 2009.</t>
  </si>
  <si>
    <t>1st Simon &amp; Schuster hardcover ed.</t>
  </si>
  <si>
    <t>2010-03-12</t>
  </si>
  <si>
    <t>2010-03-01</t>
  </si>
  <si>
    <t>793232588:eng</t>
  </si>
  <si>
    <t>310397746</t>
  </si>
  <si>
    <t>991005365179702656</t>
  </si>
  <si>
    <t>2255042040002656</t>
  </si>
  <si>
    <t>9781439148938</t>
  </si>
  <si>
    <t>32285005575807</t>
  </si>
  <si>
    <t>893808297</t>
  </si>
  <si>
    <t>DS777.488.Q28 Q287 2006</t>
  </si>
  <si>
    <t>0                      DS 0777488Q  28                 Q  287         2006</t>
  </si>
  <si>
    <t>Superfluous words / Qu Qiubai ; translation and commentary by Jamie Greenbaum.</t>
  </si>
  <si>
    <t>Qu, Qiubai, 1899-1935.</t>
  </si>
  <si>
    <t>Canberra : Pandanus Books, 2006.</t>
  </si>
  <si>
    <t>2007-06-12</t>
  </si>
  <si>
    <t>178652542:eng</t>
  </si>
  <si>
    <t>71242104</t>
  </si>
  <si>
    <t>991005083209702656</t>
  </si>
  <si>
    <t>2261815720002656</t>
  </si>
  <si>
    <t>9781740761208</t>
  </si>
  <si>
    <t>32285005316004</t>
  </si>
  <si>
    <t>893619417</t>
  </si>
  <si>
    <t>DS777.5134 .S34 1985</t>
  </si>
  <si>
    <t>0                      DS 0777000                                                           .5134 .S34 1985</t>
  </si>
  <si>
    <t>The Long March : the untold story / Harrison E. Salisbury.</t>
  </si>
  <si>
    <t>1st Harper &amp; Row ed.</t>
  </si>
  <si>
    <t>69668441:eng</t>
  </si>
  <si>
    <t>11814595</t>
  </si>
  <si>
    <t>991000597779702656</t>
  </si>
  <si>
    <t>2261029410002656</t>
  </si>
  <si>
    <t>9780060390440</t>
  </si>
  <si>
    <t>32285000272756</t>
  </si>
  <si>
    <t>893796809</t>
  </si>
  <si>
    <t>DS777.53 .A52 1942</t>
  </si>
  <si>
    <t>0                      DS 0777530A  52          1942</t>
  </si>
  <si>
    <t>China after five years of war. Prepared under the auspices of the ministry of Information of the Republic of China.</t>
  </si>
  <si>
    <t>China. Hsüan chʻuan pu.</t>
  </si>
  <si>
    <t>New York, Chinese News Service [1942]</t>
  </si>
  <si>
    <t>1150923973:eng</t>
  </si>
  <si>
    <t>1243792</t>
  </si>
  <si>
    <t>991003644449702656</t>
  </si>
  <si>
    <t>2261506640002656</t>
  </si>
  <si>
    <t>32285002274073</t>
  </si>
  <si>
    <t>893318213</t>
  </si>
  <si>
    <t>DS777.53 .A8 1972</t>
  </si>
  <si>
    <t>0                      DS 0777530A  8           1972</t>
  </si>
  <si>
    <t>Journey to a war, by W. H. Auden &amp; Christopher Isherwood.</t>
  </si>
  <si>
    <t>Auden, W. H. (Wystan Hugh), 1907-1973.</t>
  </si>
  <si>
    <t>New York, Octagon Books, 1972 [c1939]</t>
  </si>
  <si>
    <t>451028:eng</t>
  </si>
  <si>
    <t>267830</t>
  </si>
  <si>
    <t>991002113779702656</t>
  </si>
  <si>
    <t>2270662810002656</t>
  </si>
  <si>
    <t>9780374903152</t>
  </si>
  <si>
    <t>32285002447968</t>
  </si>
  <si>
    <t>893516912</t>
  </si>
  <si>
    <t>DS777.53 .B5</t>
  </si>
  <si>
    <t>0                      DS 0777530B  5</t>
  </si>
  <si>
    <t>Japan in China, by T.A. Bisson.</t>
  </si>
  <si>
    <t>Bisson, T. A. (Thomas Arthur), 1900-1979.</t>
  </si>
  <si>
    <t>New York, The Macmillan Company, 1938.</t>
  </si>
  <si>
    <t>1456521:eng</t>
  </si>
  <si>
    <t>411072</t>
  </si>
  <si>
    <t>991002715239702656</t>
  </si>
  <si>
    <t>2265051270002656</t>
  </si>
  <si>
    <t>32285002447984</t>
  </si>
  <si>
    <t>893792821</t>
  </si>
  <si>
    <t>DS777.53 .J6</t>
  </si>
  <si>
    <t>0                      DS 0777530J  6</t>
  </si>
  <si>
    <t>Chinese-Japanese war, 1937- / Compiled by Julia E. Johnsen.</t>
  </si>
  <si>
    <t>New York : The H. W. Wilson company, 1938.</t>
  </si>
  <si>
    <t>The reference shelf. v. 11, no. 9</t>
  </si>
  <si>
    <t>33620479:eng</t>
  </si>
  <si>
    <t>5053716</t>
  </si>
  <si>
    <t>991004770059702656</t>
  </si>
  <si>
    <t>2260554430002656</t>
  </si>
  <si>
    <t>32285002448024</t>
  </si>
  <si>
    <t>893789085</t>
  </si>
  <si>
    <t>DS777.53 .L42 2006</t>
  </si>
  <si>
    <t>0                      DS 0777530L  42          2006</t>
  </si>
  <si>
    <t>Captives of empire : the Japanese internment of allied civilians in China, 1941-1945 / Greg Leck.</t>
  </si>
  <si>
    <t>Leck, Greg, 1960-</t>
  </si>
  <si>
    <t>[Bangor, PA] : Shandy Press, c2006.</t>
  </si>
  <si>
    <t>2008-09-12</t>
  </si>
  <si>
    <t>2008-09-08</t>
  </si>
  <si>
    <t>61140982:eng</t>
  </si>
  <si>
    <t>74986915</t>
  </si>
  <si>
    <t>991005256499702656</t>
  </si>
  <si>
    <t>2255347240002656</t>
  </si>
  <si>
    <t>9780977214105</t>
  </si>
  <si>
    <t>32285005457170</t>
  </si>
  <si>
    <t>893230450</t>
  </si>
  <si>
    <t>DS777.53 .L4634</t>
  </si>
  <si>
    <t>0                      DS 0777530L  4634</t>
  </si>
  <si>
    <t>The Japanese Army in North China, 1937-1941 : problems of political and economic control / Lincoln Li.</t>
  </si>
  <si>
    <t>Li, Lincoln.</t>
  </si>
  <si>
    <t>Tokyo ; New York : Oxford University Press, 1975.</t>
  </si>
  <si>
    <t>East Asian historical monographs</t>
  </si>
  <si>
    <t>200973347:eng</t>
  </si>
  <si>
    <t>2309600</t>
  </si>
  <si>
    <t>991004072939702656</t>
  </si>
  <si>
    <t>2265400520002656</t>
  </si>
  <si>
    <t>9780195802696</t>
  </si>
  <si>
    <t>32285002448032</t>
  </si>
  <si>
    <t>893618200</t>
  </si>
  <si>
    <t>DS777.53 .N6 1937</t>
  </si>
  <si>
    <t>0                      DS 0777530N  6           1937</t>
  </si>
  <si>
    <t>When Japan fights / by Percy Noël.</t>
  </si>
  <si>
    <t>Noël, Percy.</t>
  </si>
  <si>
    <t>Tokyo : The Hokuseido Press, 1937.</t>
  </si>
  <si>
    <t>14695290:eng</t>
  </si>
  <si>
    <t>4323928</t>
  </si>
  <si>
    <t>991004624269702656</t>
  </si>
  <si>
    <t>2261499150002656</t>
  </si>
  <si>
    <t>32285000338755</t>
  </si>
  <si>
    <t>893229556</t>
  </si>
  <si>
    <t>DS777.53 .S64 1982</t>
  </si>
  <si>
    <t>0                      DS 0777530S  64          1982</t>
  </si>
  <si>
    <t>Prelude to Pearl Harbor / Roy M. Stanley II.</t>
  </si>
  <si>
    <t>Stanley, Roy M., II.</t>
  </si>
  <si>
    <t>433860:eng</t>
  </si>
  <si>
    <t>8588593</t>
  </si>
  <si>
    <t>991000025279702656</t>
  </si>
  <si>
    <t>2257603360002656</t>
  </si>
  <si>
    <t>9780684176666</t>
  </si>
  <si>
    <t>32285000338771</t>
  </si>
  <si>
    <t>893242911</t>
  </si>
  <si>
    <t>DS777.53 .T5</t>
  </si>
  <si>
    <t>0                      DS 0777530T  5</t>
  </si>
  <si>
    <t>Japanese terror in China, compiled and edited by H.J. Timperley ...</t>
  </si>
  <si>
    <t>Timperley, Harold J. (Harold John), 1898-, editor.</t>
  </si>
  <si>
    <t>New York, Modern Age Books, Inc. [c1938]</t>
  </si>
  <si>
    <t>2005-09-15</t>
  </si>
  <si>
    <t>1186371:eng</t>
  </si>
  <si>
    <t>754026</t>
  </si>
  <si>
    <t>991003228939702656</t>
  </si>
  <si>
    <t>2270024570002656</t>
  </si>
  <si>
    <t>9780836951707</t>
  </si>
  <si>
    <t>32285002448040</t>
  </si>
  <si>
    <t>893899745</t>
  </si>
  <si>
    <t>DS777.53 .T866</t>
  </si>
  <si>
    <t>0                      DS 0777530T  866</t>
  </si>
  <si>
    <t>America's failure in China, 1941-50.</t>
  </si>
  <si>
    <t>Tsou, Tang, 1918-1999.</t>
  </si>
  <si>
    <t>[Chicago] University of Chicago Press [1963]</t>
  </si>
  <si>
    <t>2005-12-03</t>
  </si>
  <si>
    <t>3768598354:eng</t>
  </si>
  <si>
    <t>263583</t>
  </si>
  <si>
    <t>991002071679702656</t>
  </si>
  <si>
    <t>2268567300002656</t>
  </si>
  <si>
    <t>32285002448057</t>
  </si>
  <si>
    <t>893804192</t>
  </si>
  <si>
    <t>DS777.5316.N36 H6613 1999</t>
  </si>
  <si>
    <t>0                      DS 0777000                                                           .5316.N36 H6613 1999</t>
  </si>
  <si>
    <t>The Nanjing massacre : a Japanese journalist confronts Japan's national shame / Honda Katsuichi ; edited by Frank Gibney ; translated by Karen Sandness</t>
  </si>
  <si>
    <t>Honda, Katsuichi, 1933-</t>
  </si>
  <si>
    <t>Armonk, N.Y. : M.E. Sharpe, c1999.</t>
  </si>
  <si>
    <t>2005-11-14</t>
  </si>
  <si>
    <t>2001-06-04</t>
  </si>
  <si>
    <t>2006303:eng</t>
  </si>
  <si>
    <t>39786798</t>
  </si>
  <si>
    <t>991003541949702656</t>
  </si>
  <si>
    <t>2270120970002656</t>
  </si>
  <si>
    <t>9780765603340</t>
  </si>
  <si>
    <t>32285004319801</t>
  </si>
  <si>
    <t>893441402</t>
  </si>
  <si>
    <t>DS777.533.C64 B76 2005</t>
  </si>
  <si>
    <t>0                      DS 0777533C  64                 B  76          2005</t>
  </si>
  <si>
    <t>Collaboration : Japanese agents and local elites in wartime China / Timothy Brook.</t>
  </si>
  <si>
    <t>Brook, Timothy, 1951-</t>
  </si>
  <si>
    <t>Cambridge, Mass. : Harvard University Press, 2005.</t>
  </si>
  <si>
    <t>890759048:eng</t>
  </si>
  <si>
    <t>55948146</t>
  </si>
  <si>
    <t>991004847179702656</t>
  </si>
  <si>
    <t>2264434520002656</t>
  </si>
  <si>
    <t>9780674015630</t>
  </si>
  <si>
    <t>32285005194278</t>
  </si>
  <si>
    <t>893625161</t>
  </si>
  <si>
    <t>DS777.533.S62 N67 2000</t>
  </si>
  <si>
    <t>0                      DS 0777533S  62                 N  67          2000</t>
  </si>
  <si>
    <t>North China at war : the social ecology of revolution, 1937-1945 / edited by Feng Chongyi and David S.G. Goodman.</t>
  </si>
  <si>
    <t>Lanham, Md. : Rowman &amp; Littlefield Publishers, c2000.</t>
  </si>
  <si>
    <t>World social change</t>
  </si>
  <si>
    <t>837026069:eng</t>
  </si>
  <si>
    <t>43063265</t>
  </si>
  <si>
    <t>991003696229702656</t>
  </si>
  <si>
    <t>2261223050002656</t>
  </si>
  <si>
    <t>9780847699384</t>
  </si>
  <si>
    <t>32285004447610</t>
  </si>
  <si>
    <t>893518773</t>
  </si>
  <si>
    <t>DS777.54 .P44</t>
  </si>
  <si>
    <t>0                      DS 0777540P  44</t>
  </si>
  <si>
    <t>Civil War in China : the political struggle, 1945-1949 / by Suzanne Pepper.</t>
  </si>
  <si>
    <t>Pepper, Suzanne.</t>
  </si>
  <si>
    <t>Berkeley : University of California Press, c1978.</t>
  </si>
  <si>
    <t>1998-11-21</t>
  </si>
  <si>
    <t>500780:eng</t>
  </si>
  <si>
    <t>3789561</t>
  </si>
  <si>
    <t>991004516669702656</t>
  </si>
  <si>
    <t>2262187630002656</t>
  </si>
  <si>
    <t>9780520024403</t>
  </si>
  <si>
    <t>32285001050987</t>
  </si>
  <si>
    <t>893235598</t>
  </si>
  <si>
    <t>DS777.55 .A6735</t>
  </si>
  <si>
    <t>0                      DS 0777550A  6735</t>
  </si>
  <si>
    <t>Chinese politics and the Cultural Revolution : dynamics of policy processes / Byung-joon Ahn.</t>
  </si>
  <si>
    <t>An, Pyŏng-jun.</t>
  </si>
  <si>
    <t>Seattle : University of Washington Press, c1976.</t>
  </si>
  <si>
    <t>Publications on Asia of the Institute for Comparative and Foreign Area Studies ; no. 30</t>
  </si>
  <si>
    <t>917502994:eng</t>
  </si>
  <si>
    <t>2644550</t>
  </si>
  <si>
    <t>991004195929702656</t>
  </si>
  <si>
    <t>2255389060002656</t>
  </si>
  <si>
    <t>9780295955155</t>
  </si>
  <si>
    <t>32285000580398</t>
  </si>
  <si>
    <t>893699969</t>
  </si>
  <si>
    <t>DS777.55 .B715 1981</t>
  </si>
  <si>
    <t>0                      DS 0777550B  715         1981</t>
  </si>
  <si>
    <t>China, liberation and transformation, 1942-1962 / Bill Brugger.</t>
  </si>
  <si>
    <t>Brugger, Bill.</t>
  </si>
  <si>
    <t>London : Croom Helm ; Totowa, N.J. : Barnes &amp; Noble Books, c1981.</t>
  </si>
  <si>
    <t>572869:eng</t>
  </si>
  <si>
    <t>7222858</t>
  </si>
  <si>
    <t>991005091219702656</t>
  </si>
  <si>
    <t>2266227680002656</t>
  </si>
  <si>
    <t>9780389200864</t>
  </si>
  <si>
    <t>32285000338813</t>
  </si>
  <si>
    <t>893707235</t>
  </si>
  <si>
    <t>DS777.55 .C334</t>
  </si>
  <si>
    <t>0                      DS 0777550C  334</t>
  </si>
  <si>
    <t>The new politics of Communist China; modernization process of a developing nation.</t>
  </si>
  <si>
    <t>Chai, Winberg.</t>
  </si>
  <si>
    <t>Pacific Palisades, Calif., Goodyear Pub. Co. [1972]</t>
  </si>
  <si>
    <t>1684411:eng</t>
  </si>
  <si>
    <t>818107</t>
  </si>
  <si>
    <t>991003295949702656</t>
  </si>
  <si>
    <t>2272198110002656</t>
  </si>
  <si>
    <t>9780876206195</t>
  </si>
  <si>
    <t>32285002448131</t>
  </si>
  <si>
    <t>893787175</t>
  </si>
  <si>
    <t>DS777.55 .C34</t>
  </si>
  <si>
    <t>0                      DS 0777550C  34</t>
  </si>
  <si>
    <t>Red China : an Asian view / by Sripati Chandra-sekhar.</t>
  </si>
  <si>
    <t>Chandrasekhar, S. (Sripati), 1918-2001.</t>
  </si>
  <si>
    <t>New York : Praeger, c1961.</t>
  </si>
  <si>
    <t>Praeger publications in Russian history and world communism ; no. 92</t>
  </si>
  <si>
    <t>1998-11-23</t>
  </si>
  <si>
    <t>309129285:eng</t>
  </si>
  <si>
    <t>3873474</t>
  </si>
  <si>
    <t>991004537189702656</t>
  </si>
  <si>
    <t>2270008940002656</t>
  </si>
  <si>
    <t>32285002448149</t>
  </si>
  <si>
    <t>893235626</t>
  </si>
  <si>
    <t>DS777.55 .C44635 1966aa</t>
  </si>
  <si>
    <t>0                      DS 0777550C  44635       1966aa</t>
  </si>
  <si>
    <t>Contemporary China; [papers] Edited by Ruth Adams.</t>
  </si>
  <si>
    <t>Chicago China Conference (1966)</t>
  </si>
  <si>
    <t>New York, Pantheon Books [1966]</t>
  </si>
  <si>
    <t>2002-11-05</t>
  </si>
  <si>
    <t>32908944:eng</t>
  </si>
  <si>
    <t>1367263</t>
  </si>
  <si>
    <t>991003722889702656</t>
  </si>
  <si>
    <t>2256842410002656</t>
  </si>
  <si>
    <t>32285002448164</t>
  </si>
  <si>
    <t>893518806</t>
  </si>
  <si>
    <t>DS777.55 .C446725 1972</t>
  </si>
  <si>
    <t>0                      DS 0777550C  446725      1972</t>
  </si>
  <si>
    <t>China. O. Edmund Clubb, advisory editor.</t>
  </si>
  <si>
    <t>New York, New York times, 1972.</t>
  </si>
  <si>
    <t>The Great contemporary issues</t>
  </si>
  <si>
    <t>1991-09-26</t>
  </si>
  <si>
    <t>184122847:eng</t>
  </si>
  <si>
    <t>644000</t>
  </si>
  <si>
    <t>991003093789702656</t>
  </si>
  <si>
    <t>2261047550002656</t>
  </si>
  <si>
    <t>9780405041624</t>
  </si>
  <si>
    <t>32285000716075</t>
  </si>
  <si>
    <t>893799385</t>
  </si>
  <si>
    <t>DS777.55 .C446729 1988</t>
  </si>
  <si>
    <t>0                      DS 0777550C  446729      1988</t>
  </si>
  <si>
    <t>China, a photohistory 1937-1987 / introduction by Jonathan D. Spence ; edited with commentaries by W.J.F. Jenner ; photographs by Eve Arnold ... [et al.] of Magnum.</t>
  </si>
  <si>
    <t>New York : Pantheon Books, 1988.</t>
  </si>
  <si>
    <t>2009-10-06</t>
  </si>
  <si>
    <t>365898591:eng</t>
  </si>
  <si>
    <t>17877552</t>
  </si>
  <si>
    <t>991001277439702656</t>
  </si>
  <si>
    <t>2266922160002656</t>
  </si>
  <si>
    <t>9780394572819</t>
  </si>
  <si>
    <t>32285000338839</t>
  </si>
  <si>
    <t>893684214</t>
  </si>
  <si>
    <t>DS777.55 .C44673</t>
  </si>
  <si>
    <t>0                      DS 0777550C  44673</t>
  </si>
  <si>
    <t>China after the cultural revolution : a selection from the Bulletin of the Atomic Scientists.</t>
  </si>
  <si>
    <t>New York : Random House, [1970, c1969]</t>
  </si>
  <si>
    <t>864937649:eng</t>
  </si>
  <si>
    <t>57595</t>
  </si>
  <si>
    <t>991000140309702656</t>
  </si>
  <si>
    <t>2261824170002656</t>
  </si>
  <si>
    <t>32285000410158</t>
  </si>
  <si>
    <t>893431730</t>
  </si>
  <si>
    <t>DS777.55 .C451</t>
  </si>
  <si>
    <t>0                      DS 0777550C  451</t>
  </si>
  <si>
    <t>China--the turning point / edited by Edwin J. Feulner, Jr.</t>
  </si>
  <si>
    <t>Washington, D.C. : Council on American Affairs, [1976]</t>
  </si>
  <si>
    <t>423849790:eng</t>
  </si>
  <si>
    <t>17381112</t>
  </si>
  <si>
    <t>991001209089702656</t>
  </si>
  <si>
    <t>2256813650002656</t>
  </si>
  <si>
    <t>32285005241830</t>
  </si>
  <si>
    <t>893250058</t>
  </si>
  <si>
    <t>DS777.55 .C5</t>
  </si>
  <si>
    <t>0                      DS 0777550C  5</t>
  </si>
  <si>
    <t>In the presence of my enemies.</t>
  </si>
  <si>
    <t>Clifford, John W., 1917-</t>
  </si>
  <si>
    <t>New York, Norton [1963]</t>
  </si>
  <si>
    <t>2005-12-16</t>
  </si>
  <si>
    <t>2062711:eng</t>
  </si>
  <si>
    <t>1141213</t>
  </si>
  <si>
    <t>991003567539702656</t>
  </si>
  <si>
    <t>2264958620002656</t>
  </si>
  <si>
    <t>32285002448214</t>
  </si>
  <si>
    <t>893445729</t>
  </si>
  <si>
    <t>DS777.55 .D64313 1977</t>
  </si>
  <si>
    <t>0                      DS 0777550D  64313       1977</t>
  </si>
  <si>
    <t>China after the Cultural Revolution : politics between two party congresses / Jürgen Domes, with a contribution by Marie-Luise Näth ; translated from the German by Annette Berg and David Goodman.</t>
  </si>
  <si>
    <t>Domes, Jürgen.</t>
  </si>
  <si>
    <t>8020792:eng</t>
  </si>
  <si>
    <t>3044138</t>
  </si>
  <si>
    <t>991004327029702656</t>
  </si>
  <si>
    <t>2260497590002656</t>
  </si>
  <si>
    <t>9780520030640</t>
  </si>
  <si>
    <t>32285001028033</t>
  </si>
  <si>
    <t>893229218</t>
  </si>
  <si>
    <t>DS777.55 .D67</t>
  </si>
  <si>
    <t>0                      DS 0777550D  67</t>
  </si>
  <si>
    <t>The Sino-Japanese War, 1937-41 : from Marco Polo Bridge to Pearl Harbor.</t>
  </si>
  <si>
    <t>Dorn, Frank.</t>
  </si>
  <si>
    <t>New York : Macmillan, [1974]</t>
  </si>
  <si>
    <t>1992-05-12</t>
  </si>
  <si>
    <t>288367131:eng</t>
  </si>
  <si>
    <t>934774</t>
  </si>
  <si>
    <t>991003396639702656</t>
  </si>
  <si>
    <t>2271626500002656</t>
  </si>
  <si>
    <t>9780025322004</t>
  </si>
  <si>
    <t>32285001107779</t>
  </si>
  <si>
    <t>893611009</t>
  </si>
  <si>
    <t>DS777.55 .F33 1968</t>
  </si>
  <si>
    <t>0                      DS 0777550F  33          1968</t>
  </si>
  <si>
    <t>The Chinese cultural revolution : selected documents / edited and with notes by K. H. Fan.</t>
  </si>
  <si>
    <t>Fan, Kuang Huan, 1932- compiler.</t>
  </si>
  <si>
    <t>New York : Grove Press, [1968]</t>
  </si>
  <si>
    <t>Evergreen book ; E-459</t>
  </si>
  <si>
    <t>1463002:eng</t>
  </si>
  <si>
    <t>412619</t>
  </si>
  <si>
    <t>991002721109702656</t>
  </si>
  <si>
    <t>2264396480002656</t>
  </si>
  <si>
    <t>32285000580372</t>
  </si>
  <si>
    <t>893880311</t>
  </si>
  <si>
    <t>DS777.55 .F333</t>
  </si>
  <si>
    <t>0                      DS 0777550F  333</t>
  </si>
  <si>
    <t>From the other side of the river : a self-portrait of China today / edited by K. H. Fan and K. T. Fan.</t>
  </si>
  <si>
    <t>Garden City, N.Y. : Anchor Press, 1975.</t>
  </si>
  <si>
    <t>1992-11-25</t>
  </si>
  <si>
    <t>104077755:eng</t>
  </si>
  <si>
    <t>1175824</t>
  </si>
  <si>
    <t>991003596679702656</t>
  </si>
  <si>
    <t>2271897240002656</t>
  </si>
  <si>
    <t>9780385037433</t>
  </si>
  <si>
    <t>32285001401529</t>
  </si>
  <si>
    <t>893868604</t>
  </si>
  <si>
    <t>DS777.55 .G684</t>
  </si>
  <si>
    <t>0                      DS 0777550G  684</t>
  </si>
  <si>
    <t>Chinese communism in crisis: Maoism and the Cultural Revolution [by] Jack Gray &amp; Patrick Cavendish.</t>
  </si>
  <si>
    <t>Gray, Jack, 1926-</t>
  </si>
  <si>
    <t>London, Pall Mall P., 1968.</t>
  </si>
  <si>
    <t>2001-03-19</t>
  </si>
  <si>
    <t>1503356:eng</t>
  </si>
  <si>
    <t>462245</t>
  </si>
  <si>
    <t>991002817579702656</t>
  </si>
  <si>
    <t>2261604180002656</t>
  </si>
  <si>
    <t>9780269992964</t>
  </si>
  <si>
    <t>32285002448289</t>
  </si>
  <si>
    <t>893799059</t>
  </si>
  <si>
    <t>DS777.55 .G686 1968</t>
  </si>
  <si>
    <t>0                      DS 0777550G  686         1968</t>
  </si>
  <si>
    <t>The Great cultural revolution in China / compiled and edited by the Asia Research Centre.</t>
  </si>
  <si>
    <t>Rutland, Vt. : C. E. Tuttle Co., [1968]</t>
  </si>
  <si>
    <t>53971721:eng</t>
  </si>
  <si>
    <t>438724</t>
  </si>
  <si>
    <t>991002776069702656</t>
  </si>
  <si>
    <t>2265355880002656</t>
  </si>
  <si>
    <t>32285000410612</t>
  </si>
  <si>
    <t>893591761</t>
  </si>
  <si>
    <t>DS777.55 .H5514 1973</t>
  </si>
  <si>
    <t>0                      DS 0777550H  5514        1973</t>
  </si>
  <si>
    <t>An introduction to Chinese politics / [by] Harold C. Hinton.</t>
  </si>
  <si>
    <t>Hinton, Harold C.</t>
  </si>
  <si>
    <t>167252:eng</t>
  </si>
  <si>
    <t>548245</t>
  </si>
  <si>
    <t>991002970339702656</t>
  </si>
  <si>
    <t>2262719090002656</t>
  </si>
  <si>
    <t>32285000050624</t>
  </si>
  <si>
    <t>893721737</t>
  </si>
  <si>
    <t>DS777.55 .H85 1953a</t>
  </si>
  <si>
    <t>0                      DS 0777550H  85          1953a</t>
  </si>
  <si>
    <t>Window on China, by Raja Hutheesing.</t>
  </si>
  <si>
    <t>Hutheesing, Raja.</t>
  </si>
  <si>
    <t>London, D. Verschoyle [1953]</t>
  </si>
  <si>
    <t>7272129:eng</t>
  </si>
  <si>
    <t>3966673</t>
  </si>
  <si>
    <t>991004556199702656</t>
  </si>
  <si>
    <t>2263819900002656</t>
  </si>
  <si>
    <t>32285000338896</t>
  </si>
  <si>
    <t>893776155</t>
  </si>
  <si>
    <t>DS777.55 .L39</t>
  </si>
  <si>
    <t>0                      DS 0777550L  39</t>
  </si>
  <si>
    <t>The politics of the Chinese cultural revolution : a case study / Hong Yung Lee.</t>
  </si>
  <si>
    <t>Lee, Hong Yung, 1939-</t>
  </si>
  <si>
    <t>502129:eng</t>
  </si>
  <si>
    <t>3972837</t>
  </si>
  <si>
    <t>991004557329702656</t>
  </si>
  <si>
    <t>2265665030002656</t>
  </si>
  <si>
    <t>9780520032972</t>
  </si>
  <si>
    <t>32285002448438</t>
  </si>
  <si>
    <t>893882609</t>
  </si>
  <si>
    <t>DS777.55 .L457</t>
  </si>
  <si>
    <t>0                      DS 0777550L  457</t>
  </si>
  <si>
    <t>Revolutionary immortality; Mao Tse-tung and the Chinese cultural revolution.</t>
  </si>
  <si>
    <t>Lifton, Robert Jay, 1926-</t>
  </si>
  <si>
    <t>New York, Random House [1968]</t>
  </si>
  <si>
    <t>1180830:eng</t>
  </si>
  <si>
    <t>448988</t>
  </si>
  <si>
    <t>991002804259702656</t>
  </si>
  <si>
    <t>2266703370002656</t>
  </si>
  <si>
    <t>32285002448446</t>
  </si>
  <si>
    <t>893716934</t>
  </si>
  <si>
    <t>DS777.55 .M2224 v.1</t>
  </si>
  <si>
    <t>0                      DS 0777550M  2224                                                    v.1</t>
  </si>
  <si>
    <t>Contradictions among the people, 1956-1957.</t>
  </si>
  <si>
    <t>MacFarquhar, Roderick.</t>
  </si>
  <si>
    <t>New York, Published for the Royal Institute of International Affairs, the East Asian Institute of Columbia University, and the Research Institute on Communist Affairs of Columbia University by Columbia University Press, 1974.</t>
  </si>
  <si>
    <t>His The origins of the cultural revolution, 1</t>
  </si>
  <si>
    <t>2001-11-24</t>
  </si>
  <si>
    <t>8911379157:eng</t>
  </si>
  <si>
    <t>704878</t>
  </si>
  <si>
    <t>991003167769702656</t>
  </si>
  <si>
    <t>2259283630002656</t>
  </si>
  <si>
    <t>9780231038416</t>
  </si>
  <si>
    <t>32285002448453</t>
  </si>
  <si>
    <t>893904266</t>
  </si>
  <si>
    <t>DS777.55 .P423</t>
  </si>
  <si>
    <t>0                      DS 0777550P  423</t>
  </si>
  <si>
    <t>The People's Republic of China : a documentary history of revolutionary change / edited and with an introduction by Mark Selden, with Patti Eggleston.</t>
  </si>
  <si>
    <t>New York : Monthly Review Press, c1979.</t>
  </si>
  <si>
    <t>3943876805:eng</t>
  </si>
  <si>
    <t>4494862</t>
  </si>
  <si>
    <t>991004654379702656</t>
  </si>
  <si>
    <t>2265302060002656</t>
  </si>
  <si>
    <t>9780853454663</t>
  </si>
  <si>
    <t>32285000272764</t>
  </si>
  <si>
    <t>893788967</t>
  </si>
  <si>
    <t>DS777.55 .R48</t>
  </si>
  <si>
    <t>0                      DS 0777550R  48</t>
  </si>
  <si>
    <t>Mao's way [by] Edward E. Rice.</t>
  </si>
  <si>
    <t>Rice, Edward E. (Edward Earl), 1909-2006.</t>
  </si>
  <si>
    <t>Berkeley, University of California Press [1972]</t>
  </si>
  <si>
    <t>1993-01-13</t>
  </si>
  <si>
    <t>117865442:eng</t>
  </si>
  <si>
    <t>514381</t>
  </si>
  <si>
    <t>991002896109702656</t>
  </si>
  <si>
    <t>2261930870002656</t>
  </si>
  <si>
    <t>9780520021990</t>
  </si>
  <si>
    <t>32285001488542</t>
  </si>
  <si>
    <t>893704654</t>
  </si>
  <si>
    <t>DS777.55 .R565</t>
  </si>
  <si>
    <t>0                      DS 0777550R  565</t>
  </si>
  <si>
    <t>A memoir of China in revolution: from the Boxer Rebellion to the People's Republic.</t>
  </si>
  <si>
    <t>Ronning, Chester, 1894-1984.</t>
  </si>
  <si>
    <t>New York, Pantheon Books [1974]</t>
  </si>
  <si>
    <t>1813196:eng</t>
  </si>
  <si>
    <t>858305</t>
  </si>
  <si>
    <t>991003328089702656</t>
  </si>
  <si>
    <t>2267062310002656</t>
  </si>
  <si>
    <t>9780394472553</t>
  </si>
  <si>
    <t>32285002448503</t>
  </si>
  <si>
    <t>893899861</t>
  </si>
  <si>
    <t>DS777.55 .S35 1968</t>
  </si>
  <si>
    <t>0                      DS 0777550S  35          1968</t>
  </si>
  <si>
    <t>Ideology and organization in Communist China [by] Franz Schurmann.</t>
  </si>
  <si>
    <t>Schurmann, Franz, 1926-2010.</t>
  </si>
  <si>
    <t>2d ed., enl.</t>
  </si>
  <si>
    <t>2001-11-26</t>
  </si>
  <si>
    <t>1307099:eng</t>
  </si>
  <si>
    <t>174950</t>
  </si>
  <si>
    <t>991001027789702656</t>
  </si>
  <si>
    <t>2266579100002656</t>
  </si>
  <si>
    <t>32285002448529</t>
  </si>
  <si>
    <t>893708938</t>
  </si>
  <si>
    <t>DS777.55 .S443</t>
  </si>
  <si>
    <t>0                      DS 0777550S  443</t>
  </si>
  <si>
    <t>Lost chance in China : the World War II despatches of John S. Service / edited by Joseph W. Esherick.</t>
  </si>
  <si>
    <t>Service, John S. (John Stewart), 1909-1999.</t>
  </si>
  <si>
    <t>New York : Random House, [1974]</t>
  </si>
  <si>
    <t>1990-07-12</t>
  </si>
  <si>
    <t>1723479:eng</t>
  </si>
  <si>
    <t>724393</t>
  </si>
  <si>
    <t>991003200369702656</t>
  </si>
  <si>
    <t>2255002040002656</t>
  </si>
  <si>
    <t>9780394484365</t>
  </si>
  <si>
    <t>32285000230390</t>
  </si>
  <si>
    <t>893904282</t>
  </si>
  <si>
    <t>DS777.55 .S54 2001b</t>
  </si>
  <si>
    <t>0                      DS 0777550S  54          2001b</t>
  </si>
  <si>
    <t>China's dilemma : the Taiwan issue / Sheng Lijun.</t>
  </si>
  <si>
    <t>Sheng, Lijun.</t>
  </si>
  <si>
    <t>London ; New York : I.B. Tauris Publishers, 2001.</t>
  </si>
  <si>
    <t>2003-10-16</t>
  </si>
  <si>
    <t>35908787:eng</t>
  </si>
  <si>
    <t>48003941</t>
  </si>
  <si>
    <t>991004158429702656</t>
  </si>
  <si>
    <t>2269347010002656</t>
  </si>
  <si>
    <t>9781860647314</t>
  </si>
  <si>
    <t>32285004789136</t>
  </si>
  <si>
    <t>893423450</t>
  </si>
  <si>
    <t>DS777.55 .S6 1971</t>
  </si>
  <si>
    <t>0                      DS 0777550S  6           1971</t>
  </si>
  <si>
    <t>Red China today.</t>
  </si>
  <si>
    <t>New York : Random House, [1971]</t>
  </si>
  <si>
    <t>5266883235:eng</t>
  </si>
  <si>
    <t>149977</t>
  </si>
  <si>
    <t>991000858179702656</t>
  </si>
  <si>
    <t>2260657210002656</t>
  </si>
  <si>
    <t>9780394462615</t>
  </si>
  <si>
    <t>32285001401537</t>
  </si>
  <si>
    <t>893255802</t>
  </si>
  <si>
    <t>DS777.55 .S82</t>
  </si>
  <si>
    <t>0                      DS 0777550S  82</t>
  </si>
  <si>
    <t>Behind the Great Wall : an appraisal of Mao's China / Lorenz Stucki ; translated by Jean Steinberg.</t>
  </si>
  <si>
    <t>Stucki, Lorenz, 1922-</t>
  </si>
  <si>
    <t>New York : Praeger, c1965.</t>
  </si>
  <si>
    <t>Praeger publications in Russian history and world communism ; no. 168</t>
  </si>
  <si>
    <t>1998-11-17</t>
  </si>
  <si>
    <t>343346384:eng</t>
  </si>
  <si>
    <t>9802830</t>
  </si>
  <si>
    <t>991000260369702656</t>
  </si>
  <si>
    <t>2256651680002656</t>
  </si>
  <si>
    <t>32285002448941</t>
  </si>
  <si>
    <t>893595434</t>
  </si>
  <si>
    <t>DS777.55 .T35</t>
  </si>
  <si>
    <t>0                      DS 0777550T  35</t>
  </si>
  <si>
    <t>Communist China : the domestic scene, 1949-1967 / by Peter S. H. Tang and Joan M. Maloney ; introd. by John B. Tsu.</t>
  </si>
  <si>
    <t>Tang, Peter S. H., 1919-2000.</t>
  </si>
  <si>
    <t>South Orange, N. J. : Seton Hall University Press, [1967]</t>
  </si>
  <si>
    <t>Research Institute on the Sino-Soviet Bloc : Book series ; no. 2</t>
  </si>
  <si>
    <t>7847764:eng</t>
  </si>
  <si>
    <t>14142362</t>
  </si>
  <si>
    <t>991003701669702656</t>
  </si>
  <si>
    <t>2258081130002656</t>
  </si>
  <si>
    <t>32285000410190</t>
  </si>
  <si>
    <t>893775057</t>
  </si>
  <si>
    <t>DS777.55 .W35</t>
  </si>
  <si>
    <t>0                      DS 0777550W  35</t>
  </si>
  <si>
    <t>The cultural revolution in China : an annotated bibliography / James C. F. Wang.</t>
  </si>
  <si>
    <t>Wang, James C. F.</t>
  </si>
  <si>
    <t>New York : Garland Pub., 1976.</t>
  </si>
  <si>
    <t>Garland reference library of social science ; v. 16</t>
  </si>
  <si>
    <t>894521625:eng</t>
  </si>
  <si>
    <t>1973875</t>
  </si>
  <si>
    <t>991003958999702656</t>
  </si>
  <si>
    <t>2265956130002656</t>
  </si>
  <si>
    <t>9780824099732</t>
  </si>
  <si>
    <t>32285002448586</t>
  </si>
  <si>
    <t>893259131</t>
  </si>
  <si>
    <t>DS777.56 .O73 2001</t>
  </si>
  <si>
    <t>0                      DS 0777560O  73          2001</t>
  </si>
  <si>
    <t>Born to fly : the untold story of the downed American reconnaissance plane / Shane Osborn with Malcolm McConnell.</t>
  </si>
  <si>
    <t>Osborn, Shane.</t>
  </si>
  <si>
    <t>New York : Broadway Books, c2001.</t>
  </si>
  <si>
    <t>36893735:eng</t>
  </si>
  <si>
    <t>48401438</t>
  </si>
  <si>
    <t>991003684269702656</t>
  </si>
  <si>
    <t>2264337620002656</t>
  </si>
  <si>
    <t>9780767911115</t>
  </si>
  <si>
    <t>32285004446703</t>
  </si>
  <si>
    <t>893623764</t>
  </si>
  <si>
    <t>DS777.75 .C4848 1985</t>
  </si>
  <si>
    <t>0                      DS 0777750C  4848        1985</t>
  </si>
  <si>
    <t>The China question : essays on current relations between mainland China and Taiwan / edited by Yu San Wang.</t>
  </si>
  <si>
    <t>New York : Praeger, 1985.</t>
  </si>
  <si>
    <t>891594003:eng</t>
  </si>
  <si>
    <t>12160476</t>
  </si>
  <si>
    <t>991000649279702656</t>
  </si>
  <si>
    <t>2271207980002656</t>
  </si>
  <si>
    <t>9780030053795</t>
  </si>
  <si>
    <t>32285000339001</t>
  </si>
  <si>
    <t>893620668</t>
  </si>
  <si>
    <t>DS777.75 .D66 1985</t>
  </si>
  <si>
    <t>0                      DS 0777750D  66          1985</t>
  </si>
  <si>
    <t>The government and politics of the PRC : a time of transition / Jürgen Domes.</t>
  </si>
  <si>
    <t>4452977:eng</t>
  </si>
  <si>
    <t>11622313</t>
  </si>
  <si>
    <t>991000566459702656</t>
  </si>
  <si>
    <t>2260866230002656</t>
  </si>
  <si>
    <t>9780865315662</t>
  </si>
  <si>
    <t>32285001893675</t>
  </si>
  <si>
    <t>893878175</t>
  </si>
  <si>
    <t>DS777.75 .L557 1995</t>
  </si>
  <si>
    <t>0                      DS 0777750L  557         1995</t>
  </si>
  <si>
    <t>Governing China : from revolution through reform / Kenneth Lieberthal.</t>
  </si>
  <si>
    <t>Lieberthal, Kenneth.</t>
  </si>
  <si>
    <t>New York : W.W. Norton, c1995.</t>
  </si>
  <si>
    <t>1995-06-19</t>
  </si>
  <si>
    <t>38505789:eng</t>
  </si>
  <si>
    <t>31328285</t>
  </si>
  <si>
    <t>991002407399702656</t>
  </si>
  <si>
    <t>2257055170002656</t>
  </si>
  <si>
    <t>9780393037876</t>
  </si>
  <si>
    <t>32285002051760</t>
  </si>
  <si>
    <t>893510694</t>
  </si>
  <si>
    <t>DS777.75 .P64 1997</t>
  </si>
  <si>
    <t>0                      DS 0777750P  64          1997</t>
  </si>
  <si>
    <t>The Politics of China : the eras of Mao and Deng / edited by Roderick MacFarquhar.</t>
  </si>
  <si>
    <t>New York : Cambridge University Press, 1997.</t>
  </si>
  <si>
    <t>795050546:eng</t>
  </si>
  <si>
    <t>35262436</t>
  </si>
  <si>
    <t>991002700899702656</t>
  </si>
  <si>
    <t>2264221730002656</t>
  </si>
  <si>
    <t>9780521581417</t>
  </si>
  <si>
    <t>32285003375218</t>
  </si>
  <si>
    <t>893710569</t>
  </si>
  <si>
    <t>DS777.75 .T43 1999</t>
  </si>
  <si>
    <t>0                      DS 0777750T  43          1999</t>
  </si>
  <si>
    <t>China's road to disaster : Mao, central politicians, and provincial leaders in the unfolding of the great leap forward, 1955-1959 / Frederick C. Teiwes with Warren Sun.</t>
  </si>
  <si>
    <t>Teiwes, Frederick C.</t>
  </si>
  <si>
    <t>Contemporary China papers ; no. 24</t>
  </si>
  <si>
    <t>2001-11-16</t>
  </si>
  <si>
    <t>1999-01-11</t>
  </si>
  <si>
    <t>799745841:eng</t>
  </si>
  <si>
    <t>38842079</t>
  </si>
  <si>
    <t>991002922539702656</t>
  </si>
  <si>
    <t>2256977810002656</t>
  </si>
  <si>
    <t>9780765602015</t>
  </si>
  <si>
    <t>32285003511382</t>
  </si>
  <si>
    <t>893524204</t>
  </si>
  <si>
    <t>DS777.75 .W65 1996</t>
  </si>
  <si>
    <t>0                      DS 0777750W  65          1996</t>
  </si>
  <si>
    <t>Red China blues : my long march from Mao to now / Jan Wong.</t>
  </si>
  <si>
    <t>Wong, Jan.</t>
  </si>
  <si>
    <t>Toronto ; New York : Doubleday/Anchor Books, 1996.</t>
  </si>
  <si>
    <t>1st Doubleday/Anchor Books ed.</t>
  </si>
  <si>
    <t>535732:eng</t>
  </si>
  <si>
    <t>34601210</t>
  </si>
  <si>
    <t>991002643809702656</t>
  </si>
  <si>
    <t>2267365840002656</t>
  </si>
  <si>
    <t>9780385254908</t>
  </si>
  <si>
    <t>32285002321510</t>
  </si>
  <si>
    <t>893341666</t>
  </si>
  <si>
    <t>DS777.8 .G37 1993</t>
  </si>
  <si>
    <t>0                      DS 0777800G  37          1993</t>
  </si>
  <si>
    <t>Foreign relations of the People's Republic of China / John W. Garver.</t>
  </si>
  <si>
    <t>Garver, John W.</t>
  </si>
  <si>
    <t>Englewood Cliffs, N.J. : Prentice Hall, c1993.</t>
  </si>
  <si>
    <t>1993-03-24</t>
  </si>
  <si>
    <t>28640401:eng</t>
  </si>
  <si>
    <t>26504189</t>
  </si>
  <si>
    <t>991002069429702656</t>
  </si>
  <si>
    <t>2255065430002656</t>
  </si>
  <si>
    <t>9780133264142</t>
  </si>
  <si>
    <t>32285001498327</t>
  </si>
  <si>
    <t>893503989</t>
  </si>
  <si>
    <t>DS777.8 .G87</t>
  </si>
  <si>
    <t>0                      DS 0777800G  87</t>
  </si>
  <si>
    <t>China under threat : the politics of strategy and diplomacy / Melvin Gurtov and Byong-Moo Hwang.</t>
  </si>
  <si>
    <t>Gurtov, Melvin.</t>
  </si>
  <si>
    <t>203267009:eng</t>
  </si>
  <si>
    <t>6420759</t>
  </si>
  <si>
    <t>991004978769702656</t>
  </si>
  <si>
    <t>2267115220002656</t>
  </si>
  <si>
    <t>9780801823978</t>
  </si>
  <si>
    <t>32285000339019</t>
  </si>
  <si>
    <t>893532993</t>
  </si>
  <si>
    <t>DS777.8 .Z43 1996</t>
  </si>
  <si>
    <t>0                      DS 0777800Z  43          1996</t>
  </si>
  <si>
    <t>Interpreting Chinese foreign policy : the micro-macro linkage approach / Quansheng Zhao.</t>
  </si>
  <si>
    <t>Zhao, Quansheng.</t>
  </si>
  <si>
    <t>Hong Kong ; New York : Oxford University Press, 1996.</t>
  </si>
  <si>
    <t>24132826:eng</t>
  </si>
  <si>
    <t>34583832</t>
  </si>
  <si>
    <t>991002641799702656</t>
  </si>
  <si>
    <t>2265174600002656</t>
  </si>
  <si>
    <t>9780195874297</t>
  </si>
  <si>
    <t>32285002406675</t>
  </si>
  <si>
    <t>893245432</t>
  </si>
  <si>
    <t>DS778.7 .B87 1982</t>
  </si>
  <si>
    <t>0                      DS 0778700B  87          1982</t>
  </si>
  <si>
    <t>China, alive in the bitter sea / Fox Butterfield.</t>
  </si>
  <si>
    <t>Butterfield, Fox.</t>
  </si>
  <si>
    <t>New York, N.Y. : Times Books, c1982.</t>
  </si>
  <si>
    <t>3746923:eng</t>
  </si>
  <si>
    <t>8280788</t>
  </si>
  <si>
    <t>991005225189702656</t>
  </si>
  <si>
    <t>2257408510002656</t>
  </si>
  <si>
    <t>9780812909272</t>
  </si>
  <si>
    <t>32285000272814</t>
  </si>
  <si>
    <t>893613334</t>
  </si>
  <si>
    <t>DS778.7 .T76 1986</t>
  </si>
  <si>
    <t>0                      DS 0778700T  76          1986</t>
  </si>
  <si>
    <t>The Cultural Revolution and post-Mao reforms : a historical perspective / Tang Tsou.</t>
  </si>
  <si>
    <t>Chicago : University of Chicago Press, c1986.</t>
  </si>
  <si>
    <t>869303847:eng</t>
  </si>
  <si>
    <t>12104016</t>
  </si>
  <si>
    <t>991000640529702656</t>
  </si>
  <si>
    <t>2260064250002656</t>
  </si>
  <si>
    <t>9780226815138</t>
  </si>
  <si>
    <t>32285000339100</t>
  </si>
  <si>
    <t>893784407</t>
  </si>
  <si>
    <t>DS778.A1 E4 1971</t>
  </si>
  <si>
    <t>0                      DS 0778000A  1                  E  4           1971</t>
  </si>
  <si>
    <t>China's Red masters : political biographies of the Chinese Communist leaders / [by] Robert S. Elegant.</t>
  </si>
  <si>
    <t>Elegant, Robert S.</t>
  </si>
  <si>
    <t>Westport, Conn. : Greenwood Press, [1971, c1951]</t>
  </si>
  <si>
    <t>796637598:eng</t>
  </si>
  <si>
    <t>202621</t>
  </si>
  <si>
    <t>991001229889702656</t>
  </si>
  <si>
    <t>2258750550002656</t>
  </si>
  <si>
    <t>9780837152158</t>
  </si>
  <si>
    <t>32285001799625</t>
  </si>
  <si>
    <t>893237959</t>
  </si>
  <si>
    <t>DS778.A1 S426 1992</t>
  </si>
  <si>
    <t>0                      DS 0778000A  1                  S  426         1992</t>
  </si>
  <si>
    <t>The new emperors : China in the era of Mao and Deng / Harrison E. Salisbury.</t>
  </si>
  <si>
    <t>Boston : Little, Brown, c1992.</t>
  </si>
  <si>
    <t>57894823:eng</t>
  </si>
  <si>
    <t>24430377</t>
  </si>
  <si>
    <t>991001934669702656</t>
  </si>
  <si>
    <t>2268076380002656</t>
  </si>
  <si>
    <t>9780316809108</t>
  </si>
  <si>
    <t>32285001115020</t>
  </si>
  <si>
    <t>893352069</t>
  </si>
  <si>
    <t>DS778.A2 C467 1996</t>
  </si>
  <si>
    <t>0                      DS 0778000A  2                  C  467         1996</t>
  </si>
  <si>
    <t>Zhou Enlai and the foundations of Chinese foreign policy / Kuo-kang Shao.</t>
  </si>
  <si>
    <t>Shao, Kuo-kang.</t>
  </si>
  <si>
    <t>2006-03-19</t>
  </si>
  <si>
    <t>40131780:eng</t>
  </si>
  <si>
    <t>35223155</t>
  </si>
  <si>
    <t>991002697909702656</t>
  </si>
  <si>
    <t>2258848270002656</t>
  </si>
  <si>
    <t>9780312158927</t>
  </si>
  <si>
    <t>32285003472544</t>
  </si>
  <si>
    <t>893698131</t>
  </si>
  <si>
    <t>DS778.C5374 C52</t>
  </si>
  <si>
    <t>0                      DS 0778000C  5374               C  52</t>
  </si>
  <si>
    <t>Madame Mao; a profile of Chiang Chʻing, by Chung Hua-min [and] Arthur C. Miller.</t>
  </si>
  <si>
    <t>Zhong, Huamin.</t>
  </si>
  <si>
    <t>Kowloon, Hong Kong, Union Research Institute [1968]</t>
  </si>
  <si>
    <t>1997-11-14</t>
  </si>
  <si>
    <t>224506737:eng</t>
  </si>
  <si>
    <t>13559</t>
  </si>
  <si>
    <t>991000006379702656</t>
  </si>
  <si>
    <t>2264362980002656</t>
  </si>
  <si>
    <t>32285002448669</t>
  </si>
  <si>
    <t>893345300</t>
  </si>
  <si>
    <t>DS778.C5374 T45 1984</t>
  </si>
  <si>
    <t>0                      DS 0778000C  5374               T  45          1984</t>
  </si>
  <si>
    <t>The white-boned demon : a biography of Madame Mao Zedong / Ross Terrill.</t>
  </si>
  <si>
    <t>Terrill, Ross.</t>
  </si>
  <si>
    <t>New York : Morrow, 1984.</t>
  </si>
  <si>
    <t>5156277:eng</t>
  </si>
  <si>
    <t>9757798</t>
  </si>
  <si>
    <t>991000251189702656</t>
  </si>
  <si>
    <t>2255430480002656</t>
  </si>
  <si>
    <t>9780688026615</t>
  </si>
  <si>
    <t>32285000272772</t>
  </si>
  <si>
    <t>893890544</t>
  </si>
  <si>
    <t>DS778.C5374 W57</t>
  </si>
  <si>
    <t>0                      DS 0778000C  5374               W  57</t>
  </si>
  <si>
    <t>Comrade Chiang Chʻing / Roxane Witke.</t>
  </si>
  <si>
    <t>Witke, Roxane.</t>
  </si>
  <si>
    <t>Boston : Little, Brown, c1977.</t>
  </si>
  <si>
    <t>14795837:eng</t>
  </si>
  <si>
    <t>2798518</t>
  </si>
  <si>
    <t>991004246299702656</t>
  </si>
  <si>
    <t>2270970860002656</t>
  </si>
  <si>
    <t>9780316949002</t>
  </si>
  <si>
    <t>32285000339027</t>
  </si>
  <si>
    <t>893500322</t>
  </si>
  <si>
    <t>DS778.C55 A6</t>
  </si>
  <si>
    <t>0                      DS 0778000C  55                 A  6</t>
  </si>
  <si>
    <t>Aphorisms of President Chiang Kai-shek.</t>
  </si>
  <si>
    <t>Chiang, Kai-shek, 1887-1975.</t>
  </si>
  <si>
    <t>[Taipei] : Govt. Information Office, Republic of China, 1974.</t>
  </si>
  <si>
    <t>2004-12-06</t>
  </si>
  <si>
    <t>6981190:eng</t>
  </si>
  <si>
    <t>2983150</t>
  </si>
  <si>
    <t>991004305389702656</t>
  </si>
  <si>
    <t>2261296950002656</t>
  </si>
  <si>
    <t>32285002448677</t>
  </si>
  <si>
    <t>893235314</t>
  </si>
  <si>
    <t>DS778.C55 C7</t>
  </si>
  <si>
    <t>0                      DS 0778000C  55                 C  7</t>
  </si>
  <si>
    <t>The man who lost China : the first full biography of Chiang Kai-shek / by Brian Crozier, with the collaboration of Eric Chou.</t>
  </si>
  <si>
    <t>Crozier, Brian.</t>
  </si>
  <si>
    <t>New York : Scribner, c1976.</t>
  </si>
  <si>
    <t>348151985:eng</t>
  </si>
  <si>
    <t>2121645</t>
  </si>
  <si>
    <t>991004021459702656</t>
  </si>
  <si>
    <t>2267517380002656</t>
  </si>
  <si>
    <t>9780684146867</t>
  </si>
  <si>
    <t>32285002448685</t>
  </si>
  <si>
    <t>893259224</t>
  </si>
  <si>
    <t>DS778.C55 F87</t>
  </si>
  <si>
    <t>0                      DS 0778000C  55                 F  87</t>
  </si>
  <si>
    <t>Chiang Kai-shek his life and times / by Keiji Furuya ; abridged English edition by Chun-ming Chang.</t>
  </si>
  <si>
    <t>Furuya, Keiji.</t>
  </si>
  <si>
    <t>New York : St. John's University, 1981.</t>
  </si>
  <si>
    <t>3887436307:eng</t>
  </si>
  <si>
    <t>9687101</t>
  </si>
  <si>
    <t>991005230909702656</t>
  </si>
  <si>
    <t>2266832760002656</t>
  </si>
  <si>
    <t>32285000339035</t>
  </si>
  <si>
    <t>893338768</t>
  </si>
  <si>
    <t>DS778.C593 A2513 1981, v...</t>
  </si>
  <si>
    <t>0                      DS 0778000C  593                A  2513        1981                  v...</t>
  </si>
  <si>
    <t>Selected works of Zhou Enlai.</t>
  </si>
  <si>
    <t>Zhou, Enlai, 1898-1976.</t>
  </si>
  <si>
    <t>Beijing : Foreign Languages Press : Distributed by Guoji Shudian, 1981-</t>
  </si>
  <si>
    <t>5091274064:eng</t>
  </si>
  <si>
    <t>8284054</t>
  </si>
  <si>
    <t>991005227699702656</t>
  </si>
  <si>
    <t>2267877750002656</t>
  </si>
  <si>
    <t>32285000339043</t>
  </si>
  <si>
    <t>893520666</t>
  </si>
  <si>
    <t>DS778.C593 H36 1995</t>
  </si>
  <si>
    <t>0                      DS 0778000C  593                H  36          1995</t>
  </si>
  <si>
    <t>Eldest son : Zhou Enlai and the making of modern China, 1898-1976 / Han Suyin.</t>
  </si>
  <si>
    <t>Han, Suyin, 1917-2012.</t>
  </si>
  <si>
    <t>1996-05-08</t>
  </si>
  <si>
    <t>353050:eng</t>
  </si>
  <si>
    <t>31815173</t>
  </si>
  <si>
    <t>991002440529702656</t>
  </si>
  <si>
    <t>2264011090002656</t>
  </si>
  <si>
    <t>9781568360843</t>
  </si>
  <si>
    <t>32285002165651</t>
  </si>
  <si>
    <t>893892548</t>
  </si>
  <si>
    <t>DS778.L49 D57 1998</t>
  </si>
  <si>
    <t>0                      DS 0778000L  49                 D  57          1998</t>
  </si>
  <si>
    <t>Liu Shaoqi and the Chinese cultural revolution / Lowell Dittmer.</t>
  </si>
  <si>
    <t>Dittmer, Lowell.</t>
  </si>
  <si>
    <t>Armonk, N.Y. : M.E. Sharpe, c1998.</t>
  </si>
  <si>
    <t>1998-10-21</t>
  </si>
  <si>
    <t>4495088859:eng</t>
  </si>
  <si>
    <t>37663511</t>
  </si>
  <si>
    <t>991002857909702656</t>
  </si>
  <si>
    <t>2268956270002656</t>
  </si>
  <si>
    <t>9781563249518</t>
  </si>
  <si>
    <t>32285003476172</t>
  </si>
  <si>
    <t>893805141</t>
  </si>
  <si>
    <t>DS778.M3 A25 1992, v...</t>
  </si>
  <si>
    <t>0                      DS 0778000M  3                  A  25          1992                  v...</t>
  </si>
  <si>
    <t>Mao's road to power : revolutionary writings 1912-1949 / Stuart R. Schram, editor.</t>
  </si>
  <si>
    <t>Mao, Zedong, 1893-1976.</t>
  </si>
  <si>
    <t>Armonk, N.Y. : M.E. Sharpe, 1992-</t>
  </si>
  <si>
    <t>1993-10-25</t>
  </si>
  <si>
    <t>4915100903:eng</t>
  </si>
  <si>
    <t>26403345</t>
  </si>
  <si>
    <t>991002065749702656</t>
  </si>
  <si>
    <t>2268366440002656</t>
  </si>
  <si>
    <t>9781563240492</t>
  </si>
  <si>
    <t>32285001584100</t>
  </si>
  <si>
    <t>893408650</t>
  </si>
  <si>
    <t>DS778.M3 A4295</t>
  </si>
  <si>
    <t>0                      DS 0778000M  3                  A  4295</t>
  </si>
  <si>
    <t>Mao papers / anthology and bibliography edited by Jerome Chʻen.</t>
  </si>
  <si>
    <t>London ; New York : Oxford University Press, 1970.</t>
  </si>
  <si>
    <t>1996-10-17</t>
  </si>
  <si>
    <t>3943308218:eng</t>
  </si>
  <si>
    <t>103384</t>
  </si>
  <si>
    <t>991000624079702656</t>
  </si>
  <si>
    <t>2260080670002656</t>
  </si>
  <si>
    <t>9780192151889</t>
  </si>
  <si>
    <t>32285001382372</t>
  </si>
  <si>
    <t>893237474</t>
  </si>
  <si>
    <t>DS778.M3 A536 1970</t>
  </si>
  <si>
    <t>0                      DS 0778000M  3                  A  536         1970</t>
  </si>
  <si>
    <t>On revolution and war / edited with an introd. and notes by M. Rejai.</t>
  </si>
  <si>
    <t>2009-09-02</t>
  </si>
  <si>
    <t>197398191:eng</t>
  </si>
  <si>
    <t>94516</t>
  </si>
  <si>
    <t>991000568409702656</t>
  </si>
  <si>
    <t>2266041960002656</t>
  </si>
  <si>
    <t>32285001985406</t>
  </si>
  <si>
    <t>893808747</t>
  </si>
  <si>
    <t>DS778.M3 A94</t>
  </si>
  <si>
    <t>0                      DS 0778000M  3                  A  94</t>
  </si>
  <si>
    <t>Mao Tsetung's immortal contributions / by Bob Avakian.</t>
  </si>
  <si>
    <t>Avakian, Bob.</t>
  </si>
  <si>
    <t>Chicago : RCP Publications, [1979?]</t>
  </si>
  <si>
    <t>1996-03-26</t>
  </si>
  <si>
    <t>17875782:eng</t>
  </si>
  <si>
    <t>5336695</t>
  </si>
  <si>
    <t>991004822049702656</t>
  </si>
  <si>
    <t>2265298510002656</t>
  </si>
  <si>
    <t>9780898510454</t>
  </si>
  <si>
    <t>32285000339068</t>
  </si>
  <si>
    <t>893332087</t>
  </si>
  <si>
    <t>DS778.M3 B6813</t>
  </si>
  <si>
    <t>0                      DS 0778000M  3                  B  6813</t>
  </si>
  <si>
    <t>Mao Tse-tung : a guide to his thought / Alain Bouc ; translated by Paul Auster and Lydia Davis.</t>
  </si>
  <si>
    <t>Bouc, Alain.</t>
  </si>
  <si>
    <t>1992-02-11</t>
  </si>
  <si>
    <t>3901009454:eng</t>
  </si>
  <si>
    <t>2967689</t>
  </si>
  <si>
    <t>991004299749702656</t>
  </si>
  <si>
    <t>2269384230002656</t>
  </si>
  <si>
    <t>9780312513979</t>
  </si>
  <si>
    <t>32285000955467</t>
  </si>
  <si>
    <t>893788539</t>
  </si>
  <si>
    <t>DS778.M3 C4</t>
  </si>
  <si>
    <t>0                      DS 0778000M  3                  C  4</t>
  </si>
  <si>
    <t>Mao and the Chinese revolution. With thirty-seven poems by Mao Tse-tung translated from the Chinese by Michael Bullock and Jerome Chʻên.</t>
  </si>
  <si>
    <t>London, New York, Oxford University Press, 1965.</t>
  </si>
  <si>
    <t>2000-08-25</t>
  </si>
  <si>
    <t>1460277:eng</t>
  </si>
  <si>
    <t>411952</t>
  </si>
  <si>
    <t>991005355279702656</t>
  </si>
  <si>
    <t>2264656500002656</t>
  </si>
  <si>
    <t>32285002448768</t>
  </si>
  <si>
    <t>893536585</t>
  </si>
  <si>
    <t>DS778.M3 F44 2002</t>
  </si>
  <si>
    <t>0                      DS 0778000M  3                  F  44          2002</t>
  </si>
  <si>
    <t>Mao : a reinterpretation / Lee Feigon.</t>
  </si>
  <si>
    <t>Feigon, Lee, 1945-</t>
  </si>
  <si>
    <t>Chicago : Ivan R. Dee, 2002.</t>
  </si>
  <si>
    <t>779054:eng</t>
  </si>
  <si>
    <t>49872290</t>
  </si>
  <si>
    <t>991003968709702656</t>
  </si>
  <si>
    <t>2270602820002656</t>
  </si>
  <si>
    <t>9781566634588</t>
  </si>
  <si>
    <t>32285004697628</t>
  </si>
  <si>
    <t>893512622</t>
  </si>
  <si>
    <t>DS778.M3 J55 1993</t>
  </si>
  <si>
    <t>0                      DS 0778000M  3                  J  55          1993</t>
  </si>
  <si>
    <t>Mao Zedong's art of war / Liu Jikun.</t>
  </si>
  <si>
    <t>Jikun, Liu.</t>
  </si>
  <si>
    <t>Hong Kong : Hai Feng Publishing Co., 1993.</t>
  </si>
  <si>
    <t>1996-05-07</t>
  </si>
  <si>
    <t>44780260:eng</t>
  </si>
  <si>
    <t>32477628</t>
  </si>
  <si>
    <t>991002497359702656</t>
  </si>
  <si>
    <t>2266552910002656</t>
  </si>
  <si>
    <t>9789622380844</t>
  </si>
  <si>
    <t>32285002165198</t>
  </si>
  <si>
    <t>893245252</t>
  </si>
  <si>
    <t>DS778.M3 L5113</t>
  </si>
  <si>
    <t>0                      DS 0778000M  3                  L  5113</t>
  </si>
  <si>
    <t>The early revolutionary activities of comrade Mao Tse-tung / by Li Jui ; translated by Anthony W. Sariti ; edited by James C. Hsiung ; introd. by Stuart R. Schram.</t>
  </si>
  <si>
    <t>Li, Rui, 1917-2019.</t>
  </si>
  <si>
    <t>White Plains, N.Y. : M. E. Sharpe, c1977.</t>
  </si>
  <si>
    <t>The China book project</t>
  </si>
  <si>
    <t>4176093:eng</t>
  </si>
  <si>
    <t>3364937</t>
  </si>
  <si>
    <t>991004416589702656</t>
  </si>
  <si>
    <t>2258517370002656</t>
  </si>
  <si>
    <t>9780873320702</t>
  </si>
  <si>
    <t>32285000281260</t>
  </si>
  <si>
    <t>893888673</t>
  </si>
  <si>
    <t>DS778.M3 M2865</t>
  </si>
  <si>
    <t>0                      DS 0778000M  3                  M  2865</t>
  </si>
  <si>
    <t>Mao Tse-tung in the scales of history : a preliminary assessment / organized by the China quarterly ; and edited by Dick Wilson.</t>
  </si>
  <si>
    <t>Cambridge ; New York : Cambridge University Press, 1977.</t>
  </si>
  <si>
    <t>Contemporary China Institute publications</t>
  </si>
  <si>
    <t>906987429:eng</t>
  </si>
  <si>
    <t>2967608</t>
  </si>
  <si>
    <t>991004299389702656</t>
  </si>
  <si>
    <t>2269583960002656</t>
  </si>
  <si>
    <t>9780521215831</t>
  </si>
  <si>
    <t>32285000955434</t>
  </si>
  <si>
    <t>893712411</t>
  </si>
  <si>
    <t>DS778.M3 S33 1983</t>
  </si>
  <si>
    <t>0                      DS 0778000M  3                  S  33          1983</t>
  </si>
  <si>
    <t>Mao Zedong, a preliminary reassessment / Stuart R. Schram.</t>
  </si>
  <si>
    <t>Schram, Stuart R. (Stuart Reynolds), 1924-2012.</t>
  </si>
  <si>
    <t>New York : St. Martin's Press, 1983.</t>
  </si>
  <si>
    <t>3768434782:eng</t>
  </si>
  <si>
    <t>9761526</t>
  </si>
  <si>
    <t>991000253089702656</t>
  </si>
  <si>
    <t>2260068700002656</t>
  </si>
  <si>
    <t>9780312514051</t>
  </si>
  <si>
    <t>32285000339084</t>
  </si>
  <si>
    <t>893407055</t>
  </si>
  <si>
    <t>DS778.M3 S548 2000</t>
  </si>
  <si>
    <t>0                      DS 0778000M  3                  S  548         2000</t>
  </si>
  <si>
    <t>Mao : a life / Philip Short.</t>
  </si>
  <si>
    <t>Short, Philip.</t>
  </si>
  <si>
    <t>New York : Henry Holt, 2000.</t>
  </si>
  <si>
    <t>1128690:eng</t>
  </si>
  <si>
    <t>41977376</t>
  </si>
  <si>
    <t>991003208239702656</t>
  </si>
  <si>
    <t>2257491050002656</t>
  </si>
  <si>
    <t>9780805031157</t>
  </si>
  <si>
    <t>32285003712030</t>
  </si>
  <si>
    <t>893705015</t>
  </si>
  <si>
    <t>DS778.M3 S685 1999</t>
  </si>
  <si>
    <t>0                      DS 0778000M  3                  S  685         1999</t>
  </si>
  <si>
    <t>Mao Zedong / Jonathan Spence.</t>
  </si>
  <si>
    <t>New York : Viking, 1999.</t>
  </si>
  <si>
    <t>Penguin lives series</t>
  </si>
  <si>
    <t>2000-02-09</t>
  </si>
  <si>
    <t>5946800:eng</t>
  </si>
  <si>
    <t>41641238</t>
  </si>
  <si>
    <t>991003035089702656</t>
  </si>
  <si>
    <t>2263538570002656</t>
  </si>
  <si>
    <t>9780670886692</t>
  </si>
  <si>
    <t>32285003660494</t>
  </si>
  <si>
    <t>893780545</t>
  </si>
  <si>
    <t>DS778.M3 S76</t>
  </si>
  <si>
    <t>0                      DS 0778000M  3                  S  76</t>
  </si>
  <si>
    <t>Continuing the revolution : the political thought of Mao / John Bryan Starr.</t>
  </si>
  <si>
    <t>Starr, John Bryan.</t>
  </si>
  <si>
    <t>1996-12-16</t>
  </si>
  <si>
    <t>889308332:eng</t>
  </si>
  <si>
    <t>4490748</t>
  </si>
  <si>
    <t>991004644939702656</t>
  </si>
  <si>
    <t>2262012760002656</t>
  </si>
  <si>
    <t>9780691075969</t>
  </si>
  <si>
    <t>32285000339092</t>
  </si>
  <si>
    <t>893700483</t>
  </si>
  <si>
    <t>DS778.T39 A5 1987</t>
  </si>
  <si>
    <t>0                      DS 0778000T  39                 A  5           1987</t>
  </si>
  <si>
    <t>Fundamental issues in present-day China / Deng Xiaoping ; translated by the Bureau for the Compilation and Translation of Works of Marx, Engels, Lenin and Stalin under the Central Committee of the Communist Party of China.</t>
  </si>
  <si>
    <t>Deng, Xiaoping, 1904-1997.</t>
  </si>
  <si>
    <t>Beijing : Foreign Languages Press ; Oxford ; New York : Pergamon Press, 1987</t>
  </si>
  <si>
    <t>203290315:eng</t>
  </si>
  <si>
    <t>16865789</t>
  </si>
  <si>
    <t>991001156599702656</t>
  </si>
  <si>
    <t>2269861870002656</t>
  </si>
  <si>
    <t>9780080363639</t>
  </si>
  <si>
    <t>32285000672518</t>
  </si>
  <si>
    <t>893522334</t>
  </si>
  <si>
    <t>DS778.T39 E95 1994</t>
  </si>
  <si>
    <t>0                      DS 0778000T  39                 E  95          1994</t>
  </si>
  <si>
    <t>Deng Xiaoping and the making of modern China / Richard Evans.</t>
  </si>
  <si>
    <t>Evans, Richard, 1928-2012.</t>
  </si>
  <si>
    <t>New York, N.Y. : Viking, 1994.</t>
  </si>
  <si>
    <t>1994-03-23</t>
  </si>
  <si>
    <t>594703:eng</t>
  </si>
  <si>
    <t>29224154</t>
  </si>
  <si>
    <t>991002255929702656</t>
  </si>
  <si>
    <t>2264908540002656</t>
  </si>
  <si>
    <t>9780670848164</t>
  </si>
  <si>
    <t>32285001857621</t>
  </si>
  <si>
    <t>893697538</t>
  </si>
  <si>
    <t>DS778.T39 L36 1995</t>
  </si>
  <si>
    <t>0                      DS 0778000T  39                 L  36          1995</t>
  </si>
  <si>
    <t>China after Deng Xiaoping : the power struggle in Beijing since Tiananmen / Willy Wo-Lap Lam.</t>
  </si>
  <si>
    <t>Lam, Willy Wo-Lap.</t>
  </si>
  <si>
    <t>Singapore ; New York : J. Wiley &amp; Sons, c1995.</t>
  </si>
  <si>
    <t>1996-04-18</t>
  </si>
  <si>
    <t>34129557:eng</t>
  </si>
  <si>
    <t>32311396</t>
  </si>
  <si>
    <t>991002481969702656</t>
  </si>
  <si>
    <t>2266823880002656</t>
  </si>
  <si>
    <t>9780471131144</t>
  </si>
  <si>
    <t>32285002154895</t>
  </si>
  <si>
    <t>893798651</t>
  </si>
  <si>
    <t>DS779.2 .C44</t>
  </si>
  <si>
    <t>0                      DS 0779200C  44</t>
  </si>
  <si>
    <t>China briefing, 1980 / edited by Robert B. Oxnam and Richard C. Bush.</t>
  </si>
  <si>
    <t>23108379:eng</t>
  </si>
  <si>
    <t>6580212</t>
  </si>
  <si>
    <t>991005007549702656</t>
  </si>
  <si>
    <t>2254862850002656</t>
  </si>
  <si>
    <t>9780865310285</t>
  </si>
  <si>
    <t>32285000339118</t>
  </si>
  <si>
    <t>893688460</t>
  </si>
  <si>
    <t>DS779.2 .E93</t>
  </si>
  <si>
    <t>0                      DS 0779200E  93</t>
  </si>
  <si>
    <t>China after Mao / Leslie Evans.</t>
  </si>
  <si>
    <t>Evans, Leslie.</t>
  </si>
  <si>
    <t>New York : Monad Press : distributed by Pathfinder Press, 1978.</t>
  </si>
  <si>
    <t>2006-05-26</t>
  </si>
  <si>
    <t>3768381183:eng</t>
  </si>
  <si>
    <t>4650082</t>
  </si>
  <si>
    <t>991004697959702656</t>
  </si>
  <si>
    <t>2269879970002656</t>
  </si>
  <si>
    <t>9780913460610</t>
  </si>
  <si>
    <t>32285000339126</t>
  </si>
  <si>
    <t>893882825</t>
  </si>
  <si>
    <t>DS779.2 .T47 2003</t>
  </si>
  <si>
    <t>0                      DS 0779200T  47          2003</t>
  </si>
  <si>
    <t>The new Chinese empire : and what it means for the United States / Ross Terrill.</t>
  </si>
  <si>
    <t>New York : Basic Books, c2003.</t>
  </si>
  <si>
    <t>2006-08-25</t>
  </si>
  <si>
    <t>905859:eng</t>
  </si>
  <si>
    <t>50866940</t>
  </si>
  <si>
    <t>991004089199702656</t>
  </si>
  <si>
    <t>2260286310002656</t>
  </si>
  <si>
    <t>9780465084128</t>
  </si>
  <si>
    <t>32285004757661</t>
  </si>
  <si>
    <t>893525639</t>
  </si>
  <si>
    <t>DS779.215 .Z43 1999</t>
  </si>
  <si>
    <t>0                      DS 0779215Z  43          1999</t>
  </si>
  <si>
    <t>Discovering Chinese nationalism in China : modernization, identity, and international relations / Yongnian Zheng.</t>
  </si>
  <si>
    <t>Zheng, Yongnian.</t>
  </si>
  <si>
    <t>Cambridge ; New York : Cambridge University Press, 1999.</t>
  </si>
  <si>
    <t>Cambridge Asia-Pacific studies</t>
  </si>
  <si>
    <t>2002-02-04</t>
  </si>
  <si>
    <t>327477748:eng</t>
  </si>
  <si>
    <t>40174500</t>
  </si>
  <si>
    <t>991003688539702656</t>
  </si>
  <si>
    <t>2258342940002656</t>
  </si>
  <si>
    <t>9780521641807</t>
  </si>
  <si>
    <t>32285004451844</t>
  </si>
  <si>
    <t>893787625</t>
  </si>
  <si>
    <t>DS779.22 .W36 2000</t>
  </si>
  <si>
    <t>0                      DS 0779220W  36          2000</t>
  </si>
  <si>
    <t>Joining the modern world : inside and outside China / Wang Gungwu.</t>
  </si>
  <si>
    <t>Singapore : Singapore University Press ; River Edge, NJ : World Scientific, 2000.</t>
  </si>
  <si>
    <t>2006-04-08</t>
  </si>
  <si>
    <t>314106266:eng</t>
  </si>
  <si>
    <t>46465498</t>
  </si>
  <si>
    <t>991003538349702656</t>
  </si>
  <si>
    <t>2268228760002656</t>
  </si>
  <si>
    <t>9789810244880</t>
  </si>
  <si>
    <t>32285004376363</t>
  </si>
  <si>
    <t>893692815</t>
  </si>
  <si>
    <t>DS779.23 .C55 1985</t>
  </si>
  <si>
    <t>0                      DS 0779230C  55          1985</t>
  </si>
  <si>
    <t>The heart of the dragon / Alasdair Clayre.</t>
  </si>
  <si>
    <t>Clayre, Alasdair.</t>
  </si>
  <si>
    <t>Boston : Houghton Mifflin, 1985, c1984.</t>
  </si>
  <si>
    <t>1994-02-28</t>
  </si>
  <si>
    <t>3799873:eng</t>
  </si>
  <si>
    <t>10799170</t>
  </si>
  <si>
    <t>991000436709702656</t>
  </si>
  <si>
    <t>2269811970002656</t>
  </si>
  <si>
    <t>9780395353363</t>
  </si>
  <si>
    <t>32285000272830</t>
  </si>
  <si>
    <t>893790504</t>
  </si>
  <si>
    <t>DS779.23 .L49 1986</t>
  </si>
  <si>
    <t>0                      DS 0779230L  49          1986</t>
  </si>
  <si>
    <t>After the nightmare : a survivor of the Cultural Revolution reports on China today / Liang Heng and Judith Shapiro.</t>
  </si>
  <si>
    <t>Liang, Heng.</t>
  </si>
  <si>
    <t>New York : Knopf, 1986.</t>
  </si>
  <si>
    <t>1990-10-23</t>
  </si>
  <si>
    <t>287292034:eng</t>
  </si>
  <si>
    <t>12978800</t>
  </si>
  <si>
    <t>991000764619702656</t>
  </si>
  <si>
    <t>2258299090002656</t>
  </si>
  <si>
    <t>9780394551531</t>
  </si>
  <si>
    <t>32285000339142</t>
  </si>
  <si>
    <t>893327566</t>
  </si>
  <si>
    <t>DS779.23 .S45 1999</t>
  </si>
  <si>
    <t>0                      DS 0779230S  45          1999</t>
  </si>
  <si>
    <t>Chinese business etiquette : a guide to protocol, manners, and culture in the People's Republic of China / Scott D. Seligman ; foreword by Robert A. Kapp ; illustrations by Edward J. Trenn.</t>
  </si>
  <si>
    <t>Seligman, Scott D.</t>
  </si>
  <si>
    <t>New York : Warner Books, c1999.</t>
  </si>
  <si>
    <t>2002-04-09</t>
  </si>
  <si>
    <t>836922790:eng</t>
  </si>
  <si>
    <t>39069255</t>
  </si>
  <si>
    <t>991003766199702656</t>
  </si>
  <si>
    <t>2259763520002656</t>
  </si>
  <si>
    <t>9780446673877</t>
  </si>
  <si>
    <t>32285004478409</t>
  </si>
  <si>
    <t>893781372</t>
  </si>
  <si>
    <t>DS779.23 .U56 1989</t>
  </si>
  <si>
    <t>0                      DS 0779230U  56          1989</t>
  </si>
  <si>
    <t>Unofficial China : popular culture and thought in the People's Republic / edited by Perry Link, Richard Madsen, Paul G. Pickowicz.</t>
  </si>
  <si>
    <t>Boulder : Westview Press, 1989.</t>
  </si>
  <si>
    <t>795534729:eng</t>
  </si>
  <si>
    <t>20056614</t>
  </si>
  <si>
    <t>991001533459702656</t>
  </si>
  <si>
    <t>2271287160002656</t>
  </si>
  <si>
    <t>9780813309248</t>
  </si>
  <si>
    <t>32285001813434</t>
  </si>
  <si>
    <t>893497149</t>
  </si>
  <si>
    <t>DS779.26 .B38 1996</t>
  </si>
  <si>
    <t>0                      DS 0779260B  38          1996</t>
  </si>
  <si>
    <t>Burying Mao : Chinese politics in the age of Deng Xiaoping / Richard Baum.</t>
  </si>
  <si>
    <t>Baum, Richard, 1940-2012.</t>
  </si>
  <si>
    <t>1996-05-09</t>
  </si>
  <si>
    <t>806696858:eng</t>
  </si>
  <si>
    <t>37196894</t>
  </si>
  <si>
    <t>991002643759702656</t>
  </si>
  <si>
    <t>2266925940002656</t>
  </si>
  <si>
    <t>9780691036373</t>
  </si>
  <si>
    <t>32285002166410</t>
  </si>
  <si>
    <t>893804845</t>
  </si>
  <si>
    <t>DS779.26 .B47</t>
  </si>
  <si>
    <t>0                      DS 0779260B  47</t>
  </si>
  <si>
    <t>China since Mao / Neil G. Burton, Charles Bettelheim.</t>
  </si>
  <si>
    <t>Burton, Neil G.</t>
  </si>
  <si>
    <t>New York : Monthly Review Press, c1978.</t>
  </si>
  <si>
    <t>1998-10-03</t>
  </si>
  <si>
    <t>351851932:eng</t>
  </si>
  <si>
    <t>4056382</t>
  </si>
  <si>
    <t>991004579759702656</t>
  </si>
  <si>
    <t>2272020560002656</t>
  </si>
  <si>
    <t>9780853454748</t>
  </si>
  <si>
    <t>32285000339167</t>
  </si>
  <si>
    <t>893895172</t>
  </si>
  <si>
    <t>DS779.26 .B864 2001</t>
  </si>
  <si>
    <t>0                      DS 0779260B  864         2001</t>
  </si>
  <si>
    <t>Bad elements : Chinese rebels from Los Angeles to Beijing / Ian Buruma.</t>
  </si>
  <si>
    <t>Buruma, Ian.</t>
  </si>
  <si>
    <t>New York : Random House, c2001.</t>
  </si>
  <si>
    <t>2003-04-25</t>
  </si>
  <si>
    <t>9175926:eng</t>
  </si>
  <si>
    <t>46343171</t>
  </si>
  <si>
    <t>991003645799702656</t>
  </si>
  <si>
    <t>2271059470002656</t>
  </si>
  <si>
    <t>9780679457688</t>
  </si>
  <si>
    <t>32285004426853</t>
  </si>
  <si>
    <t>893781231</t>
  </si>
  <si>
    <t>DS779.26 .C22 2006</t>
  </si>
  <si>
    <t>0                      DS 0779260C  22          2006</t>
  </si>
  <si>
    <t>China's deep reform : Domestic politics in transition / edited by Lowell Dittmer and Guoli Liu.</t>
  </si>
  <si>
    <t>Lanham, Md. : Rowman &amp; Littlefield Publishers, Inc., c2006.</t>
  </si>
  <si>
    <t>892210418:eng</t>
  </si>
  <si>
    <t>62326765</t>
  </si>
  <si>
    <t>991005033529702656</t>
  </si>
  <si>
    <t>2272176360002656</t>
  </si>
  <si>
    <t>9780742539303</t>
  </si>
  <si>
    <t>32285005277396</t>
  </si>
  <si>
    <t>893353656</t>
  </si>
  <si>
    <t>DS779.26 .C47285 2006</t>
  </si>
  <si>
    <t>0                      DS 0779260C  47285       2006</t>
  </si>
  <si>
    <t>China : the balance sheet : what the world needs to know now about the emerging superpower / C. Fred Bergsten ... [et al.].</t>
  </si>
  <si>
    <t>New York : Public Affairs, c2006.</t>
  </si>
  <si>
    <t>867006896:eng</t>
  </si>
  <si>
    <t>65400743</t>
  </si>
  <si>
    <t>991004844079702656</t>
  </si>
  <si>
    <t>2258330830002656</t>
  </si>
  <si>
    <t>9781586484644</t>
  </si>
  <si>
    <t>32285005193676</t>
  </si>
  <si>
    <t>893870183</t>
  </si>
  <si>
    <t>DS779.26 .C473527 1998</t>
  </si>
  <si>
    <t>0                      DS 0779260C  473527      1998</t>
  </si>
  <si>
    <t>China since 1978 : reform, modernisation and 'socialism with Chinese characteristics' / Colin Mackerras, Pradeep Taneja, Graham Young.</t>
  </si>
  <si>
    <t>Mackerras, Colin.</t>
  </si>
  <si>
    <t>Melbourne : Addison Wesley Longman, 1998.</t>
  </si>
  <si>
    <t>2nd rev. ed.</t>
  </si>
  <si>
    <t>1999-10-05</t>
  </si>
  <si>
    <t>196641802:eng</t>
  </si>
  <si>
    <t>40716346</t>
  </si>
  <si>
    <t>991002926929702656</t>
  </si>
  <si>
    <t>2260901580002656</t>
  </si>
  <si>
    <t>9780582810266</t>
  </si>
  <si>
    <t>32285003592655</t>
  </si>
  <si>
    <t>893524208</t>
  </si>
  <si>
    <t>DS779.26 .C473543 2000</t>
  </si>
  <si>
    <t>0                      DS 0779260C  473543      2000</t>
  </si>
  <si>
    <t>China under Jiang Zemin / edited by Hung-mao Tien, Yun-han chu.</t>
  </si>
  <si>
    <t>Boulder, Colo. : Lynne Rienner Publishers, 2000.</t>
  </si>
  <si>
    <t>2005-04-10</t>
  </si>
  <si>
    <t>56480791:eng</t>
  </si>
  <si>
    <t>42641740</t>
  </si>
  <si>
    <t>991003875899702656</t>
  </si>
  <si>
    <t>2258616810002656</t>
  </si>
  <si>
    <t>9781555878443</t>
  </si>
  <si>
    <t>32285004655972</t>
  </si>
  <si>
    <t>893262991</t>
  </si>
  <si>
    <t>DS779.26 .C4737</t>
  </si>
  <si>
    <t>0                      DS 0779260C  4737</t>
  </si>
  <si>
    <t>China's quest for independence : policy evolution in the 1970s / edited by Thomas Fingar and the Stanford journal of international studies : Paul Blencowe, editor in chief.</t>
  </si>
  <si>
    <t>Westview special studies on China and East Asia</t>
  </si>
  <si>
    <t>878700118:eng</t>
  </si>
  <si>
    <t>5674124</t>
  </si>
  <si>
    <t>991004855449702656</t>
  </si>
  <si>
    <t>2256316750002656</t>
  </si>
  <si>
    <t>9780891585701</t>
  </si>
  <si>
    <t>32285000339175</t>
  </si>
  <si>
    <t>893776520</t>
  </si>
  <si>
    <t>DS779.26 .C47376 1994</t>
  </si>
  <si>
    <t>0                      DS 0779260C  47376       1994</t>
  </si>
  <si>
    <t>The Chinese and their future : Beijing, Taipei, and Hong Kong / Zhiling Lin and Thomas W. Robinson, editors.</t>
  </si>
  <si>
    <t>Washington, D.C. : AEI Press, 1994.</t>
  </si>
  <si>
    <t>2007-04-26</t>
  </si>
  <si>
    <t>367842979:eng</t>
  </si>
  <si>
    <t>28550088</t>
  </si>
  <si>
    <t>991002217469702656</t>
  </si>
  <si>
    <t>2272671780002656</t>
  </si>
  <si>
    <t>9780844738048</t>
  </si>
  <si>
    <t>32285002175528</t>
  </si>
  <si>
    <t>893232690</t>
  </si>
  <si>
    <t>DS779.26 .C66</t>
  </si>
  <si>
    <t>0                      DS 0779260C  66</t>
  </si>
  <si>
    <t>China's global role : an analysis of Peking's national power capabilities in the context of an evolving international system / John Franklin Copper.</t>
  </si>
  <si>
    <t>Copper, John Franklin.</t>
  </si>
  <si>
    <t>Stanford, Calif. : Hoover Institution Press, Stanford University, c1980.</t>
  </si>
  <si>
    <t>Hoover Institution publication ; 226</t>
  </si>
  <si>
    <t>365970281:eng</t>
  </si>
  <si>
    <t>6753160</t>
  </si>
  <si>
    <t>991005035399702656</t>
  </si>
  <si>
    <t>2264615130002656</t>
  </si>
  <si>
    <t>9780817972622</t>
  </si>
  <si>
    <t>32285000339183</t>
  </si>
  <si>
    <t>893248244</t>
  </si>
  <si>
    <t>DS779.26 .G67 1986</t>
  </si>
  <si>
    <t>0                      DS 0779260G  67          1986</t>
  </si>
  <si>
    <t>The China challenge : adjustment and reform / David S.G. Goodman, Martin Lockett, and Gerald Segal.</t>
  </si>
  <si>
    <t>Goodman, David S. G.</t>
  </si>
  <si>
    <t>London ; New York : Routledge &amp; Kegan Paul : Royal Institute of International Affairs, 1986.</t>
  </si>
  <si>
    <t>Chatham House papers ; 32</t>
  </si>
  <si>
    <t>7749951:eng</t>
  </si>
  <si>
    <t>14187226</t>
  </si>
  <si>
    <t>991000917079702656</t>
  </si>
  <si>
    <t>2260170150002656</t>
  </si>
  <si>
    <t>9780710211118</t>
  </si>
  <si>
    <t>32285000339191</t>
  </si>
  <si>
    <t>893778368</t>
  </si>
  <si>
    <t>DS779.26 .L57 1990</t>
  </si>
  <si>
    <t>0                      DS 0779260L  57          1990</t>
  </si>
  <si>
    <t>China's crisis, China's hope / Liu Binyan ; translated by Howard Goldblatt.</t>
  </si>
  <si>
    <t>Liu, Binyan, 1925-2005.</t>
  </si>
  <si>
    <t>Cambridge, Mass. : Harvard University Press, 1990.</t>
  </si>
  <si>
    <t>48254887:eng</t>
  </si>
  <si>
    <t>21482656</t>
  </si>
  <si>
    <t>991001695029702656</t>
  </si>
  <si>
    <t>2260061160002656</t>
  </si>
  <si>
    <t>9780674118829</t>
  </si>
  <si>
    <t>32285003554648</t>
  </si>
  <si>
    <t>893420524</t>
  </si>
  <si>
    <t>DS779.26 .L58 1999</t>
  </si>
  <si>
    <t>0                      DS 0779260L  58          1999</t>
  </si>
  <si>
    <t>Gadflying China : a democratic perspective / X. Drew Liu.</t>
  </si>
  <si>
    <t>Liu, X. Drew.</t>
  </si>
  <si>
    <t>Washington, D.C. : China Strategic Institute, c1999.</t>
  </si>
  <si>
    <t>2003-09-04</t>
  </si>
  <si>
    <t>1999-03-31</t>
  </si>
  <si>
    <t>475876634:eng</t>
  </si>
  <si>
    <t>41038702</t>
  </si>
  <si>
    <t>991003016489702656</t>
  </si>
  <si>
    <t>2259840180002656</t>
  </si>
  <si>
    <t>9780966050219</t>
  </si>
  <si>
    <t>32285003548129</t>
  </si>
  <si>
    <t>893530767</t>
  </si>
  <si>
    <t>DS779.26 .M3713 1982</t>
  </si>
  <si>
    <t>0                      DS 0779260M  3713        1982</t>
  </si>
  <si>
    <t>Cult &amp; canon : the origins and development of state Maoism / Helmut Martin.</t>
  </si>
  <si>
    <t>Martin, Helmut, 1940-</t>
  </si>
  <si>
    <t>Armonk, N.Y. : M.E. Sharpe, c1982.</t>
  </si>
  <si>
    <t>520643:eng</t>
  </si>
  <si>
    <t>8762547</t>
  </si>
  <si>
    <t>991000063999702656</t>
  </si>
  <si>
    <t>2266712340002656</t>
  </si>
  <si>
    <t>9780873321501</t>
  </si>
  <si>
    <t>32285000339209</t>
  </si>
  <si>
    <t>893521354</t>
  </si>
  <si>
    <t>DS779.26 .M45 1996</t>
  </si>
  <si>
    <t>0                      DS 0779260M  45          1996</t>
  </si>
  <si>
    <t>The Deng Xiaoping era : an inquiry into the fate of Chinese socialism, 1978-1994 / Maurice Meisner.</t>
  </si>
  <si>
    <t>Meisner, Maurice J., 1931-</t>
  </si>
  <si>
    <t>New York : Hill and Wang, 1996</t>
  </si>
  <si>
    <t>1996-11-01</t>
  </si>
  <si>
    <t>2019459:eng</t>
  </si>
  <si>
    <t>33666128</t>
  </si>
  <si>
    <t>991002577469702656</t>
  </si>
  <si>
    <t>2257739790002656</t>
  </si>
  <si>
    <t>9780809078158</t>
  </si>
  <si>
    <t>32285002370830</t>
  </si>
  <si>
    <t>893804764</t>
  </si>
  <si>
    <t>DS779.26 .M66 1983</t>
  </si>
  <si>
    <t>0                      DS 0779260M  66          1983</t>
  </si>
  <si>
    <t>Chinese politics after Mao : development and liberalization, 1976 to 1983 / Peter R. Moody, Jr.</t>
  </si>
  <si>
    <t>Moody, Peter R.</t>
  </si>
  <si>
    <t>New York, N.Y., U.S.A. : Praeger, 1983.</t>
  </si>
  <si>
    <t>916975083:eng</t>
  </si>
  <si>
    <t>9682472</t>
  </si>
  <si>
    <t>991000238749702656</t>
  </si>
  <si>
    <t>2264080300002656</t>
  </si>
  <si>
    <t>9780030635274</t>
  </si>
  <si>
    <t>32285000339217</t>
  </si>
  <si>
    <t>893871528</t>
  </si>
  <si>
    <t>DS779.26 .N38 1990</t>
  </si>
  <si>
    <t>0                      DS 0779260N  38          1990</t>
  </si>
  <si>
    <t>China's crisis : dilemmas of reform and prospects for democracy / Andrew J. Nathan.</t>
  </si>
  <si>
    <t>Nathan, Andrew J. (Andrew James)</t>
  </si>
  <si>
    <t>New York : Columbia University Press, c1990.</t>
  </si>
  <si>
    <t>2008-11-29</t>
  </si>
  <si>
    <t>1991-05-06</t>
  </si>
  <si>
    <t>313966214:eng</t>
  </si>
  <si>
    <t>20827289</t>
  </si>
  <si>
    <t>991001623759702656</t>
  </si>
  <si>
    <t>2261313880002656</t>
  </si>
  <si>
    <t>9780231072847</t>
  </si>
  <si>
    <t>32285000571223</t>
  </si>
  <si>
    <t>893439253</t>
  </si>
  <si>
    <t>DS779.26 .N383 1997</t>
  </si>
  <si>
    <t>0                      DS 0779260N  383         1997</t>
  </si>
  <si>
    <t>China's transition / Andrew J. Nathan ; with contributions by Tianjian Shi and Helena V.S. Ho.</t>
  </si>
  <si>
    <t>A study of the East Asian Institute</t>
  </si>
  <si>
    <t>1998-03-30</t>
  </si>
  <si>
    <t>602459:eng</t>
  </si>
  <si>
    <t>37109212</t>
  </si>
  <si>
    <t>991002820669702656</t>
  </si>
  <si>
    <t>2265265110002656</t>
  </si>
  <si>
    <t>9780231110228</t>
  </si>
  <si>
    <t>32285003381604</t>
  </si>
  <si>
    <t>893604081</t>
  </si>
  <si>
    <t>DS779.26 .P93</t>
  </si>
  <si>
    <t>0                      DS 0779260P  93</t>
  </si>
  <si>
    <t>The dynamics of Chinese politics / Lucian Pye.</t>
  </si>
  <si>
    <t>Pye, Lucian W., 1921-2008.</t>
  </si>
  <si>
    <t>Cambridge, Mass. : Oelgeschlager, Gunn &amp; Hain, c1981.</t>
  </si>
  <si>
    <t>145521255:eng</t>
  </si>
  <si>
    <t>7835734</t>
  </si>
  <si>
    <t>991005166129702656</t>
  </si>
  <si>
    <t>2255015370002656</t>
  </si>
  <si>
    <t>9780899461328</t>
  </si>
  <si>
    <t>32285000339225</t>
  </si>
  <si>
    <t>893443514</t>
  </si>
  <si>
    <t>DS779.26 .S737 1997</t>
  </si>
  <si>
    <t>0                      DS 0779260S  737         1997</t>
  </si>
  <si>
    <t>Understanding China : a guide to China's economy, history, and political structure / John Bryan Starr.</t>
  </si>
  <si>
    <t>New York : Hill &amp; Wang, 1997.</t>
  </si>
  <si>
    <t>41242600:eng</t>
  </si>
  <si>
    <t>36327275</t>
  </si>
  <si>
    <t>991002768029702656</t>
  </si>
  <si>
    <t>2265088100002656</t>
  </si>
  <si>
    <t>9780809094882</t>
  </si>
  <si>
    <t>32285003253274</t>
  </si>
  <si>
    <t>893257691</t>
  </si>
  <si>
    <t>DS779.27 .C4873 1984</t>
  </si>
  <si>
    <t>0                      DS 0779270C  4873        1984</t>
  </si>
  <si>
    <t>China and the world : Chinese foreign policy in the post-Mao era / edited by Samuel S. Kim.</t>
  </si>
  <si>
    <t>Boulder : Westview Press, c1984.</t>
  </si>
  <si>
    <t>3855252296:eng</t>
  </si>
  <si>
    <t>10798878</t>
  </si>
  <si>
    <t>991000435849702656</t>
  </si>
  <si>
    <t>2271121970002656</t>
  </si>
  <si>
    <t>9780865315563</t>
  </si>
  <si>
    <t>32285000339233</t>
  </si>
  <si>
    <t>893243240</t>
  </si>
  <si>
    <t>DS779.27 .C488 1981</t>
  </si>
  <si>
    <t>0                      DS 0779270C  488         1981</t>
  </si>
  <si>
    <t>The China factor : Sino-American relations and the global scene.</t>
  </si>
  <si>
    <t>Englewood Cliffs, N.J. : Prentice-Hall, c1981.</t>
  </si>
  <si>
    <t>859765808:eng</t>
  </si>
  <si>
    <t>7573660</t>
  </si>
  <si>
    <t>991005132569702656</t>
  </si>
  <si>
    <t>2271544590002656</t>
  </si>
  <si>
    <t>9780131326965</t>
  </si>
  <si>
    <t>32285000339241</t>
  </si>
  <si>
    <t>893230261</t>
  </si>
  <si>
    <t>DS779.27 .C49</t>
  </si>
  <si>
    <t>0                      DS 0779270C  49</t>
  </si>
  <si>
    <t>China in the global community / edited by James C. Hsiung and Samuel S. Kim ; written under the auspices of the Center for International Studies, Princeton University.</t>
  </si>
  <si>
    <t>New York, N.Y. : Praeger, 1980.</t>
  </si>
  <si>
    <t>352317118:eng</t>
  </si>
  <si>
    <t>6087476</t>
  </si>
  <si>
    <t>991004927819702656</t>
  </si>
  <si>
    <t>2259544360002656</t>
  </si>
  <si>
    <t>9780030570094</t>
  </si>
  <si>
    <t>32285000339258</t>
  </si>
  <si>
    <t>893430624</t>
  </si>
  <si>
    <t>DS779.27 .C493 1999</t>
  </si>
  <si>
    <t>0                      DS 0779270C  493         1999</t>
  </si>
  <si>
    <t>China joins the world : progress and prospects / edited by Elizabeth Economy, Michel Oksenberg.</t>
  </si>
  <si>
    <t>New York : Council on Foreign Relations Press, c1999.</t>
  </si>
  <si>
    <t>890981056:eng</t>
  </si>
  <si>
    <t>40716062</t>
  </si>
  <si>
    <t>991003004889702656</t>
  </si>
  <si>
    <t>2270810600002656</t>
  </si>
  <si>
    <t>9780876092255</t>
  </si>
  <si>
    <t>32285003553699</t>
  </si>
  <si>
    <t>893799279</t>
  </si>
  <si>
    <t>DS779.27 .C52 1982</t>
  </si>
  <si>
    <t>0                      DS 0779270C  52          1982</t>
  </si>
  <si>
    <t>China's foreign relations : new perspectives / edited by Chün-tu Hsüeh = [Chung-kuo wai chiao kuan hsi hsin lun /Hsüeh Chün-tu pien chu].</t>
  </si>
  <si>
    <t>New York, N.Y. : Praeger, 1982.</t>
  </si>
  <si>
    <t>906986444:eng</t>
  </si>
  <si>
    <t>8051407</t>
  </si>
  <si>
    <t>991005196989702656</t>
  </si>
  <si>
    <t>2258891570002656</t>
  </si>
  <si>
    <t>9780030602399</t>
  </si>
  <si>
    <t>32285000339266</t>
  </si>
  <si>
    <t>893807973</t>
  </si>
  <si>
    <t>DS779.27 .C53 1988</t>
  </si>
  <si>
    <t>0                      DS 0779270C  53          1988</t>
  </si>
  <si>
    <t>Chinese defense and foreign policy / edited by June Teufel Dreyer.</t>
  </si>
  <si>
    <t>New York : Professors World Peace Academy : Distributed by Paragon House, c1988.</t>
  </si>
  <si>
    <t>World social systems series. China in a new era</t>
  </si>
  <si>
    <t>1996-03-11</t>
  </si>
  <si>
    <t>55111460:eng</t>
  </si>
  <si>
    <t>18224671</t>
  </si>
  <si>
    <t>991001321009702656</t>
  </si>
  <si>
    <t>2263953180002656</t>
  </si>
  <si>
    <t>9780943852553</t>
  </si>
  <si>
    <t>32285002141322</t>
  </si>
  <si>
    <t>893351859</t>
  </si>
  <si>
    <t>DS779.27 .H78 2000</t>
  </si>
  <si>
    <t>0                      DS 0779270H  78          2000</t>
  </si>
  <si>
    <t>China's international relations in the 21st century dynamics of paradigm shifts / Weixing Hu, Gerald Chan, Daojiong Zha.</t>
  </si>
  <si>
    <t>Hu, Weixing.</t>
  </si>
  <si>
    <t>Lanham : University Press of America, c2000.</t>
  </si>
  <si>
    <t>2002-04-16</t>
  </si>
  <si>
    <t>324696774:eng</t>
  </si>
  <si>
    <t>44802747</t>
  </si>
  <si>
    <t>991003768019702656</t>
  </si>
  <si>
    <t>2272353300002656</t>
  </si>
  <si>
    <t>9780761818311</t>
  </si>
  <si>
    <t>32285004479761</t>
  </si>
  <si>
    <t>893318386</t>
  </si>
  <si>
    <t>DS779.27 .I53 1999</t>
  </si>
  <si>
    <t>0                      DS 0779270I  53          1999</t>
  </si>
  <si>
    <t>In the eyes of the dragon : China views the world / edited by Yong Deng and Fei-Ling Wang.</t>
  </si>
  <si>
    <t>Lanham : Rowman &amp; Littlefield Publishers, c1999.</t>
  </si>
  <si>
    <t>2000-07-27</t>
  </si>
  <si>
    <t>799848299:eng</t>
  </si>
  <si>
    <t>40230376</t>
  </si>
  <si>
    <t>991003222929702656</t>
  </si>
  <si>
    <t>2254942890002656</t>
  </si>
  <si>
    <t>9780847693368</t>
  </si>
  <si>
    <t>32285003743167</t>
  </si>
  <si>
    <t>893893492</t>
  </si>
  <si>
    <t>DS779.27 .K55</t>
  </si>
  <si>
    <t>0                      DS 0779270K  55</t>
  </si>
  <si>
    <t>China, the United Nations, and world order / Samuel S. Kim.</t>
  </si>
  <si>
    <t>Kim, Samuel S., 1935-</t>
  </si>
  <si>
    <t>1996-05-05</t>
  </si>
  <si>
    <t>442224:eng</t>
  </si>
  <si>
    <t>4493859</t>
  </si>
  <si>
    <t>991004650899702656</t>
  </si>
  <si>
    <t>2263093920002656</t>
  </si>
  <si>
    <t>9780691075990</t>
  </si>
  <si>
    <t>32285000339274</t>
  </si>
  <si>
    <t>893253937</t>
  </si>
  <si>
    <t>DS779.27 .M33 2001</t>
  </si>
  <si>
    <t>0                      DS 0779270M  33          2001</t>
  </si>
  <si>
    <t>The making of Chinese foreign and security policy in the era of reform, 1978-2000 / David M. Lampton, editor.</t>
  </si>
  <si>
    <t>Stanford, Calif. : Stanford University Press, c2001.</t>
  </si>
  <si>
    <t>364485202:eng</t>
  </si>
  <si>
    <t>45835554</t>
  </si>
  <si>
    <t>991003780479702656</t>
  </si>
  <si>
    <t>2268225160002656</t>
  </si>
  <si>
    <t>9780804740555</t>
  </si>
  <si>
    <t>32285004476072</t>
  </si>
  <si>
    <t>893349134</t>
  </si>
  <si>
    <t>DS779.27 .N49 2006</t>
  </si>
  <si>
    <t>0                      DS 0779270N  49          2006</t>
  </si>
  <si>
    <t>New directions in the study of China's foreign policy / edited by Alastair Iain Johnston and Robert S. Ross.</t>
  </si>
  <si>
    <t>Stanford, Calif. : Stanford University Press, 2006.</t>
  </si>
  <si>
    <t>351407894:eng</t>
  </si>
  <si>
    <t>64427511</t>
  </si>
  <si>
    <t>991005304199702656</t>
  </si>
  <si>
    <t>2256047150002656</t>
  </si>
  <si>
    <t>9780804753623</t>
  </si>
  <si>
    <t>32285005514731</t>
  </si>
  <si>
    <t>893326546</t>
  </si>
  <si>
    <t>DS779.27 .R57 2000</t>
  </si>
  <si>
    <t>0                      DS 0779270R  57          2000</t>
  </si>
  <si>
    <t>The rise of China / edited by Michael E. Brown ... [et al.].</t>
  </si>
  <si>
    <t>Cambridge, Mass. : MIT Press, 2000.</t>
  </si>
  <si>
    <t>International security readers</t>
  </si>
  <si>
    <t>56545582:eng</t>
  </si>
  <si>
    <t>43969857</t>
  </si>
  <si>
    <t>991003306019702656</t>
  </si>
  <si>
    <t>2255496370002656</t>
  </si>
  <si>
    <t>9780262522762</t>
  </si>
  <si>
    <t>32285004296298</t>
  </si>
  <si>
    <t>893887340</t>
  </si>
  <si>
    <t>DS779.27 .S86 2005</t>
  </si>
  <si>
    <t>0                      DS 0779270S  86          2005</t>
  </si>
  <si>
    <t>China's rise in Asia : promises and perils / Robert G. Sutter.</t>
  </si>
  <si>
    <t>Sutter, Robert G.</t>
  </si>
  <si>
    <t>Lanham, MD : Rowman &amp; Littlefield Publishers, c2005.</t>
  </si>
  <si>
    <t>180487:eng</t>
  </si>
  <si>
    <t>57170057</t>
  </si>
  <si>
    <t>991004742339702656</t>
  </si>
  <si>
    <t>2258940540002656</t>
  </si>
  <si>
    <t>9780742539068</t>
  </si>
  <si>
    <t>32285005161988</t>
  </si>
  <si>
    <t>893706783</t>
  </si>
  <si>
    <t>DS779.27 .S873 2008</t>
  </si>
  <si>
    <t>0                      DS 0779270S  873         2008</t>
  </si>
  <si>
    <t>Chinese foreign relations : power and policy since the Cold War / Robert G. Sutter.</t>
  </si>
  <si>
    <t>Lanham, MD : Rowman &amp; Littlefield, c2008.</t>
  </si>
  <si>
    <t>Asia in world politics</t>
  </si>
  <si>
    <t>2008-07-30</t>
  </si>
  <si>
    <t>4916350639:eng</t>
  </si>
  <si>
    <t>82772706</t>
  </si>
  <si>
    <t>991005216439702656</t>
  </si>
  <si>
    <t>2264993760002656</t>
  </si>
  <si>
    <t>9780742555365</t>
  </si>
  <si>
    <t>32285005451264</t>
  </si>
  <si>
    <t>893902309</t>
  </si>
  <si>
    <t>DS779.27 .Y34 1983b</t>
  </si>
  <si>
    <t>0                      DS 0779270Y  34          1983b</t>
  </si>
  <si>
    <t>Towards the end of isolationism : China's foreign policy after Mao / Michael Yahuda.</t>
  </si>
  <si>
    <t>Yahuda, Michael B.</t>
  </si>
  <si>
    <t>2759176:eng</t>
  </si>
  <si>
    <t>10240742</t>
  </si>
  <si>
    <t>991000338669702656</t>
  </si>
  <si>
    <t>2270611960002656</t>
  </si>
  <si>
    <t>9780312811419</t>
  </si>
  <si>
    <t>32285000339282</t>
  </si>
  <si>
    <t>893896795</t>
  </si>
  <si>
    <t>DS779.29.W45 A4 1997</t>
  </si>
  <si>
    <t>0                      DS 0779290W  45                 A  4           1997</t>
  </si>
  <si>
    <t>The courage to stand alone : letters from prison and other writings / Wei Jingsheng ; edited and translated by Kristina M. Torgeson ; with essays by Andrew J. Nathan, Liu Qing, Sophia Woodman.</t>
  </si>
  <si>
    <t>Wei, Jingsheng.</t>
  </si>
  <si>
    <t>1998-05-09</t>
  </si>
  <si>
    <t>1997-07-02</t>
  </si>
  <si>
    <t>796321603:eng</t>
  </si>
  <si>
    <t>35990327</t>
  </si>
  <si>
    <t>991002740779702656</t>
  </si>
  <si>
    <t>2264455680002656</t>
  </si>
  <si>
    <t>9780670872497</t>
  </si>
  <si>
    <t>32285002880275</t>
  </si>
  <si>
    <t>893867621</t>
  </si>
  <si>
    <t>DS779.32 .C67 1993</t>
  </si>
  <si>
    <t>0                      DS 0779320C  67          1993</t>
  </si>
  <si>
    <t>Spring winds of Beijing / Gail Copeland.</t>
  </si>
  <si>
    <t>Copeland, Gail.</t>
  </si>
  <si>
    <t>Lakewood, CO. : Glenbridge Publishing, c1993.</t>
  </si>
  <si>
    <t>1996-12-04</t>
  </si>
  <si>
    <t>30827367:eng</t>
  </si>
  <si>
    <t>27898162</t>
  </si>
  <si>
    <t>991002168399702656</t>
  </si>
  <si>
    <t>2263156770002656</t>
  </si>
  <si>
    <t>9780944435205</t>
  </si>
  <si>
    <t>32285002388063</t>
  </si>
  <si>
    <t>893226540</t>
  </si>
  <si>
    <t>DS779.32 .C84 1991</t>
  </si>
  <si>
    <t>0                      DS 0779320C  84          1991</t>
  </si>
  <si>
    <t>Culture &amp; politics in China : an anatomy of Tiananmen Square / Peter Li, Marjorie H. Li and Steven Mark, editors.</t>
  </si>
  <si>
    <t>New Brunswick, U.S.A. : Transaction Publishers, c1991</t>
  </si>
  <si>
    <t>2007-11-27</t>
  </si>
  <si>
    <t>364206883:eng</t>
  </si>
  <si>
    <t>22118951</t>
  </si>
  <si>
    <t>991005153109702656</t>
  </si>
  <si>
    <t>2260690780002656</t>
  </si>
  <si>
    <t>9780887383533</t>
  </si>
  <si>
    <t>32285005368567</t>
  </si>
  <si>
    <t>893501412</t>
  </si>
  <si>
    <t>DS783.8 .D63 1984</t>
  </si>
  <si>
    <t>0                      DS 0783800D  63          1984</t>
  </si>
  <si>
    <t>When the wicked rise : American opinion-makers and the Manchurian crisis of 1931-1933 / Justus D. Doenecke.</t>
  </si>
  <si>
    <t>Doenecke, Justus D.</t>
  </si>
  <si>
    <t>Lewisburg, Pa. : Bucknell University Press ; London : Associated University Presses, c1984.</t>
  </si>
  <si>
    <t>20724226:eng</t>
  </si>
  <si>
    <t>9620006</t>
  </si>
  <si>
    <t>991000226129702656</t>
  </si>
  <si>
    <t>2270339970002656</t>
  </si>
  <si>
    <t>9780838750483</t>
  </si>
  <si>
    <t>32285000339290</t>
  </si>
  <si>
    <t>893614036</t>
  </si>
  <si>
    <t>DS785 .F34 1998</t>
  </si>
  <si>
    <t>0                      DS 0785000F  34          1998</t>
  </si>
  <si>
    <t>Demystifying Tibet : unlocking the secrets of the land of the snows / Lee Feigon.</t>
  </si>
  <si>
    <t>Chicago : Ivan R. Dee, Publisher, 1998.</t>
  </si>
  <si>
    <t>1st elephant pbk. ed.</t>
  </si>
  <si>
    <t>793897153:eng</t>
  </si>
  <si>
    <t>38258001</t>
  </si>
  <si>
    <t>991003697209702656</t>
  </si>
  <si>
    <t>2270909240002656</t>
  </si>
  <si>
    <t>9781566631969</t>
  </si>
  <si>
    <t>32285004447867</t>
  </si>
  <si>
    <t>893592772</t>
  </si>
  <si>
    <t>DS785 .F56 1974</t>
  </si>
  <si>
    <t>0                      DS 0785000F  56          1974</t>
  </si>
  <si>
    <t>Bayonets to Lhasa : the first full account of the British invasion of Tibet in 1904.</t>
  </si>
  <si>
    <t>Fleming, Peter, 1907-1971.</t>
  </si>
  <si>
    <t>Westport, Conn., Greenwood Press [1974, c1961]</t>
  </si>
  <si>
    <t>2008-04-25</t>
  </si>
  <si>
    <t>431966674:eng</t>
  </si>
  <si>
    <t>810305</t>
  </si>
  <si>
    <t>991003288329702656</t>
  </si>
  <si>
    <t>2269007400002656</t>
  </si>
  <si>
    <t>9780837172163</t>
  </si>
  <si>
    <t>32285002274180</t>
  </si>
  <si>
    <t>893445598</t>
  </si>
  <si>
    <t>DS785 .G8313</t>
  </si>
  <si>
    <t>0                      DS 0785000G  8313</t>
  </si>
  <si>
    <t>The empire of the steppes; a history of central Asia. Translated from the French by Naomi Walford.</t>
  </si>
  <si>
    <t>Grousset, René, 1885-1952.</t>
  </si>
  <si>
    <t>New Brunswick, N.J., Rutgers University Press [1970]</t>
  </si>
  <si>
    <t>4088249844:eng</t>
  </si>
  <si>
    <t>90972</t>
  </si>
  <si>
    <t>991000543219702656</t>
  </si>
  <si>
    <t>2266369280002656</t>
  </si>
  <si>
    <t>9780813506272</t>
  </si>
  <si>
    <t>32285002449378</t>
  </si>
  <si>
    <t>893601842</t>
  </si>
  <si>
    <t>DS785 .H273 1954</t>
  </si>
  <si>
    <t>0                      DS 0785000H  273         1954</t>
  </si>
  <si>
    <t>Seven years in Tibet / translated by Richard Graves.</t>
  </si>
  <si>
    <t>Harrer, Heinrich, 1912-2006.</t>
  </si>
  <si>
    <t>New York : Dutton, 1954 [c1953]</t>
  </si>
  <si>
    <t>1151186109:eng</t>
  </si>
  <si>
    <t>270329</t>
  </si>
  <si>
    <t>991002137459702656</t>
  </si>
  <si>
    <t>2263837820002656</t>
  </si>
  <si>
    <t>32285001326205</t>
  </si>
  <si>
    <t>893510340</t>
  </si>
  <si>
    <t>DS785 .H4</t>
  </si>
  <si>
    <t>0                      DS 0785000H  4</t>
  </si>
  <si>
    <t>A conquest of Tibet.</t>
  </si>
  <si>
    <t>Hedin, Sven Anders, 1865-1952.</t>
  </si>
  <si>
    <t>[New York, E.P. Dutton, 1934]</t>
  </si>
  <si>
    <t>4159832845:eng</t>
  </si>
  <si>
    <t>825239</t>
  </si>
  <si>
    <t>991003302199702656</t>
  </si>
  <si>
    <t>2267026130002656</t>
  </si>
  <si>
    <t>32285002449386</t>
  </si>
  <si>
    <t>893598458</t>
  </si>
  <si>
    <t>DS785 .H48</t>
  </si>
  <si>
    <t>0                      DS 0785000H  48</t>
  </si>
  <si>
    <t>Central Asia and Tibet.</t>
  </si>
  <si>
    <t>London, Hurst and Blackett, limited; New York, C. Scribners sons, 1903.</t>
  </si>
  <si>
    <t>1862782790:eng</t>
  </si>
  <si>
    <t>411970</t>
  </si>
  <si>
    <t>991002718779702656</t>
  </si>
  <si>
    <t>2264653100002656</t>
  </si>
  <si>
    <t>32285002449394</t>
  </si>
  <si>
    <t>893347838</t>
  </si>
  <si>
    <t>32285002449402</t>
  </si>
  <si>
    <t>893352483</t>
  </si>
  <si>
    <t>DS785 .M28</t>
  </si>
  <si>
    <t>0                      DS 0785000M  28</t>
  </si>
  <si>
    <t>The early empires of Central Asia; a study of the Scythians and the Huns and the part they played in world history, with special reference to the Chinese sources, by William Montgomery McGovern ...</t>
  </si>
  <si>
    <t>McGovern, William Montgomery, 1897-1964.</t>
  </si>
  <si>
    <t>Chapel Hill, The University of North Carolina Press, 1939.</t>
  </si>
  <si>
    <t>1459019:eng</t>
  </si>
  <si>
    <t>411670</t>
  </si>
  <si>
    <t>991002717339702656</t>
  </si>
  <si>
    <t>2264997480002656</t>
  </si>
  <si>
    <t>32285002449410</t>
  </si>
  <si>
    <t>893721592</t>
  </si>
  <si>
    <t>DS785 .S43</t>
  </si>
  <si>
    <t>0                      DS 0785000S  43</t>
  </si>
  <si>
    <t>Tibet and the Tibetans, by Tsung-lien Shên and Shên-chi Liu. Foreword by George E. Taylor.</t>
  </si>
  <si>
    <t>Shen, Zonglian.</t>
  </si>
  <si>
    <t>Stanford, Calif., Stanford University Press [1953]</t>
  </si>
  <si>
    <t>66815092:eng</t>
  </si>
  <si>
    <t>411664</t>
  </si>
  <si>
    <t>991002717309702656</t>
  </si>
  <si>
    <t>2264995350002656</t>
  </si>
  <si>
    <t>32285002449436</t>
  </si>
  <si>
    <t>893347834</t>
  </si>
  <si>
    <t>DS786 .A94 1984</t>
  </si>
  <si>
    <t>0                      DS 0786000A  94          1984</t>
  </si>
  <si>
    <t>In exile from the land of snows / by John F. Avedon.</t>
  </si>
  <si>
    <t>Avedon, John F.</t>
  </si>
  <si>
    <t>New York : Knopf : Distributed by Random House, 1984.</t>
  </si>
  <si>
    <t>2001-12-02</t>
  </si>
  <si>
    <t>3305546:eng</t>
  </si>
  <si>
    <t>10274917</t>
  </si>
  <si>
    <t>991000342519702656</t>
  </si>
  <si>
    <t>2270309900002656</t>
  </si>
  <si>
    <t>9780394518176</t>
  </si>
  <si>
    <t>32285000339340</t>
  </si>
  <si>
    <t>893896797</t>
  </si>
  <si>
    <t>DS786 .B255 2004</t>
  </si>
  <si>
    <t>0                      DS 0786000B  255         2004</t>
  </si>
  <si>
    <t>The heart of the world : a journey to the last secret place / Ian Baker ; introduction by His Holiness the Dalai Lama.</t>
  </si>
  <si>
    <t>Baker, Ian, 1957-</t>
  </si>
  <si>
    <t>New York : Penguin, 2004.</t>
  </si>
  <si>
    <t>897682571:eng</t>
  </si>
  <si>
    <t>56057920</t>
  </si>
  <si>
    <t>991004414389702656</t>
  </si>
  <si>
    <t>2255710340002656</t>
  </si>
  <si>
    <t>9781594200274</t>
  </si>
  <si>
    <t>32285005013270</t>
  </si>
  <si>
    <t>893411513</t>
  </si>
  <si>
    <t>DS786 .C33</t>
  </si>
  <si>
    <t>0                      DS 0786000C  33</t>
  </si>
  <si>
    <t>A Tibetan principality : the political system of Sa sKya / [by] C. W. Cassinelli and Robert B. Ekvall.</t>
  </si>
  <si>
    <t>Cassinelli, C. W.</t>
  </si>
  <si>
    <t>Ithaca, N.Y. : Cornell University Press, [1969]</t>
  </si>
  <si>
    <t>1992-07-03</t>
  </si>
  <si>
    <t>1144963:eng</t>
  </si>
  <si>
    <t>22756</t>
  </si>
  <si>
    <t>991000050409702656</t>
  </si>
  <si>
    <t>2268295650002656</t>
  </si>
  <si>
    <t>32285001148815</t>
  </si>
  <si>
    <t>893595217</t>
  </si>
  <si>
    <t>DS786 .P24 2000</t>
  </si>
  <si>
    <t>0                      DS 0786000P  24          2000</t>
  </si>
  <si>
    <t>Sorrow mountain; the journey of a Tibetan warrior nun / Ani Pachen &amp; Adelaide Donnelley.</t>
  </si>
  <si>
    <t>Pachen, Ani, 1933-</t>
  </si>
  <si>
    <t>New York : Kodansha International, 2000.</t>
  </si>
  <si>
    <t>2007-05-15</t>
  </si>
  <si>
    <t>837003368:eng</t>
  </si>
  <si>
    <t>42397691</t>
  </si>
  <si>
    <t>991005079699702656</t>
  </si>
  <si>
    <t>2268502480002656</t>
  </si>
  <si>
    <t>9781568362946</t>
  </si>
  <si>
    <t>32285005312896</t>
  </si>
  <si>
    <t>893437110</t>
  </si>
  <si>
    <t>DS786 .S48</t>
  </si>
  <si>
    <t>0                      DS 0786000S  48</t>
  </si>
  <si>
    <t>Tibet : a political history / by Tsepon W. D. Shakabpa.</t>
  </si>
  <si>
    <t>Shakabpa, W. D. (Wangchuk Deden), 1908-1989.</t>
  </si>
  <si>
    <t>New Haven : Yale University Press, 1967.</t>
  </si>
  <si>
    <t>2008-05-29</t>
  </si>
  <si>
    <t>197901076:eng</t>
  </si>
  <si>
    <t>6195921</t>
  </si>
  <si>
    <t>991004943339702656</t>
  </si>
  <si>
    <t>2265845170002656</t>
  </si>
  <si>
    <t>32285001148807</t>
  </si>
  <si>
    <t>893625264</t>
  </si>
  <si>
    <t>DS786 .S548 1998</t>
  </si>
  <si>
    <t>0                      DS 0786000S  548         1998</t>
  </si>
  <si>
    <t>Tibet : through the red box / Peter Sís.</t>
  </si>
  <si>
    <t>Sís, Peter, 1949-</t>
  </si>
  <si>
    <t>294117849:eng</t>
  </si>
  <si>
    <t>38096949</t>
  </si>
  <si>
    <t>991004639289702656</t>
  </si>
  <si>
    <t>2258515750002656</t>
  </si>
  <si>
    <t>9780374375522</t>
  </si>
  <si>
    <t>32285003551768</t>
  </si>
  <si>
    <t>893492432</t>
  </si>
  <si>
    <t>DS786 .S6 1968b</t>
  </si>
  <si>
    <t>0                      DS 0786000S  6           1968b</t>
  </si>
  <si>
    <t>A cultural history of Tibet / [by] David Snellgrove [and] Hugh Richardson.</t>
  </si>
  <si>
    <t>Snellgrove, David L.</t>
  </si>
  <si>
    <t>New York : F. A. Praeger, [1968]</t>
  </si>
  <si>
    <t>1459041:eng</t>
  </si>
  <si>
    <t>411674</t>
  </si>
  <si>
    <t>991002717369702656</t>
  </si>
  <si>
    <t>2264996920002656</t>
  </si>
  <si>
    <t>32285000136985</t>
  </si>
  <si>
    <t>893804933</t>
  </si>
  <si>
    <t>DS786 .S7713 1972b</t>
  </si>
  <si>
    <t>0                      DS 0786000S  7713        1972b</t>
  </si>
  <si>
    <t>Tibetan civilization / [by] R. A. Stein. Translated by J. E. Stapleton Driver. With original drawings by Lobsang Tendzin.</t>
  </si>
  <si>
    <t>Stein, R. A. (Rolf Alfred), 1911-1999.</t>
  </si>
  <si>
    <t>Stanford, Calif. : Stanford University Press, 1972.</t>
  </si>
  <si>
    <t>1992-12-18</t>
  </si>
  <si>
    <t>4916479157:eng</t>
  </si>
  <si>
    <t>370059</t>
  </si>
  <si>
    <t>991002551959702656</t>
  </si>
  <si>
    <t>2260575810002656</t>
  </si>
  <si>
    <t>9780804708067</t>
  </si>
  <si>
    <t>32285001444370</t>
  </si>
  <si>
    <t>893341571</t>
  </si>
  <si>
    <t>DS786 .T48 1973</t>
  </si>
  <si>
    <t>0                      DS 0786000T  48          1973</t>
  </si>
  <si>
    <t>The silent war in Tibet / by Lowell Thomas, Jr.</t>
  </si>
  <si>
    <t>Thomas, Lowell, 1923-</t>
  </si>
  <si>
    <t>Westport, Conn. : Greenwood Press, [1973, c1959]</t>
  </si>
  <si>
    <t>1459039:eng</t>
  </si>
  <si>
    <t>578766</t>
  </si>
  <si>
    <t>991003011979702656</t>
  </si>
  <si>
    <t>2258729530002656</t>
  </si>
  <si>
    <t>9780837167763</t>
  </si>
  <si>
    <t>32285001622363</t>
  </si>
  <si>
    <t>893893285</t>
  </si>
  <si>
    <t>DS786 .T49</t>
  </si>
  <si>
    <t>0                      DS 0786000T  49</t>
  </si>
  <si>
    <t>Tibet, by Thubten Jigme Norbu and Colin M. Turnbull.</t>
  </si>
  <si>
    <t>Thubten Jigme Norbu, 1922-2008.</t>
  </si>
  <si>
    <t>New York, Simon and Schuster [1968]</t>
  </si>
  <si>
    <t>4918046911:eng</t>
  </si>
  <si>
    <t>1513</t>
  </si>
  <si>
    <t>991005432929702656</t>
  </si>
  <si>
    <t>2271211770002656</t>
  </si>
  <si>
    <t>32285002449493</t>
  </si>
  <si>
    <t>893533859</t>
  </si>
  <si>
    <t>DS786 .T493</t>
  </si>
  <si>
    <t>0                      DS 0786000T  493</t>
  </si>
  <si>
    <t>Tibet / authors, Ngapo Ngawang Jigmei ... [et al.] ; design by Massimo Vignelli.</t>
  </si>
  <si>
    <t>New York : McGraw-Hill, 1981.</t>
  </si>
  <si>
    <t>375201128:eng</t>
  </si>
  <si>
    <t>7555700</t>
  </si>
  <si>
    <t>991005128899702656</t>
  </si>
  <si>
    <t>2266233190002656</t>
  </si>
  <si>
    <t>9780070325388</t>
  </si>
  <si>
    <t>32285000339357</t>
  </si>
  <si>
    <t>893533226</t>
  </si>
  <si>
    <t>DS786 .T63</t>
  </si>
  <si>
    <t>0                      DS 0786000T  63</t>
  </si>
  <si>
    <t>The splendors of Tibet / text and photos. by Audrey Topping ; foreword by Seymour Topping.</t>
  </si>
  <si>
    <t>Topping, Audrey.</t>
  </si>
  <si>
    <t>New York, N.Y. : SINO Pub. Co., c1980.</t>
  </si>
  <si>
    <t>1998-10-09</t>
  </si>
  <si>
    <t>24320809:eng</t>
  </si>
  <si>
    <t>6735462</t>
  </si>
  <si>
    <t>991005033189702656</t>
  </si>
  <si>
    <t>2267881880002656</t>
  </si>
  <si>
    <t>9780865190030</t>
  </si>
  <si>
    <t>32285000339373</t>
  </si>
  <si>
    <t>893533054</t>
  </si>
  <si>
    <t>DS786 .W65 1971</t>
  </si>
  <si>
    <t>0                      DS 0786000W  65          1971</t>
  </si>
  <si>
    <t>Into Tibet; the early British explorers.</t>
  </si>
  <si>
    <t>New York, Barnes &amp; Noble, 1971.</t>
  </si>
  <si>
    <t>Great travellers</t>
  </si>
  <si>
    <t>1275077:eng</t>
  </si>
  <si>
    <t>163990</t>
  </si>
  <si>
    <t>991000933449702656</t>
  </si>
  <si>
    <t>2272230250002656</t>
  </si>
  <si>
    <t>9780389041382</t>
  </si>
  <si>
    <t>32285002449519</t>
  </si>
  <si>
    <t>893438716</t>
  </si>
  <si>
    <t>DS79 .K43 1960</t>
  </si>
  <si>
    <t>0                      DS 0079000K  43          1960</t>
  </si>
  <si>
    <t>Independent Iraq, 1932-1958; a study in Iraqi politics.</t>
  </si>
  <si>
    <t>London, New York, Oxford University Press, 1960.</t>
  </si>
  <si>
    <t>4535686914:eng</t>
  </si>
  <si>
    <t>399043</t>
  </si>
  <si>
    <t>991002683189702656</t>
  </si>
  <si>
    <t>2257852670002656</t>
  </si>
  <si>
    <t>32285002460334</t>
  </si>
  <si>
    <t>893603878</t>
  </si>
  <si>
    <t>DS79 .T75 2000</t>
  </si>
  <si>
    <t>0                      DS 0079000T  75          2000</t>
  </si>
  <si>
    <t>A history of Iraq / Charles Tripp.</t>
  </si>
  <si>
    <t>Tripp, Charles.</t>
  </si>
  <si>
    <t>Cambridge : Cambridge University Press, 2000.</t>
  </si>
  <si>
    <t>2004-10-14</t>
  </si>
  <si>
    <t>47033:eng</t>
  </si>
  <si>
    <t>59564060</t>
  </si>
  <si>
    <t>991003334229702656</t>
  </si>
  <si>
    <t>2260352590002656</t>
  </si>
  <si>
    <t>9780521554046</t>
  </si>
  <si>
    <t>32285004279740</t>
  </si>
  <si>
    <t>893499202</t>
  </si>
  <si>
    <t>DS79.5 .B73 2004</t>
  </si>
  <si>
    <t>0                      DS 0079500B  73          2004</t>
  </si>
  <si>
    <t>The new Iraq : rebuilding the country for its people, the Middle East, and the world / Joseph Braude.</t>
  </si>
  <si>
    <t>Braude, Joseph.</t>
  </si>
  <si>
    <t>New York : Basic Books, c2004.</t>
  </si>
  <si>
    <t>2005-01-31</t>
  </si>
  <si>
    <t>702407:eng</t>
  </si>
  <si>
    <t>51536563</t>
  </si>
  <si>
    <t>991004456539702656</t>
  </si>
  <si>
    <t>2258243850002656</t>
  </si>
  <si>
    <t>9780465007899</t>
  </si>
  <si>
    <t>32285005023790</t>
  </si>
  <si>
    <t>893693970</t>
  </si>
  <si>
    <t>DS79.5 .S575 2007</t>
  </si>
  <si>
    <t>0                      DS 0079500S  575         2007</t>
  </si>
  <si>
    <t>Britain in Iraq : contriving king and country, 1914-1932 / Peter Sluglett.</t>
  </si>
  <si>
    <t>Sluglett, Peter.</t>
  </si>
  <si>
    <t>New York : Columbia University Press, c2007.</t>
  </si>
  <si>
    <t>2008-01-22</t>
  </si>
  <si>
    <t>864080523:eng</t>
  </si>
  <si>
    <t>76836251</t>
  </si>
  <si>
    <t>991005170519702656</t>
  </si>
  <si>
    <t>2266459400002656</t>
  </si>
  <si>
    <t>9780231142007</t>
  </si>
  <si>
    <t>32285005379580</t>
  </si>
  <si>
    <t>893895996</t>
  </si>
  <si>
    <t>DS79.65 .A687  2004</t>
  </si>
  <si>
    <t>0                      DS 0079650A  687         2004</t>
  </si>
  <si>
    <t>The future of Iraq : dictatorship, democracy, or division? / Liam Anderson and Gareth Stansfield.</t>
  </si>
  <si>
    <t>Anderson, Liam D.</t>
  </si>
  <si>
    <t>New York, N.Y. : Palgrave Macmillan, 2004.</t>
  </si>
  <si>
    <t>52293214:eng</t>
  </si>
  <si>
    <t>52638800</t>
  </si>
  <si>
    <t>991004252189702656</t>
  </si>
  <si>
    <t>2267551360002656</t>
  </si>
  <si>
    <t>9781403963543</t>
  </si>
  <si>
    <t>32285004897541</t>
  </si>
  <si>
    <t>893599611</t>
  </si>
  <si>
    <t>DS79.65 .A94 1988</t>
  </si>
  <si>
    <t>0                      DS 0079650A  94          1988</t>
  </si>
  <si>
    <t>A new Iraq? : the Gulf War and implications for U.S. policy / Frederick W. Axelgard.</t>
  </si>
  <si>
    <t>Axelgard, Frederick W.</t>
  </si>
  <si>
    <t>New York : Praeger, 1988.</t>
  </si>
  <si>
    <t>The Washington papers, 0278-937X ; 133</t>
  </si>
  <si>
    <t>1991-01-31</t>
  </si>
  <si>
    <t>3855802660:eng</t>
  </si>
  <si>
    <t>17441335</t>
  </si>
  <si>
    <t>991001218899702656</t>
  </si>
  <si>
    <t>2260569600002656</t>
  </si>
  <si>
    <t>9780275930141</t>
  </si>
  <si>
    <t>32285000462811</t>
  </si>
  <si>
    <t>893590120</t>
  </si>
  <si>
    <t>DS79.65 .B36 1991</t>
  </si>
  <si>
    <t>0                      DS 0079650B  36          1991</t>
  </si>
  <si>
    <t>Culture, history, and ideology in the formation of Baʻthist Iraq, 1968-89 / Amatzia Baram.</t>
  </si>
  <si>
    <t>Baram, Amatzia, 1938-</t>
  </si>
  <si>
    <t>23630790:eng</t>
  </si>
  <si>
    <t>22183338</t>
  </si>
  <si>
    <t>991001751749702656</t>
  </si>
  <si>
    <t>2258860840002656</t>
  </si>
  <si>
    <t>9780312048051</t>
  </si>
  <si>
    <t>32285001038768</t>
  </si>
  <si>
    <t>893534664</t>
  </si>
  <si>
    <t>DS79.65 .H45 1984</t>
  </si>
  <si>
    <t>0                      DS 0079650H  45          1984</t>
  </si>
  <si>
    <t>Iraq, eastern flank of the Arab world / Christine Moss Helms.</t>
  </si>
  <si>
    <t>Washington, D.C. : Brookings Institution, c1984.</t>
  </si>
  <si>
    <t>810739492:eng</t>
  </si>
  <si>
    <t>10949554</t>
  </si>
  <si>
    <t>991000464089702656</t>
  </si>
  <si>
    <t>2271597270002656</t>
  </si>
  <si>
    <t>9780815735557</t>
  </si>
  <si>
    <t>32285000292135</t>
  </si>
  <si>
    <t>893528068</t>
  </si>
  <si>
    <t>DS79.65 .K49</t>
  </si>
  <si>
    <t>0                      DS 0079650K  49</t>
  </si>
  <si>
    <t>Socialist Iraq : a study in Iraqi politics since 1968 / Majid Khadduri.</t>
  </si>
  <si>
    <t>Washington : Middle East Institute, 1978.</t>
  </si>
  <si>
    <t>13019797:eng</t>
  </si>
  <si>
    <t>3906344</t>
  </si>
  <si>
    <t>991004543229702656</t>
  </si>
  <si>
    <t>2254723510002656</t>
  </si>
  <si>
    <t>9780916808167</t>
  </si>
  <si>
    <t>32285000292143</t>
  </si>
  <si>
    <t>893882582</t>
  </si>
  <si>
    <t>DS79.65 .M24 2002</t>
  </si>
  <si>
    <t>0                      DS 0079650M  24          2002</t>
  </si>
  <si>
    <t>The reckoning : Iraq and the legacy of Saddam Hussein / Sandra Mackey.</t>
  </si>
  <si>
    <t>New York : Norton, c2002.</t>
  </si>
  <si>
    <t>2006-02-09</t>
  </si>
  <si>
    <t>2002-07-09</t>
  </si>
  <si>
    <t>690487:eng</t>
  </si>
  <si>
    <t>48810593</t>
  </si>
  <si>
    <t>991003819509702656</t>
  </si>
  <si>
    <t>2267997210002656</t>
  </si>
  <si>
    <t>9780393051414</t>
  </si>
  <si>
    <t>32285004496799</t>
  </si>
  <si>
    <t>893605237</t>
  </si>
  <si>
    <t>DS79.65 .S23 1989</t>
  </si>
  <si>
    <t>0                      DS 0079650S  23          1989</t>
  </si>
  <si>
    <t>Saddam's Iraq : revolution or reaction? / Committee Against Repression and for Democratic Rights in Iraq, CARDRI.</t>
  </si>
  <si>
    <t>London ; Atlantic Highlands, N.J. : Zed Books, 1989.</t>
  </si>
  <si>
    <t>New ed., rev. and updated.</t>
  </si>
  <si>
    <t>502702243:eng</t>
  </si>
  <si>
    <t>18221715</t>
  </si>
  <si>
    <t>991001319819702656</t>
  </si>
  <si>
    <t>2260190110002656</t>
  </si>
  <si>
    <t>9780862328214</t>
  </si>
  <si>
    <t>32285000277011</t>
  </si>
  <si>
    <t>893420252</t>
  </si>
  <si>
    <t>DS79.66.A53 S377 2003</t>
  </si>
  <si>
    <t>0                      DS 0079660A  53                 S  377         2003</t>
  </si>
  <si>
    <t>Mayada, daughter of Iraq : one woman's survival in Saddam Hussein's torture jail / Jean Sasson.</t>
  </si>
  <si>
    <t>Sasson, Jean P.</t>
  </si>
  <si>
    <t>London : Doubleday, 2003.</t>
  </si>
  <si>
    <t>2007-03-20</t>
  </si>
  <si>
    <t>1152805412:eng</t>
  </si>
  <si>
    <t>52738470</t>
  </si>
  <si>
    <t>991004154639702656</t>
  </si>
  <si>
    <t>2271129590002656</t>
  </si>
  <si>
    <t>9780385607261</t>
  </si>
  <si>
    <t>32285004798566</t>
  </si>
  <si>
    <t>893435953</t>
  </si>
  <si>
    <t>DS79.66.H87 B35 2006</t>
  </si>
  <si>
    <t>0                      DS 0079660H  87                 B  35          2006</t>
  </si>
  <si>
    <t>Saddam Hussein : a biography / Shiva Balaghi.</t>
  </si>
  <si>
    <t>Balaghi, Shiva.</t>
  </si>
  <si>
    <t>Westport, Conn. : Greenwood Press, 2006.</t>
  </si>
  <si>
    <t>Greenwood biographies</t>
  </si>
  <si>
    <t>187596:eng</t>
  </si>
  <si>
    <t>60971999</t>
  </si>
  <si>
    <t>991004800879702656</t>
  </si>
  <si>
    <t>2270902060002656</t>
  </si>
  <si>
    <t>9780313330773</t>
  </si>
  <si>
    <t>32285005183065</t>
  </si>
  <si>
    <t>893688169</t>
  </si>
  <si>
    <t>DS79.66.H87 H46 1991</t>
  </si>
  <si>
    <t>0                      DS 0079660H  87                 H  46          1991</t>
  </si>
  <si>
    <t>Instant empire : Saddam Hussein's ambition for Iraq / by Simon Henderson.</t>
  </si>
  <si>
    <t>Henderson, Simon, 1950-</t>
  </si>
  <si>
    <t>San Francisco : Mercury House, 1991.</t>
  </si>
  <si>
    <t>1991-06-05</t>
  </si>
  <si>
    <t>24505359:eng</t>
  </si>
  <si>
    <t>22733452</t>
  </si>
  <si>
    <t>991001810169702656</t>
  </si>
  <si>
    <t>2267391600002656</t>
  </si>
  <si>
    <t>9781562790073</t>
  </si>
  <si>
    <t>32285000592989</t>
  </si>
  <si>
    <t>893433157</t>
  </si>
  <si>
    <t>DS79.66.S225 C63 2008</t>
  </si>
  <si>
    <t>0                      DS 0079660S  225                C  63          2008</t>
  </si>
  <si>
    <t>Muqtada al-Sadr and the battle for the future of Iraq / Patrick Cockburn.</t>
  </si>
  <si>
    <t>Cockburn, Patrick, 1950-</t>
  </si>
  <si>
    <t>New York : Scribner, 2008.</t>
  </si>
  <si>
    <t>1st Scribner trade pbk. ed., expanded ed.</t>
  </si>
  <si>
    <t>2010-06-10</t>
  </si>
  <si>
    <t>2010-06-07</t>
  </si>
  <si>
    <t>180607358:eng</t>
  </si>
  <si>
    <t>234435530</t>
  </si>
  <si>
    <t>991005391339702656</t>
  </si>
  <si>
    <t>2269945210002656</t>
  </si>
  <si>
    <t>9781416551485</t>
  </si>
  <si>
    <t>32285005587216</t>
  </si>
  <si>
    <t>893789952</t>
  </si>
  <si>
    <t>DS79.66.S54 A3 2005</t>
  </si>
  <si>
    <t>0                      DS 0079660S  54                 A  3           2005</t>
  </si>
  <si>
    <t>Ahmad's war, Ahmad's peace : surviving under Saddam, dying in the new Iraq / Michael Goldfarb.</t>
  </si>
  <si>
    <t>Goldfarb, Michael.</t>
  </si>
  <si>
    <t>New York : Carroll &amp; Graf ; [Berkeley, CA] : Distributed by Publishers Group West, c2005.</t>
  </si>
  <si>
    <t>1st Carroll &amp; Graf ed.</t>
  </si>
  <si>
    <t>2005-11-29</t>
  </si>
  <si>
    <t>2287742905:eng</t>
  </si>
  <si>
    <t>61203344</t>
  </si>
  <si>
    <t>991004688169702656</t>
  </si>
  <si>
    <t>2257793350002656</t>
  </si>
  <si>
    <t>9780786715152</t>
  </si>
  <si>
    <t>32285005149173</t>
  </si>
  <si>
    <t>893353497</t>
  </si>
  <si>
    <t>DS79.7 .B4613 2002</t>
  </si>
  <si>
    <t>0                      DS 0079700B  4613        2002</t>
  </si>
  <si>
    <t>Saddam's word : political discourse in Iraq / Ofra Bengio.</t>
  </si>
  <si>
    <t>Bengio, Ofra.</t>
  </si>
  <si>
    <t>4918844619:eng</t>
  </si>
  <si>
    <t>48416900</t>
  </si>
  <si>
    <t>991003909849702656</t>
  </si>
  <si>
    <t>2270806530002656</t>
  </si>
  <si>
    <t>9780195151855</t>
  </si>
  <si>
    <t>32285004663083</t>
  </si>
  <si>
    <t>893240778</t>
  </si>
  <si>
    <t>DS79.7 .H57 2002</t>
  </si>
  <si>
    <t>0                      DS 0079700H  57          2002</t>
  </si>
  <si>
    <t>Iraq : in the eye of the storm / Dilip Hiro.</t>
  </si>
  <si>
    <t>New York : Thunder's Mouth Press/Nation Books, c2002.</t>
  </si>
  <si>
    <t>795447850:eng</t>
  </si>
  <si>
    <t>51101428</t>
  </si>
  <si>
    <t>991004006199702656</t>
  </si>
  <si>
    <t>2265968140002656</t>
  </si>
  <si>
    <t>9781560254775</t>
  </si>
  <si>
    <t>32285004682638</t>
  </si>
  <si>
    <t>893318685</t>
  </si>
  <si>
    <t>DS79.7 .R49 1992</t>
  </si>
  <si>
    <t>0                      DS 0079700R  49          1992</t>
  </si>
  <si>
    <t>Saddam Hussein's Gulf wars : ambivalent stakes in the Middle East / Miron Rezun.</t>
  </si>
  <si>
    <t>Rezun, Miron.</t>
  </si>
  <si>
    <t>Westport, Conn. : Praeger, c1992.</t>
  </si>
  <si>
    <t>866892633:eng</t>
  </si>
  <si>
    <t>25282767</t>
  </si>
  <si>
    <t>991001990719702656</t>
  </si>
  <si>
    <t>2271352260002656</t>
  </si>
  <si>
    <t>9780275943240</t>
  </si>
  <si>
    <t>32285001811917</t>
  </si>
  <si>
    <t>893408564</t>
  </si>
  <si>
    <t>DS79.7 .S198 2003</t>
  </si>
  <si>
    <t>0                      DS 0079700S  198         2003</t>
  </si>
  <si>
    <t>Saddam's Iraq : face-off in the Gulf / [journalists of] Reuters.</t>
  </si>
  <si>
    <t>Upper Saddle River, NJ : Reuters Prentice Hall, c2003.</t>
  </si>
  <si>
    <t>798936502:eng</t>
  </si>
  <si>
    <t>51251869</t>
  </si>
  <si>
    <t>991004004109702656</t>
  </si>
  <si>
    <t>2262689240002656</t>
  </si>
  <si>
    <t>9780131411531</t>
  </si>
  <si>
    <t>32285004683362</t>
  </si>
  <si>
    <t>893611800</t>
  </si>
  <si>
    <t>DS79.7 .S25 1991</t>
  </si>
  <si>
    <t>0                      DS 0079700S  25          1991</t>
  </si>
  <si>
    <t>The outlaw state : Saddam Hussein's quest for power and the Gulf crisis / Elaine Sciolino.</t>
  </si>
  <si>
    <t>Sciolino, Elaine.</t>
  </si>
  <si>
    <t>New York : Wiley, c1991.</t>
  </si>
  <si>
    <t>20664905:eng</t>
  </si>
  <si>
    <t>23584115</t>
  </si>
  <si>
    <t>991001869809702656</t>
  </si>
  <si>
    <t>2255448270002656</t>
  </si>
  <si>
    <t>9780471542995</t>
  </si>
  <si>
    <t>32285000663095</t>
  </si>
  <si>
    <t>893898123</t>
  </si>
  <si>
    <t>DS79.719 .W67 1994</t>
  </si>
  <si>
    <t>0                      DS 0079719W  67          1994</t>
  </si>
  <si>
    <t>The social origins of the Iran-Iraq War / W. Thom Workman.</t>
  </si>
  <si>
    <t>Workman, W. Thom.</t>
  </si>
  <si>
    <t>Boulder : Lynne Rienner Publishers, 1994.</t>
  </si>
  <si>
    <t>2010-12-07</t>
  </si>
  <si>
    <t>20771950:eng</t>
  </si>
  <si>
    <t>28966030</t>
  </si>
  <si>
    <t>991002246759702656</t>
  </si>
  <si>
    <t>2257540200002656</t>
  </si>
  <si>
    <t>9781555874605</t>
  </si>
  <si>
    <t>32285001999415</t>
  </si>
  <si>
    <t>893433666</t>
  </si>
  <si>
    <t>DS79.72 .D47 1991</t>
  </si>
  <si>
    <t>0                      DS 0079720D  47          1991</t>
  </si>
  <si>
    <t>Desert Storm : the war in the Persian Gulf / by the editors of Time magazine ; edited by Otto Friedrich.</t>
  </si>
  <si>
    <t>Boston : Little, Brown, 1991.</t>
  </si>
  <si>
    <t>2002-09-29</t>
  </si>
  <si>
    <t>918609140:eng</t>
  </si>
  <si>
    <t>23732332</t>
  </si>
  <si>
    <t>991001881569702656</t>
  </si>
  <si>
    <t>2265339480002656</t>
  </si>
  <si>
    <t>9780316851008</t>
  </si>
  <si>
    <t>32285000662626</t>
  </si>
  <si>
    <t>893891904</t>
  </si>
  <si>
    <t>DS79.72 .F74 1993</t>
  </si>
  <si>
    <t>0                      DS 0079720F  74          1993</t>
  </si>
  <si>
    <t>The Gulf conflict, 1990-1991 : diplomacy and war in the new world order / Lawrence Freedman and Efraim Karsh.</t>
  </si>
  <si>
    <t>Freedman, Lawrence.</t>
  </si>
  <si>
    <t>Princeton, N.J. : Princeton University Press, c1993.</t>
  </si>
  <si>
    <t>2000-03-02</t>
  </si>
  <si>
    <t>1993-12-10</t>
  </si>
  <si>
    <t>792358704:eng</t>
  </si>
  <si>
    <t>26854210</t>
  </si>
  <si>
    <t>991002093859702656</t>
  </si>
  <si>
    <t>2268082010002656</t>
  </si>
  <si>
    <t>9780691086279</t>
  </si>
  <si>
    <t>32285001815355</t>
  </si>
  <si>
    <t>893691206</t>
  </si>
  <si>
    <t>DS79.72 .H56 1992</t>
  </si>
  <si>
    <t>0                      DS 0079720H  56          1992</t>
  </si>
  <si>
    <t>George Bush vs. Saddam Hussein : military success! political failure? / Roger Hilsman.</t>
  </si>
  <si>
    <t>Hilsman, Roger.</t>
  </si>
  <si>
    <t>Novato, CA : Presidio, c1992.</t>
  </si>
  <si>
    <t>25993394:eng</t>
  </si>
  <si>
    <t>25547747</t>
  </si>
  <si>
    <t>991002009459702656</t>
  </si>
  <si>
    <t>2261659700002656</t>
  </si>
  <si>
    <t>9780891414704</t>
  </si>
  <si>
    <t>32285001364495</t>
  </si>
  <si>
    <t>893334828</t>
  </si>
  <si>
    <t>DS79.72 .I73 1993</t>
  </si>
  <si>
    <t>0                      DS 0079720I  73          1993</t>
  </si>
  <si>
    <t>The Iraqi invasion of Kuwait : American reflections / edited by Richard P. Stevens.</t>
  </si>
  <si>
    <t>Washington, DC : International Education and Communications Group, [1993]</t>
  </si>
  <si>
    <t>1994-01-13</t>
  </si>
  <si>
    <t>864906490:eng</t>
  </si>
  <si>
    <t>29348508</t>
  </si>
  <si>
    <t>991002261989702656</t>
  </si>
  <si>
    <t>2261764540002656</t>
  </si>
  <si>
    <t>32285001804300</t>
  </si>
  <si>
    <t>893716242</t>
  </si>
  <si>
    <t>DS79.72 .S544 2009</t>
  </si>
  <si>
    <t>0                      DS 0079720S  544         2009</t>
  </si>
  <si>
    <t>The Gulf wars and the United States : shaping the twenty-first century / Orrin Schwab.</t>
  </si>
  <si>
    <t>Westport, Conn. : Praeger Security International, 2009.</t>
  </si>
  <si>
    <t>PSI reports</t>
  </si>
  <si>
    <t>801527123:eng</t>
  </si>
  <si>
    <t>233543989</t>
  </si>
  <si>
    <t>991005364869702656</t>
  </si>
  <si>
    <t>2259495090002656</t>
  </si>
  <si>
    <t>9780275997540</t>
  </si>
  <si>
    <t>32285005575138</t>
  </si>
  <si>
    <t>893594914</t>
  </si>
  <si>
    <t>DS79.72 .S65 1992</t>
  </si>
  <si>
    <t>0                      DS 0079720S  65          1992</t>
  </si>
  <si>
    <t>George Bush's war / Jean Edward Smith.</t>
  </si>
  <si>
    <t>Smith, Jean Edward.</t>
  </si>
  <si>
    <t>New York : H. Holt, 1992.</t>
  </si>
  <si>
    <t>26082278:eng</t>
  </si>
  <si>
    <t>24504095</t>
  </si>
  <si>
    <t>991001940209702656</t>
  </si>
  <si>
    <t>2261170500002656</t>
  </si>
  <si>
    <t>9780805013887</t>
  </si>
  <si>
    <t>32285001126787</t>
  </si>
  <si>
    <t>893797972</t>
  </si>
  <si>
    <t>DS79.72 .T39 1992</t>
  </si>
  <si>
    <t>0                      DS 0079720T  39          1992</t>
  </si>
  <si>
    <t>War and the media : propaganda and persuasion in the Gulf War / Philip M. Taylor.</t>
  </si>
  <si>
    <t>Taylor, Philip M.</t>
  </si>
  <si>
    <t>Manchester ; New York : Manchester University Press ; New York : Distributed exclusively in the USA and Canada by St. Martin's Press, c1992.</t>
  </si>
  <si>
    <t>2002-04-21</t>
  </si>
  <si>
    <t>836849097:eng</t>
  </si>
  <si>
    <t>25008753</t>
  </si>
  <si>
    <t>991001970799702656</t>
  </si>
  <si>
    <t>2269101940002656</t>
  </si>
  <si>
    <t>9780719037535</t>
  </si>
  <si>
    <t>32285001317113</t>
  </si>
  <si>
    <t>893879355</t>
  </si>
  <si>
    <t>DS79.724.S33 R37 1992</t>
  </si>
  <si>
    <t>0                      DS 0079724S  33                 R  37          1992</t>
  </si>
  <si>
    <t>Saudi Arabia and the Gulf War / Nasser Ibrahim Rashid, Esber Ibrahim Shaheen.</t>
  </si>
  <si>
    <t>Rashid, Nasser Ibrahim.</t>
  </si>
  <si>
    <t>Joplin, Mo., U.S.A. : International Institute of Technology, c1992.</t>
  </si>
  <si>
    <t>27612652:eng</t>
  </si>
  <si>
    <t>25551728</t>
  </si>
  <si>
    <t>991002010539702656</t>
  </si>
  <si>
    <t>2266123800002656</t>
  </si>
  <si>
    <t>9780940485013</t>
  </si>
  <si>
    <t>32285001467918</t>
  </si>
  <si>
    <t>893798054</t>
  </si>
  <si>
    <t>DS79.724.S38 N93 1995</t>
  </si>
  <si>
    <t>0                      DS 0079724S  38                 N  93          1995</t>
  </si>
  <si>
    <t>A line in the sand : Saudi Arabia's role in the Gulf War / Sulayman Nyang &amp; Evan Hendricks ; cover by Carlos Arrien.</t>
  </si>
  <si>
    <t>Nyang, Sulayman S. (Sulayman Sheih)</t>
  </si>
  <si>
    <t>2004-02-20</t>
  </si>
  <si>
    <t>473888655:eng</t>
  </si>
  <si>
    <t>32805896</t>
  </si>
  <si>
    <t>991002522339702656</t>
  </si>
  <si>
    <t>2272124750002656</t>
  </si>
  <si>
    <t>9780964548602</t>
  </si>
  <si>
    <t>32285002058955</t>
  </si>
  <si>
    <t>893323035</t>
  </si>
  <si>
    <t>DS79.724.U6 W56 1994</t>
  </si>
  <si>
    <t>0                      DS 0079724U  6                  W  56          1994</t>
  </si>
  <si>
    <t>A league of airmen : U.S. air power in the Gulf War / James A. Winnefeld, Preston Niblack, Dana J. Johnson.</t>
  </si>
  <si>
    <t>Winnefeld, James A., 1929-2015.</t>
  </si>
  <si>
    <t>Santa Monica, CA : Rand, c1994.</t>
  </si>
  <si>
    <t>Project Air Force.</t>
  </si>
  <si>
    <t>986635543:eng</t>
  </si>
  <si>
    <t>29597148</t>
  </si>
  <si>
    <t>991002282909702656</t>
  </si>
  <si>
    <t>2261336460002656</t>
  </si>
  <si>
    <t>9780833015037</t>
  </si>
  <si>
    <t>32285001999050</t>
  </si>
  <si>
    <t>893439986</t>
  </si>
  <si>
    <t>DS79.739 .B377 1998</t>
  </si>
  <si>
    <t>0                      DS 0079739B  377         1998</t>
  </si>
  <si>
    <t>Media access and the military : the case of the Gulf War / Judith Raine Baroody.</t>
  </si>
  <si>
    <t>Baroody, Judith Raine.</t>
  </si>
  <si>
    <t>Lanham, Md. : University Press of America, c1998.</t>
  </si>
  <si>
    <t>2003-12-02</t>
  </si>
  <si>
    <t>2000-10-23</t>
  </si>
  <si>
    <t>344600393:eng</t>
  </si>
  <si>
    <t>38061659</t>
  </si>
  <si>
    <t>991003239359702656</t>
  </si>
  <si>
    <t>2268366580002656</t>
  </si>
  <si>
    <t>9780761810254</t>
  </si>
  <si>
    <t>32285003769592</t>
  </si>
  <si>
    <t>893774543</t>
  </si>
  <si>
    <t>DS79.739 .D47 1993</t>
  </si>
  <si>
    <t>0                      DS 0079739D  47          1993</t>
  </si>
  <si>
    <t>Desert Storm and the mass media / editors, Bradley S. Greenberg, Walter Gantz.</t>
  </si>
  <si>
    <t>Cresskill, N.J. : Hampton Press, c1993.</t>
  </si>
  <si>
    <t>The Hampton Press communication series</t>
  </si>
  <si>
    <t>1994-01-24</t>
  </si>
  <si>
    <t>355345130:eng</t>
  </si>
  <si>
    <t>27036200</t>
  </si>
  <si>
    <t>991002110219702656</t>
  </si>
  <si>
    <t>2272420240002656</t>
  </si>
  <si>
    <t>9781881303343</t>
  </si>
  <si>
    <t>32285001833218</t>
  </si>
  <si>
    <t>893609477</t>
  </si>
  <si>
    <t>DS79.739 .M33 1992</t>
  </si>
  <si>
    <t>0                      DS 0079739M  33          1992</t>
  </si>
  <si>
    <t>Second front : censorship and propaganda in the Gulf war / John R. MacArthur.</t>
  </si>
  <si>
    <t>MacArthur, John R.</t>
  </si>
  <si>
    <t>New York : Hill and Wang, 1992.</t>
  </si>
  <si>
    <t>17959902:eng</t>
  </si>
  <si>
    <t>24872182</t>
  </si>
  <si>
    <t>991001963699702656</t>
  </si>
  <si>
    <t>2265667230002656</t>
  </si>
  <si>
    <t>9780809085170</t>
  </si>
  <si>
    <t>32285001197481</t>
  </si>
  <si>
    <t>893420804</t>
  </si>
  <si>
    <t>DS79.739 .M43 1992</t>
  </si>
  <si>
    <t>0                      DS 0079739M  43          1992</t>
  </si>
  <si>
    <t>The Media and the Gulf War / edited by Hedrick Smith.</t>
  </si>
  <si>
    <t>Washington, DC : Seven Locks Press, c1992.</t>
  </si>
  <si>
    <t>2003-12-09</t>
  </si>
  <si>
    <t>1993-01-19</t>
  </si>
  <si>
    <t>55587439:eng</t>
  </si>
  <si>
    <t>25915748</t>
  </si>
  <si>
    <t>991002035149702656</t>
  </si>
  <si>
    <t>2269955370002656</t>
  </si>
  <si>
    <t>9780932020994</t>
  </si>
  <si>
    <t>32285001446599</t>
  </si>
  <si>
    <t>893352127</t>
  </si>
  <si>
    <t>DS79.739 .M44 1993</t>
  </si>
  <si>
    <t>0                      DS 0079739M  44          1993</t>
  </si>
  <si>
    <t>The Media and the Persian Gulf War / edited by Robert E. Denton, Jr.</t>
  </si>
  <si>
    <t>Westport, Conn. : Praeger, c1993.</t>
  </si>
  <si>
    <t>Praeger series in political communication, 1062-5623</t>
  </si>
  <si>
    <t>1993-11-01</t>
  </si>
  <si>
    <t>55637938:eng</t>
  </si>
  <si>
    <t>26810173</t>
  </si>
  <si>
    <t>991002090449702656</t>
  </si>
  <si>
    <t>2266714440002656</t>
  </si>
  <si>
    <t>9780275942328</t>
  </si>
  <si>
    <t>32285001789329</t>
  </si>
  <si>
    <t>893347097</t>
  </si>
  <si>
    <t>DS79.739 .S44 1994</t>
  </si>
  <si>
    <t>0                      DS 0079739S  44          1994</t>
  </si>
  <si>
    <t>Seeing through the media : the Persian Gulf War / edited by Susan Jeffords and Lauren Rabinovitz.</t>
  </si>
  <si>
    <t>New Brunwick, N.J. : Rutgers University Press, c1994.</t>
  </si>
  <si>
    <t>Rutgers series in communications, media, and culture</t>
  </si>
  <si>
    <t>2006-12-04</t>
  </si>
  <si>
    <t>1995-02-22</t>
  </si>
  <si>
    <t>30362454:eng</t>
  </si>
  <si>
    <t>28504504</t>
  </si>
  <si>
    <t>991002213719702656</t>
  </si>
  <si>
    <t>2267461340002656</t>
  </si>
  <si>
    <t>9780813520414</t>
  </si>
  <si>
    <t>32285002000064</t>
  </si>
  <si>
    <t>893804358</t>
  </si>
  <si>
    <t>DS79.739 .T35 1994</t>
  </si>
  <si>
    <t>0                      DS 0079739T  35          1994</t>
  </si>
  <si>
    <t>Taken by storm : the media, public opinion, and U.S. foreign policy in the Gulf War / edited by W. Lance Bennett and David L. Paletz.</t>
  </si>
  <si>
    <t>American politics and political economy series</t>
  </si>
  <si>
    <t>1995-03-22</t>
  </si>
  <si>
    <t>807782069:eng</t>
  </si>
  <si>
    <t>29520424</t>
  </si>
  <si>
    <t>991002275219702656</t>
  </si>
  <si>
    <t>2265433150002656</t>
  </si>
  <si>
    <t>9780226042589</t>
  </si>
  <si>
    <t>32285002004447</t>
  </si>
  <si>
    <t>893427423</t>
  </si>
  <si>
    <t>DS79.74 .C67 1992</t>
  </si>
  <si>
    <t>0                      DS 0079740C  67          1992</t>
  </si>
  <si>
    <t>She went to war : the Rhonda Cornum story / Rhonda Cornum as told to Peter Copeland.</t>
  </si>
  <si>
    <t>Cornum, Rhonda.</t>
  </si>
  <si>
    <t>908059072:eng</t>
  </si>
  <si>
    <t>25410980</t>
  </si>
  <si>
    <t>991002000199702656</t>
  </si>
  <si>
    <t>2254711540002656</t>
  </si>
  <si>
    <t>9780891414636</t>
  </si>
  <si>
    <t>32285001319283</t>
  </si>
  <si>
    <t>893408577</t>
  </si>
  <si>
    <t>DS79.74 .M66 1993</t>
  </si>
  <si>
    <t>0                      DS 0079740M  66          1993</t>
  </si>
  <si>
    <t>A woman at war : storming Kuwait with the U.S. Marines / Molly Moore.</t>
  </si>
  <si>
    <t>Moore, Molly.</t>
  </si>
  <si>
    <t>New York : Scribner's ; Toronto : Maxwell Macmillan Canada ; New York : Maxwell Macmillan, c1993.</t>
  </si>
  <si>
    <t>1998-01-27</t>
  </si>
  <si>
    <t>3901473286:eng</t>
  </si>
  <si>
    <t>26766105</t>
  </si>
  <si>
    <t>991002086199702656</t>
  </si>
  <si>
    <t>2269468840002656</t>
  </si>
  <si>
    <t>9780684194189</t>
  </si>
  <si>
    <t>32285001702678</t>
  </si>
  <si>
    <t>893504008</t>
  </si>
  <si>
    <t>DS79.74 .S96 2003</t>
  </si>
  <si>
    <t>0                      DS 0079740S  96          2003</t>
  </si>
  <si>
    <t>Jarhead : a Marine's chronicle of the Gulf War and other battles / Anthony Swofford.</t>
  </si>
  <si>
    <t>Swofford, Anthony.</t>
  </si>
  <si>
    <t>New York : Scribner, 2003.</t>
  </si>
  <si>
    <t>2010-11-29</t>
  </si>
  <si>
    <t>62609779:eng</t>
  </si>
  <si>
    <t>50598121</t>
  </si>
  <si>
    <t>991004058589702656</t>
  </si>
  <si>
    <t>2265951880002656</t>
  </si>
  <si>
    <t>9780743235358</t>
  </si>
  <si>
    <t>32285004751615</t>
  </si>
  <si>
    <t>893318752</t>
  </si>
  <si>
    <t>DS79.744.E58 H38 1992</t>
  </si>
  <si>
    <t>0                      DS 0079744E  58                 H  38          1992</t>
  </si>
  <si>
    <t>Against the fires of hell : the environmental disaster of the Gulf War / T.M. Hawley.</t>
  </si>
  <si>
    <t>Hawley, T. M.</t>
  </si>
  <si>
    <t>New York : Harcourt Brace Jovanovich Publishers, c1992.</t>
  </si>
  <si>
    <t>1992-10-15</t>
  </si>
  <si>
    <t>375727357:eng</t>
  </si>
  <si>
    <t>26094931</t>
  </si>
  <si>
    <t>991002044109702656</t>
  </si>
  <si>
    <t>2269286830002656</t>
  </si>
  <si>
    <t>9780151039692</t>
  </si>
  <si>
    <t>32285001318202</t>
  </si>
  <si>
    <t>893596971</t>
  </si>
  <si>
    <t>DS79.75 .C63 1999</t>
  </si>
  <si>
    <t>0                      DS 0079750C  63          1999</t>
  </si>
  <si>
    <t>Out of the ashes : the resurrection of Saddam Hussein / Andrew Cockburn and Patrick Cockburn.</t>
  </si>
  <si>
    <t>Cockburn, Andrew.</t>
  </si>
  <si>
    <t>New York : HarperCollins Publishers, c1999.</t>
  </si>
  <si>
    <t>2003-04-13</t>
  </si>
  <si>
    <t>888447:eng</t>
  </si>
  <si>
    <t>40510501</t>
  </si>
  <si>
    <t>991002995949702656</t>
  </si>
  <si>
    <t>2272573860002656</t>
  </si>
  <si>
    <t>9780060192662</t>
  </si>
  <si>
    <t>32285003532982</t>
  </si>
  <si>
    <t>893692264</t>
  </si>
  <si>
    <t>DS79.75 .G734 1999</t>
  </si>
  <si>
    <t>0                      DS 0079750G  734         1999</t>
  </si>
  <si>
    <t>Sanctioning Saddam : the politics of intervention in Iraq / Sarah Graham-Brown.</t>
  </si>
  <si>
    <t>Graham-Brown, Sarah.</t>
  </si>
  <si>
    <t>London ; New York : I.B. Tauris in association with MERIP ; New York: Distributed in the United States and Canada by St. Martin's Press, 1999.</t>
  </si>
  <si>
    <t>796527542:eng</t>
  </si>
  <si>
    <t>42458531</t>
  </si>
  <si>
    <t>991003572249702656</t>
  </si>
  <si>
    <t>2268242020002656</t>
  </si>
  <si>
    <t>9781860644733</t>
  </si>
  <si>
    <t>32285004381082</t>
  </si>
  <si>
    <t>893228172</t>
  </si>
  <si>
    <t>DS79.75 .I737 2003</t>
  </si>
  <si>
    <t>0                      DS 0079750I  737         2003</t>
  </si>
  <si>
    <t>Iraq revisited / Ryan J. Doppler, editor.</t>
  </si>
  <si>
    <t>800185:eng</t>
  </si>
  <si>
    <t>52989988</t>
  </si>
  <si>
    <t>991004149859702656</t>
  </si>
  <si>
    <t>2270483930002656</t>
  </si>
  <si>
    <t>9781590337400</t>
  </si>
  <si>
    <t>32285004789250</t>
  </si>
  <si>
    <t>893353247</t>
  </si>
  <si>
    <t>DS79.75 .P65 2002</t>
  </si>
  <si>
    <t>0                      DS 0079750P  65          2002</t>
  </si>
  <si>
    <t>The threatening storm : the case for invading Iraq / Kenneth M. Pollack.</t>
  </si>
  <si>
    <t>Pollack, Kenneth M. (Kenneth Michael), 1966-</t>
  </si>
  <si>
    <t>New York : Random House, c2002.</t>
  </si>
  <si>
    <t>2010-03-05</t>
  </si>
  <si>
    <t>1008567:eng</t>
  </si>
  <si>
    <t>50315130</t>
  </si>
  <si>
    <t>991003943839702656</t>
  </si>
  <si>
    <t>2270609450002656</t>
  </si>
  <si>
    <t>9780375509285</t>
  </si>
  <si>
    <t>32285004667092</t>
  </si>
  <si>
    <t>893687159</t>
  </si>
  <si>
    <t>DS79.755 .B88 2001</t>
  </si>
  <si>
    <t>0                      DS 0079755B  88          2001</t>
  </si>
  <si>
    <t>The greatest threat : Iraq, weapons of mass destruction, and the crisis of global security / Richard Butler.</t>
  </si>
  <si>
    <t>Butler, Richard, 1942-</t>
  </si>
  <si>
    <t>New York : PublicAffairs , c2001.</t>
  </si>
  <si>
    <t>2006-04-13</t>
  </si>
  <si>
    <t>20657466:eng</t>
  </si>
  <si>
    <t>47764411</t>
  </si>
  <si>
    <t>991003718109702656</t>
  </si>
  <si>
    <t>2263864660002656</t>
  </si>
  <si>
    <t>9781586480394</t>
  </si>
  <si>
    <t>32285004454509</t>
  </si>
  <si>
    <t>893240519</t>
  </si>
  <si>
    <t>DS79.76 .A276 2004</t>
  </si>
  <si>
    <t>0                      DS 0079760A  276         2004</t>
  </si>
  <si>
    <t>The Abu Ghraib investigations : the official reports of the independent panel and Pentagon on the shocking prisoner abuse in Iraq / edited by Steven Strasser with an introduction by Craig R. Whitney.</t>
  </si>
  <si>
    <t>New York : Public Affairs, 2004.</t>
  </si>
  <si>
    <t>57101914:eng</t>
  </si>
  <si>
    <t>56674875</t>
  </si>
  <si>
    <t>991004467939702656</t>
  </si>
  <si>
    <t>2256819170002656</t>
  </si>
  <si>
    <t>9781586483197</t>
  </si>
  <si>
    <t>32285005027643</t>
  </si>
  <si>
    <t>893423840</t>
  </si>
  <si>
    <t>DS79.76 .A36 2003</t>
  </si>
  <si>
    <t>0                      DS 0079760A  36          2003</t>
  </si>
  <si>
    <t>After the war in Iraq : defining the new strategic balance / edited by Shai Feldman.</t>
  </si>
  <si>
    <t>Brighton ; Portland, Or. : Sussex Academic Press/Jaffee Center for Strategic Studies, 2003.</t>
  </si>
  <si>
    <t>2007-12-12</t>
  </si>
  <si>
    <t>2004-09-01</t>
  </si>
  <si>
    <t>1492:eng</t>
  </si>
  <si>
    <t>52728786</t>
  </si>
  <si>
    <t>991004337969702656</t>
  </si>
  <si>
    <t>2255499420002656</t>
  </si>
  <si>
    <t>9781903900741</t>
  </si>
  <si>
    <t>32285004984992</t>
  </si>
  <si>
    <t>893325241</t>
  </si>
  <si>
    <t>DS79.76 .A53 2004</t>
  </si>
  <si>
    <t>0                      DS 0079760A  53          2004</t>
  </si>
  <si>
    <t>The fall of Baghdad / Jon Lee Anderson.</t>
  </si>
  <si>
    <t>Anderson, Jon Lee.</t>
  </si>
  <si>
    <t>New York : Penguin Press, 2004.</t>
  </si>
  <si>
    <t>2005-09-14</t>
  </si>
  <si>
    <t>2004-10-12</t>
  </si>
  <si>
    <t>321007:eng</t>
  </si>
  <si>
    <t>55624270</t>
  </si>
  <si>
    <t>991004344419702656</t>
  </si>
  <si>
    <t>2263106390002656</t>
  </si>
  <si>
    <t>9781594200342</t>
  </si>
  <si>
    <t>32285005002836</t>
  </si>
  <si>
    <t>893875985</t>
  </si>
  <si>
    <t>DS79.76 .B69 2007</t>
  </si>
  <si>
    <t>0                      DS 0079760B  69          2007</t>
  </si>
  <si>
    <t>Undoing Saddam : from occupation to sovereignty in northern Iraq / Wayne H. Bowen.</t>
  </si>
  <si>
    <t>Bowen, Wayne H., 1968-</t>
  </si>
  <si>
    <t>Washington, D.C. : Potomac Books, c2007.</t>
  </si>
  <si>
    <t>An AUSA book</t>
  </si>
  <si>
    <t>2007-09-20</t>
  </si>
  <si>
    <t>49040378:eng</t>
  </si>
  <si>
    <t>64585855</t>
  </si>
  <si>
    <t>991005115879702656</t>
  </si>
  <si>
    <t>2269400610002656</t>
  </si>
  <si>
    <t>9781597970242</t>
  </si>
  <si>
    <t>32285005326516</t>
  </si>
  <si>
    <t>893801751</t>
  </si>
  <si>
    <t>DS79.76 .B73 2003</t>
  </si>
  <si>
    <t>0                      DS 0079760B  73          2003</t>
  </si>
  <si>
    <t>I am a soldier, too : the Jessica Lynch story / Rick Bragg.</t>
  </si>
  <si>
    <t>Bragg, Rick.</t>
  </si>
  <si>
    <t>New York : Alfred A. Knopf, 2003.</t>
  </si>
  <si>
    <t>2472445:eng</t>
  </si>
  <si>
    <t>53344743</t>
  </si>
  <si>
    <t>991004210849702656</t>
  </si>
  <si>
    <t>2259284210002656</t>
  </si>
  <si>
    <t>9781400042579</t>
  </si>
  <si>
    <t>32285004848817</t>
  </si>
  <si>
    <t>893618389</t>
  </si>
  <si>
    <t>DS79.76 .B83 2005</t>
  </si>
  <si>
    <t>0                      DS 0079760B  83          2005</t>
  </si>
  <si>
    <t>Shane comes home / Rinker Buck.</t>
  </si>
  <si>
    <t>Buck, Rinker, 1950-</t>
  </si>
  <si>
    <t>New York, NY : William Morrow, c2005.</t>
  </si>
  <si>
    <t>2010-02-22</t>
  </si>
  <si>
    <t>1217131:eng</t>
  </si>
  <si>
    <t>58596416</t>
  </si>
  <si>
    <t>991004532469702656</t>
  </si>
  <si>
    <t>2267361210002656</t>
  </si>
  <si>
    <t>9780060593254</t>
  </si>
  <si>
    <t>32285005034474</t>
  </si>
  <si>
    <t>893436387</t>
  </si>
  <si>
    <t>DS79.76 .D36 2004</t>
  </si>
  <si>
    <t>0                      DS 0079760D  36          2004</t>
  </si>
  <si>
    <t>Torture and truth : America, Abu Ghraib, and the war on terror / Mark Danner.</t>
  </si>
  <si>
    <t>Danner, Mark, 1958-</t>
  </si>
  <si>
    <t>New York : New York Review Books, 2004.</t>
  </si>
  <si>
    <t>2005-03-07</t>
  </si>
  <si>
    <t>939535:eng</t>
  </si>
  <si>
    <t>56590643</t>
  </si>
  <si>
    <t>991004467959702656</t>
  </si>
  <si>
    <t>2266690520002656</t>
  </si>
  <si>
    <t>9781590171523</t>
  </si>
  <si>
    <t>32285005040406</t>
  </si>
  <si>
    <t>893776041</t>
  </si>
  <si>
    <t>DS79.76 .E54 2004</t>
  </si>
  <si>
    <t>0                      DS 0079760E  54          2004</t>
  </si>
  <si>
    <t>A fist in the hornet's nest : on the ground in Baghdad before, during and after the war / Richard Engel.</t>
  </si>
  <si>
    <t>Engel, Richard.</t>
  </si>
  <si>
    <t>New York : Hyperion, c2004.</t>
  </si>
  <si>
    <t>1818:eng</t>
  </si>
  <si>
    <t>54438904</t>
  </si>
  <si>
    <t>991004244919702656</t>
  </si>
  <si>
    <t>2269099590002656</t>
  </si>
  <si>
    <t>9781401301156</t>
  </si>
  <si>
    <t>32285004892617</t>
  </si>
  <si>
    <t>893782014</t>
  </si>
  <si>
    <t>DS79.76 .G335 2006</t>
  </si>
  <si>
    <t>0                      DS 0079760G  335         2006</t>
  </si>
  <si>
    <t>The end of Iraq : how American incompetence created a war without end / Peter W. Galbraith.</t>
  </si>
  <si>
    <t>Galbraith, Peter (Peter W.)</t>
  </si>
  <si>
    <t>New York : Simon &amp; Schuster, c2006.</t>
  </si>
  <si>
    <t>2006-07-17</t>
  </si>
  <si>
    <t>867836697:eng</t>
  </si>
  <si>
    <t>69332311</t>
  </si>
  <si>
    <t>991004841319702656</t>
  </si>
  <si>
    <t>2260997850002656</t>
  </si>
  <si>
    <t>9780743294232</t>
  </si>
  <si>
    <t>32285005193866</t>
  </si>
  <si>
    <t>893526581</t>
  </si>
  <si>
    <t>DS79.76 .G58 2004</t>
  </si>
  <si>
    <t>0                      DS 0079760G  58          2004</t>
  </si>
  <si>
    <t>Global media go to war : role of news and entertainment media during the 2003 Iraq War / edited by Ralph D. Berenger ; preface by Cees J. Hamelink ; foreword by John C. Merrill ; afterword by Kaarle Nordenstreng.</t>
  </si>
  <si>
    <t>Spokane, Wash. : Marquette Books, c2004.</t>
  </si>
  <si>
    <t>1039350:eng</t>
  </si>
  <si>
    <t>54966145</t>
  </si>
  <si>
    <t>991004725379702656</t>
  </si>
  <si>
    <t>2254881820002656</t>
  </si>
  <si>
    <t>9780922993109</t>
  </si>
  <si>
    <t>32285005157481</t>
  </si>
  <si>
    <t>893882858</t>
  </si>
  <si>
    <t>DS79.76 .G67 2006</t>
  </si>
  <si>
    <t>0                      DS 0079760G  67          2006</t>
  </si>
  <si>
    <t>Cobra II : the inside story of the invasion and occupation of Iraq / Michael R. Gordon and Bernard E. Trainor.</t>
  </si>
  <si>
    <t>Gordon, Michael R., 1951-</t>
  </si>
  <si>
    <t>New York : Pantheon Books, 2006.</t>
  </si>
  <si>
    <t>2008-03-26</t>
  </si>
  <si>
    <t>2006-05-11</t>
  </si>
  <si>
    <t>794224169:eng</t>
  </si>
  <si>
    <t>65200842</t>
  </si>
  <si>
    <t>991004814609702656</t>
  </si>
  <si>
    <t>2264315370002656</t>
  </si>
  <si>
    <t>9780375422621</t>
  </si>
  <si>
    <t>32285005186993</t>
  </si>
  <si>
    <t>893882980</t>
  </si>
  <si>
    <t>DS79.76 .K62 2005</t>
  </si>
  <si>
    <t>0                      DS 0079760K  62          2005</t>
  </si>
  <si>
    <t>Cradle of conflict : Iraq and the birth of modern U.S. military power / Michael Andrew Knights.</t>
  </si>
  <si>
    <t>Knights, Michael.</t>
  </si>
  <si>
    <t>Annapolis, Md. : Naval Institute Press, 2005.</t>
  </si>
  <si>
    <t>2010-11-28</t>
  </si>
  <si>
    <t>2006-03-06</t>
  </si>
  <si>
    <t>796438097:eng</t>
  </si>
  <si>
    <t>61151539</t>
  </si>
  <si>
    <t>991004759219702656</t>
  </si>
  <si>
    <t>2262492030002656</t>
  </si>
  <si>
    <t>9781591144441</t>
  </si>
  <si>
    <t>32285005164974</t>
  </si>
  <si>
    <t>893612743</t>
  </si>
  <si>
    <t>DS79.76 .M39 2006</t>
  </si>
  <si>
    <t>0                      DS 0079760M  39          2006</t>
  </si>
  <si>
    <t>Out of Iraq : a practical plan for withdrawal now / George S. McGovern and William R. Polk.</t>
  </si>
  <si>
    <t>McGovern, George S. (George Stanley), 1922-2012.</t>
  </si>
  <si>
    <t>New York : Simon &amp; Schuster Paperbacks, c2006.</t>
  </si>
  <si>
    <t>58166572:eng</t>
  </si>
  <si>
    <t>71189936</t>
  </si>
  <si>
    <t>991005163839702656</t>
  </si>
  <si>
    <t>2263999350002656</t>
  </si>
  <si>
    <t>9781416534563</t>
  </si>
  <si>
    <t>32285005379457</t>
  </si>
  <si>
    <t>893613235</t>
  </si>
  <si>
    <t>DS79.76 .M47 2006</t>
  </si>
  <si>
    <t>0                      DS 0079760M  47          2006</t>
  </si>
  <si>
    <t>Blood money : wasted billions, lost lives, and corporate greed in Iraq / T. Christian Miller.</t>
  </si>
  <si>
    <t>Miller, T. Christian.</t>
  </si>
  <si>
    <t>New York : Little, Brown and Company, 2006.</t>
  </si>
  <si>
    <t>2006-09-05</t>
  </si>
  <si>
    <t>52155301:eng</t>
  </si>
  <si>
    <t>68799662</t>
  </si>
  <si>
    <t>991004842879702656</t>
  </si>
  <si>
    <t>2258245900002656</t>
  </si>
  <si>
    <t>9780316166270</t>
  </si>
  <si>
    <t>32285005221667</t>
  </si>
  <si>
    <t>893801418</t>
  </si>
  <si>
    <t>DS79.76 .M66 2004</t>
  </si>
  <si>
    <t>0                      DS 0079760M  66          2004</t>
  </si>
  <si>
    <t>Hunting down Saddam : the inside story of the search and capture / Robin Moore.</t>
  </si>
  <si>
    <t>Moore, Robin, 1925-2008.</t>
  </si>
  <si>
    <t>New York : St. Martin's Press, 2004.</t>
  </si>
  <si>
    <t>2005-10-13</t>
  </si>
  <si>
    <t>2004-11-01</t>
  </si>
  <si>
    <t>961773711:eng</t>
  </si>
  <si>
    <t>54460121</t>
  </si>
  <si>
    <t>991004283309702656</t>
  </si>
  <si>
    <t>2255579430002656</t>
  </si>
  <si>
    <t>9780312329167</t>
  </si>
  <si>
    <t>32285005007470</t>
  </si>
  <si>
    <t>893612167</t>
  </si>
  <si>
    <t>DS79.76 .P34 2005</t>
  </si>
  <si>
    <t>0                      DS 0079760P  34          2005</t>
  </si>
  <si>
    <t>Strategic preemption : U.S. foreign policy and the second Iraq war / Robert J. Pauly, Jr., Tom Lansford.</t>
  </si>
  <si>
    <t>Burlington, VT : Ashgate Pub., c2005.</t>
  </si>
  <si>
    <t>1164059:eng</t>
  </si>
  <si>
    <t>55502572</t>
  </si>
  <si>
    <t>991004772729702656</t>
  </si>
  <si>
    <t>2268205670002656</t>
  </si>
  <si>
    <t>9780754639756</t>
  </si>
  <si>
    <t>32285005064166</t>
  </si>
  <si>
    <t>893719363</t>
  </si>
  <si>
    <t>DS79.76 .P87 2003</t>
  </si>
  <si>
    <t>0                      DS 0079760P  87          2003</t>
  </si>
  <si>
    <t>A time of our choosing : America's war in Iraq / Todd S. Purdum and the staff of the New York times.</t>
  </si>
  <si>
    <t>Purdum, Todd S.</t>
  </si>
  <si>
    <t>New York : Times Books/Henry Holt, 2003.</t>
  </si>
  <si>
    <t>783803:eng</t>
  </si>
  <si>
    <t>52901400</t>
  </si>
  <si>
    <t>991004183639702656</t>
  </si>
  <si>
    <t>2260766720002656</t>
  </si>
  <si>
    <t>9780805075625</t>
  </si>
  <si>
    <t>32285004843115</t>
  </si>
  <si>
    <t>893325039</t>
  </si>
  <si>
    <t>DS79.76 .R43 2004</t>
  </si>
  <si>
    <t>0                      DS 0079760R  43          2004</t>
  </si>
  <si>
    <t>Dark victory : America's second war against Iraq / Jeffrey Record.</t>
  </si>
  <si>
    <t>Record, Jeffrey.</t>
  </si>
  <si>
    <t>Annapolis, Md. : Naval Institute Press, c2004.</t>
  </si>
  <si>
    <t>2004-07-20</t>
  </si>
  <si>
    <t>197498028:eng</t>
  </si>
  <si>
    <t>53824235</t>
  </si>
  <si>
    <t>991004314669702656</t>
  </si>
  <si>
    <t>2268900600002656</t>
  </si>
  <si>
    <t>9781591147114</t>
  </si>
  <si>
    <t>32285004924170</t>
  </si>
  <si>
    <t>893417473</t>
  </si>
  <si>
    <t>DS79.76 .S53 2004</t>
  </si>
  <si>
    <t>0                      DS 0079760S  53          2004</t>
  </si>
  <si>
    <t>Allies : the U.S., Britain, Europe and the war in Iraq / William Shawcross.</t>
  </si>
  <si>
    <t>New York : Public Affairs, c2004.</t>
  </si>
  <si>
    <t>2007-11-08</t>
  </si>
  <si>
    <t>796761:eng</t>
  </si>
  <si>
    <t>53442992</t>
  </si>
  <si>
    <t>991004244749702656</t>
  </si>
  <si>
    <t>2272367160002656</t>
  </si>
  <si>
    <t>9781586482169</t>
  </si>
  <si>
    <t>32285004892765</t>
  </si>
  <si>
    <t>893712324</t>
  </si>
  <si>
    <t>DS79.76 .S6315 2009</t>
  </si>
  <si>
    <t>0                      DS 0079760S  6315        2009</t>
  </si>
  <si>
    <t>What after Iraq? / Donald M. Snow.</t>
  </si>
  <si>
    <t>Snow, Donald M., 1943-</t>
  </si>
  <si>
    <t>New York : Pearson/Longman, c2009.</t>
  </si>
  <si>
    <t>137026259:eng</t>
  </si>
  <si>
    <t>232002294</t>
  </si>
  <si>
    <t>991005333219702656</t>
  </si>
  <si>
    <t>2269256650002656</t>
  </si>
  <si>
    <t>9780205642847</t>
  </si>
  <si>
    <t>32285005546782</t>
  </si>
  <si>
    <t>893607218</t>
  </si>
  <si>
    <t>DS79.76 .S698 2008</t>
  </si>
  <si>
    <t>0                      DS 0079760S  698         2008</t>
  </si>
  <si>
    <t>The three trillion dollar war : the true cost of the Iraq Conflict / Joseph E. Stiglitz and Linda J. Bilmes.</t>
  </si>
  <si>
    <t>Stiglitz, Joseph E.</t>
  </si>
  <si>
    <t>New York : W.W. Norton, c2008.</t>
  </si>
  <si>
    <t>2008-03-19</t>
  </si>
  <si>
    <t>691840519:eng</t>
  </si>
  <si>
    <t>181139407</t>
  </si>
  <si>
    <t>991005190779702656</t>
  </si>
  <si>
    <t>2264955860002656</t>
  </si>
  <si>
    <t>9780393067019</t>
  </si>
  <si>
    <t>32285005397756</t>
  </si>
  <si>
    <t>893236445</t>
  </si>
  <si>
    <t>DS79.76 .S954 2005</t>
  </si>
  <si>
    <t>0                      DS 0079760S  954         2005</t>
  </si>
  <si>
    <t>Reporting from the front : the media and the military / Judith Sylvester and Suzanne Huffman.</t>
  </si>
  <si>
    <t>Sylvester, Judith L., 1952-</t>
  </si>
  <si>
    <t>Lanham, MD : Rowman &amp; Littlefield, c2005.</t>
  </si>
  <si>
    <t>796820162:eng</t>
  </si>
  <si>
    <t>55220254</t>
  </si>
  <si>
    <t>991004440279702656</t>
  </si>
  <si>
    <t>2255336110002656</t>
  </si>
  <si>
    <t>9780742530591</t>
  </si>
  <si>
    <t>32285005021265</t>
  </si>
  <si>
    <t>893712601</t>
  </si>
  <si>
    <t>DS79.76 .W55 2004</t>
  </si>
  <si>
    <t>0                      DS 0079760W  55          2004</t>
  </si>
  <si>
    <t>Will they ever trust us again? : letters from the war zone / Michael Moore.</t>
  </si>
  <si>
    <t>New York : Simon &amp; Schuster, c2004.</t>
  </si>
  <si>
    <t>326301021:eng</t>
  </si>
  <si>
    <t>56531274</t>
  </si>
  <si>
    <t>991004413059702656</t>
  </si>
  <si>
    <t>2259948530002656</t>
  </si>
  <si>
    <t>9780743271523</t>
  </si>
  <si>
    <t>32285005009823</t>
  </si>
  <si>
    <t>893612320</t>
  </si>
  <si>
    <t>DS79.762 .U54 2005</t>
  </si>
  <si>
    <t>0                      DS 0079762U  54          2005</t>
  </si>
  <si>
    <t>Unembedded : four independent photojournalists on the war in Iraq / Ghaith Abdul-Ahad ... [et al.] ; foreword by Philip Jones Griffiths ; introduction by Phillip Robertson.</t>
  </si>
  <si>
    <t>White River Junction, Vt. : Chelsea Green Pub. Company, c2005.</t>
  </si>
  <si>
    <t>2006-06-13</t>
  </si>
  <si>
    <t>1151858:eng</t>
  </si>
  <si>
    <t>61204414</t>
  </si>
  <si>
    <t>991004754169702656</t>
  </si>
  <si>
    <t>2261010430002656</t>
  </si>
  <si>
    <t>9781931498951</t>
  </si>
  <si>
    <t>32285005164156</t>
  </si>
  <si>
    <t>893789054</t>
  </si>
  <si>
    <t>DS79.764.U6 A85 2004</t>
  </si>
  <si>
    <t>0                      DS 0079764U  6                  A  85          2004</t>
  </si>
  <si>
    <t>In the company of soldiers : a chronicle of combat / Rick Atkinson.</t>
  </si>
  <si>
    <t>Atkinson, Rick.</t>
  </si>
  <si>
    <t>New York : H. Holt, 2004.</t>
  </si>
  <si>
    <t>2004-04-16</t>
  </si>
  <si>
    <t>2288040557:eng</t>
  </si>
  <si>
    <t>53967465</t>
  </si>
  <si>
    <t>991004256329702656</t>
  </si>
  <si>
    <t>2256822480002656</t>
  </si>
  <si>
    <t>9780805075618</t>
  </si>
  <si>
    <t>32285004897368</t>
  </si>
  <si>
    <t>893901004</t>
  </si>
  <si>
    <t>DS79.766.G35 A3 2010</t>
  </si>
  <si>
    <t>0                      DS 0079766G  35                 A  3           2010</t>
  </si>
  <si>
    <t>Kaboom : embracing the suck in a savage little war / Matt Gallagher.</t>
  </si>
  <si>
    <t>Gallagher, Matt.</t>
  </si>
  <si>
    <t>Cambrigde, MA : Da Capo Press, c2010.</t>
  </si>
  <si>
    <t>796731164:eng</t>
  </si>
  <si>
    <t>435418549</t>
  </si>
  <si>
    <t>991000106909702656</t>
  </si>
  <si>
    <t>2261137390002656</t>
  </si>
  <si>
    <t>9780306818806</t>
  </si>
  <si>
    <t>32285005595789</t>
  </si>
  <si>
    <t>893327015</t>
  </si>
  <si>
    <t>DS79.769 .T95 2003</t>
  </si>
  <si>
    <t>0                      DS 0079769T  95          2003</t>
  </si>
  <si>
    <t>Twilight of empire : responses to occupation.</t>
  </si>
  <si>
    <t>Santa Monica, CA : Perceval Press, c2003.</t>
  </si>
  <si>
    <t>2005-02-08</t>
  </si>
  <si>
    <t>57026555:eng</t>
  </si>
  <si>
    <t>54491940</t>
  </si>
  <si>
    <t>991004328919702656</t>
  </si>
  <si>
    <t>2260773190002656</t>
  </si>
  <si>
    <t>9780972143691</t>
  </si>
  <si>
    <t>32285005025209</t>
  </si>
  <si>
    <t>893888571</t>
  </si>
  <si>
    <t>DS79.9.M6 K46 1997</t>
  </si>
  <si>
    <t>0                      DS 0079900M  6                  K  46          1997</t>
  </si>
  <si>
    <t>State and provincial society in the Ottoman empire : Mosul, 1540-1834 / Dina Rizk Khoury.</t>
  </si>
  <si>
    <t>Khoury, Dina Rizk.</t>
  </si>
  <si>
    <t>Cambridge ; New York, NY, USA : Cambridge University Press, 1997.</t>
  </si>
  <si>
    <t>Cambridge studies in Islamic civilization</t>
  </si>
  <si>
    <t>557719:eng</t>
  </si>
  <si>
    <t>36017229</t>
  </si>
  <si>
    <t>991002744169702656</t>
  </si>
  <si>
    <t>2262249000002656</t>
  </si>
  <si>
    <t>9780521590600</t>
  </si>
  <si>
    <t>32285003510285</t>
  </si>
  <si>
    <t>893511136</t>
  </si>
  <si>
    <t>DS793.G67 C453 2007</t>
  </si>
  <si>
    <t>0                      DS 0793000G  67                 C  453         2007</t>
  </si>
  <si>
    <t>The Great Wall of China : photographs by Chen Changfen / Anne Wilkes Tucker ; foreword by Jonathan D. Spence.</t>
  </si>
  <si>
    <t>Chen, Changfen, 1941-</t>
  </si>
  <si>
    <t>New Haven : Yale University Press in association with The Museum of Fine Arts, Houston, c2007.</t>
  </si>
  <si>
    <t>2007-05-24</t>
  </si>
  <si>
    <t>865494544:eng</t>
  </si>
  <si>
    <t>70831061</t>
  </si>
  <si>
    <t>991005082239702656</t>
  </si>
  <si>
    <t>2266233350002656</t>
  </si>
  <si>
    <t>9780300122473</t>
  </si>
  <si>
    <t>32285005314579</t>
  </si>
  <si>
    <t>893795576</t>
  </si>
  <si>
    <t>DS793.G67 H3 1988</t>
  </si>
  <si>
    <t>0                      DS 0793000G  67                 H  3           1988</t>
  </si>
  <si>
    <t>A ride along the Great Wall / Robin Hanbury-Tenison.</t>
  </si>
  <si>
    <t>Hanbury-Tenison, Robin.</t>
  </si>
  <si>
    <t>Topsfield, MA : Salem House, 1988, c1987.</t>
  </si>
  <si>
    <t>2004-12-07</t>
  </si>
  <si>
    <t>15562054:eng</t>
  </si>
  <si>
    <t>17461122</t>
  </si>
  <si>
    <t>991001220849702656</t>
  </si>
  <si>
    <t>2267469740002656</t>
  </si>
  <si>
    <t>9780881623505</t>
  </si>
  <si>
    <t>32285000339399</t>
  </si>
  <si>
    <t>893250067</t>
  </si>
  <si>
    <t>DS793.K7 W3</t>
  </si>
  <si>
    <t>0                      DS 0793000K  7                  W  3</t>
  </si>
  <si>
    <t>Strangers at the gate; social disorder in South China, 1839-1861 / [by] Frederic Wakeman, Jr.</t>
  </si>
  <si>
    <t>Berkeley, University of California Press [c1966]</t>
  </si>
  <si>
    <t>Center for Chinese Studies. Publications</t>
  </si>
  <si>
    <t>554997:eng</t>
  </si>
  <si>
    <t>411706</t>
  </si>
  <si>
    <t>991002717579702656</t>
  </si>
  <si>
    <t>2264723460002656</t>
  </si>
  <si>
    <t>32285002448974</t>
  </si>
  <si>
    <t>893341761</t>
  </si>
  <si>
    <t>DS793.K8 C67 1995</t>
  </si>
  <si>
    <t>0                      DS 0793000K  8                  C  67          1995</t>
  </si>
  <si>
    <t>Guizhou / text and photography by Gina Corrigan.</t>
  </si>
  <si>
    <t>Corrigan, Gina.</t>
  </si>
  <si>
    <t>Lincolnwood, Ill. : Passport Books, 1995.</t>
  </si>
  <si>
    <t>1997-02-13</t>
  </si>
  <si>
    <t>59791:eng</t>
  </si>
  <si>
    <t>33439115</t>
  </si>
  <si>
    <t>991002572289702656</t>
  </si>
  <si>
    <t>2262074940002656</t>
  </si>
  <si>
    <t>32285002406394</t>
  </si>
  <si>
    <t>893627197</t>
  </si>
  <si>
    <t>DS793.S683 M47 1994</t>
  </si>
  <si>
    <t>0                      DS 0793000S  683                M  47          1994</t>
  </si>
  <si>
    <t>Gentlemanly interests and wealth on the Yangtze Delta / John Meskill.</t>
  </si>
  <si>
    <t>Meskill, John Thomas, 1925-</t>
  </si>
  <si>
    <t>Ann Arbor, Mich. : Association for Asian Studies, c1994.</t>
  </si>
  <si>
    <t>AAS monograph series</t>
  </si>
  <si>
    <t>1997-02-14</t>
  </si>
  <si>
    <t>32453678:eng</t>
  </si>
  <si>
    <t>29846194</t>
  </si>
  <si>
    <t>991002300659702656</t>
  </si>
  <si>
    <t>2265963700002656</t>
  </si>
  <si>
    <t>9780924304194</t>
  </si>
  <si>
    <t>32285002408960</t>
  </si>
  <si>
    <t>893316649</t>
  </si>
  <si>
    <t>DS793.S8 A528 2001</t>
  </si>
  <si>
    <t>0                      DS 0793000S  8                  A  528         2001</t>
  </si>
  <si>
    <t>Ancient Sichuan : treasures from a lost civilization / edited by Robert Bagley, with contributions by Jay Xu ... [et al.].</t>
  </si>
  <si>
    <t>Seattle, Wash. : Seattle Art Museum ; Princeton, N.J. : Princeton University Press, c2001.</t>
  </si>
  <si>
    <t>2002-04-15</t>
  </si>
  <si>
    <t>892929:eng</t>
  </si>
  <si>
    <t>45610099</t>
  </si>
  <si>
    <t>991003781889702656</t>
  </si>
  <si>
    <t>2260371930002656</t>
  </si>
  <si>
    <t>9780691088518</t>
  </si>
  <si>
    <t>32285004479019</t>
  </si>
  <si>
    <t>893234584</t>
  </si>
  <si>
    <t>DS793.Y3 C495 2002</t>
  </si>
  <si>
    <t>0                      DS 0793000Y  3                  C  495         2002</t>
  </si>
  <si>
    <t>Before the deluge : the vanishing world of the Yangtze's Three Gorges / Deirdre Chetham.</t>
  </si>
  <si>
    <t>Chetham, Deirdre, 1954-</t>
  </si>
  <si>
    <t>New York, N.Y. : Palgrave Macmillan, 2002.</t>
  </si>
  <si>
    <t>905399127:eng</t>
  </si>
  <si>
    <t>48777344</t>
  </si>
  <si>
    <t>991003943629702656</t>
  </si>
  <si>
    <t>2259860530002656</t>
  </si>
  <si>
    <t>9780312214173</t>
  </si>
  <si>
    <t>32285004667118</t>
  </si>
  <si>
    <t>893246967</t>
  </si>
  <si>
    <t>DS793.Y3 C69 1999</t>
  </si>
  <si>
    <t>0                      DS 0793000Y  3                  C  69          1999</t>
  </si>
  <si>
    <t>Through the dragon's mouth : journeys into the Yangzi's three Gorges / Ben Thomson Cowles.</t>
  </si>
  <si>
    <t>Cowles, Ben Thomson, 1915-</t>
  </si>
  <si>
    <t>Santa Barbara, Calif. : Fithian Press, 1999.</t>
  </si>
  <si>
    <t>1999-05-10</t>
  </si>
  <si>
    <t>2564983079:eng</t>
  </si>
  <si>
    <t>39659771</t>
  </si>
  <si>
    <t>991002964469702656</t>
  </si>
  <si>
    <t>2262671590002656</t>
  </si>
  <si>
    <t>9781564742940</t>
  </si>
  <si>
    <t>32285003559852</t>
  </si>
  <si>
    <t>893721732</t>
  </si>
  <si>
    <t>DS793.Y3 L96 1997</t>
  </si>
  <si>
    <t>0                      DS 0793000Y  3                  L  96          1997</t>
  </si>
  <si>
    <t>Yangtze River : the wildest, wickedest river on earth / an anthology selected and edited by Madeleine Lynn.</t>
  </si>
  <si>
    <t>Lynn, Madeleine, 1954-</t>
  </si>
  <si>
    <t>Hong Kong ; New York : Oxford University Press, 1997.</t>
  </si>
  <si>
    <t>837016042:eng</t>
  </si>
  <si>
    <t>35620412</t>
  </si>
  <si>
    <t>991002715199702656</t>
  </si>
  <si>
    <t>2259894410002656</t>
  </si>
  <si>
    <t>9780195869200</t>
  </si>
  <si>
    <t>32285002499845</t>
  </si>
  <si>
    <t>893780127</t>
  </si>
  <si>
    <t>DS793.Y3 W56 1996</t>
  </si>
  <si>
    <t>0                      DS 0793000Y  3                  W  56          1996</t>
  </si>
  <si>
    <t>The river at the center of the world : a journey up the Yangtze, and back in Chinese time / Simon Winchester.</t>
  </si>
  <si>
    <t>Winchester, Simon.</t>
  </si>
  <si>
    <t>New York : Henry Holt &amp; Co., 1996.</t>
  </si>
  <si>
    <t>2007-07-26</t>
  </si>
  <si>
    <t>1996-11-26</t>
  </si>
  <si>
    <t>2452840444:eng</t>
  </si>
  <si>
    <t>34411014</t>
  </si>
  <si>
    <t>991002625069702656</t>
  </si>
  <si>
    <t>2263150740002656</t>
  </si>
  <si>
    <t>9780805038880</t>
  </si>
  <si>
    <t>32285002386034</t>
  </si>
  <si>
    <t>893867468</t>
  </si>
  <si>
    <t>DS795 .D88 2008</t>
  </si>
  <si>
    <t>0                      DS 0795000D  88          2008</t>
  </si>
  <si>
    <t>Beijing time / Michael Dutton, Hsiu-ju Stacy Lo, Dong Dong Wu.</t>
  </si>
  <si>
    <t>Dutton, Michael Robert.</t>
  </si>
  <si>
    <t>Cambridge, Mass. : Harvard University Press, 2008.</t>
  </si>
  <si>
    <t>114071539:eng</t>
  </si>
  <si>
    <t>173136229</t>
  </si>
  <si>
    <t>991005364479702656</t>
  </si>
  <si>
    <t>2261324750002656</t>
  </si>
  <si>
    <t>9780674027893</t>
  </si>
  <si>
    <t>32285005578009</t>
  </si>
  <si>
    <t>893783516</t>
  </si>
  <si>
    <t>DS795.6.T5 S3 1989</t>
  </si>
  <si>
    <t>0                      DS 0795600T  5                  S  3           1989</t>
  </si>
  <si>
    <t>Tiananmen diary : thirteen days in June / Harrison E. Salisbury.</t>
  </si>
  <si>
    <t>Boston : Little, Brown, c1989.</t>
  </si>
  <si>
    <t>2005-07-19</t>
  </si>
  <si>
    <t>1990-01-14</t>
  </si>
  <si>
    <t>197901996:eng</t>
  </si>
  <si>
    <t>20232053</t>
  </si>
  <si>
    <t>991001552339702656</t>
  </si>
  <si>
    <t>2264605250002656</t>
  </si>
  <si>
    <t>9780316809054</t>
  </si>
  <si>
    <t>32285000025733</t>
  </si>
  <si>
    <t>893690680</t>
  </si>
  <si>
    <t>DS796.H757 E524</t>
  </si>
  <si>
    <t>0                      DS 0796000H  757                E  524</t>
  </si>
  <si>
    <t>Hong Kong eclipse / G. B. Endacott ; edited and with additional material by Alan Birch.</t>
  </si>
  <si>
    <t>Endacott, G. B.</t>
  </si>
  <si>
    <t>Hong Kong ; New York : Oxford University Press, 1978.</t>
  </si>
  <si>
    <t>Oxford in Asia paperbacks</t>
  </si>
  <si>
    <t>1995-03-02</t>
  </si>
  <si>
    <t>415604:eng</t>
  </si>
  <si>
    <t>4183099</t>
  </si>
  <si>
    <t>991004602879702656</t>
  </si>
  <si>
    <t>2266505480002656</t>
  </si>
  <si>
    <t>9780195803754</t>
  </si>
  <si>
    <t>32285000672526</t>
  </si>
  <si>
    <t>893319431</t>
  </si>
  <si>
    <t>DS796.H757 H647 1999</t>
  </si>
  <si>
    <t>0                      DS 0796000H  757                H  647         1999</t>
  </si>
  <si>
    <t>Hong Kong at the handover / edited by Bruce Herschensohn.</t>
  </si>
  <si>
    <t>Lanham : Lexington Books, c1999</t>
  </si>
  <si>
    <t>2003-12-04</t>
  </si>
  <si>
    <t>368219205:eng</t>
  </si>
  <si>
    <t>40043588</t>
  </si>
  <si>
    <t>991004187399702656</t>
  </si>
  <si>
    <t>2268034800002656</t>
  </si>
  <si>
    <t>9780739100066</t>
  </si>
  <si>
    <t>32285004844709</t>
  </si>
  <si>
    <t>893888395</t>
  </si>
  <si>
    <t>DS796.H757 H6595 2000</t>
  </si>
  <si>
    <t>0                      DS 0796000H  757                H  6595        2000</t>
  </si>
  <si>
    <t>Hong Kong the super paradox : life after return to China / edited by James C. Hsiung.</t>
  </si>
  <si>
    <t>New York, N.Y. : St. Martin's Press, c2000.</t>
  </si>
  <si>
    <t>837035517:eng</t>
  </si>
  <si>
    <t>41892515</t>
  </si>
  <si>
    <t>991003890309702656</t>
  </si>
  <si>
    <t>2259334480002656</t>
  </si>
  <si>
    <t>9780312222932</t>
  </si>
  <si>
    <t>32285004655477</t>
  </si>
  <si>
    <t>893518986</t>
  </si>
  <si>
    <t>DS796.H757 R628 1996</t>
  </si>
  <si>
    <t>0                      DS 0796000H  757                R  628         1996</t>
  </si>
  <si>
    <t>The fall of Hong Kong : China's triumph and Britain's betrayal / Mark Roberti.</t>
  </si>
  <si>
    <t>Roberti, Mark, 1961-</t>
  </si>
  <si>
    <t>New York : John Wiley &amp; Sons, c1996.</t>
  </si>
  <si>
    <t>[Rev. and updated]</t>
  </si>
  <si>
    <t>1997-02-19</t>
  </si>
  <si>
    <t>811361774:eng</t>
  </si>
  <si>
    <t>34669501</t>
  </si>
  <si>
    <t>991002650989702656</t>
  </si>
  <si>
    <t>2271225530002656</t>
  </si>
  <si>
    <t>9780471159612</t>
  </si>
  <si>
    <t>32285002431772</t>
  </si>
  <si>
    <t>893622543</t>
  </si>
  <si>
    <t>DS796.H757 W36 1995</t>
  </si>
  <si>
    <t>0                      DS 0796000H  757                W  36          1995</t>
  </si>
  <si>
    <t>Hong Kong, 1997 : the politics of transition / Enbao Wang.</t>
  </si>
  <si>
    <t>Wang, Enbao, 1953-</t>
  </si>
  <si>
    <t>Boulder : L. Rienner, 1995.</t>
  </si>
  <si>
    <t>318775620:eng</t>
  </si>
  <si>
    <t>32510760</t>
  </si>
  <si>
    <t>991002500049702656</t>
  </si>
  <si>
    <t>2259635730002656</t>
  </si>
  <si>
    <t>9781555875978</t>
  </si>
  <si>
    <t>32285002388089</t>
  </si>
  <si>
    <t>893245256</t>
  </si>
  <si>
    <t>DS796.H757 Y34 1996</t>
  </si>
  <si>
    <t>0                      DS 0796000H  757                Y  34          1996</t>
  </si>
  <si>
    <t>Hong Kong : China's challenge / Michael Yahuda.</t>
  </si>
  <si>
    <t>London ; New York : Routledge, 1996.</t>
  </si>
  <si>
    <t>325460376:eng</t>
  </si>
  <si>
    <t>33948079</t>
  </si>
  <si>
    <t>991002590529702656</t>
  </si>
  <si>
    <t>2260828860002656</t>
  </si>
  <si>
    <t>9780415140706</t>
  </si>
  <si>
    <t>32285001419737</t>
  </si>
  <si>
    <t>893886474</t>
  </si>
  <si>
    <t>DS796.S25 L43 1999</t>
  </si>
  <si>
    <t>0                      DS 0796000S  25                 L  43          1999</t>
  </si>
  <si>
    <t>Shanghai modern : the flowering of a new urban culture in China, 1930-1945 / Leo Ou-fan Lee.</t>
  </si>
  <si>
    <t>Lee, Leo Ou-fan.</t>
  </si>
  <si>
    <t>2006-09-12</t>
  </si>
  <si>
    <t>2000-01-11</t>
  </si>
  <si>
    <t>179381159:eng</t>
  </si>
  <si>
    <t>40354566</t>
  </si>
  <si>
    <t>991002990209702656</t>
  </si>
  <si>
    <t>2267425440002656</t>
  </si>
  <si>
    <t>9780674805507</t>
  </si>
  <si>
    <t>32285003639688</t>
  </si>
  <si>
    <t>893799252</t>
  </si>
  <si>
    <t>DS797.22.W85 P73 2001</t>
  </si>
  <si>
    <t>0                      DS 0797220W  85                 P  73          2001</t>
  </si>
  <si>
    <t>Wuhu diary : on taking my adopted daughter back to her hometown in China / Emily Prager.</t>
  </si>
  <si>
    <t>Prager, Emily.</t>
  </si>
  <si>
    <t>2001-10-04</t>
  </si>
  <si>
    <t>2001-10-03</t>
  </si>
  <si>
    <t>8527661:eng</t>
  </si>
  <si>
    <t>45835549</t>
  </si>
  <si>
    <t>991003593199702656</t>
  </si>
  <si>
    <t>2268225570002656</t>
  </si>
  <si>
    <t>9780375503498</t>
  </si>
  <si>
    <t>32285004395082</t>
  </si>
  <si>
    <t>893416545</t>
  </si>
  <si>
    <t>DS799 .C67 1990</t>
  </si>
  <si>
    <t>0                      DS 0799000C  67          1990</t>
  </si>
  <si>
    <t>Taiwan : nation-state or province? / John F. Copper.</t>
  </si>
  <si>
    <t>4926775700:eng</t>
  </si>
  <si>
    <t>16277266</t>
  </si>
  <si>
    <t>991001097759702656</t>
  </si>
  <si>
    <t>2263053720002656</t>
  </si>
  <si>
    <t>9780813310510</t>
  </si>
  <si>
    <t>32285000494335</t>
  </si>
  <si>
    <t>893720926</t>
  </si>
  <si>
    <t>DS799 .L85</t>
  </si>
  <si>
    <t>0                      DS 0799000L  85</t>
  </si>
  <si>
    <t>The Republic of China under Chiang Kai-shek : Taiwan today / F. A. Lumley.</t>
  </si>
  <si>
    <t>Lumley, F. A.</t>
  </si>
  <si>
    <t>London : Barrie &amp; Jenkins, 1976.</t>
  </si>
  <si>
    <t>World realities series</t>
  </si>
  <si>
    <t>7420983:eng</t>
  </si>
  <si>
    <t>3069540</t>
  </si>
  <si>
    <t>991004333479702656</t>
  </si>
  <si>
    <t>2267939560002656</t>
  </si>
  <si>
    <t>9780214203510</t>
  </si>
  <si>
    <t>32285002449709</t>
  </si>
  <si>
    <t>893788572</t>
  </si>
  <si>
    <t>DS799.63.C6 M35 1999</t>
  </si>
  <si>
    <t>0                      DS 0799630C  6                  M  35          1999</t>
  </si>
  <si>
    <t>Across the Taiwan strait : mainland China, Taiwan, and the 1995-1996 crisis / Suisheng Zhao, editor.</t>
  </si>
  <si>
    <t>New York : Routledge, 1999.</t>
  </si>
  <si>
    <t>795218299:eng</t>
  </si>
  <si>
    <t>41467819</t>
  </si>
  <si>
    <t>991003029369702656</t>
  </si>
  <si>
    <t>2271697640002656</t>
  </si>
  <si>
    <t>9780415923323</t>
  </si>
  <si>
    <t>32285003613725</t>
  </si>
  <si>
    <t>893868011</t>
  </si>
  <si>
    <t>DS799.63.C6 W35 2006</t>
  </si>
  <si>
    <t>0                      DS 0799630C  6                  W  35          2006</t>
  </si>
  <si>
    <t>China and the Taiwan issue : impending war at Taiwan Strait / Gabe T. Wang.</t>
  </si>
  <si>
    <t>Wang, Gabe T.</t>
  </si>
  <si>
    <t>Lanham, Md. : University Press of America, c2006.</t>
  </si>
  <si>
    <t>312744061:eng</t>
  </si>
  <si>
    <t>123817322</t>
  </si>
  <si>
    <t>991004902329702656</t>
  </si>
  <si>
    <t>2271310570002656</t>
  </si>
  <si>
    <t>9780761834342</t>
  </si>
  <si>
    <t>32285005226880</t>
  </si>
  <si>
    <t>893694476</t>
  </si>
  <si>
    <t>DS799.7 .T3517 2001</t>
  </si>
  <si>
    <t>0                      DS 0799700T  3517        2001</t>
  </si>
  <si>
    <t>Taiwan in the twentieth century : a retrospective view / edited by Richard Louis Edmonds and Steven M. Goldstein.</t>
  </si>
  <si>
    <t>Cambridge ; New York : Cambridge University Press, c2001.</t>
  </si>
  <si>
    <t>The China quarterly special issues ; no. 1</t>
  </si>
  <si>
    <t>2006-07-26</t>
  </si>
  <si>
    <t>319703531:eng</t>
  </si>
  <si>
    <t>45909180</t>
  </si>
  <si>
    <t>991003999729702656</t>
  </si>
  <si>
    <t>2267882450002656</t>
  </si>
  <si>
    <t>9780521003438</t>
  </si>
  <si>
    <t>32285004681994</t>
  </si>
  <si>
    <t>893429521</t>
  </si>
  <si>
    <t>DS799.716 .T94 2009</t>
  </si>
  <si>
    <t>0                      DS 0799716T  94          2009</t>
  </si>
  <si>
    <t>From hōnto jin to bensheng ren : the origin and development of Taiwanese national consciousness / Shih-jung Tzeng.</t>
  </si>
  <si>
    <t>Tzeng, Shih-jung, 1966-</t>
  </si>
  <si>
    <t>373790287:eng</t>
  </si>
  <si>
    <t>297206834</t>
  </si>
  <si>
    <t>991005374569702656</t>
  </si>
  <si>
    <t>2260760030002656</t>
  </si>
  <si>
    <t>9780761844716</t>
  </si>
  <si>
    <t>32285005579692</t>
  </si>
  <si>
    <t>893777348</t>
  </si>
  <si>
    <t>DS799.8 .F87</t>
  </si>
  <si>
    <t>0                      DS 0799800F  87</t>
  </si>
  <si>
    <t>The Future of Taiwan : a difference of opinion : a dialogue / among Trong R. Chai ... [et al.] ; edited by Victor H. Li.</t>
  </si>
  <si>
    <t>White PLains, N.Y. : M. E. Sharpe, c1980.</t>
  </si>
  <si>
    <t>2005-12-09</t>
  </si>
  <si>
    <t>1027280803:eng</t>
  </si>
  <si>
    <t>6483055</t>
  </si>
  <si>
    <t>991004988729702656</t>
  </si>
  <si>
    <t>2271042120002656</t>
  </si>
  <si>
    <t>9780873321730</t>
  </si>
  <si>
    <t>32285000339464</t>
  </si>
  <si>
    <t>893436997</t>
  </si>
  <si>
    <t>DS799.816 .M33 1998</t>
  </si>
  <si>
    <t>0                      DS 0799816M  33          1998</t>
  </si>
  <si>
    <t>The rise of modern Taiwan / Keith Maguire.</t>
  </si>
  <si>
    <t>Maguire, Keith.</t>
  </si>
  <si>
    <t>Aldershot, Hampshire, England ; Brookfield, Vt., USA : Ashgate, c1998.</t>
  </si>
  <si>
    <t>2007-08-30</t>
  </si>
  <si>
    <t>42555117:eng</t>
  </si>
  <si>
    <t>39291674</t>
  </si>
  <si>
    <t>991003876069702656</t>
  </si>
  <si>
    <t>2260286050002656</t>
  </si>
  <si>
    <t>9781855218475</t>
  </si>
  <si>
    <t>32285004656707</t>
  </si>
  <si>
    <t>893343145</t>
  </si>
  <si>
    <t>DS799.82.C437 T39 2000</t>
  </si>
  <si>
    <t>0                      DS 0799820C  437                T  39          2000</t>
  </si>
  <si>
    <t>The Generalissimo's son : Chiang Ching-kuo and the revolutions in China and Taiwan / Jay Taylor.</t>
  </si>
  <si>
    <t>Taylor, Jay, 1931-</t>
  </si>
  <si>
    <t>2009-05-04</t>
  </si>
  <si>
    <t>4714757025:eng</t>
  </si>
  <si>
    <t>43708530</t>
  </si>
  <si>
    <t>991003696309702656</t>
  </si>
  <si>
    <t>2256925390002656</t>
  </si>
  <si>
    <t>9780674002876</t>
  </si>
  <si>
    <t>32285004446422</t>
  </si>
  <si>
    <t>893441606</t>
  </si>
  <si>
    <t>DS799.847 .C458 2001</t>
  </si>
  <si>
    <t>0                      DS 0799847C  458         2001</t>
  </si>
  <si>
    <t>Will Taiwan break away : the rise of Taiwanese nationalism / Ching Cheong.</t>
  </si>
  <si>
    <t>Ching, Cheong, 1949-</t>
  </si>
  <si>
    <t>Singapore ; River Edge, NJ : World Scientific, c2001.</t>
  </si>
  <si>
    <t>47137805:eng</t>
  </si>
  <si>
    <t>45945321</t>
  </si>
  <si>
    <t>991003538319702656</t>
  </si>
  <si>
    <t>2258470990002656</t>
  </si>
  <si>
    <t>9789810244866</t>
  </si>
  <si>
    <t>32285004330675</t>
  </si>
  <si>
    <t>893799849</t>
  </si>
  <si>
    <t>DS799.847 .C65 1999</t>
  </si>
  <si>
    <t>0                      DS 0799847C  65          1999</t>
  </si>
  <si>
    <t>As Taiwan approaches the new millennium : essays on politics and foreign affairs / John F. Copper.</t>
  </si>
  <si>
    <t>Lanham, Md. : University Press of America, c1999.</t>
  </si>
  <si>
    <t>2005-10-11</t>
  </si>
  <si>
    <t>202133037:eng</t>
  </si>
  <si>
    <t>41278474</t>
  </si>
  <si>
    <t>991003777269702656</t>
  </si>
  <si>
    <t>2267825070002656</t>
  </si>
  <si>
    <t>9780761814320</t>
  </si>
  <si>
    <t>32285004480033</t>
  </si>
  <si>
    <t>893535623</t>
  </si>
  <si>
    <t>DS799.847 .H53 1997</t>
  </si>
  <si>
    <t>0                      DS 0799847H  53          1997</t>
  </si>
  <si>
    <t>Taiwan's security in the changing international system / Dennis Van Vranken Hickey.</t>
  </si>
  <si>
    <t>Hickey, Dennis Van Vranken.</t>
  </si>
  <si>
    <t>Boulder, Colo. : Lynne Rienner Publishers, 1997.</t>
  </si>
  <si>
    <t>41136707:eng</t>
  </si>
  <si>
    <t>35198745</t>
  </si>
  <si>
    <t>991002696269702656</t>
  </si>
  <si>
    <t>2260428160002656</t>
  </si>
  <si>
    <t>9781555876272</t>
  </si>
  <si>
    <t>32285002441243</t>
  </si>
  <si>
    <t>893603889</t>
  </si>
  <si>
    <t>DS799.847 .W43 2001</t>
  </si>
  <si>
    <t>0                      DS 0799847W  43          2001</t>
  </si>
  <si>
    <t>Virtual missiles : metaphors and allusions in Taiwanese political campaigns / Jennifer M. Wei.</t>
  </si>
  <si>
    <t>Wei, Jennifer M., 1964-</t>
  </si>
  <si>
    <t>Lanham, MD : Lexington Books, c2001.</t>
  </si>
  <si>
    <t>2004-01-28</t>
  </si>
  <si>
    <t>138905721:eng</t>
  </si>
  <si>
    <t>46969929</t>
  </si>
  <si>
    <t>991004187249702656</t>
  </si>
  <si>
    <t>2266928650002656</t>
  </si>
  <si>
    <t>9780739102718</t>
  </si>
  <si>
    <t>32285004803192</t>
  </si>
  <si>
    <t>893712254</t>
  </si>
  <si>
    <t>DS799.848 .Y79 2002</t>
  </si>
  <si>
    <t>0                      DS 0799848Y  79          2002</t>
  </si>
  <si>
    <t>The crab and frog motion paradigm shift : decoding and deciphering Taipei and Beijing's dialectical politics / Peter Kien-hong Yu.</t>
  </si>
  <si>
    <t>Yu, Peter Kien-hong, 1953-</t>
  </si>
  <si>
    <t>Lanham, MD : University Press of America, c2002.</t>
  </si>
  <si>
    <t>20801269:eng</t>
  </si>
  <si>
    <t>48053894</t>
  </si>
  <si>
    <t>991003768329702656</t>
  </si>
  <si>
    <t>2268402220002656</t>
  </si>
  <si>
    <t>9780761821502</t>
  </si>
  <si>
    <t>32285004476841</t>
  </si>
  <si>
    <t>893627759</t>
  </si>
  <si>
    <t>DS799.9.T24 S36 1987</t>
  </si>
  <si>
    <t>0                      DS 0799900T  24                 S  36          1987</t>
  </si>
  <si>
    <t>History and magical power in a Chinese community / P. Steven Sangren.</t>
  </si>
  <si>
    <t>Sangren, Paul Steven.</t>
  </si>
  <si>
    <t>Sanford, Calif. : Stanford University Press, c1987.</t>
  </si>
  <si>
    <t>9059932:eng</t>
  </si>
  <si>
    <t>14692039</t>
  </si>
  <si>
    <t>991000952329702656</t>
  </si>
  <si>
    <t>2257602100002656</t>
  </si>
  <si>
    <t>9780804713443</t>
  </si>
  <si>
    <t>32285000339498</t>
  </si>
  <si>
    <t>893778420</t>
  </si>
  <si>
    <t>DS80 .G67 1983</t>
  </si>
  <si>
    <t>0                      DS 0080000G  67          1983</t>
  </si>
  <si>
    <t>The Republic of Lebanon : nation in jeopardy / David C. Gordon.</t>
  </si>
  <si>
    <t>Gordon, David C.</t>
  </si>
  <si>
    <t>Boulder, Colo. : Westview Press ; London : Croom Helm, 1983.</t>
  </si>
  <si>
    <t>Profiles. Nations of the contemporary Middle East</t>
  </si>
  <si>
    <t>1997-04-04</t>
  </si>
  <si>
    <t>21039045:eng</t>
  </si>
  <si>
    <t>8974799</t>
  </si>
  <si>
    <t>991000104739702656</t>
  </si>
  <si>
    <t>2256894490002656</t>
  </si>
  <si>
    <t>9780865314504</t>
  </si>
  <si>
    <t>32285000292168</t>
  </si>
  <si>
    <t>893230876</t>
  </si>
  <si>
    <t>DS80.3 .B73 1982</t>
  </si>
  <si>
    <t>0                      DS 0080300B  73          1982</t>
  </si>
  <si>
    <t>L'architecture domestique du Levant a l'age du fer / Frank Braemer.</t>
  </si>
  <si>
    <t>Braemer, François.</t>
  </si>
  <si>
    <t>Paris : Editions Recherche sur les civilisations, 1982.</t>
  </si>
  <si>
    <t>Protohistoire du Levant</t>
  </si>
  <si>
    <t>2002-08-13</t>
  </si>
  <si>
    <t>8913547510:fre</t>
  </si>
  <si>
    <t>8942775</t>
  </si>
  <si>
    <t>991000099369702656</t>
  </si>
  <si>
    <t>2258573940002656</t>
  </si>
  <si>
    <t>9782865380350</t>
  </si>
  <si>
    <t>32285000292176</t>
  </si>
  <si>
    <t>893431685</t>
  </si>
  <si>
    <t>DS80.5 .N67 1987</t>
  </si>
  <si>
    <t>0                      DS 0080500N  67          1987</t>
  </si>
  <si>
    <t>Amal and the Shiʻa : struggle for the soul of Lebanon / by Augustus Richard Norton ; foreword by Leonard Binder.</t>
  </si>
  <si>
    <t>Norton, Augustus R.</t>
  </si>
  <si>
    <t>Austin : University of Texas Press, 1987.</t>
  </si>
  <si>
    <t>Modern Middle East series ; no. 13</t>
  </si>
  <si>
    <t>1990-09-04</t>
  </si>
  <si>
    <t>8528195:eng</t>
  </si>
  <si>
    <t>14519484</t>
  </si>
  <si>
    <t>991000944599702656</t>
  </si>
  <si>
    <t>2254801100002656</t>
  </si>
  <si>
    <t>9780292730403</t>
  </si>
  <si>
    <t>32285000275502</t>
  </si>
  <si>
    <t>893346118</t>
  </si>
  <si>
    <t>DS80.9 .C6 1985</t>
  </si>
  <si>
    <t>0                      DS 0080900C  6           1985</t>
  </si>
  <si>
    <t>The making of modern Lebanon / Helena Cobban.</t>
  </si>
  <si>
    <t>London : Hutchinson Education, 1985.</t>
  </si>
  <si>
    <t>1999-03-15</t>
  </si>
  <si>
    <t>5785647:eng</t>
  </si>
  <si>
    <t>14412165</t>
  </si>
  <si>
    <t>991000697399702656</t>
  </si>
  <si>
    <t>2258005430002656</t>
  </si>
  <si>
    <t>9780091607913</t>
  </si>
  <si>
    <t>32285000292184</t>
  </si>
  <si>
    <t>893865588</t>
  </si>
  <si>
    <t>DS80.9 .H52</t>
  </si>
  <si>
    <t>0                      DS 0080900H  52</t>
  </si>
  <si>
    <t>A short history of Lebanon / by Philip K. Hitti.</t>
  </si>
  <si>
    <t>1998-03-15</t>
  </si>
  <si>
    <t>1994-06-29</t>
  </si>
  <si>
    <t>2908447512:eng</t>
  </si>
  <si>
    <t>1355530</t>
  </si>
  <si>
    <t>991003713159702656</t>
  </si>
  <si>
    <t>2272485450002656</t>
  </si>
  <si>
    <t>32285001929933</t>
  </si>
  <si>
    <t>893775063</t>
  </si>
  <si>
    <t>DS803 .L57 v.1</t>
  </si>
  <si>
    <t>0                      DS 0803000L  57                                                      v.1</t>
  </si>
  <si>
    <t>Imperial Japan, 1800-1945 / edited, annotated, and with introductions by Jon Livingston, Joe Moore, and Felicia Oldfather.</t>
  </si>
  <si>
    <t>Livingston, Jon, 1944- compiler.</t>
  </si>
  <si>
    <t>New York, Pantheon Books [1974, c1973]</t>
  </si>
  <si>
    <t>Pantheon's Asia library</t>
  </si>
  <si>
    <t>1994-05-12</t>
  </si>
  <si>
    <t>2829680900:eng</t>
  </si>
  <si>
    <t>693936</t>
  </si>
  <si>
    <t>991003154929702656</t>
  </si>
  <si>
    <t>2266540420002656</t>
  </si>
  <si>
    <t>9780394484372</t>
  </si>
  <si>
    <t>32285001911220</t>
  </si>
  <si>
    <t>893899674</t>
  </si>
  <si>
    <t>DS803 .L57 v.2</t>
  </si>
  <si>
    <t>0                      DS 0803000L  57                                                      v.2</t>
  </si>
  <si>
    <t>Postwar Japan, 1945 to the present / edited, annotated, and with introductions by Jon Livingston, Joe Moore, and Felicia Oldfather.</t>
  </si>
  <si>
    <t>New York : Pantheon Books, [1974, c1973]</t>
  </si>
  <si>
    <t>292116036:eng</t>
  </si>
  <si>
    <t>693940</t>
  </si>
  <si>
    <t>991003154969702656</t>
  </si>
  <si>
    <t>2266624190002656</t>
  </si>
  <si>
    <t>9780394489032</t>
  </si>
  <si>
    <t>32285001913523</t>
  </si>
  <si>
    <t>893899675</t>
  </si>
  <si>
    <t>DS806 .B6</t>
  </si>
  <si>
    <t>0                      DS 0806000B  6</t>
  </si>
  <si>
    <t>Japan.</t>
  </si>
  <si>
    <t>Borton, Hugh, 1903-1995 editor.</t>
  </si>
  <si>
    <t>Ithaca : Cornell University Press, [1951, c1950]</t>
  </si>
  <si>
    <t>1995-11-08</t>
  </si>
  <si>
    <t>4536119540:eng</t>
  </si>
  <si>
    <t>1127491</t>
  </si>
  <si>
    <t>991003558339702656</t>
  </si>
  <si>
    <t>2267159050002656</t>
  </si>
  <si>
    <t>32285001984045</t>
  </si>
  <si>
    <t>893246485</t>
  </si>
  <si>
    <t>DS806 .B85</t>
  </si>
  <si>
    <t>0                      DS 0806000B  85</t>
  </si>
  <si>
    <t>Japan : profile of a postindustrial power / Ardath W. Burks.</t>
  </si>
  <si>
    <t>Burks, Ardath W.</t>
  </si>
  <si>
    <t>1994-12-11</t>
  </si>
  <si>
    <t>3071233:eng</t>
  </si>
  <si>
    <t>6223369</t>
  </si>
  <si>
    <t>991004948529702656</t>
  </si>
  <si>
    <t>2268494540002656</t>
  </si>
  <si>
    <t>9780865310407</t>
  </si>
  <si>
    <t>32285000339522</t>
  </si>
  <si>
    <t>893436949</t>
  </si>
  <si>
    <t>DS806 .I58 v..., pt...</t>
  </si>
  <si>
    <t>0                      DS 0806000I  58                                                      v..., pt...</t>
  </si>
  <si>
    <t>An Introductory bibliography for Japanese studies.</t>
  </si>
  <si>
    <t>Tokyo : University of Tokyo Press ; Portland, Or. : distributed by International Scholarly Book Services, inc., 1974-</t>
  </si>
  <si>
    <t>1994-11-27</t>
  </si>
  <si>
    <t>10792293731:eng</t>
  </si>
  <si>
    <t>44663262</t>
  </si>
  <si>
    <t>991003858909702656</t>
  </si>
  <si>
    <t>2266612610002656</t>
  </si>
  <si>
    <t>32285000339530</t>
  </si>
  <si>
    <t>893900457</t>
  </si>
  <si>
    <t>DS806 .J16</t>
  </si>
  <si>
    <t>0                      DS 0806000J  16</t>
  </si>
  <si>
    <t>Japan and its world : two centuries of change / Marius B. Jansen.</t>
  </si>
  <si>
    <t>The Brown and Haley lectures ; 1975</t>
  </si>
  <si>
    <t>56700391:eng</t>
  </si>
  <si>
    <t>6788082</t>
  </si>
  <si>
    <t>991005039419702656</t>
  </si>
  <si>
    <t>2262001150002656</t>
  </si>
  <si>
    <t>9780691053103</t>
  </si>
  <si>
    <t>32285000339548</t>
  </si>
  <si>
    <t>893782939</t>
  </si>
  <si>
    <t>DS806 .K385 2005</t>
  </si>
  <si>
    <t>0                      DS 0806000K  385         2005</t>
  </si>
  <si>
    <t>Japan in the 21st century : environment, economy, and society = Nij*uisseiki no Nihon / Pradyumna P. Karan ; cartography by Dick Gilbreath.</t>
  </si>
  <si>
    <t>Karan, Pradyumna P. (Pradyumna Prasad)</t>
  </si>
  <si>
    <t>Lexington : University Press of Kentucky, 2005.</t>
  </si>
  <si>
    <t>2009-03-24</t>
  </si>
  <si>
    <t>2006-07-31</t>
  </si>
  <si>
    <t>973337737:eng</t>
  </si>
  <si>
    <t>56422090</t>
  </si>
  <si>
    <t>991004856849702656</t>
  </si>
  <si>
    <t>2258860500002656</t>
  </si>
  <si>
    <t>9780813123424</t>
  </si>
  <si>
    <t>32285005197917</t>
  </si>
  <si>
    <t>893536245</t>
  </si>
  <si>
    <t>DS806 .P37 1982</t>
  </si>
  <si>
    <t>0                      DS 0806000P  37          1982</t>
  </si>
  <si>
    <t>Encounter with Japan / by Herbert Passin.</t>
  </si>
  <si>
    <t>Passin, Herbert, 1916-2003.</t>
  </si>
  <si>
    <t>Tokyo ; New York : Kodansha International Ltd., c1982.</t>
  </si>
  <si>
    <t>First ed.</t>
  </si>
  <si>
    <t>2005-03-02</t>
  </si>
  <si>
    <t>29918329:eng</t>
  </si>
  <si>
    <t>9410629</t>
  </si>
  <si>
    <t>991000189589702656</t>
  </si>
  <si>
    <t>2260581790002656</t>
  </si>
  <si>
    <t>9780870115455</t>
  </si>
  <si>
    <t>32285000339555</t>
  </si>
  <si>
    <t>893496019</t>
  </si>
  <si>
    <t>DS806 .R35</t>
  </si>
  <si>
    <t>0                      DS 0806000R  35</t>
  </si>
  <si>
    <t>The Japanese / Edwin O. Reischauer. --</t>
  </si>
  <si>
    <t>Reischauer, Edwin O. (Edwin Oldfather), 1910-1990.</t>
  </si>
  <si>
    <t>Cambridge, Mass. : Belknap Press, 1977.</t>
  </si>
  <si>
    <t>54618877:eng</t>
  </si>
  <si>
    <t>2655444</t>
  </si>
  <si>
    <t>991004201739702656</t>
  </si>
  <si>
    <t>2256415140002656</t>
  </si>
  <si>
    <t>9780674471764</t>
  </si>
  <si>
    <t>32285000094333</t>
  </si>
  <si>
    <t>893411244</t>
  </si>
  <si>
    <t>DS806 .R65 2001</t>
  </si>
  <si>
    <t>0                      DS 0806000R  65          2001</t>
  </si>
  <si>
    <t>A collector's guide to books on Japan in English : a select list of over 2500 titles / compiled and annotated by Joseph Rogala.</t>
  </si>
  <si>
    <t>Rogala, Jozef.</t>
  </si>
  <si>
    <t>Richmond, Surrey : Japan Library, 2001.</t>
  </si>
  <si>
    <t>2001-05-16</t>
  </si>
  <si>
    <t>2001-04-19</t>
  </si>
  <si>
    <t>795241491:eng</t>
  </si>
  <si>
    <t>42579480</t>
  </si>
  <si>
    <t>991003453389702656</t>
  </si>
  <si>
    <t>2263918340002656</t>
  </si>
  <si>
    <t>9781873410905</t>
  </si>
  <si>
    <t>32285004309075</t>
  </si>
  <si>
    <t>893342561</t>
  </si>
  <si>
    <t>DS806 .S4</t>
  </si>
  <si>
    <t>0                      DS 0806000S  4</t>
  </si>
  <si>
    <t>Japan / by Edward Seidensticker and the editors of Life.</t>
  </si>
  <si>
    <t>Seidensticker, Edward, 1921-2007.</t>
  </si>
  <si>
    <t>New York : Time, inc., 1961.</t>
  </si>
  <si>
    <t>Life world library</t>
  </si>
  <si>
    <t>1994-07-07</t>
  </si>
  <si>
    <t>112856641:eng</t>
  </si>
  <si>
    <t>740096</t>
  </si>
  <si>
    <t>991003213699702656</t>
  </si>
  <si>
    <t>2272503750002656</t>
  </si>
  <si>
    <t>32285001633139</t>
  </si>
  <si>
    <t>893623258</t>
  </si>
  <si>
    <t>DS806 .T298 1988</t>
  </si>
  <si>
    <t>0                      DS 0806000T  298         1988</t>
  </si>
  <si>
    <t>The Japanese : a major exploration of modern Japan / Peter Tasker.</t>
  </si>
  <si>
    <t>Tasker, Peter.</t>
  </si>
  <si>
    <t>New York : Dutton, 1988, c1987.</t>
  </si>
  <si>
    <t>689278578:eng</t>
  </si>
  <si>
    <t>16923391</t>
  </si>
  <si>
    <t>991001165929702656</t>
  </si>
  <si>
    <t>2269677700002656</t>
  </si>
  <si>
    <t>9780525246756</t>
  </si>
  <si>
    <t>32285000339563</t>
  </si>
  <si>
    <t>893696518</t>
  </si>
  <si>
    <t>DS806.3 .S35</t>
  </si>
  <si>
    <t>0                      DS 0806300S  35</t>
  </si>
  <si>
    <t>Castles in Japan / by Morton S. Schmorleitz.</t>
  </si>
  <si>
    <t>Schmorleitz, Morton S.</t>
  </si>
  <si>
    <t>Rutland, Vt. : C. E. Tuttle Co., 1974.</t>
  </si>
  <si>
    <t>1990-10-29</t>
  </si>
  <si>
    <t>2153636:eng</t>
  </si>
  <si>
    <t>1245889</t>
  </si>
  <si>
    <t>991003645429702656</t>
  </si>
  <si>
    <t>2260406860002656</t>
  </si>
  <si>
    <t>9780804811026</t>
  </si>
  <si>
    <t>32285000339597</t>
  </si>
  <si>
    <t>893686768</t>
  </si>
  <si>
    <t>DS808 .C6</t>
  </si>
  <si>
    <t>0                      DS 0808000C  6</t>
  </si>
  <si>
    <t>They came to Japan; an anthology of European reports on Japan, 1543-1640.</t>
  </si>
  <si>
    <t>Cooper, Michael, 1930-2018 editor.</t>
  </si>
  <si>
    <t>Publications of the Center for Japanese and Korean Studies</t>
  </si>
  <si>
    <t>2005-04-09</t>
  </si>
  <si>
    <t>794978427:eng</t>
  </si>
  <si>
    <t>500169</t>
  </si>
  <si>
    <t>991002872049702656</t>
  </si>
  <si>
    <t>2255134340002656</t>
  </si>
  <si>
    <t>32285002274222</t>
  </si>
  <si>
    <t>893517861</t>
  </si>
  <si>
    <t>DS809 .F84 1982</t>
  </si>
  <si>
    <t>0                      DS 0809000F  84          1982</t>
  </si>
  <si>
    <t>A diplomat's wife in Japan : sketches at the turn of the century / Mary Crawford Fraser ; edited by Hugh Cortazzi.</t>
  </si>
  <si>
    <t>Fraser, Hugh, Mrs., -1922.</t>
  </si>
  <si>
    <t>New York : Weatherhill, 1982.</t>
  </si>
  <si>
    <t>2007-05-04</t>
  </si>
  <si>
    <t>2002-01-14</t>
  </si>
  <si>
    <t>144008207:eng</t>
  </si>
  <si>
    <t>8222775</t>
  </si>
  <si>
    <t>991003687449702656</t>
  </si>
  <si>
    <t>2266787250002656</t>
  </si>
  <si>
    <t>9780834801721</t>
  </si>
  <si>
    <t>32285004448592</t>
  </si>
  <si>
    <t>893535577</t>
  </si>
  <si>
    <t>DS809 .H18 1992</t>
  </si>
  <si>
    <t>0                      DS 0809000H  18          1992</t>
  </si>
  <si>
    <t>Japan through American eyes : the journal of Francis Hall, Kanagawa and Yokohama, 1859-1866 / edited and annotated by F.G. Notehelfer.</t>
  </si>
  <si>
    <t>Hall, Francis.</t>
  </si>
  <si>
    <t>Princeton, N.J. : Princeton University Press, c1992.</t>
  </si>
  <si>
    <t>889748517:eng</t>
  </si>
  <si>
    <t>24627694</t>
  </si>
  <si>
    <t>991001947889702656</t>
  </si>
  <si>
    <t>2261618120002656</t>
  </si>
  <si>
    <t>9780691031811</t>
  </si>
  <si>
    <t>32285002156338</t>
  </si>
  <si>
    <t>893791868</t>
  </si>
  <si>
    <t>DS809 .H43 1976</t>
  </si>
  <si>
    <t>0                      DS 0809000H  43          1976</t>
  </si>
  <si>
    <t>Glimpses of unfamiliar Japan / by Lafcadio Hearn.</t>
  </si>
  <si>
    <t>Hearn, Lafcadio, 1850-1904.</t>
  </si>
  <si>
    <t>Rutland, Vt. : C. E. Tuttle Co., 1976, 1981 printing.</t>
  </si>
  <si>
    <t>1992-11-07</t>
  </si>
  <si>
    <t>460078:eng</t>
  </si>
  <si>
    <t>3242352</t>
  </si>
  <si>
    <t>991004386619702656</t>
  </si>
  <si>
    <t>2272044990002656</t>
  </si>
  <si>
    <t>9780804811453</t>
  </si>
  <si>
    <t>32285000339605</t>
  </si>
  <si>
    <t>893628135</t>
  </si>
  <si>
    <t>DS809 .M28 1973</t>
  </si>
  <si>
    <t>0                      DS 0809000M  28          1973</t>
  </si>
  <si>
    <t>Manners and customs of the Japanese, in the nineteenth century : from the accounts of Dutch residents in Japan and from the German work of Philipp Franz von Siebold / with an introd. to the new ed. by Terence Barrow.</t>
  </si>
  <si>
    <t>Rutland, Vt. : C. E. Tuttle Co., c1973, 1981 printing.</t>
  </si>
  <si>
    <t>Tut books. H</t>
  </si>
  <si>
    <t>350615169:eng</t>
  </si>
  <si>
    <t>636365</t>
  </si>
  <si>
    <t>991003085939702656</t>
  </si>
  <si>
    <t>2255302020002656</t>
  </si>
  <si>
    <t>9780804810814</t>
  </si>
  <si>
    <t>32285000339613</t>
  </si>
  <si>
    <t>893348329</t>
  </si>
  <si>
    <t>DS81 .A8513 1996</t>
  </si>
  <si>
    <t>0                      DS 0081000A  8513        1996</t>
  </si>
  <si>
    <t>The Phoenicians and the West : politics, colonies, and trade / María Eugenia Aubet ; translated from the Spanish by Mary Turton.</t>
  </si>
  <si>
    <t>Aubet, María Eugenia.</t>
  </si>
  <si>
    <t>Cambridge [England] ; New York : Cambridge University Press, 1996, c1993.</t>
  </si>
  <si>
    <t>2010-09-07</t>
  </si>
  <si>
    <t>1997-05-06</t>
  </si>
  <si>
    <t>20394302:eng</t>
  </si>
  <si>
    <t>25409347</t>
  </si>
  <si>
    <t>991001998449702656</t>
  </si>
  <si>
    <t>2266715630002656</t>
  </si>
  <si>
    <t>9780521411417</t>
  </si>
  <si>
    <t>32285002544384</t>
  </si>
  <si>
    <t>893866674</t>
  </si>
  <si>
    <t>DS81 .H3</t>
  </si>
  <si>
    <t>0                      DS 0081000H  3</t>
  </si>
  <si>
    <t>The Phoenicians.</t>
  </si>
  <si>
    <t>Harden, Donald B. (Donald Benjamin)</t>
  </si>
  <si>
    <t>London : Thames and Hudson, [1963]</t>
  </si>
  <si>
    <t>Ancient peoples and places, 26</t>
  </si>
  <si>
    <t>8914062095:eng</t>
  </si>
  <si>
    <t>1827303</t>
  </si>
  <si>
    <t>991003901959702656</t>
  </si>
  <si>
    <t>2259187640002656</t>
  </si>
  <si>
    <t>32285001929925</t>
  </si>
  <si>
    <t>893506131</t>
  </si>
  <si>
    <t>DS81 .H413 1975</t>
  </si>
  <si>
    <t>0                      DS 0081000H  413         1975</t>
  </si>
  <si>
    <t>The Phoenicians : the Purple Empire of the ancient world / Gerhard Herm ; translated by Caroline Hillier.</t>
  </si>
  <si>
    <t>Herm, Gerhard, 1931-</t>
  </si>
  <si>
    <t>New York : Morrow, 1975.</t>
  </si>
  <si>
    <t>3901086503:eng</t>
  </si>
  <si>
    <t>1511125</t>
  </si>
  <si>
    <t>991003792039702656</t>
  </si>
  <si>
    <t>2261760980002656</t>
  </si>
  <si>
    <t>9780688029081</t>
  </si>
  <si>
    <t>32285002460342</t>
  </si>
  <si>
    <t>893506000</t>
  </si>
  <si>
    <t>DS810 .N6</t>
  </si>
  <si>
    <t>0                      DS 0810000N  6</t>
  </si>
  <si>
    <t>The Japanese nation; its land, its people, and its life, with special consideration to its relations with the United States, by Inazo Nitobé ...</t>
  </si>
  <si>
    <t>Nitobe, Inazō, 1862-1933.</t>
  </si>
  <si>
    <t>New York, London, G. P. Putnam's Sons, 1912.</t>
  </si>
  <si>
    <t>2426180:eng</t>
  </si>
  <si>
    <t>1496867</t>
  </si>
  <si>
    <t>991003782599702656</t>
  </si>
  <si>
    <t>2267642250002656</t>
  </si>
  <si>
    <t>32285002449840</t>
  </si>
  <si>
    <t>893711795</t>
  </si>
  <si>
    <t>DS811 .A8</t>
  </si>
  <si>
    <t>0                      DS 0811000A  8</t>
  </si>
  <si>
    <t>Japan and Zen [by] Betty and Van Meter Ames.</t>
  </si>
  <si>
    <t>Ames, Betty.</t>
  </si>
  <si>
    <t>Cincinnati, University of Cincinnati [1961]</t>
  </si>
  <si>
    <t>University of Cincinnati. Occasional papers, no. 1</t>
  </si>
  <si>
    <t>2004-11-07</t>
  </si>
  <si>
    <t>2522768:eng</t>
  </si>
  <si>
    <t>1701319</t>
  </si>
  <si>
    <t>991003874019702656</t>
  </si>
  <si>
    <t>2269891060002656</t>
  </si>
  <si>
    <t>32285002449857</t>
  </si>
  <si>
    <t>893423076</t>
  </si>
  <si>
    <t>DS811 .D34</t>
  </si>
  <si>
    <t>0                      DS 0811000D  34</t>
  </si>
  <si>
    <t>Faces of Japan / Bob Davis ; introd. by Murray Sayle.</t>
  </si>
  <si>
    <t>Davis, Bob, 1944-</t>
  </si>
  <si>
    <t>Tokyo ; New York : Kodansha International, 1978.</t>
  </si>
  <si>
    <t>2005-11-27</t>
  </si>
  <si>
    <t>7178223:eng</t>
  </si>
  <si>
    <t>4597053</t>
  </si>
  <si>
    <t>991004689099702656</t>
  </si>
  <si>
    <t>2268853810002656</t>
  </si>
  <si>
    <t>9780870113383</t>
  </si>
  <si>
    <t>32285000672534</t>
  </si>
  <si>
    <t>893700544</t>
  </si>
  <si>
    <t>DS811 .I58</t>
  </si>
  <si>
    <t>0                      DS 0811000I  58</t>
  </si>
  <si>
    <t>Introducing Japan / text by Donald Richie ; foreword by Edwin O. Reischauer.</t>
  </si>
  <si>
    <t>Tokyo ; New York : Kodansha International, c1978.</t>
  </si>
  <si>
    <t>962177:eng</t>
  </si>
  <si>
    <t>4210923</t>
  </si>
  <si>
    <t>991004569589702656</t>
  </si>
  <si>
    <t>2268170200002656</t>
  </si>
  <si>
    <t>9780870113086</t>
  </si>
  <si>
    <t>32285000339654</t>
  </si>
  <si>
    <t>893869867</t>
  </si>
  <si>
    <t>DS811 .P34 1982</t>
  </si>
  <si>
    <t>0                      DS 0811000P  34          1982</t>
  </si>
  <si>
    <t>"How do you think Japan?" : photographs of a foreign resident / by James D. Paffrath ; edited by Christine Paffrath.</t>
  </si>
  <si>
    <t>Paffrath, James D.</t>
  </si>
  <si>
    <t>Davis, Calif. : JP Publications, 1982.</t>
  </si>
  <si>
    <t>43548897:eng</t>
  </si>
  <si>
    <t>9636960</t>
  </si>
  <si>
    <t>991000230419702656</t>
  </si>
  <si>
    <t>2270411360002656</t>
  </si>
  <si>
    <t>9780910703017</t>
  </si>
  <si>
    <t>32285000339639</t>
  </si>
  <si>
    <t>893777800</t>
  </si>
  <si>
    <t>DS811 .T72</t>
  </si>
  <si>
    <t>0                      DS 0811000T  72</t>
  </si>
  <si>
    <t>Japan : a geography / Glenn T. Trewartha.</t>
  </si>
  <si>
    <t>Trewartha, Glenn Thomas, 1896-1984.</t>
  </si>
  <si>
    <t>Madison : University of Wisconsin, 1965.</t>
  </si>
  <si>
    <t>2000-02-29</t>
  </si>
  <si>
    <t>3901138552:eng</t>
  </si>
  <si>
    <t>17516778</t>
  </si>
  <si>
    <t>991001228359702656</t>
  </si>
  <si>
    <t>2270463360002656</t>
  </si>
  <si>
    <t>9780299034405</t>
  </si>
  <si>
    <t>32285001984920</t>
  </si>
  <si>
    <t>893438985</t>
  </si>
  <si>
    <t>DS812 .S47 1994</t>
  </si>
  <si>
    <t>0                      DS 0812000S  47          1994</t>
  </si>
  <si>
    <t>The old sow in the back room : an Englishwoman in Japan / Harriet Sergeant.</t>
  </si>
  <si>
    <t>Sergeant, Harriet.</t>
  </si>
  <si>
    <t>London : John Murray, 1994.</t>
  </si>
  <si>
    <t>837030064:eng</t>
  </si>
  <si>
    <t>41713050</t>
  </si>
  <si>
    <t>991002398169702656</t>
  </si>
  <si>
    <t>2271764680002656</t>
  </si>
  <si>
    <t>9780719551734</t>
  </si>
  <si>
    <t>32285002136322</t>
  </si>
  <si>
    <t>893886224</t>
  </si>
  <si>
    <t>DS815 .E677 1996</t>
  </si>
  <si>
    <t>0                      DS 0815000E  677         1996</t>
  </si>
  <si>
    <t>Mitch Epstein, Fire, water, wind : photographs from Tenri = Mitsuchi Epusutain shashinshū, Tenri / foreword by Tenrikyo Doyusha ; afterword by Mitch Epstein.</t>
  </si>
  <si>
    <t>Epstein, Mitch, 1952-</t>
  </si>
  <si>
    <t>[Tenri-shi] : Tenrikyo Doyusha, 1996.</t>
  </si>
  <si>
    <t>1998-05-12</t>
  </si>
  <si>
    <t>230545434:eng</t>
  </si>
  <si>
    <t>35554502</t>
  </si>
  <si>
    <t>991002711319702656</t>
  </si>
  <si>
    <t>2255995490002656</t>
  </si>
  <si>
    <t>9784807303717</t>
  </si>
  <si>
    <t>32285003408357</t>
  </si>
  <si>
    <t>893440420</t>
  </si>
  <si>
    <t>DS815 .M8 1971</t>
  </si>
  <si>
    <t>0                      DS 0815000M  8           1971</t>
  </si>
  <si>
    <t>Prehistoric Japan / Neil Gordon Munro.</t>
  </si>
  <si>
    <t>Munro, Neil Gordon, 1863-1942.</t>
  </si>
  <si>
    <t>New York : Johnson Reprint Corp., 1971.</t>
  </si>
  <si>
    <t>1083429:eng</t>
  </si>
  <si>
    <t>309063</t>
  </si>
  <si>
    <t>991002273039702656</t>
  </si>
  <si>
    <t>2264704080002656</t>
  </si>
  <si>
    <t>32285000339647</t>
  </si>
  <si>
    <t>893421148</t>
  </si>
  <si>
    <t>DS821 .B46 1954</t>
  </si>
  <si>
    <t>0                      DS 0821000B  46          1954</t>
  </si>
  <si>
    <t>The chrysanthemum and the sword : patterns of Japanese culture / by Ruth Benedict.</t>
  </si>
  <si>
    <t>Benedict, Ruth, 1887-1948.</t>
  </si>
  <si>
    <t>Rutland, Vt. ; Tokyo : C.E. Tuttle, 1954, c1946, 1981 printing.</t>
  </si>
  <si>
    <t>1st Tuttle ed.</t>
  </si>
  <si>
    <t>1996-05-13</t>
  </si>
  <si>
    <t>3943280230:eng</t>
  </si>
  <si>
    <t>1878123</t>
  </si>
  <si>
    <t>991003923849702656</t>
  </si>
  <si>
    <t>2260249380002656</t>
  </si>
  <si>
    <t>32285000050608</t>
  </si>
  <si>
    <t>893240793</t>
  </si>
  <si>
    <t>DS821 .B796 1984</t>
  </si>
  <si>
    <t>0                      DS 0821000B  796         1984</t>
  </si>
  <si>
    <t>Behind the mask : on sexual demons, sacred mothers, transvestites, gangsters, drifters and other Japanese cultural heroes / Ian Buruma.</t>
  </si>
  <si>
    <t>New York : Pantheon Books, c1984.</t>
  </si>
  <si>
    <t>2007-05-23</t>
  </si>
  <si>
    <t>2840656493:eng</t>
  </si>
  <si>
    <t>10207702</t>
  </si>
  <si>
    <t>991005081329702656</t>
  </si>
  <si>
    <t>2265092060002656</t>
  </si>
  <si>
    <t>9780394537757</t>
  </si>
  <si>
    <t>32285005313555</t>
  </si>
  <si>
    <t>893443371</t>
  </si>
  <si>
    <t>DS821 .C587 1983</t>
  </si>
  <si>
    <t>0                      DS 0821000C  587         1983</t>
  </si>
  <si>
    <t>The Japanese mind : the Goliath explained / Robert C. Christopher.</t>
  </si>
  <si>
    <t>Christopher, Robert C., 1924-1992.</t>
  </si>
  <si>
    <t>New York : Linden Press/Simon &amp; Schuster, 1983.</t>
  </si>
  <si>
    <t>1994-11-04</t>
  </si>
  <si>
    <t>3852780:eng</t>
  </si>
  <si>
    <t>9193926</t>
  </si>
  <si>
    <t>991000144999702656</t>
  </si>
  <si>
    <t>2267922550002656</t>
  </si>
  <si>
    <t>9780671449476</t>
  </si>
  <si>
    <t>32285000045814</t>
  </si>
  <si>
    <t>893351444</t>
  </si>
  <si>
    <t>DS821 .C59 1978</t>
  </si>
  <si>
    <t>0                      DS 0821000C  59          1978</t>
  </si>
  <si>
    <t>Japanese and Americans : cultural parallels and paradoxes / by Charles Grinnell Cleaver.</t>
  </si>
  <si>
    <t>Cleaver, Charles Grinnell.</t>
  </si>
  <si>
    <t>Tokyo : C. E. Tuttle, 1978</t>
  </si>
  <si>
    <t>Tut books</t>
  </si>
  <si>
    <t>803194899:eng</t>
  </si>
  <si>
    <t>8078082</t>
  </si>
  <si>
    <t>991005201019702656</t>
  </si>
  <si>
    <t>2257583960002656</t>
  </si>
  <si>
    <t>32285000109479</t>
  </si>
  <si>
    <t>893326354</t>
  </si>
  <si>
    <t>DS821 .C62 1988</t>
  </si>
  <si>
    <t>0                      DS 0821000C  62          1988</t>
  </si>
  <si>
    <t>Cultural atlas of Japan / by Martin Collcutt, Marius Jansen, and Isao Kumakura.</t>
  </si>
  <si>
    <t>Collcutt, Martin, 1939-</t>
  </si>
  <si>
    <t>New York : Facts on File, 1988.</t>
  </si>
  <si>
    <t>2009-02-04</t>
  </si>
  <si>
    <t>6444355:eng</t>
  </si>
  <si>
    <t>17551659</t>
  </si>
  <si>
    <t>991001236869702656</t>
  </si>
  <si>
    <t>2263312580002656</t>
  </si>
  <si>
    <t>9780816019274</t>
  </si>
  <si>
    <t>32285003513594</t>
  </si>
  <si>
    <t>893715289</t>
  </si>
  <si>
    <t>DS821 .C633 1984</t>
  </si>
  <si>
    <t>0                      DS 0821000C  633         1984</t>
  </si>
  <si>
    <t>With respect to the Japanese : a guide for Americans / John C. Condon ; foreword by Kohei Gōshi.</t>
  </si>
  <si>
    <t>Condon, John C.</t>
  </si>
  <si>
    <t>Yarmouth, Me. : Intercultural Press, c1984.</t>
  </si>
  <si>
    <t>InterAct series</t>
  </si>
  <si>
    <t>1998-05-06</t>
  </si>
  <si>
    <t>4095444408:eng</t>
  </si>
  <si>
    <t>11504809</t>
  </si>
  <si>
    <t>991000544229702656</t>
  </si>
  <si>
    <t>2270238070002656</t>
  </si>
  <si>
    <t>9780933662490</t>
  </si>
  <si>
    <t>32285001400497</t>
  </si>
  <si>
    <t>893601844</t>
  </si>
  <si>
    <t>DS821 .D38 1983</t>
  </si>
  <si>
    <t>0                      DS 0821000D  38          1983</t>
  </si>
  <si>
    <t>The Dawns of tradition.</t>
  </si>
  <si>
    <t>[S.l.] : Nissan Motor Co., 1983</t>
  </si>
  <si>
    <t>2000-11-26</t>
  </si>
  <si>
    <t>9490267021:eng</t>
  </si>
  <si>
    <t>11089818</t>
  </si>
  <si>
    <t>991000340169702656</t>
  </si>
  <si>
    <t>2261057180002656</t>
  </si>
  <si>
    <t>32285000109487</t>
  </si>
  <si>
    <t>893320975</t>
  </si>
  <si>
    <t>DS821 .E49 1996</t>
  </si>
  <si>
    <t>0                      DS 0821000E  49          1996</t>
  </si>
  <si>
    <t>Japanese civilization : a comparative view / S.N. Eisenstadt.</t>
  </si>
  <si>
    <t>Eisenstadt, S. N. (Shmuel Noah), 1923-2010.</t>
  </si>
  <si>
    <t>Chicago and London : The University of Chicago Press, 1996.</t>
  </si>
  <si>
    <t>2000-12-06</t>
  </si>
  <si>
    <t>1997-04-28</t>
  </si>
  <si>
    <t>476903998:eng</t>
  </si>
  <si>
    <t>34150660</t>
  </si>
  <si>
    <t>991002607529702656</t>
  </si>
  <si>
    <t>2260026350002656</t>
  </si>
  <si>
    <t>9780226195575</t>
  </si>
  <si>
    <t>32285002541554</t>
  </si>
  <si>
    <t>893892759</t>
  </si>
  <si>
    <t>DS821 .G513 1979</t>
  </si>
  <si>
    <t>0                      DS 0821000G  513         1979</t>
  </si>
  <si>
    <t>Japan : the fragile superpower / by Frank Gibney.</t>
  </si>
  <si>
    <t>Gibney, Frank, 1924-2006.</t>
  </si>
  <si>
    <t>Tokyo : Charles E. Tuttle, 1979</t>
  </si>
  <si>
    <t>50824859:eng</t>
  </si>
  <si>
    <t>8071308</t>
  </si>
  <si>
    <t>991005200609702656</t>
  </si>
  <si>
    <t>2254865780002656</t>
  </si>
  <si>
    <t>32285000339696</t>
  </si>
  <si>
    <t>893533351</t>
  </si>
  <si>
    <t>DS821 .G85</t>
  </si>
  <si>
    <t>0                      DS 0821000G  85</t>
  </si>
  <si>
    <t>Guides to Japanese culture / [edited by Murakami Hyôe and Edward G. Seidensticker].</t>
  </si>
  <si>
    <t>Tokyo : Japan Culture Institute ; Elmsford, N.Y. : distributor, Japan Publications Trading Co., 1977.</t>
  </si>
  <si>
    <t>346808313:eng</t>
  </si>
  <si>
    <t>2921873</t>
  </si>
  <si>
    <t>991004284879702656</t>
  </si>
  <si>
    <t>2264925420002656</t>
  </si>
  <si>
    <t>9780870404030</t>
  </si>
  <si>
    <t>32285000339704</t>
  </si>
  <si>
    <t>893775852</t>
  </si>
  <si>
    <t>DS821 .H3413 1982</t>
  </si>
  <si>
    <t>0                      DS 0821000H  3413        1982</t>
  </si>
  <si>
    <t>The Japanese character : a cultural profile / Nyozekan Hasegawa ; translated by John Bester.</t>
  </si>
  <si>
    <t>Hasegawa, Nyozekan, 1875-1969.</t>
  </si>
  <si>
    <t>Tokyo ; New York : Kodansha International, 1982, c1965.</t>
  </si>
  <si>
    <t>1st paperback ed.</t>
  </si>
  <si>
    <t>1762831:eng</t>
  </si>
  <si>
    <t>9002132</t>
  </si>
  <si>
    <t>991000111069702656</t>
  </si>
  <si>
    <t>2258616290002656</t>
  </si>
  <si>
    <t>9780870115172</t>
  </si>
  <si>
    <t>32285000672542</t>
  </si>
  <si>
    <t>893595284</t>
  </si>
  <si>
    <t>DS821 .H8126</t>
  </si>
  <si>
    <t>0                      DS 0821000H  8126</t>
  </si>
  <si>
    <t>Zen culture / Thomas Hoover.</t>
  </si>
  <si>
    <t>Hoover, Thomas, 1941-</t>
  </si>
  <si>
    <t>New York : Random House, c1977.</t>
  </si>
  <si>
    <t>60752129:eng</t>
  </si>
  <si>
    <t>2597139</t>
  </si>
  <si>
    <t>991004176199702656</t>
  </si>
  <si>
    <t>2268701090002656</t>
  </si>
  <si>
    <t>9780394410722</t>
  </si>
  <si>
    <t>32285001893667</t>
  </si>
  <si>
    <t>893894661</t>
  </si>
  <si>
    <t>DS821 .H92 1980</t>
  </si>
  <si>
    <t>0                      DS 0821000H  92          1980</t>
  </si>
  <si>
    <t>A Hundred more things Japanese / [edited by Murakami Hyoe and Donald Richie].</t>
  </si>
  <si>
    <t>Tokyo : Japan Culture Institute, c1980.</t>
  </si>
  <si>
    <t>54422468:eng</t>
  </si>
  <si>
    <t>7133178</t>
  </si>
  <si>
    <t>991005077019702656</t>
  </si>
  <si>
    <t>2265224830002656</t>
  </si>
  <si>
    <t>9780870404726</t>
  </si>
  <si>
    <t>32285000339712</t>
  </si>
  <si>
    <t>893883296</t>
  </si>
  <si>
    <t>DS821 .H921</t>
  </si>
  <si>
    <t>0                      DS 0821000H  921</t>
  </si>
  <si>
    <t>A Hundred things Japanese / [edited by Japan Culture Institute].</t>
  </si>
  <si>
    <t>Tokyo : Japan Culture Institute, 1975, 1978 printing.</t>
  </si>
  <si>
    <t>481117466:eng</t>
  </si>
  <si>
    <t>1926335</t>
  </si>
  <si>
    <t>991003939679702656</t>
  </si>
  <si>
    <t>2255811030002656</t>
  </si>
  <si>
    <t>9780870403644</t>
  </si>
  <si>
    <t>32285000339720</t>
  </si>
  <si>
    <t>893775408</t>
  </si>
  <si>
    <t>DS821 .I437 2005</t>
  </si>
  <si>
    <t>0                      DS 0821000I  437         2005</t>
  </si>
  <si>
    <t>Bonds of civility : aesthetic networks and the political origins of Japanese culture / Eiko Ikegami.</t>
  </si>
  <si>
    <t>Ikegami, Eiko.</t>
  </si>
  <si>
    <t>Cambridge, UK ; New York : Cambridge University Press, 2005.</t>
  </si>
  <si>
    <t>Structural analysis in the social sciences</t>
  </si>
  <si>
    <t>865284274:eng</t>
  </si>
  <si>
    <t>54774925</t>
  </si>
  <si>
    <t>991004958919702656</t>
  </si>
  <si>
    <t>2255102500002656</t>
  </si>
  <si>
    <t>9780521601153</t>
  </si>
  <si>
    <t>32285005238976</t>
  </si>
  <si>
    <t>893889476</t>
  </si>
  <si>
    <t>DS821 .I569 2008</t>
  </si>
  <si>
    <t>0                      DS 0821000I  569         2008</t>
  </si>
  <si>
    <t>Evanescence and form : an introduction to Japanese culture / Charles Shiro Inouye.</t>
  </si>
  <si>
    <t>Inouye, Charles Shirō.</t>
  </si>
  <si>
    <t>New York : Palgrave Macmillan, 2008.</t>
  </si>
  <si>
    <t>803414967:eng</t>
  </si>
  <si>
    <t>191898195</t>
  </si>
  <si>
    <t>991005358469702656</t>
  </si>
  <si>
    <t>2257443110002656</t>
  </si>
  <si>
    <t>9781403967053</t>
  </si>
  <si>
    <t>32285005571301</t>
  </si>
  <si>
    <t>893236713</t>
  </si>
  <si>
    <t>DS821 .I7213 1974b</t>
  </si>
  <si>
    <t>0                      DS 0821000I  7213        1974b</t>
  </si>
  <si>
    <t>Japanese culture; a study of origins and characteristics. Translated by Teruko Kachi.</t>
  </si>
  <si>
    <t>Ishida, Eiichirō, 1903-1968.</t>
  </si>
  <si>
    <t>Honolulu, University Press of Hawaii [1974]</t>
  </si>
  <si>
    <t>1992-02-26</t>
  </si>
  <si>
    <t>3900993077:eng</t>
  </si>
  <si>
    <t>1004041</t>
  </si>
  <si>
    <t>991003462209702656</t>
  </si>
  <si>
    <t>2254828090002656</t>
  </si>
  <si>
    <t>9780824803254</t>
  </si>
  <si>
    <t>32285000948694</t>
  </si>
  <si>
    <t>893793621</t>
  </si>
  <si>
    <t>DS821 .J334</t>
  </si>
  <si>
    <t>0                      DS 0821000J  334</t>
  </si>
  <si>
    <t>Changing Japanese attitudes toward modernization / edited by Marius B. Jansen. Contributors: Robert N. Bellah [and others].</t>
  </si>
  <si>
    <t>Jansen, Marius B. editor.</t>
  </si>
  <si>
    <t>Princeton, N. J. : Princeton University Press, c1965, 1972 printing.</t>
  </si>
  <si>
    <t>365497186:eng</t>
  </si>
  <si>
    <t>256428</t>
  </si>
  <si>
    <t>991002001409702656</t>
  </si>
  <si>
    <t>2272307310002656</t>
  </si>
  <si>
    <t>32285000339738</t>
  </si>
  <si>
    <t>893866681</t>
  </si>
  <si>
    <t>DS821 .J347 1973</t>
  </si>
  <si>
    <t>0                      DS 0821000J  347         1973</t>
  </si>
  <si>
    <t>Japan's cultural history : a perspective / by Yutaka Tazawa ... [et al.].</t>
  </si>
  <si>
    <t>[Tokyo] : Ministry of Foreign Affairs, 1973.</t>
  </si>
  <si>
    <t>2005-11-16</t>
  </si>
  <si>
    <t>899569663:eng</t>
  </si>
  <si>
    <t>3397499</t>
  </si>
  <si>
    <t>991004426129702656</t>
  </si>
  <si>
    <t>2270318250002656</t>
  </si>
  <si>
    <t>32285003470597</t>
  </si>
  <si>
    <t>893618653</t>
  </si>
  <si>
    <t>DS821 .K8 1983</t>
  </si>
  <si>
    <t>0                      DS 0821000K  8           1983</t>
  </si>
  <si>
    <t>Japan and Western civilization : essays on comparative culture / Kuwabara Takeo ; edited by Katō Hidetoshi ; translated by Kano Tsutomu and Patricia Murray.</t>
  </si>
  <si>
    <t>Kuwabara, Takeo, 1904-1988.</t>
  </si>
  <si>
    <t>Tokyo : University of Tokyo Press, 1983.</t>
  </si>
  <si>
    <t>224863388:eng</t>
  </si>
  <si>
    <t>10494614</t>
  </si>
  <si>
    <t>991000381359702656</t>
  </si>
  <si>
    <t>2261292600002656</t>
  </si>
  <si>
    <t>9780860083382</t>
  </si>
  <si>
    <t>32285000339753</t>
  </si>
  <si>
    <t>893620422</t>
  </si>
  <si>
    <t>DS821 .L345</t>
  </si>
  <si>
    <t>0                      DS 0821000L  345</t>
  </si>
  <si>
    <t>Japanese culture and behavior : selected readings / edited by Takie Sugiyama Lebra and William P. Lebra.</t>
  </si>
  <si>
    <t>Lebra, Takie Sugiyama, 1930-, compiler.</t>
  </si>
  <si>
    <t>Honolulu : University Press of Hawaii, c1974, 1979 printing.</t>
  </si>
  <si>
    <t>147111962:eng</t>
  </si>
  <si>
    <t>1071585</t>
  </si>
  <si>
    <t>991003514789702656</t>
  </si>
  <si>
    <t>2256763920002656</t>
  </si>
  <si>
    <t>32285002120151</t>
  </si>
  <si>
    <t>893805851</t>
  </si>
  <si>
    <t>DS821 .M373</t>
  </si>
  <si>
    <t>0                      DS 0821000M  373</t>
  </si>
  <si>
    <t>On life and nature in Japan / Iwao Matsuhara. Illustrated by Tatsua Yamasaki.</t>
  </si>
  <si>
    <t>Matsuhara, Iwao.</t>
  </si>
  <si>
    <t>[Tokyo] : Hokuseido Press, 1964.</t>
  </si>
  <si>
    <t>1995-09-29</t>
  </si>
  <si>
    <t>350958641:eng</t>
  </si>
  <si>
    <t>938523</t>
  </si>
  <si>
    <t>991003398959702656</t>
  </si>
  <si>
    <t>2262859880002656</t>
  </si>
  <si>
    <t>32285000339779</t>
  </si>
  <si>
    <t>893686516</t>
  </si>
  <si>
    <t>DS821 .N86</t>
  </si>
  <si>
    <t>0                      DS 0821000N  86</t>
  </si>
  <si>
    <t>Changing Japan.</t>
  </si>
  <si>
    <t>Norbeck, Edward, 1915-1991.</t>
  </si>
  <si>
    <t>New York : Holt, Rinehart and Winston, [1965]</t>
  </si>
  <si>
    <t>178400923:eng</t>
  </si>
  <si>
    <t>290738</t>
  </si>
  <si>
    <t>991002222699702656</t>
  </si>
  <si>
    <t>2270728790002656</t>
  </si>
  <si>
    <t>32285002026390</t>
  </si>
  <si>
    <t>893773365</t>
  </si>
  <si>
    <t>DS821 .O3627 1989</t>
  </si>
  <si>
    <t>0                      DS 0821000O  3627        1989</t>
  </si>
  <si>
    <t>The monkey as mirror : symbolic transformations in Japanese history and ritual / Emiko Ohnuki-Tierney.</t>
  </si>
  <si>
    <t>Ohnuki-Tierney, Emiko.</t>
  </si>
  <si>
    <t>Princeton, N.J. ; Guildford : Princeton University Press, 1989, c1987.</t>
  </si>
  <si>
    <t>1999-10-28</t>
  </si>
  <si>
    <t>891791:eng</t>
  </si>
  <si>
    <t>21081580</t>
  </si>
  <si>
    <t>991001651779702656</t>
  </si>
  <si>
    <t>2256669850002656</t>
  </si>
  <si>
    <t>9780691028460</t>
  </si>
  <si>
    <t>32285003615464</t>
  </si>
  <si>
    <t>893690753</t>
  </si>
  <si>
    <t>DS821 .P15 1961ac</t>
  </si>
  <si>
    <t>0                      DS 0821000P  15          1961ac</t>
  </si>
  <si>
    <t>Japanese culture: its development and characteristics. Edited by Robert J. Smith and Richard K. Beardsley.</t>
  </si>
  <si>
    <t>Pacific Science Congress (10th : 1961 : Honolulu, Hawaii)</t>
  </si>
  <si>
    <t>Chicago, Aldine Pub. Co. [1963, c1962]</t>
  </si>
  <si>
    <t>Viking Fund publications in anthropology ; no. 34</t>
  </si>
  <si>
    <t>1999-03-30</t>
  </si>
  <si>
    <t>118111046:eng</t>
  </si>
  <si>
    <t>419072</t>
  </si>
  <si>
    <t>991002735369702656</t>
  </si>
  <si>
    <t>2261592790002656</t>
  </si>
  <si>
    <t>32285000948702</t>
  </si>
  <si>
    <t>893798941</t>
  </si>
  <si>
    <t>DS821 .S24213 1993</t>
  </si>
  <si>
    <t>0                      DS 0821000S  24213       1993</t>
  </si>
  <si>
    <t>What is Japan? : contradictions and transformations / Taichi Sakaiya ; translated by Steven Karpa.</t>
  </si>
  <si>
    <t>Sakaiya, Taichi, 1935-2019.</t>
  </si>
  <si>
    <t>New York : Kodansha International, 1993.</t>
  </si>
  <si>
    <t>1993-08-20</t>
  </si>
  <si>
    <t>390480:eng</t>
  </si>
  <si>
    <t>27684034</t>
  </si>
  <si>
    <t>991002148949702656</t>
  </si>
  <si>
    <t>2258671260002656</t>
  </si>
  <si>
    <t>9781568360010</t>
  </si>
  <si>
    <t>32285001727675</t>
  </si>
  <si>
    <t>893244808</t>
  </si>
  <si>
    <t>DS821 .S39</t>
  </si>
  <si>
    <t>0                      DS 0821000S  39</t>
  </si>
  <si>
    <t>The Japanese / by Jack Seward.</t>
  </si>
  <si>
    <t>Seward, Jack.</t>
  </si>
  <si>
    <t>Tokyo : Lotus Press, 1971, 1980 printing.</t>
  </si>
  <si>
    <t>1289643:eng</t>
  </si>
  <si>
    <t>137268</t>
  </si>
  <si>
    <t>991000796319702656</t>
  </si>
  <si>
    <t>2262118920002656</t>
  </si>
  <si>
    <t>32285000190594</t>
  </si>
  <si>
    <t>893784537</t>
  </si>
  <si>
    <t>DS821 .S57</t>
  </si>
  <si>
    <t>0                      DS 0821000S  57</t>
  </si>
  <si>
    <t>Japanese character and culture; a book of selected readings.</t>
  </si>
  <si>
    <t>Silberman, Bernard S., 1930-, editor.</t>
  </si>
  <si>
    <t>Tucson, University of Arizona Press, 1962.</t>
  </si>
  <si>
    <t>2000-04-10</t>
  </si>
  <si>
    <t>146483146:eng</t>
  </si>
  <si>
    <t>413265</t>
  </si>
  <si>
    <t>991002723029702656</t>
  </si>
  <si>
    <t>2268229790002656</t>
  </si>
  <si>
    <t>32285001054989</t>
  </si>
  <si>
    <t>893341765</t>
  </si>
  <si>
    <t>DS821 .S583 1973b</t>
  </si>
  <si>
    <t>0                      DS 0821000S  583         1973b</t>
  </si>
  <si>
    <t>Mirror, sword and jewel; a study of Japanese characteristics. Introd. by Richard Storry.</t>
  </si>
  <si>
    <t>Singer, Kurt, 1886-1962.</t>
  </si>
  <si>
    <t>New York, G. Braziller [1973]</t>
  </si>
  <si>
    <t>291629776:eng</t>
  </si>
  <si>
    <t>628011</t>
  </si>
  <si>
    <t>991003074719702656</t>
  </si>
  <si>
    <t>2269334110002656</t>
  </si>
  <si>
    <t>9780807606704</t>
  </si>
  <si>
    <t>32285002449949</t>
  </si>
  <si>
    <t>893598241</t>
  </si>
  <si>
    <t>DS821 .S6424 1997</t>
  </si>
  <si>
    <t>0                      DS 0821000S  6424        1997</t>
  </si>
  <si>
    <t>Japan : a reinterpretation / Patrick Smith.</t>
  </si>
  <si>
    <t>Smith, Patrick (Patrick L.)</t>
  </si>
  <si>
    <t>New York : Pantheon Books, c1997.</t>
  </si>
  <si>
    <t>1997-05-12</t>
  </si>
  <si>
    <t>37493975:eng</t>
  </si>
  <si>
    <t>35814790</t>
  </si>
  <si>
    <t>991002730469702656</t>
  </si>
  <si>
    <t>2258499380002656</t>
  </si>
  <si>
    <t>9780679422310</t>
  </si>
  <si>
    <t>32285002606993</t>
  </si>
  <si>
    <t>893721600</t>
  </si>
  <si>
    <t>DS821 .T275 1983</t>
  </si>
  <si>
    <t>0                      DS 0821000T  275         1983</t>
  </si>
  <si>
    <t>Shadows of the Rising Sun : a critical view of the "Japanese miracle" / Jared Taylor.</t>
  </si>
  <si>
    <t>Taylor, Jared.</t>
  </si>
  <si>
    <t>New York : Morrow, 1983.</t>
  </si>
  <si>
    <t>1994-07-10</t>
  </si>
  <si>
    <t>4133862:eng</t>
  </si>
  <si>
    <t>9576359</t>
  </si>
  <si>
    <t>991000221309702656</t>
  </si>
  <si>
    <t>2267703440002656</t>
  </si>
  <si>
    <t>9780688024550</t>
  </si>
  <si>
    <t>32285000052984</t>
  </si>
  <si>
    <t>893683254</t>
  </si>
  <si>
    <t>DS821 .Y27 1950</t>
  </si>
  <si>
    <t>0                      DS 0821000Y  27          1950</t>
  </si>
  <si>
    <t>We Japanese : being descriptions of many of the customs, manners, ceremonies, festivals, arts and crafts of the Japanese, besides numerous other subjects.</t>
  </si>
  <si>
    <t>Yamaguchi, H. S. K., 1882-1944.</t>
  </si>
  <si>
    <t>Miyanoshita, Japan : Fujiya Hotel, [1950]</t>
  </si>
  <si>
    <t>[Combined ed.]</t>
  </si>
  <si>
    <t>2000-08-23</t>
  </si>
  <si>
    <t>2000-08-21</t>
  </si>
  <si>
    <t>4922024143:eng</t>
  </si>
  <si>
    <t>580559</t>
  </si>
  <si>
    <t>991003269199702656</t>
  </si>
  <si>
    <t>2272433200002656</t>
  </si>
  <si>
    <t>32285003757894</t>
  </si>
  <si>
    <t>893627521</t>
  </si>
  <si>
    <t>DS822.2 . M355 2000</t>
  </si>
  <si>
    <t>0                      DS 0822200M  355         2000</t>
  </si>
  <si>
    <t>Japan and China : mutual representations in the modern era / Masuda Wataru ; translated by Joshua A. Fogel.</t>
  </si>
  <si>
    <t>Masuda, Wataru, 1903-1977.</t>
  </si>
  <si>
    <t>New York, N.Y. : St. Martin's Press, 2000.</t>
  </si>
  <si>
    <t>837016930:eng</t>
  </si>
  <si>
    <t>42892295</t>
  </si>
  <si>
    <t>991003687249702656</t>
  </si>
  <si>
    <t>2271398450002656</t>
  </si>
  <si>
    <t>9780312228408</t>
  </si>
  <si>
    <t>32285004446208</t>
  </si>
  <si>
    <t>893330656</t>
  </si>
  <si>
    <t>DS822.2 .D4 1978</t>
  </si>
  <si>
    <t>0                      DS 0822200D  4           1978</t>
  </si>
  <si>
    <t>Japan in days of yore / Walter Denning [sic].</t>
  </si>
  <si>
    <t>Dening, Walter, 1846-1913.</t>
  </si>
  <si>
    <t>London : East-West Publication, 1978.</t>
  </si>
  <si>
    <t>2007-05-25</t>
  </si>
  <si>
    <t>10568093709:eng</t>
  </si>
  <si>
    <t>5727471</t>
  </si>
  <si>
    <t>991004866669702656</t>
  </si>
  <si>
    <t>2263466990002656</t>
  </si>
  <si>
    <t>9780856920011</t>
  </si>
  <si>
    <t>32285000339829</t>
  </si>
  <si>
    <t>893520136</t>
  </si>
  <si>
    <t>DS822.2 .L4 1968</t>
  </si>
  <si>
    <t>0                      DS 0822200L  4           1968</t>
  </si>
  <si>
    <t>Early Japan / by Jonathan Norton Leonard and the editors of Time-Life Books.</t>
  </si>
  <si>
    <t>Leonard, Jonathan Norton, 1903-1975.</t>
  </si>
  <si>
    <t>New York : Time-Life Books, [1968]</t>
  </si>
  <si>
    <t>Great ages of man ; a history of the world's cultures</t>
  </si>
  <si>
    <t>1999-05-24</t>
  </si>
  <si>
    <t>3916576430:eng</t>
  </si>
  <si>
    <t>420668</t>
  </si>
  <si>
    <t>991002739799702656</t>
  </si>
  <si>
    <t>2270773580002656</t>
  </si>
  <si>
    <t>32285000339837</t>
  </si>
  <si>
    <t>893603953</t>
  </si>
  <si>
    <t>DS822.2 .N558 1997</t>
  </si>
  <si>
    <t>0                      DS 0822200N  558         1997</t>
  </si>
  <si>
    <t>Edo Culture : daily life and diversions in urban Japan, 1600-1868 / Nishiyama Matsunosuke ; translated and edited by Gerald Groemer.</t>
  </si>
  <si>
    <t>Nishiyama, Matsunosuke, 1912-2012.</t>
  </si>
  <si>
    <t>Honolulu, HI : University of Hawaiʻi Press, 1997.</t>
  </si>
  <si>
    <t>793890184:eng</t>
  </si>
  <si>
    <t>35043786</t>
  </si>
  <si>
    <t>991002682219702656</t>
  </si>
  <si>
    <t>2257392740002656</t>
  </si>
  <si>
    <t>9780824817367</t>
  </si>
  <si>
    <t>32285003530366</t>
  </si>
  <si>
    <t>893886576</t>
  </si>
  <si>
    <t>DS822.2 .R613 1973</t>
  </si>
  <si>
    <t>0                      DS 0822200R  613         1973</t>
  </si>
  <si>
    <t>This island of Japon: João Rodrigues' account of 16th-century Japan / Translated and edited by Michael Cooper.</t>
  </si>
  <si>
    <t>Rodrigues, João, 1558-1633.</t>
  </si>
  <si>
    <t>Tokyo : New York : Kodansha International, 1973.</t>
  </si>
  <si>
    <t>1996-06-21</t>
  </si>
  <si>
    <t>2864310688:eng</t>
  </si>
  <si>
    <t>689395</t>
  </si>
  <si>
    <t>991003150059702656</t>
  </si>
  <si>
    <t>2270940250002656</t>
  </si>
  <si>
    <t>9780870111945</t>
  </si>
  <si>
    <t>32285000339845</t>
  </si>
  <si>
    <t>893348379</t>
  </si>
  <si>
    <t>DS822.25 .J36</t>
  </si>
  <si>
    <t>0                      DS 0822250J  36</t>
  </si>
  <si>
    <t>Japan, a comparative view / edited by Albert M. Craig.</t>
  </si>
  <si>
    <t>3943584868:eng</t>
  </si>
  <si>
    <t>4529743</t>
  </si>
  <si>
    <t>991004674679702656</t>
  </si>
  <si>
    <t>2264413660002656</t>
  </si>
  <si>
    <t>9780691052717</t>
  </si>
  <si>
    <t>32285000339860</t>
  </si>
  <si>
    <t>893706692</t>
  </si>
  <si>
    <t>DS822.4 .B45 2000</t>
  </si>
  <si>
    <t>0                      DS 0822400B  45          2000</t>
  </si>
  <si>
    <t>Being modern in Japan : culture and society from the 1910s to the 1930s / edited by Elise K. Tipton and John Clark.</t>
  </si>
  <si>
    <t>Honolulu : University of Hawaii Press, 2000.</t>
  </si>
  <si>
    <t>906404945:eng</t>
  </si>
  <si>
    <t>44947406</t>
  </si>
  <si>
    <t>991003912299702656</t>
  </si>
  <si>
    <t>2268021780002656</t>
  </si>
  <si>
    <t>9780824823603</t>
  </si>
  <si>
    <t>32285004654496</t>
  </si>
  <si>
    <t>893519033</t>
  </si>
  <si>
    <t>DS822.4 .J36 1998</t>
  </si>
  <si>
    <t>0                      DS 0822400J  36          1998</t>
  </si>
  <si>
    <t>Japan's competing modernities : issues in culture and democracy, 1900-1930 / edited by Sharon A. Minichiello.</t>
  </si>
  <si>
    <t>Honolulu, Hawaii : University of Hawaiʻi Press, c1998.</t>
  </si>
  <si>
    <t>793846193:eng</t>
  </si>
  <si>
    <t>38732036</t>
  </si>
  <si>
    <t>991003997329702656</t>
  </si>
  <si>
    <t>2270079170002656</t>
  </si>
  <si>
    <t>9780824819316</t>
  </si>
  <si>
    <t>32285004740402</t>
  </si>
  <si>
    <t>893605514</t>
  </si>
  <si>
    <t>DS822.4 .N64 1987</t>
  </si>
  <si>
    <t>0                      DS 0822400N  64          1987</t>
  </si>
  <si>
    <t>Liberalism in modern Japan : Ishibashi Tanzan and his teachers, 1905-1960 / Sharon H. Nolte.</t>
  </si>
  <si>
    <t>Nolte, Sharon H.</t>
  </si>
  <si>
    <t>Berkeley : University of California Press, c1987.</t>
  </si>
  <si>
    <t>836674504:eng</t>
  </si>
  <si>
    <t>12694021</t>
  </si>
  <si>
    <t>991000725159702656</t>
  </si>
  <si>
    <t>2255772050002656</t>
  </si>
  <si>
    <t>9780520057074</t>
  </si>
  <si>
    <t>32285000339886</t>
  </si>
  <si>
    <t>893602011</t>
  </si>
  <si>
    <t>DS822.5 .E43 1993</t>
  </si>
  <si>
    <t>0                      DS 0822500E  43          1993</t>
  </si>
  <si>
    <t>Following the brush : an American encounter with classical Japanese culture / John Elder.</t>
  </si>
  <si>
    <t>Elder, John, 1947-</t>
  </si>
  <si>
    <t>Boston : Beacon Press, c1993.</t>
  </si>
  <si>
    <t>1993-09-03</t>
  </si>
  <si>
    <t>1993-07-12</t>
  </si>
  <si>
    <t>371424259:eng</t>
  </si>
  <si>
    <t>25709819</t>
  </si>
  <si>
    <t>991002020999702656</t>
  </si>
  <si>
    <t>2259783870002656</t>
  </si>
  <si>
    <t>9780807059067</t>
  </si>
  <si>
    <t>32285001702249</t>
  </si>
  <si>
    <t>893516806</t>
  </si>
  <si>
    <t>DS822.5 .F53 1983</t>
  </si>
  <si>
    <t>0                      DS 0822500F  53          1983</t>
  </si>
  <si>
    <t>From bonsai to Levi's : when West meets East, an insider's surprising account of how the Japanese live / George Fields.</t>
  </si>
  <si>
    <t>Fields, George, 1928-</t>
  </si>
  <si>
    <t>New York : Macmillan, c1983.</t>
  </si>
  <si>
    <t>2000-03-26</t>
  </si>
  <si>
    <t>3225735:eng</t>
  </si>
  <si>
    <t>10072895</t>
  </si>
  <si>
    <t>991000308439702656</t>
  </si>
  <si>
    <t>2263550850002656</t>
  </si>
  <si>
    <t>9780025377509</t>
  </si>
  <si>
    <t>32285000339894</t>
  </si>
  <si>
    <t>893231018</t>
  </si>
  <si>
    <t>DS822.5 .F96 1982</t>
  </si>
  <si>
    <t>0                      DS 0822500F  96          1982</t>
  </si>
  <si>
    <t>The Japanese social structure : its evolution in the modern century / Tadashi Fukutake, translated with a foreword by Ronald P. Dore.</t>
  </si>
  <si>
    <t>Fukutake, Tadashi, 1917-1989.</t>
  </si>
  <si>
    <t>[Tokyo] : University of Tokyo Press, 1982.</t>
  </si>
  <si>
    <t>131523712:eng</t>
  </si>
  <si>
    <t>9143009</t>
  </si>
  <si>
    <t>991000137899702656</t>
  </si>
  <si>
    <t>2267200060002656</t>
  </si>
  <si>
    <t>9780860083160</t>
  </si>
  <si>
    <t>32285000339902</t>
  </si>
  <si>
    <t>893865122</t>
  </si>
  <si>
    <t>DS822.5 .K4</t>
  </si>
  <si>
    <t>0                      DS 0822500K  4</t>
  </si>
  <si>
    <t>Before the blossoms fall : life and death in Japan / by Agnes Newton Keith.</t>
  </si>
  <si>
    <t>Boston : Little, Brown, [1975]</t>
  </si>
  <si>
    <t>1993-12-14</t>
  </si>
  <si>
    <t>196632575:eng</t>
  </si>
  <si>
    <t>1339825</t>
  </si>
  <si>
    <t>991003703579702656</t>
  </si>
  <si>
    <t>2254867530002656</t>
  </si>
  <si>
    <t>9780316486309</t>
  </si>
  <si>
    <t>32285001808749</t>
  </si>
  <si>
    <t>893693052</t>
  </si>
  <si>
    <t>DS822.5 .M67 1985</t>
  </si>
  <si>
    <t>0                      DS 0822500M  67          1985</t>
  </si>
  <si>
    <t>Pictures from the water trade : adventures of a Westerner in Japan / John David Morley.</t>
  </si>
  <si>
    <t>Morley, John David, 1948-</t>
  </si>
  <si>
    <t>Boston : Atlantic Monthly Press, c1985.</t>
  </si>
  <si>
    <t>1995-04-04</t>
  </si>
  <si>
    <t>2995288230:eng</t>
  </si>
  <si>
    <t>11518629</t>
  </si>
  <si>
    <t>991000546649702656</t>
  </si>
  <si>
    <t>2269545130002656</t>
  </si>
  <si>
    <t>9780871130174</t>
  </si>
  <si>
    <t>32285000339928</t>
  </si>
  <si>
    <t>893339645</t>
  </si>
  <si>
    <t>DS822.5 .R515 2004</t>
  </si>
  <si>
    <t>0                      DS 0822500R  515         2004</t>
  </si>
  <si>
    <t>The Japan journals, 1947-2004 / Donald Richie ; edited by Leza Lowitz.</t>
  </si>
  <si>
    <t>Richie, Donald, 1924-2013.</t>
  </si>
  <si>
    <t>Berkeley, Calif. : Stone Bridge Press, c2004.</t>
  </si>
  <si>
    <t>2005-01-10</t>
  </si>
  <si>
    <t>1067763:eng</t>
  </si>
  <si>
    <t>55990161</t>
  </si>
  <si>
    <t>991004431379702656</t>
  </si>
  <si>
    <t>2255526120002656</t>
  </si>
  <si>
    <t>9781880656914</t>
  </si>
  <si>
    <t>32285005020408</t>
  </si>
  <si>
    <t>893788691</t>
  </si>
  <si>
    <t>DS824 .M6 1979</t>
  </si>
  <si>
    <t>0                      DS 0824000M  6           1979</t>
  </si>
  <si>
    <t>The world of the shining prince : court life in ancient Japan / Ivan Morris.</t>
  </si>
  <si>
    <t>Morris, Ivan, 1925-1976.</t>
  </si>
  <si>
    <t>Harmondsworth ; New York : Penguin Books, 1979, c1964.</t>
  </si>
  <si>
    <t>412842:eng</t>
  </si>
  <si>
    <t>6152700</t>
  </si>
  <si>
    <t>991004938469702656</t>
  </si>
  <si>
    <t>2262423650002656</t>
  </si>
  <si>
    <t>9780140054798</t>
  </si>
  <si>
    <t>32285000339910</t>
  </si>
  <si>
    <t>893594260</t>
  </si>
  <si>
    <t>DS825 .S35</t>
  </si>
  <si>
    <t>0                      DS 0825000S  35</t>
  </si>
  <si>
    <t>The flower and willow world; the story of the geisha.</t>
  </si>
  <si>
    <t>Scott, A. C. (Adolphe Clarence), 1909-1985.</t>
  </si>
  <si>
    <t>[New York] Orion Press [1960]</t>
  </si>
  <si>
    <t>2005-04-17</t>
  </si>
  <si>
    <t>3855372020:eng</t>
  </si>
  <si>
    <t>1333043</t>
  </si>
  <si>
    <t>991003698689702656</t>
  </si>
  <si>
    <t>2260439460002656</t>
  </si>
  <si>
    <t>32285002449972</t>
  </si>
  <si>
    <t>893330678</t>
  </si>
  <si>
    <t>DS825 .S7</t>
  </si>
  <si>
    <t>0                      DS 0825000S  7</t>
  </si>
  <si>
    <t>The Japanese woman looking forward. By H.v. Straelen S.V.D.</t>
  </si>
  <si>
    <t>Straelen, H. J. J. M. van (Henricus Johannes Josephus Maria), 1903-2004.</t>
  </si>
  <si>
    <t>Tokyo, Kyo Bun Kwan, 1940.</t>
  </si>
  <si>
    <t>2592743:eng</t>
  </si>
  <si>
    <t>1953957</t>
  </si>
  <si>
    <t>991003949409702656</t>
  </si>
  <si>
    <t>2267692860002656</t>
  </si>
  <si>
    <t>32285002449980</t>
  </si>
  <si>
    <t>893506189</t>
  </si>
  <si>
    <t>DS825 .S8 1925a</t>
  </si>
  <si>
    <t>0                      DS 0825000S  8           1925a</t>
  </si>
  <si>
    <t>A daughter of the Samurai : how a daughter of feudal Japan, living hundreds of years in one generation, became a modern American / by Etsu Inergaki Sugimoto ... Frontispiece by Tekisui Ishi.</t>
  </si>
  <si>
    <t>Sugimoto, Etsuko, 1873-1950.</t>
  </si>
  <si>
    <t>Garden City, N.Y., Doubleday, Page &amp; company, 1925.</t>
  </si>
  <si>
    <t>2010-08-16</t>
  </si>
  <si>
    <t>4714403822:eng</t>
  </si>
  <si>
    <t>1352930</t>
  </si>
  <si>
    <t>991003711859702656</t>
  </si>
  <si>
    <t>2265655250002656</t>
  </si>
  <si>
    <t>32285002448982</t>
  </si>
  <si>
    <t>893505904</t>
  </si>
  <si>
    <t>DS827.D4 B47 2006</t>
  </si>
  <si>
    <t>0                      DS 0827000D  4                  B  47          2006</t>
  </si>
  <si>
    <t>Modern passings : death rites, politics, and social change in Imperial Japan / Andrew Bernstein.</t>
  </si>
  <si>
    <t>Bernstein, Andrew, 1968-</t>
  </si>
  <si>
    <t>Honolulu : University of Hawaii Press, c2006.</t>
  </si>
  <si>
    <t>Studies of the Weatherhead East Asian Institute, Columbia University</t>
  </si>
  <si>
    <t>891935603:eng</t>
  </si>
  <si>
    <t>61247227</t>
  </si>
  <si>
    <t>991004948629702656</t>
  </si>
  <si>
    <t>2255407640002656</t>
  </si>
  <si>
    <t>9780824828745</t>
  </si>
  <si>
    <t>32285005232599</t>
  </si>
  <si>
    <t>893795437</t>
  </si>
  <si>
    <t>DS827.S3 M48 2000</t>
  </si>
  <si>
    <t>0                      DS 0827000S  3                  M  48          2000</t>
  </si>
  <si>
    <t>Samurai warriors / David Miller.</t>
  </si>
  <si>
    <t>Miller, David (David M. O.)</t>
  </si>
  <si>
    <t>New York : Thomas Dunne Book, c2000.</t>
  </si>
  <si>
    <t>1st US ed.</t>
  </si>
  <si>
    <t>35357684:eng</t>
  </si>
  <si>
    <t>46462921</t>
  </si>
  <si>
    <t>991005234559702656</t>
  </si>
  <si>
    <t>2268628100002656</t>
  </si>
  <si>
    <t>9780312241674</t>
  </si>
  <si>
    <t>32285005445068</t>
  </si>
  <si>
    <t>893688810</t>
  </si>
  <si>
    <t>DS830 .D4 1993</t>
  </si>
  <si>
    <t>0                      DS 0830000D  4           1993</t>
  </si>
  <si>
    <t>Behind the Japanese bow / Boye Lafayette De Mente.</t>
  </si>
  <si>
    <t>De Mente, Boye.</t>
  </si>
  <si>
    <t>Lincolnwood, Ill., USA : Passport Books, c1993.</t>
  </si>
  <si>
    <t>1997-09-20</t>
  </si>
  <si>
    <t>1994-08-02</t>
  </si>
  <si>
    <t>358664:eng</t>
  </si>
  <si>
    <t>27186575</t>
  </si>
  <si>
    <t>991002122119702656</t>
  </si>
  <si>
    <t>2270382480002656</t>
  </si>
  <si>
    <t>9780844284910</t>
  </si>
  <si>
    <t>32285001934941</t>
  </si>
  <si>
    <t>893316407</t>
  </si>
  <si>
    <t>DS830 .H43 2001</t>
  </si>
  <si>
    <t>0                      DS 0830000H  43          2001</t>
  </si>
  <si>
    <t>Hegemony of homogeneity : an anthropological analysis of "Nihonjinron" / Harumi Befu.</t>
  </si>
  <si>
    <t>Befu, Harumi.</t>
  </si>
  <si>
    <t>Melbourne : Trans Pacific Press ; Portland, Or. : Distributed in North America by International Specialized Book Services, 2001.</t>
  </si>
  <si>
    <t>Japanese society series</t>
  </si>
  <si>
    <t>2010-02-27</t>
  </si>
  <si>
    <t>366047409:eng</t>
  </si>
  <si>
    <t>47351240</t>
  </si>
  <si>
    <t>991003868259702656</t>
  </si>
  <si>
    <t>2258161250002656</t>
  </si>
  <si>
    <t>9781876843052</t>
  </si>
  <si>
    <t>32285004655428</t>
  </si>
  <si>
    <t>893722134</t>
  </si>
  <si>
    <t>DS830 .H45 1995</t>
  </si>
  <si>
    <t>0                      DS 0830000H  45          1995</t>
  </si>
  <si>
    <t>Wrapping culture : politeness, presentation, and power in Japan and other societies / Joy Hendry.</t>
  </si>
  <si>
    <t>Hendry, Joy.</t>
  </si>
  <si>
    <t>Oxford : Clarendon Press, 1995, c1993.</t>
  </si>
  <si>
    <t>Oxford studies in the anthropology of cultural forms</t>
  </si>
  <si>
    <t>2002-11-19</t>
  </si>
  <si>
    <t>14350601:eng</t>
  </si>
  <si>
    <t>34656865</t>
  </si>
  <si>
    <t>991003946549702656</t>
  </si>
  <si>
    <t>2256336020002656</t>
  </si>
  <si>
    <t>9780198280286</t>
  </si>
  <si>
    <t>32285004664891</t>
  </si>
  <si>
    <t>893869105</t>
  </si>
  <si>
    <t>DS830 .K345 1991</t>
  </si>
  <si>
    <t>0                      DS 0830000K  345         1991</t>
  </si>
  <si>
    <t>Japanese cultural encounters &amp; how to handle them / Hiroko C. Kataoka with Tetsuya Kusumoto.</t>
  </si>
  <si>
    <t>Kataoka, Hiroko C., 1951-</t>
  </si>
  <si>
    <t>Lincolnwood, Ill., USA : Passport Books, c1991.</t>
  </si>
  <si>
    <t>23249278:eng</t>
  </si>
  <si>
    <t>21773922</t>
  </si>
  <si>
    <t>991001721939702656</t>
  </si>
  <si>
    <t>2259380390002656</t>
  </si>
  <si>
    <t>9780844285313</t>
  </si>
  <si>
    <t>32285003555405</t>
  </si>
  <si>
    <t>893232198</t>
  </si>
  <si>
    <t>DS830 .O9</t>
  </si>
  <si>
    <t>0                      DS 0830000O  9</t>
  </si>
  <si>
    <t>The Japanese, a cultural portrait / by Robert S. Ozaki.</t>
  </si>
  <si>
    <t>Ozaki, Robert S.</t>
  </si>
  <si>
    <t>Rutland, Vt. : Tuttle, 1978.</t>
  </si>
  <si>
    <t>199487965:eng</t>
  </si>
  <si>
    <t>4515987</t>
  </si>
  <si>
    <t>991004671799702656</t>
  </si>
  <si>
    <t>2262921230002656</t>
  </si>
  <si>
    <t>9780804811835</t>
  </si>
  <si>
    <t>32285000339977</t>
  </si>
  <si>
    <t>893337987</t>
  </si>
  <si>
    <t>DS834.1 .B88 2002</t>
  </si>
  <si>
    <t>0                      DS 0834100B  88          2002</t>
  </si>
  <si>
    <t>Emperor and aristocracy in Japan, 1467-1680 : resilience and renewal / Lee Butler.</t>
  </si>
  <si>
    <t>Butler, Lee, 1958-</t>
  </si>
  <si>
    <t>Cambridge, Mass. : Harvard University Asia Center : Distributed by Harvard Univesity Press, 2002.</t>
  </si>
  <si>
    <t>Harvard East Asian monographs ; 209</t>
  </si>
  <si>
    <t>2003-05-09</t>
  </si>
  <si>
    <t>38313613:eng</t>
  </si>
  <si>
    <t>49260732</t>
  </si>
  <si>
    <t>991004019309702656</t>
  </si>
  <si>
    <t>2254796450002656</t>
  </si>
  <si>
    <t>9780674008519</t>
  </si>
  <si>
    <t>32285004741350</t>
  </si>
  <si>
    <t>893259218</t>
  </si>
  <si>
    <t>DS834.1 .L37 1997</t>
  </si>
  <si>
    <t>0                      DS 0834100L  37          1997</t>
  </si>
  <si>
    <t>Emperors of the rising sun : three biographies / Stephen S. Large.</t>
  </si>
  <si>
    <t>Large, Stephen S.</t>
  </si>
  <si>
    <t>Tokyo ; New York : Kodansha International, 1997.</t>
  </si>
  <si>
    <t>1999-04-29</t>
  </si>
  <si>
    <t>1998-02-24</t>
  </si>
  <si>
    <t>196618736:eng</t>
  </si>
  <si>
    <t>38119537</t>
  </si>
  <si>
    <t>991002893049702656</t>
  </si>
  <si>
    <t>2268887180002656</t>
  </si>
  <si>
    <t>9784770018397</t>
  </si>
  <si>
    <t>32285003355020</t>
  </si>
  <si>
    <t>893498681</t>
  </si>
  <si>
    <t>DS834.7 .K556 1994</t>
  </si>
  <si>
    <t>0                      DS 0834700K  556         1994</t>
  </si>
  <si>
    <t>Zen and the way of the sword : arming the samurai psyche / Winston L. King.</t>
  </si>
  <si>
    <t>King, Winston L. (Winston Lee), 1907-2000.</t>
  </si>
  <si>
    <t>New York : Oxford University Press, 1994, c1993.</t>
  </si>
  <si>
    <t>1st Oxford University Press pbk., 1994</t>
  </si>
  <si>
    <t>2010-01-25</t>
  </si>
  <si>
    <t>138730696:eng</t>
  </si>
  <si>
    <t>31315669</t>
  </si>
  <si>
    <t>991002407119702656</t>
  </si>
  <si>
    <t>2256487520002656</t>
  </si>
  <si>
    <t>9780195092615</t>
  </si>
  <si>
    <t>32285001978609</t>
  </si>
  <si>
    <t>893415166</t>
  </si>
  <si>
    <t>DS834.95 .N48 1997</t>
  </si>
  <si>
    <t>0                      DS 0834950N  48          1997</t>
  </si>
  <si>
    <t>New directions in the study of Meiji Japan / edited by Helen Hardacre with Adam L. Kern.</t>
  </si>
  <si>
    <t>Leiden ; New York : Brill, 1997.</t>
  </si>
  <si>
    <t>Brill's Japanese studies library, 0925-6512 ; v. 6</t>
  </si>
  <si>
    <t>634138:eng</t>
  </si>
  <si>
    <t>36865636</t>
  </si>
  <si>
    <t>991003344599702656</t>
  </si>
  <si>
    <t>2262231330002656</t>
  </si>
  <si>
    <t>9789004107359</t>
  </si>
  <si>
    <t>32285004305446</t>
  </si>
  <si>
    <t>893610936</t>
  </si>
  <si>
    <t>DS835 .B6 1970</t>
  </si>
  <si>
    <t>0                      DS 0835000B  6           1970</t>
  </si>
  <si>
    <t>Japan's modern century : from Perry to 1970.</t>
  </si>
  <si>
    <t>Borton, Hugh, 1903-1995.</t>
  </si>
  <si>
    <t>New York : Ronald Press, [1970]</t>
  </si>
  <si>
    <t>2864062400:eng</t>
  </si>
  <si>
    <t>86442</t>
  </si>
  <si>
    <t>991000517389702656</t>
  </si>
  <si>
    <t>2270356090002656</t>
  </si>
  <si>
    <t>32285001893642</t>
  </si>
  <si>
    <t>893432036</t>
  </si>
  <si>
    <t>DS835 .B7</t>
  </si>
  <si>
    <t>0                      DS 0835000B  7</t>
  </si>
  <si>
    <t>A history of the Japanese people from the earliest times to the end of the Meiji era / by Capt. F. Brinkley ; with the collaboration of Baron Kikuchi ; with 150 illustrations engraved on wood by Japanese artists; half-tone plates, and maps.</t>
  </si>
  <si>
    <t>Brinkley, F. (Frank), 1841-1912.</t>
  </si>
  <si>
    <t>New York : The Encyclopædia Britannica Co., [c1915]</t>
  </si>
  <si>
    <t>1915</t>
  </si>
  <si>
    <t>1994-12-14</t>
  </si>
  <si>
    <t>1464932:eng</t>
  </si>
  <si>
    <t>413099</t>
  </si>
  <si>
    <t>991002722449702656</t>
  </si>
  <si>
    <t>2268195910002656</t>
  </si>
  <si>
    <t>32285001982692</t>
  </si>
  <si>
    <t>893347840</t>
  </si>
  <si>
    <t>DS835 .D69 1995</t>
  </si>
  <si>
    <t>0                      DS 0835000D  69          1995</t>
  </si>
  <si>
    <t>Japanese history and culture from ancient to modern times : seven basic bibliographies / John W. Dower, with Timothy S. George.</t>
  </si>
  <si>
    <t>Dower, John W.</t>
  </si>
  <si>
    <t>Princeton : Markus Wiener, 1995.</t>
  </si>
  <si>
    <t>2nd ed., rev. and updated.</t>
  </si>
  <si>
    <t>1996-07-03</t>
  </si>
  <si>
    <t>285193211:eng</t>
  </si>
  <si>
    <t>31754062</t>
  </si>
  <si>
    <t>991002436019702656</t>
  </si>
  <si>
    <t>2272344280002656</t>
  </si>
  <si>
    <t>9781558760974</t>
  </si>
  <si>
    <t>32285002206752</t>
  </si>
  <si>
    <t>893867215</t>
  </si>
  <si>
    <t>DS835 .G83 1973</t>
  </si>
  <si>
    <t>0                      DS 0835000G  83          1973</t>
  </si>
  <si>
    <t>The Mikado's Empire.</t>
  </si>
  <si>
    <t>Griffis, William Elliot, 1843-1928.</t>
  </si>
  <si>
    <t>Wilmington, Del. : Scholarly Resources, [1973]</t>
  </si>
  <si>
    <t>8th ed., with supplementary chapters, including the late war with China.</t>
  </si>
  <si>
    <t>1524169:eng</t>
  </si>
  <si>
    <t>766864</t>
  </si>
  <si>
    <t>991003243769702656</t>
  </si>
  <si>
    <t>2267262970002656</t>
  </si>
  <si>
    <t>9780842013895</t>
  </si>
  <si>
    <t>32285000048131</t>
  </si>
  <si>
    <t>893505374</t>
  </si>
  <si>
    <t>DS835 .H23 1970</t>
  </si>
  <si>
    <t>0                      DS 0835000H  23          1970</t>
  </si>
  <si>
    <t>Japan from prehistory to modern times.</t>
  </si>
  <si>
    <t>Hall, John Whitney, 1916-1997.</t>
  </si>
  <si>
    <t>New York, Delacorte Press [1970]</t>
  </si>
  <si>
    <t>1999-09-07</t>
  </si>
  <si>
    <t>761818586:eng</t>
  </si>
  <si>
    <t>67901</t>
  </si>
  <si>
    <t>991000236799702656</t>
  </si>
  <si>
    <t>2258171080002656</t>
  </si>
  <si>
    <t>32285003264743</t>
  </si>
  <si>
    <t>893601605</t>
  </si>
  <si>
    <t>DS835 .H266</t>
  </si>
  <si>
    <t>0                      DS 0835000H  266</t>
  </si>
  <si>
    <t>Japan, a historical survey.</t>
  </si>
  <si>
    <t>Hane, Mikiso.</t>
  </si>
  <si>
    <t>[New York] : Scribner, [1972]</t>
  </si>
  <si>
    <t>3856972525:eng</t>
  </si>
  <si>
    <t>354839</t>
  </si>
  <si>
    <t>991002456999702656</t>
  </si>
  <si>
    <t>2266376550002656</t>
  </si>
  <si>
    <t>9780684127071</t>
  </si>
  <si>
    <t>32285001581486</t>
  </si>
  <si>
    <t>893691635</t>
  </si>
  <si>
    <t>DS835 .H5</t>
  </si>
  <si>
    <t>0                      DS 0835000H  5</t>
  </si>
  <si>
    <t>Hildreth's "Japan as it was and is" : a handbook of old Japan / edited, with supplementary notes, by Ernest W. Clement ; introduction by Wm. Elliot Griffis.</t>
  </si>
  <si>
    <t>Hildreth, Richard, 1807-1865.</t>
  </si>
  <si>
    <t>Chicago : A. C. McClurg, 1906.</t>
  </si>
  <si>
    <t>1993-09-26</t>
  </si>
  <si>
    <t>3372212169:eng</t>
  </si>
  <si>
    <t>4007734</t>
  </si>
  <si>
    <t>991004568799702656</t>
  </si>
  <si>
    <t>2265799710002656</t>
  </si>
  <si>
    <t>32285000914795</t>
  </si>
  <si>
    <t>893500740</t>
  </si>
  <si>
    <t>32285002449006</t>
  </si>
  <si>
    <t>893536066</t>
  </si>
  <si>
    <t>DS835 .K8 1967</t>
  </si>
  <si>
    <t>0                      DS 0835000K  8           1967</t>
  </si>
  <si>
    <t>Japanese expansion on the Asiatic continent : a study in the history of Japan with special reference to her international relations with China, Korea, and Russia.</t>
  </si>
  <si>
    <t>Kuno, Yoshi S. (Yoshi Saburo), 1865-1941.</t>
  </si>
  <si>
    <t>Port Washington, N.. : Kennikat Press, [1967, c1940]</t>
  </si>
  <si>
    <t>1921154:eng</t>
  </si>
  <si>
    <t>966316</t>
  </si>
  <si>
    <t>991003431509702656</t>
  </si>
  <si>
    <t>2262115050002656</t>
  </si>
  <si>
    <t>32285002013034</t>
  </si>
  <si>
    <t>893234157</t>
  </si>
  <si>
    <t>32285002013042</t>
  </si>
  <si>
    <t>893228050</t>
  </si>
  <si>
    <t>DS835 .M4</t>
  </si>
  <si>
    <t>0                      DS 0835000M  4</t>
  </si>
  <si>
    <t>Japan, a concise history / [by] Milton W. Meyer.</t>
  </si>
  <si>
    <t>Meyer, Milton Walter.</t>
  </si>
  <si>
    <t>Boston : Allyn and Bacon, 1966.</t>
  </si>
  <si>
    <t>1464955:eng</t>
  </si>
  <si>
    <t>413106</t>
  </si>
  <si>
    <t>991002722479702656</t>
  </si>
  <si>
    <t>2268286540002656</t>
  </si>
  <si>
    <t>32285001770394</t>
  </si>
  <si>
    <t>893873906</t>
  </si>
  <si>
    <t>DS835 .R4 1990</t>
  </si>
  <si>
    <t>0                      DS 0835000R  4           1990</t>
  </si>
  <si>
    <t>Japan : the story of a nation / Edwin O. Reischauer.</t>
  </si>
  <si>
    <t>New York : McGraw-Hill, c1990.</t>
  </si>
  <si>
    <t>1990-04-24</t>
  </si>
  <si>
    <t>3887471066:eng</t>
  </si>
  <si>
    <t>19981223</t>
  </si>
  <si>
    <t>991001521759702656</t>
  </si>
  <si>
    <t>2259830800002656</t>
  </si>
  <si>
    <t>9780075570745</t>
  </si>
  <si>
    <t>32285000115682</t>
  </si>
  <si>
    <t>893414291</t>
  </si>
  <si>
    <t>DS835 .T58</t>
  </si>
  <si>
    <t>0                      DS 0835000T  58</t>
  </si>
  <si>
    <t>Japan before Perry : a short history / Conrad Totman.</t>
  </si>
  <si>
    <t>Totman, Conrad D.</t>
  </si>
  <si>
    <t>Berkeley : University of California Press, c1981.</t>
  </si>
  <si>
    <t>1990-10-30</t>
  </si>
  <si>
    <t>197495403:eng</t>
  </si>
  <si>
    <t>6277572</t>
  </si>
  <si>
    <t>991004954859702656</t>
  </si>
  <si>
    <t>2268777560002656</t>
  </si>
  <si>
    <t>9780520041325</t>
  </si>
  <si>
    <t>32285000370188</t>
  </si>
  <si>
    <t>893606632</t>
  </si>
  <si>
    <t>DS836 .T8</t>
  </si>
  <si>
    <t>0                      DS 0836000T  8</t>
  </si>
  <si>
    <t>Present day Japan / by Yusuke Tsurumi.</t>
  </si>
  <si>
    <t>Tsurumi, Yūsuke, 1885-1973.</t>
  </si>
  <si>
    <t>New York : Columbia University Press, 1926.</t>
  </si>
  <si>
    <t>2000-04-02</t>
  </si>
  <si>
    <t>1995-12-07</t>
  </si>
  <si>
    <t>2065611:eng</t>
  </si>
  <si>
    <t>1143170</t>
  </si>
  <si>
    <t>991003568719702656</t>
  </si>
  <si>
    <t>2260768110002656</t>
  </si>
  <si>
    <t>32285002110889</t>
  </si>
  <si>
    <t>893499438</t>
  </si>
  <si>
    <t>DS838.5 .F37 1995</t>
  </si>
  <si>
    <t>0                      DS 0838500F  37          1995</t>
  </si>
  <si>
    <t>Heavenly warriors : the evolution of Japan's military, 500-1300 / William Wayne Farris.</t>
  </si>
  <si>
    <t>Farris, William Wayne.</t>
  </si>
  <si>
    <t>Cambridge, Mass. : Council on East Asian Studies, Harvard University : Distributed by the Harvard University Press, 1995, 1992.</t>
  </si>
  <si>
    <t>Harvard East Asian monographs ; 157</t>
  </si>
  <si>
    <t>2007-08-27</t>
  </si>
  <si>
    <t>28626479:eng</t>
  </si>
  <si>
    <t>35954626</t>
  </si>
  <si>
    <t>991005106099702656</t>
  </si>
  <si>
    <t>2269450200002656</t>
  </si>
  <si>
    <t>9780674387041</t>
  </si>
  <si>
    <t>32285005322721</t>
  </si>
  <si>
    <t>893526910</t>
  </si>
  <si>
    <t>DS838.5 .F75 1992</t>
  </si>
  <si>
    <t>0                      DS 0838500F  75          1992</t>
  </si>
  <si>
    <t>Hired swords : the rise of private warrior power in early Japan / Karl F. Friday.</t>
  </si>
  <si>
    <t>Friday, Karl F.</t>
  </si>
  <si>
    <t>Stanford, Calif. : Stanford University Press, c1992.</t>
  </si>
  <si>
    <t>26154182:eng</t>
  </si>
  <si>
    <t>24143919</t>
  </si>
  <si>
    <t>991005106159702656</t>
  </si>
  <si>
    <t>2266331190002656</t>
  </si>
  <si>
    <t>9780804719780</t>
  </si>
  <si>
    <t>32285005322713</t>
  </si>
  <si>
    <t>893320028</t>
  </si>
  <si>
    <t>DS838.5 .K87 2002</t>
  </si>
  <si>
    <t>0                      DS 0838500K  87          2002</t>
  </si>
  <si>
    <t>Samurai : an illustrated history / by Mitsuo Kure.</t>
  </si>
  <si>
    <t>Kure, Mitsuo.</t>
  </si>
  <si>
    <t>Boston : Tuttle Pub., 2002, c2001.</t>
  </si>
  <si>
    <t>1152186925:eng</t>
  </si>
  <si>
    <t>49645255</t>
  </si>
  <si>
    <t>991005106139702656</t>
  </si>
  <si>
    <t>2254864270002656</t>
  </si>
  <si>
    <t>9780804832878</t>
  </si>
  <si>
    <t>32285005322978</t>
  </si>
  <si>
    <t>893776838</t>
  </si>
  <si>
    <t>DS838.7 .T78 1986</t>
  </si>
  <si>
    <t>0                      DS 0838700T  78          1986</t>
  </si>
  <si>
    <t>An intellectual history of wartime Japan : 1931-1945 / Shunsuke Tsurumi.</t>
  </si>
  <si>
    <t>Tsurumi, Shunsuke, 1922-2015.</t>
  </si>
  <si>
    <t>London ; New York : KPI, 1986.</t>
  </si>
  <si>
    <t>Japanese studies</t>
  </si>
  <si>
    <t>350007662:eng</t>
  </si>
  <si>
    <t>13898866</t>
  </si>
  <si>
    <t>991000887939702656</t>
  </si>
  <si>
    <t>2260693870002656</t>
  </si>
  <si>
    <t>9780710300720</t>
  </si>
  <si>
    <t>32285000370204</t>
  </si>
  <si>
    <t>893702531</t>
  </si>
  <si>
    <t>DS839.7 .A87 2006</t>
  </si>
  <si>
    <t>0                      DS 0839700A  87          2006</t>
  </si>
  <si>
    <t>From Mahan to Pearl Harbor : the imperial Japanese navy and the United States / Sadao Asada.</t>
  </si>
  <si>
    <t>Asada, Sadao, 1936-2019.</t>
  </si>
  <si>
    <t>Annapolis, Md. : Naval Institute Press, c2006.</t>
  </si>
  <si>
    <t>2009-04-01</t>
  </si>
  <si>
    <t>815093989:eng</t>
  </si>
  <si>
    <t>69013313</t>
  </si>
  <si>
    <t>991005307249702656</t>
  </si>
  <si>
    <t>2266425000002656</t>
  </si>
  <si>
    <t>9781557500427</t>
  </si>
  <si>
    <t>32285005512586</t>
  </si>
  <si>
    <t>893902452</t>
  </si>
  <si>
    <t>DS84 .I87 1983</t>
  </si>
  <si>
    <t>0                      DS 0084000I  87          1983</t>
  </si>
  <si>
    <t>PLO in Lebanon : selected documents / edited by Raphael Israeli.</t>
  </si>
  <si>
    <t>Israeli, Raphael editor.</t>
  </si>
  <si>
    <t>London : Weidenfeld and Nicolson, c1983.</t>
  </si>
  <si>
    <t>xxk</t>
  </si>
  <si>
    <t>54566521:eng</t>
  </si>
  <si>
    <t>9404833</t>
  </si>
  <si>
    <t>991000189079702656</t>
  </si>
  <si>
    <t>2264556780002656</t>
  </si>
  <si>
    <t>9780297782599</t>
  </si>
  <si>
    <t>32285000274679</t>
  </si>
  <si>
    <t>893626237</t>
  </si>
  <si>
    <t>DS84 .S25</t>
  </si>
  <si>
    <t>0                      DS 0084000S  25</t>
  </si>
  <si>
    <t>The modern history of Lebanon / [by] K. S. Salibi.</t>
  </si>
  <si>
    <t>Salibi, Kamal S. (Kamal Suleiman), 1929-2011.</t>
  </si>
  <si>
    <t>New York : Praeger, [1965]</t>
  </si>
  <si>
    <t>1999-04-08</t>
  </si>
  <si>
    <t>501349:eng</t>
  </si>
  <si>
    <t>396110</t>
  </si>
  <si>
    <t>991002673339702656</t>
  </si>
  <si>
    <t>2261012960002656</t>
  </si>
  <si>
    <t>32285000733815</t>
  </si>
  <si>
    <t>893880251</t>
  </si>
  <si>
    <t>DS841 .I56 2005</t>
  </si>
  <si>
    <t>0                      DS 0841000I  56          2005</t>
  </si>
  <si>
    <t>Japanese politics : an introduction / Takashi Inoguchi.</t>
  </si>
  <si>
    <t>Inoguchi, Takashi.</t>
  </si>
  <si>
    <t>Melbourne, Vic. : Trans Pacific Press, 2005.</t>
  </si>
  <si>
    <t>367780230:eng</t>
  </si>
  <si>
    <t>58456138</t>
  </si>
  <si>
    <t>991004647529702656</t>
  </si>
  <si>
    <t>2262581050002656</t>
  </si>
  <si>
    <t>9781876843212</t>
  </si>
  <si>
    <t>32285005144554</t>
  </si>
  <si>
    <t>893712853</t>
  </si>
  <si>
    <t>DS845 .K2513</t>
  </si>
  <si>
    <t>0                      DS 0845000K  2513</t>
  </si>
  <si>
    <t>The emergence of Japan as a world power, 1895-1925 / Morinosuke Kajima.</t>
  </si>
  <si>
    <t>Kajima, Morinosuke, 1896-1975.</t>
  </si>
  <si>
    <t>Rutland, Vt. : C. E. Tuttle Co. [1967, c1968], 1971 printing.</t>
  </si>
  <si>
    <t>1990-02-07</t>
  </si>
  <si>
    <t>146622183:eng</t>
  </si>
  <si>
    <t>436433</t>
  </si>
  <si>
    <t>991002769759702656</t>
  </si>
  <si>
    <t>2268870990002656</t>
  </si>
  <si>
    <t>32285000040260</t>
  </si>
  <si>
    <t>893780202</t>
  </si>
  <si>
    <t>DS845 .T3</t>
  </si>
  <si>
    <t>0                      DS 0845000T  3</t>
  </si>
  <si>
    <t>War and diplomacy in the Japanese empire / introd. by Quincy Wright.</t>
  </si>
  <si>
    <t>Takeuchi, Tatsuji, 1904-</t>
  </si>
  <si>
    <t>Garden City, N.Y. : Doubleday, Doran, 1935.</t>
  </si>
  <si>
    <t>1935</t>
  </si>
  <si>
    <t>117980241:eng</t>
  </si>
  <si>
    <t>812324</t>
  </si>
  <si>
    <t>991003290299702656</t>
  </si>
  <si>
    <t>2267295380002656</t>
  </si>
  <si>
    <t>32285001028587</t>
  </si>
  <si>
    <t>893524640</t>
  </si>
  <si>
    <t>DS845 .T6 1945</t>
  </si>
  <si>
    <t>0                      DS 0845000T  6           1945</t>
  </si>
  <si>
    <t>Through Japanese eyes / Otto D. Tolischus.</t>
  </si>
  <si>
    <t>Tolischus, Otto D. (Otto David), 1890-1967, editor.</t>
  </si>
  <si>
    <t>New York : Reynal &amp; Hitchcock, 1945.</t>
  </si>
  <si>
    <t>1945</t>
  </si>
  <si>
    <t>1779290:eng</t>
  </si>
  <si>
    <t>840068</t>
  </si>
  <si>
    <t>991003315049702656</t>
  </si>
  <si>
    <t>2264376710002656</t>
  </si>
  <si>
    <t>32285000190602</t>
  </si>
  <si>
    <t>893531072</t>
  </si>
  <si>
    <t>DS849.C6 B63 2004</t>
  </si>
  <si>
    <t>0                      DS 0849000C  6                  B  63          2004</t>
  </si>
  <si>
    <t>Japan and the Sino-Soviet Alliance, 1950-1964 : in the shadow of the monolith = [Ichimaiiwa no kage ni, Nihon to Chū-[So]] / C.W. Braddick.</t>
  </si>
  <si>
    <t>Braddick, C. W. (Christopher William), 1961-</t>
  </si>
  <si>
    <t>Houndmills, Basingstoke, Hampshire ; New York : Palgrave Macmillan ; Oxford : in association with St. Antony's College, 2004.</t>
  </si>
  <si>
    <t>2007-03-28</t>
  </si>
  <si>
    <t>367443917:eng</t>
  </si>
  <si>
    <t>52979184</t>
  </si>
  <si>
    <t>991005053939702656</t>
  </si>
  <si>
    <t>2267024760002656</t>
  </si>
  <si>
    <t>9781403917782</t>
  </si>
  <si>
    <t>32285005283436</t>
  </si>
  <si>
    <t>893600537</t>
  </si>
  <si>
    <t>DS849.C6 C49 1983</t>
  </si>
  <si>
    <t>0                      DS 0849000C  6                  C  49          1983</t>
  </si>
  <si>
    <t>The China quagmire : Japan's expansion on the Asian continent, 1933-1941 : selected translations from Taiheiyō Sensō e no michi, kaisen gaikō shi / edited by James William Morley.</t>
  </si>
  <si>
    <t>New York : Columbia University Press, 1983.</t>
  </si>
  <si>
    <t>Japan's road to the Pacific War</t>
  </si>
  <si>
    <t>1807843548:eng</t>
  </si>
  <si>
    <t>8629293</t>
  </si>
  <si>
    <t>991000038729702656</t>
  </si>
  <si>
    <t>2264091000002656</t>
  </si>
  <si>
    <t>9780231055222</t>
  </si>
  <si>
    <t>32285000370212</t>
  </si>
  <si>
    <t>893326950</t>
  </si>
  <si>
    <t>DS849.C6 J26 1992</t>
  </si>
  <si>
    <t>0                      DS 0849000C  6                  J  26          1992</t>
  </si>
  <si>
    <t>China in the Tokugawa world / Marius B. Jansen.</t>
  </si>
  <si>
    <t>Cambridge, Mass. : Harvard University Press, 1992.</t>
  </si>
  <si>
    <t>1999-11-21</t>
  </si>
  <si>
    <t>2675589:eng</t>
  </si>
  <si>
    <t>24908621</t>
  </si>
  <si>
    <t>991001965349702656</t>
  </si>
  <si>
    <t>2267154110002656</t>
  </si>
  <si>
    <t>9780674117532</t>
  </si>
  <si>
    <t>32285003534467</t>
  </si>
  <si>
    <t>893621764</t>
  </si>
  <si>
    <t>DS849.C6 K2813 1973</t>
  </si>
  <si>
    <t>0                      DS 0849000C  6                  K  2813        1973</t>
  </si>
  <si>
    <t>The goal of Japanese expansion.</t>
  </si>
  <si>
    <t>Kawai, Tatsuo, 1889-</t>
  </si>
  <si>
    <t>Westport, Conn. : Greenwood Press, [1973]</t>
  </si>
  <si>
    <t>1993-01-08</t>
  </si>
  <si>
    <t>1551886:eng</t>
  </si>
  <si>
    <t>618358</t>
  </si>
  <si>
    <t>991003061259702656</t>
  </si>
  <si>
    <t>2272205640002656</t>
  </si>
  <si>
    <t>9780837168548</t>
  </si>
  <si>
    <t>32285001474336</t>
  </si>
  <si>
    <t>893336100</t>
  </si>
  <si>
    <t>DS849.C6 M36 1978</t>
  </si>
  <si>
    <t>0                      DS 0849000C  6                  M  36          1978</t>
  </si>
  <si>
    <t>Issues in Japan's China policy / Wolf Mendl.</t>
  </si>
  <si>
    <t>Mendl, Wolf.</t>
  </si>
  <si>
    <t>New York : Oxford University Press, 1978.</t>
  </si>
  <si>
    <t>10289218:eng</t>
  </si>
  <si>
    <t>3397268</t>
  </si>
  <si>
    <t>991004425739702656</t>
  </si>
  <si>
    <t>2267136200002656</t>
  </si>
  <si>
    <t>9780195200317</t>
  </si>
  <si>
    <t>32285000370220</t>
  </si>
  <si>
    <t>893331572</t>
  </si>
  <si>
    <t>DS849.C6 N484 1993</t>
  </si>
  <si>
    <t>0                      DS 0849000C  6                  N  484         1993</t>
  </si>
  <si>
    <t>Japan's struggle with internationalism : Japan, China, and the League of Nations, 1931-3 / Ian Nish.</t>
  </si>
  <si>
    <t>Nish, Ian.</t>
  </si>
  <si>
    <t>London ; New York : K. Paul International, 1992.</t>
  </si>
  <si>
    <t>25167270:eng</t>
  </si>
  <si>
    <t>24069075</t>
  </si>
  <si>
    <t>991001906859702656</t>
  </si>
  <si>
    <t>2260042440002656</t>
  </si>
  <si>
    <t>9780710304377</t>
  </si>
  <si>
    <t>32285001584506</t>
  </si>
  <si>
    <t>893256617</t>
  </si>
  <si>
    <t>DS849.C6 T46 1999</t>
  </si>
  <si>
    <t>0                      DS 0849000C  6                  T  46          1999</t>
  </si>
  <si>
    <t>Japan's cultural policy toward China, 1918-1931 : a comparative perspective / See Heng Teow.</t>
  </si>
  <si>
    <t>Teow, See Heng.</t>
  </si>
  <si>
    <t>Cambridge, Mass. : Harvard University Asia Center : Distributed by Harvard University Press, 1999.</t>
  </si>
  <si>
    <t>Harvard East Asian monographs ; 175</t>
  </si>
  <si>
    <t>795181561:eng</t>
  </si>
  <si>
    <t>40255854</t>
  </si>
  <si>
    <t>991002986959702656</t>
  </si>
  <si>
    <t>2258064970002656</t>
  </si>
  <si>
    <t>9780674472570</t>
  </si>
  <si>
    <t>32285003639621</t>
  </si>
  <si>
    <t>893440790</t>
  </si>
  <si>
    <t>DS849.C6 W358 2000</t>
  </si>
  <si>
    <t>0                      DS 0849000C  6                  W  358         2000</t>
  </si>
  <si>
    <t>Hegemonic cooperation and conflict : postwar Japan's China policy and the United States / Qingxin Ken Wang.</t>
  </si>
  <si>
    <t>Wang, Qingxin Ken, 1964-</t>
  </si>
  <si>
    <t>Westport, Conn. : Praeger, c2000.</t>
  </si>
  <si>
    <t>2579844:eng</t>
  </si>
  <si>
    <t>39930742</t>
  </si>
  <si>
    <t>991003689229702656</t>
  </si>
  <si>
    <t>2260939030002656</t>
  </si>
  <si>
    <t>9780275963149</t>
  </si>
  <si>
    <t>32285004445648</t>
  </si>
  <si>
    <t>893445785</t>
  </si>
  <si>
    <t>DS849.F8 S5 1998</t>
  </si>
  <si>
    <t>0                      DS 0849000F  8                  S  5           1998</t>
  </si>
  <si>
    <t>French policy towards the Bakufu and Meiji Japan 1854-95 / Richard Sims.</t>
  </si>
  <si>
    <t>Sims, R. L. (Richard L.)</t>
  </si>
  <si>
    <t>Richmond, Surrey : Japan Library, 1998.</t>
  </si>
  <si>
    <t>Meiji Japan series ; 3</t>
  </si>
  <si>
    <t>143816250:eng</t>
  </si>
  <si>
    <t>39086176</t>
  </si>
  <si>
    <t>991003687279702656</t>
  </si>
  <si>
    <t>2259240780002656</t>
  </si>
  <si>
    <t>9781873410615</t>
  </si>
  <si>
    <t>32285004456140</t>
  </si>
  <si>
    <t>893262872</t>
  </si>
  <si>
    <t>DS849.P6 B691</t>
  </si>
  <si>
    <t>0                      DS 0849000P  6                  B  691</t>
  </si>
  <si>
    <t>Papers on Portugese, Dutch, and Jesuit influence in 16th- and 17th-century Japan / writings of Charles Ralph Boxer : compiled by Michael Moscato.</t>
  </si>
  <si>
    <t>Boxer, C. R. (Charles Ralph), 1904-2000.</t>
  </si>
  <si>
    <t>Washington, D.C. : University Pubs., 1979.</t>
  </si>
  <si>
    <t>2007-02-12</t>
  </si>
  <si>
    <t>8909978082:eng</t>
  </si>
  <si>
    <t>5394537</t>
  </si>
  <si>
    <t>991004829799702656</t>
  </si>
  <si>
    <t>2269652890002656</t>
  </si>
  <si>
    <t>9780890932551</t>
  </si>
  <si>
    <t>32285000370238</t>
  </si>
  <si>
    <t>893532854</t>
  </si>
  <si>
    <t>DS849.R7 L39 1971</t>
  </si>
  <si>
    <t>0                      DS 0849000R  7                  L  39          1971</t>
  </si>
  <si>
    <t>The Russian push toward Japan; Russo-Japanese relations, 1697-1875.</t>
  </si>
  <si>
    <t>Lensen, George Alexander, 1923-1979.</t>
  </si>
  <si>
    <t>New York, Octagon Books, 1971 [c1959]</t>
  </si>
  <si>
    <t>1274559:eng</t>
  </si>
  <si>
    <t>207826</t>
  </si>
  <si>
    <t>991001239169702656</t>
  </si>
  <si>
    <t>2266981920002656</t>
  </si>
  <si>
    <t>9780374949365</t>
  </si>
  <si>
    <t>32285002450202</t>
  </si>
  <si>
    <t>893621189</t>
  </si>
  <si>
    <t>DS849.S6 O83 2002</t>
  </si>
  <si>
    <t>0                      DS 0849000S  6                  O  83          2002</t>
  </si>
  <si>
    <t>Sanctions and honorary whites : diplomatic policies and economic realities in relations between Japan and South Africa / Masako Osada.</t>
  </si>
  <si>
    <t>Osada, Masako, 1959-</t>
  </si>
  <si>
    <t>Westport, Conn. : Greenwood Press, 2002.</t>
  </si>
  <si>
    <t>Contributions to the study of world history, 0885-9159 ; no. 93</t>
  </si>
  <si>
    <t>2634560:eng</t>
  </si>
  <si>
    <t>46969891</t>
  </si>
  <si>
    <t>991004017949702656</t>
  </si>
  <si>
    <t>2266829600002656</t>
  </si>
  <si>
    <t>9780313318771</t>
  </si>
  <si>
    <t>32285004740907</t>
  </si>
  <si>
    <t>893593172</t>
  </si>
  <si>
    <t>DS849.S65 J36 2000</t>
  </si>
  <si>
    <t>0                      DS 0849000S  65                 J  36          2000</t>
  </si>
  <si>
    <t>Japan and Russia : the tortuous path to normalization, 1949-1999 / edited by Gilbert Rozman.</t>
  </si>
  <si>
    <t>New York : St. Martin's Press, 2000.</t>
  </si>
  <si>
    <t>793083559:eng</t>
  </si>
  <si>
    <t>42454244</t>
  </si>
  <si>
    <t>991003356059702656</t>
  </si>
  <si>
    <t>2268239970002656</t>
  </si>
  <si>
    <t>9780312228774</t>
  </si>
  <si>
    <t>32285004305297</t>
  </si>
  <si>
    <t>893805714</t>
  </si>
  <si>
    <t>DS849.U6 I9</t>
  </si>
  <si>
    <t>0                      DS 0849000U  6                  I  9</t>
  </si>
  <si>
    <t>Japan's real attitude toward America; a reply to Mr. George Bronson Rea's "Japan's place in the sun--the menace to America," ed. by Toyokichi Iyenaga ...</t>
  </si>
  <si>
    <t>Iyenaga, T. (Toyokichi), 1862-1936, editor.</t>
  </si>
  <si>
    <t>New York, London, G.P. Putnam's Sons, 1916.</t>
  </si>
  <si>
    <t>1916</t>
  </si>
  <si>
    <t>368690511:eng</t>
  </si>
  <si>
    <t>2143482</t>
  </si>
  <si>
    <t>991004028079702656</t>
  </si>
  <si>
    <t>2256818940002656</t>
  </si>
  <si>
    <t>32285002450210</t>
  </si>
  <si>
    <t>893337254</t>
  </si>
  <si>
    <t>DS849.U6 J6</t>
  </si>
  <si>
    <t>0                      DS 0849000U  6                  J  6</t>
  </si>
  <si>
    <t>American attitudes toward Japan, 1941-1975 / Sheila K. Johnson.</t>
  </si>
  <si>
    <t>Johnson, Sheila K.</t>
  </si>
  <si>
    <t>Washington : American Enterprise Institute for Public Policy Research, 1975.</t>
  </si>
  <si>
    <t>AEI-Hoover policy studies ; 15</t>
  </si>
  <si>
    <t>507579:eng</t>
  </si>
  <si>
    <t>1924637</t>
  </si>
  <si>
    <t>991003939199702656</t>
  </si>
  <si>
    <t>2263900660002656</t>
  </si>
  <si>
    <t>9780844731797</t>
  </si>
  <si>
    <t>32285001890325</t>
  </si>
  <si>
    <t>893687150</t>
  </si>
  <si>
    <t>DS849.U6 K2</t>
  </si>
  <si>
    <t>0                      DS 0849000U  6                  K  2</t>
  </si>
  <si>
    <t>American-Japanese relations; an inside view of Japan's policies and purposes, by Kiyoshi K. Kawakami.</t>
  </si>
  <si>
    <t>Kawakami, Kiyoshi Karl, 1875-1949.</t>
  </si>
  <si>
    <t>New York, Chicago, Fleming H. Revell Co. [c1912]</t>
  </si>
  <si>
    <t>2055238:eng</t>
  </si>
  <si>
    <t>1136965</t>
  </si>
  <si>
    <t>991003564499702656</t>
  </si>
  <si>
    <t>2266558870002656</t>
  </si>
  <si>
    <t>32285002450228</t>
  </si>
  <si>
    <t>893699129</t>
  </si>
  <si>
    <t>DS849.U6 T7</t>
  </si>
  <si>
    <t>0                      DS 0849000U  6                  T  7</t>
  </si>
  <si>
    <t>Japan and the United States, 1853-1921, by Payson J. Treat.</t>
  </si>
  <si>
    <t>Treat, Payson J. (Payson Jackson), 1879-1972.</t>
  </si>
  <si>
    <t>Boston, New York, Houghton Mifflin Company, 1921.</t>
  </si>
  <si>
    <t>1921</t>
  </si>
  <si>
    <t>4919745777:eng</t>
  </si>
  <si>
    <t>933659</t>
  </si>
  <si>
    <t>991003394819702656</t>
  </si>
  <si>
    <t>2271766610002656</t>
  </si>
  <si>
    <t>32285002450236</t>
  </si>
  <si>
    <t>893234130</t>
  </si>
  <si>
    <t>DS850 .K5713</t>
  </si>
  <si>
    <t>0                      DS 0850000K  5713</t>
  </si>
  <si>
    <t>A chronicle of gods and sovereigns : Jinnō shōtōki of Kitabatake Chikafusa / translated by H. Paul Varley.</t>
  </si>
  <si>
    <t>Kitabatake, Chikafusa, 1293-1354.</t>
  </si>
  <si>
    <t>1996-03-29</t>
  </si>
  <si>
    <t>420312:eng</t>
  </si>
  <si>
    <t>6042764</t>
  </si>
  <si>
    <t>991004919959702656</t>
  </si>
  <si>
    <t>2256395610002656</t>
  </si>
  <si>
    <t>9780231049405</t>
  </si>
  <si>
    <t>32285000370246</t>
  </si>
  <si>
    <t>893706997</t>
  </si>
  <si>
    <t>DS851 .K5</t>
  </si>
  <si>
    <t>0                      DS 0851000K  5</t>
  </si>
  <si>
    <t>Japan before Buddhism.</t>
  </si>
  <si>
    <t>Kidder, J. Edward (Jonathan Edward)</t>
  </si>
  <si>
    <t>New York : Praeger, [1959]</t>
  </si>
  <si>
    <t>Ancient peoples and places ; v. 10</t>
  </si>
  <si>
    <t>1993-12-17</t>
  </si>
  <si>
    <t>5623680052:eng</t>
  </si>
  <si>
    <t>794550</t>
  </si>
  <si>
    <t>991003268459702656</t>
  </si>
  <si>
    <t>2263671820002656</t>
  </si>
  <si>
    <t>32285001825479</t>
  </si>
  <si>
    <t>893592355</t>
  </si>
  <si>
    <t>DS86 .M4</t>
  </si>
  <si>
    <t>0                      DS 0086000M  4</t>
  </si>
  <si>
    <t>Lebanon, improbable nation; a study in political development [by] Leila M.T. Meo.</t>
  </si>
  <si>
    <t>Meo, Leila M. T.</t>
  </si>
  <si>
    <t>Bloomington, Indiana University Press [1965]</t>
  </si>
  <si>
    <t>Indiana University international studies</t>
  </si>
  <si>
    <t>501654:eng</t>
  </si>
  <si>
    <t>396928</t>
  </si>
  <si>
    <t>991002675779702656</t>
  </si>
  <si>
    <t>2261215670002656</t>
  </si>
  <si>
    <t>32285002460367</t>
  </si>
  <si>
    <t>893798862</t>
  </si>
  <si>
    <t>DS864 .G76</t>
  </si>
  <si>
    <t>0                      DS 0864000G  76</t>
  </si>
  <si>
    <t>Japan's Renaissance : the politics of the Muromachi Bakufu / Kenneth Alan Grossberg.</t>
  </si>
  <si>
    <t>Grossberg, Kenneth A.</t>
  </si>
  <si>
    <t>Cambridge, Mass. : Council on East Asian Studies, Harvard University : Distributed by Harvard University Press, 1981.</t>
  </si>
  <si>
    <t>Harvard East Asian monographs ; 99</t>
  </si>
  <si>
    <t>836669130:eng</t>
  </si>
  <si>
    <t>7553162</t>
  </si>
  <si>
    <t>991005125379702656</t>
  </si>
  <si>
    <t>2262511130002656</t>
  </si>
  <si>
    <t>9780674472518</t>
  </si>
  <si>
    <t>32285000370287</t>
  </si>
  <si>
    <t>893437198</t>
  </si>
  <si>
    <t>DS865.5 .C67 2003</t>
  </si>
  <si>
    <t>0                      DS 0865500C  67          2003</t>
  </si>
  <si>
    <t>State of war : the violent order of fourteenth-century Japan / Thomas Donald Conlan.</t>
  </si>
  <si>
    <t>Conlan, Thomas.</t>
  </si>
  <si>
    <t>Ann Arbor : Center for Japanese Studies, University of Michigan, 2003.</t>
  </si>
  <si>
    <t>Michigan monograph series in Japanese studies ; no. 46</t>
  </si>
  <si>
    <t>827214:eng</t>
  </si>
  <si>
    <t>52216299</t>
  </si>
  <si>
    <t>991004543929702656</t>
  </si>
  <si>
    <t>2256993870002656</t>
  </si>
  <si>
    <t>9781929280162</t>
  </si>
  <si>
    <t>32285005091557</t>
  </si>
  <si>
    <t>893343966</t>
  </si>
  <si>
    <t>DS868 .S37 1977a</t>
  </si>
  <si>
    <t>0                      DS 0868000S  37          1977a</t>
  </si>
  <si>
    <t>Japan before Tokugawa : political consolidation and economic growth, 1500-1650 / edited by John Whitney Hall, Nagahara Keiji, and Kozo Yāmamura.</t>
  </si>
  <si>
    <t>Sengoku Conference (1977 : Lahaina, Hawaii)</t>
  </si>
  <si>
    <t>Princeton : Princeton University Press, c1981.</t>
  </si>
  <si>
    <t>1997-03-05</t>
  </si>
  <si>
    <t>836662302:eng</t>
  </si>
  <si>
    <t>6357654</t>
  </si>
  <si>
    <t>991004971009702656</t>
  </si>
  <si>
    <t>2255979860002656</t>
  </si>
  <si>
    <t>9780691053080</t>
  </si>
  <si>
    <t>32285000370295</t>
  </si>
  <si>
    <t>893713269</t>
  </si>
  <si>
    <t>DS869.A3 M54 2003</t>
  </si>
  <si>
    <t>0                      DS 0869000A  3                  M  54          2003</t>
  </si>
  <si>
    <t>Samurai William : the Englishman who opened Japan / Giles Milton.</t>
  </si>
  <si>
    <t>Milton, Giles.</t>
  </si>
  <si>
    <t>3373120942:eng</t>
  </si>
  <si>
    <t>49901743</t>
  </si>
  <si>
    <t>991004002829702656</t>
  </si>
  <si>
    <t>2257909490002656</t>
  </si>
  <si>
    <t>9780374253851</t>
  </si>
  <si>
    <t>32285004682356</t>
  </si>
  <si>
    <t>893247040</t>
  </si>
  <si>
    <t>DS87 .F55 1990</t>
  </si>
  <si>
    <t>0                      DS 0087000F  55          1990</t>
  </si>
  <si>
    <t>Pity the nation : the abduction of Lebanon / Robert Fisk.</t>
  </si>
  <si>
    <t>New York : Atheneum : Maxwell Macmillan International, 1990.</t>
  </si>
  <si>
    <t>3132964735:eng</t>
  </si>
  <si>
    <t>21679122</t>
  </si>
  <si>
    <t>991005412329702656</t>
  </si>
  <si>
    <t>2261326720002656</t>
  </si>
  <si>
    <t>9780689121050</t>
  </si>
  <si>
    <t>32285000594878</t>
  </si>
  <si>
    <t>893808425</t>
  </si>
  <si>
    <t>DS87 .G54 1984</t>
  </si>
  <si>
    <t>0                      DS 0087000G  54          1984</t>
  </si>
  <si>
    <t>Lebanon, the fractured country / David Gilmour.</t>
  </si>
  <si>
    <t>Gilmour, David, 1952-</t>
  </si>
  <si>
    <t>New York : St. Martin's Press, 1983, c1984.</t>
  </si>
  <si>
    <t>3244244:eng</t>
  </si>
  <si>
    <t>10322463</t>
  </si>
  <si>
    <t>991000353379702656</t>
  </si>
  <si>
    <t>2266722030002656</t>
  </si>
  <si>
    <t>9780312477394</t>
  </si>
  <si>
    <t>32285000292200</t>
  </si>
  <si>
    <t>893796570</t>
  </si>
  <si>
    <t>DS87 .G67</t>
  </si>
  <si>
    <t>0                      DS 0087000G  67</t>
  </si>
  <si>
    <t>Lebanon, the fragmented nation / David C. Gordon.</t>
  </si>
  <si>
    <t>London : Croom Helm ; Stanford, Calif. : Hoover Institution Press, c1980.</t>
  </si>
  <si>
    <t>Hoover Institution Press</t>
  </si>
  <si>
    <t>20728107:eng</t>
  </si>
  <si>
    <t>6066245</t>
  </si>
  <si>
    <t>991004923609702656</t>
  </si>
  <si>
    <t>2271257880002656</t>
  </si>
  <si>
    <t>9780817962715</t>
  </si>
  <si>
    <t>32285000274687</t>
  </si>
  <si>
    <t>893707004</t>
  </si>
  <si>
    <t>DS87 .H3723 1997</t>
  </si>
  <si>
    <t>0                      DS 0087000H  3723        1997</t>
  </si>
  <si>
    <t>Faces of Lebanon : sects, wars, and global extensions / William W. Harris.</t>
  </si>
  <si>
    <t>Princeton, NJ : Markus Wiener Publishers, c1997.</t>
  </si>
  <si>
    <t>197498045:eng</t>
  </si>
  <si>
    <t>34753518</t>
  </si>
  <si>
    <t>991002658979702656</t>
  </si>
  <si>
    <t>2267093220002656</t>
  </si>
  <si>
    <t>9781558761155</t>
  </si>
  <si>
    <t>32285003259297</t>
  </si>
  <si>
    <t>893798837</t>
  </si>
  <si>
    <t>DS87 .H8</t>
  </si>
  <si>
    <t>0                      DS 0087000H  8</t>
  </si>
  <si>
    <t>The precarious republic; political modernization in Lebanon [by] Michael C. Hudson. Consulting editor: Leonard Binder.</t>
  </si>
  <si>
    <t>Hudson, Michael C.</t>
  </si>
  <si>
    <t>New York, Random House [c1968]</t>
  </si>
  <si>
    <t>2000-10-07</t>
  </si>
  <si>
    <t>1575773:eng</t>
  </si>
  <si>
    <t>443795</t>
  </si>
  <si>
    <t>991002791809702656</t>
  </si>
  <si>
    <t>2264436660002656</t>
  </si>
  <si>
    <t>32285002460375</t>
  </si>
  <si>
    <t>893721638</t>
  </si>
  <si>
    <t>DS87 .O33 1985</t>
  </si>
  <si>
    <t>0                      DS 0087000O  33          1985</t>
  </si>
  <si>
    <t>Lebanon, dynamics of conflict : a modern political history / B.J. Odeh.</t>
  </si>
  <si>
    <t>Odeh, B. J.</t>
  </si>
  <si>
    <t>London : Zed Books ; Totowa, N.J. : US distributor, Biblio Distribution Center, 1985.</t>
  </si>
  <si>
    <t>Third World books</t>
  </si>
  <si>
    <t>836724731:eng</t>
  </si>
  <si>
    <t>12362098</t>
  </si>
  <si>
    <t>991000676709702656</t>
  </si>
  <si>
    <t>2257093010002656</t>
  </si>
  <si>
    <t>9780862322120</t>
  </si>
  <si>
    <t>32285000292218</t>
  </si>
  <si>
    <t>893425933</t>
  </si>
  <si>
    <t>DS87 .R32</t>
  </si>
  <si>
    <t>0                      DS 0087000R  32</t>
  </si>
  <si>
    <t>Syria under the Baʻth, 1963-66; the Army Party symbiosis.</t>
  </si>
  <si>
    <t>Rabinovich, Itamar, 1942-</t>
  </si>
  <si>
    <t>Jerusalem, Israel Universities Press [c1972]</t>
  </si>
  <si>
    <t>Shiloah Center for Middle Eastern and African Studies. Monograph series</t>
  </si>
  <si>
    <t>1622918:eng</t>
  </si>
  <si>
    <t>605989</t>
  </si>
  <si>
    <t>991003045259702656</t>
  </si>
  <si>
    <t>2263571760002656</t>
  </si>
  <si>
    <t>9780706512663</t>
  </si>
  <si>
    <t>32285002460383</t>
  </si>
  <si>
    <t>893323704</t>
  </si>
  <si>
    <t>DS87 .R332 1984</t>
  </si>
  <si>
    <t>0                      DS 0087000R  332         1984</t>
  </si>
  <si>
    <t>The war for Lebanon, 1970-1983 / Itamar Rabinovich.</t>
  </si>
  <si>
    <t>Ithaca, N.Y. : Cornell University Press, 1984.</t>
  </si>
  <si>
    <t>1074677:eng</t>
  </si>
  <si>
    <t>10374930</t>
  </si>
  <si>
    <t>991000361949702656</t>
  </si>
  <si>
    <t>2257884750002656</t>
  </si>
  <si>
    <t>9780801416279</t>
  </si>
  <si>
    <t>32285000292226</t>
  </si>
  <si>
    <t>893515204</t>
  </si>
  <si>
    <t>DS87 .S2</t>
  </si>
  <si>
    <t>0                      DS 0087000S  2</t>
  </si>
  <si>
    <t>Cross roads to civil war : Lebanon, 1958-1976 / Kamal S. Salibi.</t>
  </si>
  <si>
    <t>Delmar, N.Y. : Caravan Books, 1976.</t>
  </si>
  <si>
    <t>6904435:eng</t>
  </si>
  <si>
    <t>1991304</t>
  </si>
  <si>
    <t>991003969529702656</t>
  </si>
  <si>
    <t>2263934840002656</t>
  </si>
  <si>
    <t>9780882060101</t>
  </si>
  <si>
    <t>32285001410496</t>
  </si>
  <si>
    <t>893781703</t>
  </si>
  <si>
    <t>DS87.2.H37 I853 2006</t>
  </si>
  <si>
    <t>0                      DS 0087200H  37                 I  853         2006</t>
  </si>
  <si>
    <t>Rafiq Hariri and the fate of Lebanon / Marwan Iskandar.</t>
  </si>
  <si>
    <t>Iskandar, Marwan.</t>
  </si>
  <si>
    <t>London ; San Francisco : Saqi, 2006.</t>
  </si>
  <si>
    <t>Updated and augmented 2nd ed.</t>
  </si>
  <si>
    <t>48652016:eng</t>
  </si>
  <si>
    <t>70954844</t>
  </si>
  <si>
    <t>991005033199702656</t>
  </si>
  <si>
    <t>2256406300002656</t>
  </si>
  <si>
    <t>9780863563706</t>
  </si>
  <si>
    <t>32285005277511</t>
  </si>
  <si>
    <t>893501217</t>
  </si>
  <si>
    <t>DS87.2.S24 A3 1995</t>
  </si>
  <si>
    <t>0                      DS 0087200S  24                 A  3           1995</t>
  </si>
  <si>
    <t>Violence and diplomacy in Lebanon : the troubled years, 1982-1988 / Elie A. Salem.</t>
  </si>
  <si>
    <t>Salem, Elie Adib.</t>
  </si>
  <si>
    <t>London ; New York : I.B. Tauris ; New York, NY : Distributed by St. Martin's Press, 1995.</t>
  </si>
  <si>
    <t>2006-06-23</t>
  </si>
  <si>
    <t>837021632:eng</t>
  </si>
  <si>
    <t>32001060</t>
  </si>
  <si>
    <t>991002453359702656</t>
  </si>
  <si>
    <t>2257000070002656</t>
  </si>
  <si>
    <t>9781850438359</t>
  </si>
  <si>
    <t>32285002175056</t>
  </si>
  <si>
    <t>893504399</t>
  </si>
  <si>
    <t>DS87.2.S87 A3 1996</t>
  </si>
  <si>
    <t>0                      DS 0087200S  87                 A  3           1996</t>
  </si>
  <si>
    <t>At your own risk : an American chronicle of crisis and captivity in the Middle East / Tom and Jean Sutherland.</t>
  </si>
  <si>
    <t>Sutherland, Tom, 1931-</t>
  </si>
  <si>
    <t>Golden, Colo. : Fulcrum Pub., c1996.</t>
  </si>
  <si>
    <t>2003-09-09</t>
  </si>
  <si>
    <t>308869617:eng</t>
  </si>
  <si>
    <t>33819840</t>
  </si>
  <si>
    <t>991004117359702656</t>
  </si>
  <si>
    <t>2271278420002656</t>
  </si>
  <si>
    <t>9781555912550</t>
  </si>
  <si>
    <t>32285004781505</t>
  </si>
  <si>
    <t>893706013</t>
  </si>
  <si>
    <t>DS87.5 .D43 1980</t>
  </si>
  <si>
    <t>0                      DS 0087500D  43          1980</t>
  </si>
  <si>
    <t>The Lebanese civil war / Marius Deeb ; foreword by Charles Issawi.</t>
  </si>
  <si>
    <t>Deeb, Marius.</t>
  </si>
  <si>
    <t>New York : Praeger, 1980.</t>
  </si>
  <si>
    <t>431554:eng</t>
  </si>
  <si>
    <t>5333766</t>
  </si>
  <si>
    <t>991004820979702656</t>
  </si>
  <si>
    <t>2265722490002656</t>
  </si>
  <si>
    <t>9780030397011</t>
  </si>
  <si>
    <t>32285000292234</t>
  </si>
  <si>
    <t>893870153</t>
  </si>
  <si>
    <t>DS87.5 .E45 2000</t>
  </si>
  <si>
    <t>0                      DS 0087500E  45          2000</t>
  </si>
  <si>
    <t>The breakdown of the state in Lebanon, 1967-1976 / Farid el Khazen.</t>
  </si>
  <si>
    <t>El-Khazen, Farid.</t>
  </si>
  <si>
    <t>Cambridge, Mass. : Harvard University Press, c2000.</t>
  </si>
  <si>
    <t>2004-08-23</t>
  </si>
  <si>
    <t>2678384:eng</t>
  </si>
  <si>
    <t>41572625</t>
  </si>
  <si>
    <t>991004346149702656</t>
  </si>
  <si>
    <t>2263154740002656</t>
  </si>
  <si>
    <t>9780674081055</t>
  </si>
  <si>
    <t>32285004982624</t>
  </si>
  <si>
    <t>893259616</t>
  </si>
  <si>
    <t>DS87.5 .L4</t>
  </si>
  <si>
    <t>0                      DS 0087500L  4</t>
  </si>
  <si>
    <t>Lebanon in crisis : participants and issues / edited by P. Edward Haley and Lewis W. Snider.</t>
  </si>
  <si>
    <t>Syracuse, N.Y. : Syracuse University Press, 1979.</t>
  </si>
  <si>
    <t>827160672:eng</t>
  </si>
  <si>
    <t>4774851</t>
  </si>
  <si>
    <t>991004712859702656</t>
  </si>
  <si>
    <t>2256755260002656</t>
  </si>
  <si>
    <t>9780815622109</t>
  </si>
  <si>
    <t>32285000274695</t>
  </si>
  <si>
    <t>893895389</t>
  </si>
  <si>
    <t>DS87.53 .H353 1991</t>
  </si>
  <si>
    <t>0                      DS 0087530H  353         1991</t>
  </si>
  <si>
    <t>Military force as an instrument of U.S. foreign policy : intervention in Lebanon, August 1982-February 1984 / Ralph A. Hallenbeck.</t>
  </si>
  <si>
    <t>Hallenbeck, Ralph A.</t>
  </si>
  <si>
    <t>1991-11-18</t>
  </si>
  <si>
    <t>347517384:eng</t>
  </si>
  <si>
    <t>22493223</t>
  </si>
  <si>
    <t>991001784609702656</t>
  </si>
  <si>
    <t>2255941040002656</t>
  </si>
  <si>
    <t>9780275937102</t>
  </si>
  <si>
    <t>32285000815802</t>
  </si>
  <si>
    <t>893497370</t>
  </si>
  <si>
    <t>DS87.53 .L3 1985</t>
  </si>
  <si>
    <t>0                      DS 0087530L  3           1985</t>
  </si>
  <si>
    <t>The war of desperation : Lebanon 1982-85 / John Laffin.</t>
  </si>
  <si>
    <t>Laffin, John.</t>
  </si>
  <si>
    <t>London : Osprey, 1985.</t>
  </si>
  <si>
    <t>8032571:eng</t>
  </si>
  <si>
    <t>60061185</t>
  </si>
  <si>
    <t>991000693419702656</t>
  </si>
  <si>
    <t>2257765060002656</t>
  </si>
  <si>
    <t>9780850456035</t>
  </si>
  <si>
    <t>32285000274745</t>
  </si>
  <si>
    <t>893339796</t>
  </si>
  <si>
    <t>DS87.53 .L43 1988</t>
  </si>
  <si>
    <t>0                      DS 0087530L  43          1988</t>
  </si>
  <si>
    <t>Leadership and negotiation in the Middle East / edited by Barbara Kellerman and Jeffrey Z. Rubin ; foreword by Seymour Feshbach.</t>
  </si>
  <si>
    <t>1992-11-22</t>
  </si>
  <si>
    <t>351852577:eng</t>
  </si>
  <si>
    <t>17805118</t>
  </si>
  <si>
    <t>991001265489702656</t>
  </si>
  <si>
    <t>2265881990002656</t>
  </si>
  <si>
    <t>9780275924898</t>
  </si>
  <si>
    <t>32285000038843</t>
  </si>
  <si>
    <t>893891442</t>
  </si>
  <si>
    <t>DS87.65 .H37 2008</t>
  </si>
  <si>
    <t>0                      DS 0087650H  37          2008</t>
  </si>
  <si>
    <t>34 days : Israel, Hezbollah, and the war in Lebanon / Amos Harel and Avi Issacharoff.</t>
  </si>
  <si>
    <t>Harel, Amos.</t>
  </si>
  <si>
    <t>2009-02-25</t>
  </si>
  <si>
    <t>116747576:eng</t>
  </si>
  <si>
    <t>181601125</t>
  </si>
  <si>
    <t>991005297089702656</t>
  </si>
  <si>
    <t>2260034550002656</t>
  </si>
  <si>
    <t>9780230604001</t>
  </si>
  <si>
    <t>32285005505747</t>
  </si>
  <si>
    <t>893230494</t>
  </si>
  <si>
    <t>DS871 .E3</t>
  </si>
  <si>
    <t>0                      DS 0871000E  3</t>
  </si>
  <si>
    <t>Emperor and nation in Japan; political thinkers of the Tokugawa period.</t>
  </si>
  <si>
    <t>Earl, David Magarey, 1911-</t>
  </si>
  <si>
    <t>Seattle, University of Washington Press [1964]</t>
  </si>
  <si>
    <t>2004-05-10</t>
  </si>
  <si>
    <t>1464965:eng</t>
  </si>
  <si>
    <t>413108</t>
  </si>
  <si>
    <t>991002722509702656</t>
  </si>
  <si>
    <t>2268286970002656</t>
  </si>
  <si>
    <t>32285002450285</t>
  </si>
  <si>
    <t>893445323</t>
  </si>
  <si>
    <t>DS871 .H29</t>
  </si>
  <si>
    <t>0                      DS 0871000H  29</t>
  </si>
  <si>
    <t>Studies in the institutional history of early modern Japan / edited by John W. Hall and Marius B. Jansen. With an introd. by Joseph R. Strayer. Contributors: Harumi Befu [and others]</t>
  </si>
  <si>
    <t>Hall, John Whitney, 1916-1997 compiler.</t>
  </si>
  <si>
    <t>Princeton, N.J. : Princeton University Press, 1968.</t>
  </si>
  <si>
    <t>2001-04-10</t>
  </si>
  <si>
    <t>684717850:eng</t>
  </si>
  <si>
    <t>279633</t>
  </si>
  <si>
    <t>991002184009702656</t>
  </si>
  <si>
    <t>2261714980002656</t>
  </si>
  <si>
    <t>32285000370303</t>
  </si>
  <si>
    <t>893621999</t>
  </si>
  <si>
    <t>DS871 .T6</t>
  </si>
  <si>
    <t>0                      DS 0871000T  6</t>
  </si>
  <si>
    <t>Politics in the Tokugawa bakufu, 1600-1843 / [by] Conrad D. Totman.</t>
  </si>
  <si>
    <t>Cambridge : Harvard University Press, 1967.</t>
  </si>
  <si>
    <t>Harvard East Asian series ; 30</t>
  </si>
  <si>
    <t>1993-08-03</t>
  </si>
  <si>
    <t>1150897095:eng</t>
  </si>
  <si>
    <t>279623</t>
  </si>
  <si>
    <t>991001622529702656</t>
  </si>
  <si>
    <t>2261719760002656</t>
  </si>
  <si>
    <t>32285001748580</t>
  </si>
  <si>
    <t>893696852</t>
  </si>
  <si>
    <t>DS871 .W3</t>
  </si>
  <si>
    <t>0                      DS 0871000W  3</t>
  </si>
  <si>
    <t>The Japanese imperial institution in the Tokugawa period.</t>
  </si>
  <si>
    <t>Webb, Herschel.</t>
  </si>
  <si>
    <t>New York : Columbia University Press, 1968.</t>
  </si>
  <si>
    <t>Studies of the East Asian Institute, Columbia University</t>
  </si>
  <si>
    <t>1424153:eng</t>
  </si>
  <si>
    <t>279637</t>
  </si>
  <si>
    <t>991002184249702656</t>
  </si>
  <si>
    <t>2261714290002656</t>
  </si>
  <si>
    <t>32285001806248</t>
  </si>
  <si>
    <t>893785820</t>
  </si>
  <si>
    <t>DS871.5 .P44 1991</t>
  </si>
  <si>
    <t>0                      DS 0871500P  44          1991</t>
  </si>
  <si>
    <t>Peasant uprisings in Japan : a critical anthology of peasant histories / edited and translated by Anne Walthall.</t>
  </si>
  <si>
    <t>Chicago : University of Chicago Press, c1991.</t>
  </si>
  <si>
    <t>1992-05-29</t>
  </si>
  <si>
    <t>795612748:eng</t>
  </si>
  <si>
    <t>23213000</t>
  </si>
  <si>
    <t>991001848849702656</t>
  </si>
  <si>
    <t>2264042080002656</t>
  </si>
  <si>
    <t>9780226872346</t>
  </si>
  <si>
    <t>32285001119568</t>
  </si>
  <si>
    <t>893703378</t>
  </si>
  <si>
    <t>DS871.7 .H47 2002</t>
  </si>
  <si>
    <t>0                      DS 0871700H  47          2002</t>
  </si>
  <si>
    <t>Prisoners from Nambu : reality and make-believe in seventeenth-century Japanese diplomacy / Reinier H. Hesselink.</t>
  </si>
  <si>
    <t>Hesselink, R. H.</t>
  </si>
  <si>
    <t>Honolulu, HI : University of Hawai'i Press, c2002.</t>
  </si>
  <si>
    <t>793879295:eng</t>
  </si>
  <si>
    <t>46565103</t>
  </si>
  <si>
    <t>991003911569702656</t>
  </si>
  <si>
    <t>2264052090002656</t>
  </si>
  <si>
    <t>9780824824099</t>
  </si>
  <si>
    <t>32285004654603</t>
  </si>
  <si>
    <t>893800363</t>
  </si>
  <si>
    <t>DS872.A7 N34 1988</t>
  </si>
  <si>
    <t>0                      DS 0872000A  7                  N  34          1988</t>
  </si>
  <si>
    <t>Shogunal politics : Arai Hakuseki and the premises of Tokugawa rule / Kate Wildman Nakai.</t>
  </si>
  <si>
    <t>Nakai, Kate Wildman.</t>
  </si>
  <si>
    <t>Cambridge, Mass. : Council on East Asian Studies, Harvard University : Distributed by Harvard University Press, 1988.</t>
  </si>
  <si>
    <t>Harvard East Asian monographs ; 134</t>
  </si>
  <si>
    <t>38893742:eng</t>
  </si>
  <si>
    <t>17105058</t>
  </si>
  <si>
    <t>991001178009702656</t>
  </si>
  <si>
    <t>2267313520002656</t>
  </si>
  <si>
    <t>9780674806535</t>
  </si>
  <si>
    <t>32285003530457</t>
  </si>
  <si>
    <t>893522356</t>
  </si>
  <si>
    <t>DS872.T3 H34 1982</t>
  </si>
  <si>
    <t>0                      DS 0872000T  3                  H  34          1982</t>
  </si>
  <si>
    <t>Tanuma Okitsugu, 1719-1788 : forerunner of modern Japan / John Whitney Hall.</t>
  </si>
  <si>
    <t>Westport, Conn. : Greenwood Press, [1982], c1955.</t>
  </si>
  <si>
    <t>Harvard-Yenching Institute monograph series ; 14</t>
  </si>
  <si>
    <t>692043312:eng</t>
  </si>
  <si>
    <t>8170365</t>
  </si>
  <si>
    <t>991005212389702656</t>
  </si>
  <si>
    <t>2256599210002656</t>
  </si>
  <si>
    <t>9780313233692</t>
  </si>
  <si>
    <t>32285000370329</t>
  </si>
  <si>
    <t>893260732</t>
  </si>
  <si>
    <t>DS881 .B62 1968</t>
  </si>
  <si>
    <t>0                      DS 0881000B  62          1968</t>
  </si>
  <si>
    <t>Young Japan: Yokohama and Yedo, 1858-79 / by John R. Black. With an introduction by Grace Fox.</t>
  </si>
  <si>
    <t>Black, John Reddie, 1827-1880.</t>
  </si>
  <si>
    <t>Tokyo ; New York : Oxford Univ. P., 1968.</t>
  </si>
  <si>
    <t>Oxford in Asia historical reprints</t>
  </si>
  <si>
    <t>2890490189:eng</t>
  </si>
  <si>
    <t>52794</t>
  </si>
  <si>
    <t>991000128169702656</t>
  </si>
  <si>
    <t>2259224680002656</t>
  </si>
  <si>
    <t>32285000370337</t>
  </si>
  <si>
    <t>893796442</t>
  </si>
  <si>
    <t>DS881 .B62 1968 V.2</t>
  </si>
  <si>
    <t>0                      DS 0881000B  62          1968                                        V.2</t>
  </si>
  <si>
    <t>32285000370345</t>
  </si>
  <si>
    <t>893783996</t>
  </si>
  <si>
    <t>DS881 .H36 2001</t>
  </si>
  <si>
    <t>0                      DS 0881000H  36          2001</t>
  </si>
  <si>
    <t>Modern Japan : a historical survey / Mikiso Hane.</t>
  </si>
  <si>
    <t>Boulder, Colo. : Westview Press, c2001.</t>
  </si>
  <si>
    <t>2001-10-16</t>
  </si>
  <si>
    <t>4924341023:eng</t>
  </si>
  <si>
    <t>45100139</t>
  </si>
  <si>
    <t>991003632909702656</t>
  </si>
  <si>
    <t>2269683200002656</t>
  </si>
  <si>
    <t>9780813337562</t>
  </si>
  <si>
    <t>32285004397351</t>
  </si>
  <si>
    <t>893512166</t>
  </si>
  <si>
    <t>DS881.3 .C66 1982</t>
  </si>
  <si>
    <t>0                      DS 0881300C  66          1982</t>
  </si>
  <si>
    <t>Conflict in modern Japanese history : the neglected tradition / edited by Tetsuo Najita and J. Victor Koschmann.</t>
  </si>
  <si>
    <t>345988769:eng</t>
  </si>
  <si>
    <t>8284272</t>
  </si>
  <si>
    <t>991005227929702656</t>
  </si>
  <si>
    <t>2267856900002656</t>
  </si>
  <si>
    <t>9780691053646</t>
  </si>
  <si>
    <t>32285000370352</t>
  </si>
  <si>
    <t>893248578</t>
  </si>
  <si>
    <t>DS881.3 .H28 1970</t>
  </si>
  <si>
    <t>0                      DS 0881300H  28          1970</t>
  </si>
  <si>
    <t>Toward restoration : the growth of political consciousness in Tokugawa Japan / [by] H. D. Harootunian.</t>
  </si>
  <si>
    <t>Harootunian, Harry D., 1929-</t>
  </si>
  <si>
    <t>Berkeley : University of California Press, 1970.</t>
  </si>
  <si>
    <t>1250420:eng</t>
  </si>
  <si>
    <t>76627</t>
  </si>
  <si>
    <t>991000446389702656</t>
  </si>
  <si>
    <t>2256885680002656</t>
  </si>
  <si>
    <t>9780520015661</t>
  </si>
  <si>
    <t>32285001806222</t>
  </si>
  <si>
    <t>893884385</t>
  </si>
  <si>
    <t>DS881.3 .J28</t>
  </si>
  <si>
    <t>0                      DS 0881300J  28</t>
  </si>
  <si>
    <t>Sakamoto Ryōma and the Meiji Restoration.</t>
  </si>
  <si>
    <t>Princeton, N.J. : Princeton University Press, 1961.</t>
  </si>
  <si>
    <t>1251009:eng</t>
  </si>
  <si>
    <t>413111</t>
  </si>
  <si>
    <t>991002722539702656</t>
  </si>
  <si>
    <t>2268271530002656</t>
  </si>
  <si>
    <t>32285001763233</t>
  </si>
  <si>
    <t>893504743</t>
  </si>
  <si>
    <t>DS881.3 .J28 1994</t>
  </si>
  <si>
    <t>0                      DS 0881300J  28          1994</t>
  </si>
  <si>
    <t>Sakamoto Ryōma and the Meiji restoration / by Marius B. Jansen.</t>
  </si>
  <si>
    <t>New York : Columbia University Press, c1994.</t>
  </si>
  <si>
    <t>Morningside ed.</t>
  </si>
  <si>
    <t>2009-04-02</t>
  </si>
  <si>
    <t>31374601</t>
  </si>
  <si>
    <t>991005307569702656</t>
  </si>
  <si>
    <t>2255196730002656</t>
  </si>
  <si>
    <t>9780231101738</t>
  </si>
  <si>
    <t>32285005513287</t>
  </si>
  <si>
    <t>893332756</t>
  </si>
  <si>
    <t>DS881.3 .T63</t>
  </si>
  <si>
    <t>0                      DS 0881300T  63</t>
  </si>
  <si>
    <t>The collapse of the Tokugawa bakufu, 1862-1868 / Conrad Totman.</t>
  </si>
  <si>
    <t>Honolulu : University Press of Hawaii, c1980.</t>
  </si>
  <si>
    <t>2005-03-24</t>
  </si>
  <si>
    <t>18056417:eng</t>
  </si>
  <si>
    <t>5495030</t>
  </si>
  <si>
    <t>991004839679702656</t>
  </si>
  <si>
    <t>2265600670002656</t>
  </si>
  <si>
    <t>32285000370360</t>
  </si>
  <si>
    <t>893789151</t>
  </si>
  <si>
    <t>DS881.3 .Y285 1973</t>
  </si>
  <si>
    <t>0                      DS 0881300Y  285         1973</t>
  </si>
  <si>
    <t>Kinsé shiriaku : a history of Japan, from the first visit of Commodore Perry in 1853 to the capture of Hakodate by the Mikado's forces in 1869 / translated from the Japanese by Sir Ernest Mason Satow.</t>
  </si>
  <si>
    <t>Yamaguchi, Ken.</t>
  </si>
  <si>
    <t>Rev. ed. / with supplementary notes by Shuziro Watanabe.</t>
  </si>
  <si>
    <t>1995-11-15</t>
  </si>
  <si>
    <t>1700775:eng</t>
  </si>
  <si>
    <t>720304</t>
  </si>
  <si>
    <t>991003194899702656</t>
  </si>
  <si>
    <t>2256232930002656</t>
  </si>
  <si>
    <t>9780842014113</t>
  </si>
  <si>
    <t>32285001806214</t>
  </si>
  <si>
    <t>893409999</t>
  </si>
  <si>
    <t>DS881.5.M323 W35 1998</t>
  </si>
  <si>
    <t>0                      DS 0881500M  323                W  35          1998</t>
  </si>
  <si>
    <t>The weak body of a useless woman : Matsuo Taseko and the Meiji Restoration / Anne Walthall.</t>
  </si>
  <si>
    <t>Walthall, Anne.</t>
  </si>
  <si>
    <t>Chicago, Ill : University of Chicago Press, 1998.</t>
  </si>
  <si>
    <t>Women in culture and society</t>
  </si>
  <si>
    <t>43901825:eng</t>
  </si>
  <si>
    <t>38930536</t>
  </si>
  <si>
    <t>991002928509702656</t>
  </si>
  <si>
    <t>2260338070002656</t>
  </si>
  <si>
    <t>9780226872353</t>
  </si>
  <si>
    <t>32285003489084</t>
  </si>
  <si>
    <t>893428226</t>
  </si>
  <si>
    <t>DS881.5.M6 H34 1973</t>
  </si>
  <si>
    <t>0                      DS 0881500M  6                  H  34          1973</t>
  </si>
  <si>
    <t>Mori Arinori / Ivan Parker Hall.</t>
  </si>
  <si>
    <t>Hall, Ivan Parker.</t>
  </si>
  <si>
    <t>Cambridge, Mass. : Harvard University Press, 1973.</t>
  </si>
  <si>
    <t>Harvard East Asian series ; 68</t>
  </si>
  <si>
    <t>2003-02-26</t>
  </si>
  <si>
    <t>57098:eng</t>
  </si>
  <si>
    <t>623165</t>
  </si>
  <si>
    <t>991003997159702656</t>
  </si>
  <si>
    <t>2256125710002656</t>
  </si>
  <si>
    <t>9780674587304</t>
  </si>
  <si>
    <t>32285004681200</t>
  </si>
  <si>
    <t>893519137</t>
  </si>
  <si>
    <t>DS881.5.S2 R35 2004</t>
  </si>
  <si>
    <t>0                      DS 0881500S  2                  R  35          2004</t>
  </si>
  <si>
    <t>The last samurai : the life and battles of Saigō Takamori / Mark Ravina.</t>
  </si>
  <si>
    <t>Ravina, Mark, 1961-</t>
  </si>
  <si>
    <t>Hoboken, N.J. : John Wiley &amp; Sons, Inc., c2004.</t>
  </si>
  <si>
    <t>2008-12-04</t>
  </si>
  <si>
    <t>799776983:eng</t>
  </si>
  <si>
    <t>51898842</t>
  </si>
  <si>
    <t>991005106119702656</t>
  </si>
  <si>
    <t>2259309390002656</t>
  </si>
  <si>
    <t>9780471089704</t>
  </si>
  <si>
    <t>32285005322937</t>
  </si>
  <si>
    <t>893889677</t>
  </si>
  <si>
    <t>DS881.9 .A613 1994</t>
  </si>
  <si>
    <t>0                      DS 0881900A  613         1994</t>
  </si>
  <si>
    <t>The government and politics of Japan / Hitoshi Abe, Muneyuki Shindō, Sadafumi Kawato ; translated by James W. White.</t>
  </si>
  <si>
    <t>Abe, Hitoshi.</t>
  </si>
  <si>
    <t>[Tokyo] : University of Tokyo Press, c1994.</t>
  </si>
  <si>
    <t>1996-02-23</t>
  </si>
  <si>
    <t>1079851:eng</t>
  </si>
  <si>
    <t>30753057</t>
  </si>
  <si>
    <t>991002365879702656</t>
  </si>
  <si>
    <t>2258759120002656</t>
  </si>
  <si>
    <t>9780860085010</t>
  </si>
  <si>
    <t>32285002137759</t>
  </si>
  <si>
    <t>893873420</t>
  </si>
  <si>
    <t>DS881.9 .A75 1999</t>
  </si>
  <si>
    <t>0                      DS 0881900A  75          1999</t>
  </si>
  <si>
    <t>The Columbia guide to modern Japanese history / Gary D. Allinson.</t>
  </si>
  <si>
    <t>Allinson, Gary D.</t>
  </si>
  <si>
    <t>New York : Columbia University Press, 1999.</t>
  </si>
  <si>
    <t>Columbia guides to Asian history</t>
  </si>
  <si>
    <t>991576:eng</t>
  </si>
  <si>
    <t>40609354</t>
  </si>
  <si>
    <t>991003913209702656</t>
  </si>
  <si>
    <t>2269780680002656</t>
  </si>
  <si>
    <t>9780231111447</t>
  </si>
  <si>
    <t>32285004654629</t>
  </si>
  <si>
    <t>893318570</t>
  </si>
  <si>
    <t>DS881.9 .B87 2003</t>
  </si>
  <si>
    <t>0                      DS 0881900B  87          2003</t>
  </si>
  <si>
    <t>Inventing Japan, 1853-1964 / Ian Buruma.</t>
  </si>
  <si>
    <t>New York : The Modern Library, 2003.</t>
  </si>
  <si>
    <t>Modern Library ed.</t>
  </si>
  <si>
    <t>Modern Library chronicles ; 12</t>
  </si>
  <si>
    <t>2009-11-30</t>
  </si>
  <si>
    <t>2004-02-24</t>
  </si>
  <si>
    <t>1983575:eng</t>
  </si>
  <si>
    <t>50041628</t>
  </si>
  <si>
    <t>991004233919702656</t>
  </si>
  <si>
    <t>2257080550002656</t>
  </si>
  <si>
    <t>9780679640851</t>
  </si>
  <si>
    <t>32285004890058</t>
  </si>
  <si>
    <t>893775794</t>
  </si>
  <si>
    <t>DS881.9 .D88 1998</t>
  </si>
  <si>
    <t>0                      DS 0881900D  88          1998</t>
  </si>
  <si>
    <t>Modern Japan / Peter Duus.</t>
  </si>
  <si>
    <t>Duus, Peter, 1933-</t>
  </si>
  <si>
    <t>Boston : Houghton Mifflin, c1998.</t>
  </si>
  <si>
    <t>42128642:eng</t>
  </si>
  <si>
    <t>38228076</t>
  </si>
  <si>
    <t>991002899929702656</t>
  </si>
  <si>
    <t>2255670890002656</t>
  </si>
  <si>
    <t>9780395746042</t>
  </si>
  <si>
    <t>32285003673711</t>
  </si>
  <si>
    <t>893409691</t>
  </si>
  <si>
    <t>DS881.9 .G54 1994</t>
  </si>
  <si>
    <t>0                      DS 0881900G  54          1994</t>
  </si>
  <si>
    <t>Japan among the powers, 1890-1990 / Sydney Giffard.</t>
  </si>
  <si>
    <t>Giffard, Sydney.</t>
  </si>
  <si>
    <t>New Haven : Yale University Press, 1994.</t>
  </si>
  <si>
    <t>1999-04-28</t>
  </si>
  <si>
    <t>31327746:eng</t>
  </si>
  <si>
    <t>29029686</t>
  </si>
  <si>
    <t>991002249519702656</t>
  </si>
  <si>
    <t>2256017820002656</t>
  </si>
  <si>
    <t>9780300058475</t>
  </si>
  <si>
    <t>32285003557039</t>
  </si>
  <si>
    <t>893232734</t>
  </si>
  <si>
    <t>DS881.9 .J3</t>
  </si>
  <si>
    <t>0                      DS 0881900J  3</t>
  </si>
  <si>
    <t>Japan's modern century; a special issue of Monumenta Nipponica prepared in celebration of the centennial of the Meiji restoration / edited by Edmund Skrzypczak.</t>
  </si>
  <si>
    <t>Tokyo : Sophia University in cooperation with Charles E. Tuttle, 1968.</t>
  </si>
  <si>
    <t>1516820:eng</t>
  </si>
  <si>
    <t>425073</t>
  </si>
  <si>
    <t>991002751989702656</t>
  </si>
  <si>
    <t>2267905540002656</t>
  </si>
  <si>
    <t>32285000370394</t>
  </si>
  <si>
    <t>893245582</t>
  </si>
  <si>
    <t>DS881.9 .M34 2002</t>
  </si>
  <si>
    <t>0                      DS 0881900M  34          2002</t>
  </si>
  <si>
    <t>Japan, a modern history / James L. McClain.</t>
  </si>
  <si>
    <t>McClain, James L., 1944-</t>
  </si>
  <si>
    <t>New York : W.W. Norton &amp; Co., c2002.</t>
  </si>
  <si>
    <t>2009-09-21</t>
  </si>
  <si>
    <t>1011093:eng</t>
  </si>
  <si>
    <t>47013231</t>
  </si>
  <si>
    <t>991003649569702656</t>
  </si>
  <si>
    <t>2255020520002656</t>
  </si>
  <si>
    <t>9780393041569</t>
  </si>
  <si>
    <t>32285004413752</t>
  </si>
  <si>
    <t>893793860</t>
  </si>
  <si>
    <t>DS881.9 .M63</t>
  </si>
  <si>
    <t>0                      DS 0881900M  63</t>
  </si>
  <si>
    <t>Japan's foreign policy, 1868-1941 : a research guide / edited by James William Morley.</t>
  </si>
  <si>
    <t>Morley, James William, 1921-</t>
  </si>
  <si>
    <t>867236298:eng</t>
  </si>
  <si>
    <t>740958</t>
  </si>
  <si>
    <t>991003214799702656</t>
  </si>
  <si>
    <t>2272587040002656</t>
  </si>
  <si>
    <t>32285001028579</t>
  </si>
  <si>
    <t>893511690</t>
  </si>
  <si>
    <t>DS881.9 .P94</t>
  </si>
  <si>
    <t>0                      DS 0881900P  94</t>
  </si>
  <si>
    <t>The making of modern Japan / Kenneth B. Pyle.</t>
  </si>
  <si>
    <t>Pyle, Kenneth B.</t>
  </si>
  <si>
    <t>Lexington, Mass. : Heath, c1978.</t>
  </si>
  <si>
    <t>Civilization and society</t>
  </si>
  <si>
    <t>13156055:eng</t>
  </si>
  <si>
    <t>3912804</t>
  </si>
  <si>
    <t>991004544749702656</t>
  </si>
  <si>
    <t>2260393010002656</t>
  </si>
  <si>
    <t>9780669846577</t>
  </si>
  <si>
    <t>32285000151851</t>
  </si>
  <si>
    <t>893247706</t>
  </si>
  <si>
    <t>DS881.9 .S5665 2001</t>
  </si>
  <si>
    <t>0                      DS 0881900S  5665        2001</t>
  </si>
  <si>
    <t>Japanese political history since the Meiji renovation, 1868-2000 / Richard Sims.</t>
  </si>
  <si>
    <t>New York : Palgrave, c2001.</t>
  </si>
  <si>
    <t>2006-06-02</t>
  </si>
  <si>
    <t>2003-11-01</t>
  </si>
  <si>
    <t>192309462:eng</t>
  </si>
  <si>
    <t>45172740</t>
  </si>
  <si>
    <t>991004158379702656</t>
  </si>
  <si>
    <t>2258958770002656</t>
  </si>
  <si>
    <t>9780312239145</t>
  </si>
  <si>
    <t>32285004790654</t>
  </si>
  <si>
    <t>893699921</t>
  </si>
  <si>
    <t>DS881.9 .W37</t>
  </si>
  <si>
    <t>0                      DS 0881900W  37</t>
  </si>
  <si>
    <t>Political development in modern Japan, edited by Robert E. Ward. Contributors: Ardath W. Burks [and others]</t>
  </si>
  <si>
    <t>Ward, Robert E., 1916-2009.</t>
  </si>
  <si>
    <t>Studies in the modernization of Japan ; 4</t>
  </si>
  <si>
    <t>4928014453:eng</t>
  </si>
  <si>
    <t>414986</t>
  </si>
  <si>
    <t>991002728119702656</t>
  </si>
  <si>
    <t>2265484890002656</t>
  </si>
  <si>
    <t>32285002450400</t>
  </si>
  <si>
    <t>893511109</t>
  </si>
  <si>
    <t>DS881.9 .W383 1996</t>
  </si>
  <si>
    <t>0                      DS 0881900W  383         1996</t>
  </si>
  <si>
    <t>Modern Japanese society, 1868-1994 / Ann Waswo.</t>
  </si>
  <si>
    <t>Waswo, Ann.</t>
  </si>
  <si>
    <t>Oxford ; New York : Oxford University Press, 1996.</t>
  </si>
  <si>
    <t>2006-04-10</t>
  </si>
  <si>
    <t>36894278:eng</t>
  </si>
  <si>
    <t>32779675</t>
  </si>
  <si>
    <t>991002521079702656</t>
  </si>
  <si>
    <t>2259627260002656</t>
  </si>
  <si>
    <t>9780192892287</t>
  </si>
  <si>
    <t>32285005240568</t>
  </si>
  <si>
    <t>893427679</t>
  </si>
  <si>
    <t>DS881.95 .G58 1985</t>
  </si>
  <si>
    <t>0                      DS 0881950G  58          1985</t>
  </si>
  <si>
    <t>Japan's modern myths : ideology in the late Meiji period / Carol Gluck.</t>
  </si>
  <si>
    <t>Gluck, Carol, 1941-</t>
  </si>
  <si>
    <t>Princeton, N.J. : Princeton University Press, c1985.</t>
  </si>
  <si>
    <t>2005-04-04</t>
  </si>
  <si>
    <t>287334482:eng</t>
  </si>
  <si>
    <t>11676767</t>
  </si>
  <si>
    <t>991000574669702656</t>
  </si>
  <si>
    <t>2256529770002656</t>
  </si>
  <si>
    <t>9780691054490</t>
  </si>
  <si>
    <t>32285000370410</t>
  </si>
  <si>
    <t>893261522</t>
  </si>
  <si>
    <t>DS881.96 .I865 2000</t>
  </si>
  <si>
    <t>0                      DS 0881960I  865         2000</t>
  </si>
  <si>
    <t>Globalization of Japan : Japanese Sakoku mentality and U.S. efforts to open Japan / Mayumi Itoh.</t>
  </si>
  <si>
    <t>Itoh, Mayumi, 1954-</t>
  </si>
  <si>
    <t>610082:eng</t>
  </si>
  <si>
    <t>44851995</t>
  </si>
  <si>
    <t>991003358289702656</t>
  </si>
  <si>
    <t>2261701660002656</t>
  </si>
  <si>
    <t>9780312235055</t>
  </si>
  <si>
    <t>32285004284559</t>
  </si>
  <si>
    <t>893610963</t>
  </si>
  <si>
    <t>DS881.97 .H69 1993</t>
  </si>
  <si>
    <t>0                      DS 0881970H  69          1993</t>
  </si>
  <si>
    <t>Three military leaders : Heihachiro Togo, Isoroku Yamamoto, Tomoyuki Yamashita / Edwin P. Hoyt.</t>
  </si>
  <si>
    <t>Hoyt, Edwin P. (Edwin Palmer), 1923-2005.</t>
  </si>
  <si>
    <t>Tokyo ; New York : Kodansha International, 1993.</t>
  </si>
  <si>
    <t>Kodansha biographies</t>
  </si>
  <si>
    <t>307032560:eng</t>
  </si>
  <si>
    <t>28503994</t>
  </si>
  <si>
    <t>991002213649702656</t>
  </si>
  <si>
    <t>2270534520002656</t>
  </si>
  <si>
    <t>9784770017376</t>
  </si>
  <si>
    <t>32285002165172</t>
  </si>
  <si>
    <t>893615840</t>
  </si>
  <si>
    <t>DS881.97 .R44 1986</t>
  </si>
  <si>
    <t>0                      DS 0881970R  44          1986</t>
  </si>
  <si>
    <t>Samurai and silk : a Japanese and American heritage / Haru Matsukata Reischauer.</t>
  </si>
  <si>
    <t>Reischauer, Haru Matsukata, 1915-1998.</t>
  </si>
  <si>
    <t>Cambridge, Mass. : Harvard University Press, 1986.</t>
  </si>
  <si>
    <t>2684013:eng</t>
  </si>
  <si>
    <t>12582732</t>
  </si>
  <si>
    <t>991000710709702656</t>
  </si>
  <si>
    <t>2272255030002656</t>
  </si>
  <si>
    <t>9780674788008</t>
  </si>
  <si>
    <t>32285000370428</t>
  </si>
  <si>
    <t>893231343</t>
  </si>
  <si>
    <t>DS882 .M5</t>
  </si>
  <si>
    <t>0                      DS 0882000M  5</t>
  </si>
  <si>
    <t>Meiji Japan's centennial : aspects of political thought and action / edited by David Wurfel.</t>
  </si>
  <si>
    <t>Midwest Conference on Asian Affairs (17th : 1968 : Western Michigan University)</t>
  </si>
  <si>
    <t>Lawrence : University Press of Kansas, [1971]</t>
  </si>
  <si>
    <t>Studies on Asia ; 2d ser., v. 1</t>
  </si>
  <si>
    <t>1418255:eng</t>
  </si>
  <si>
    <t>277985</t>
  </si>
  <si>
    <t>991002175519702656</t>
  </si>
  <si>
    <t>2260361320002656</t>
  </si>
  <si>
    <t>9780700600762</t>
  </si>
  <si>
    <t>32285001806206</t>
  </si>
  <si>
    <t>893414907</t>
  </si>
  <si>
    <t>DS882 .N64 1975</t>
  </si>
  <si>
    <t>0                      DS 0882000N  64          1975</t>
  </si>
  <si>
    <t>Origins of the modern Japanese state : selected writings of E. H. Norman / edited, with an introd. on "E. H. Norman, Japan, and the uses of history," by John W. Dower.</t>
  </si>
  <si>
    <t>Norman, E. Herbert, 1909-1957.</t>
  </si>
  <si>
    <t>New York : Pantheon Books, [1975]</t>
  </si>
  <si>
    <t>The Pantheon Asia library : new approaches to the new Asia</t>
  </si>
  <si>
    <t>2001-02-19</t>
  </si>
  <si>
    <t>891263299:eng</t>
  </si>
  <si>
    <t>1102943</t>
  </si>
  <si>
    <t>991003537439702656</t>
  </si>
  <si>
    <t>2270251710002656</t>
  </si>
  <si>
    <t>9780394494135</t>
  </si>
  <si>
    <t>32285001806198</t>
  </si>
  <si>
    <t>893512057</t>
  </si>
  <si>
    <t>DS882.5 .B68</t>
  </si>
  <si>
    <t>0                      DS 0882500B  68</t>
  </si>
  <si>
    <t>Rebellion and democracy in Meiji Japan : a study of commoners in the popular rights movement / Roger W. Bowen.</t>
  </si>
  <si>
    <t>Bowen, Roger W., 1947-</t>
  </si>
  <si>
    <t>889474933:eng</t>
  </si>
  <si>
    <t>5265194</t>
  </si>
  <si>
    <t>991004809479702656</t>
  </si>
  <si>
    <t>2259264360002656</t>
  </si>
  <si>
    <t>9780520036659</t>
  </si>
  <si>
    <t>32285000370436</t>
  </si>
  <si>
    <t>893706859</t>
  </si>
  <si>
    <t>DS882.5 .M68 1979</t>
  </si>
  <si>
    <t>0                      DS 0882500M  68          1979</t>
  </si>
  <si>
    <t>The Satsuma Rebellion : an episode of modern Japanese history / by Augustus H. Mounsey.</t>
  </si>
  <si>
    <t>Mounsey, Augustus Henry, 1834-1882.</t>
  </si>
  <si>
    <t>Washington : University Publications of America, 1979.</t>
  </si>
  <si>
    <t>Japan studies. Studies in Japanese history and civilization</t>
  </si>
  <si>
    <t>2004-01-13</t>
  </si>
  <si>
    <t>17559636:eng</t>
  </si>
  <si>
    <t>5423458</t>
  </si>
  <si>
    <t>991004833609702656</t>
  </si>
  <si>
    <t>2260719280002656</t>
  </si>
  <si>
    <t>9780890932599</t>
  </si>
  <si>
    <t>32285000370444</t>
  </si>
  <si>
    <t>893507278</t>
  </si>
  <si>
    <t>DS882.7 .S29 1999</t>
  </si>
  <si>
    <t>0                      DS 0882700S  29          1999</t>
  </si>
  <si>
    <t>The Yamato dynasty : the secret history of Japan's imperial family / by Sterling Seagrave and Peggy Seagrave.</t>
  </si>
  <si>
    <t>Seagrave, Sterling.</t>
  </si>
  <si>
    <t>New York : Broadway Books, c1999.</t>
  </si>
  <si>
    <t>2010-09-22</t>
  </si>
  <si>
    <t>949010:eng</t>
  </si>
  <si>
    <t>42476782</t>
  </si>
  <si>
    <t>991003623579702656</t>
  </si>
  <si>
    <t>2262272530002656</t>
  </si>
  <si>
    <t>9780767904964</t>
  </si>
  <si>
    <t>32285004397104</t>
  </si>
  <si>
    <t>893531373</t>
  </si>
  <si>
    <t>DS884.M87 P47 1999</t>
  </si>
  <si>
    <t>0                      DS 0884000M  87                 P  47          1999</t>
  </si>
  <si>
    <t>Japan comes of age : Mutsu Munemitsu and the revision of the unequal treaties / Louis G. Perez.</t>
  </si>
  <si>
    <t>Perez, Louis G.</t>
  </si>
  <si>
    <t>Madison, [N.J.] : Fairleigh Dickinson University Press ; London : Associated University Presses, c1999.</t>
  </si>
  <si>
    <t>311808775:eng</t>
  </si>
  <si>
    <t>40397853</t>
  </si>
  <si>
    <t>991003687509702656</t>
  </si>
  <si>
    <t>2271938440002656</t>
  </si>
  <si>
    <t>9780838638040</t>
  </si>
  <si>
    <t>32285004446869</t>
  </si>
  <si>
    <t>893800026</t>
  </si>
  <si>
    <t>DS884.O45 D38</t>
  </si>
  <si>
    <t>0                      DS 0884000O  45                 D  38</t>
  </si>
  <si>
    <t>Intellectual change and political development in early modern Japan : Ono Azusa, a case study / Sandra T. W. Davis.</t>
  </si>
  <si>
    <t>Davis, Sandra T. W.</t>
  </si>
  <si>
    <t>Rutherford, [N.J.] : Fairleigh Dickinson University Press, [1979]</t>
  </si>
  <si>
    <t>836617939:eng</t>
  </si>
  <si>
    <t>4500394</t>
  </si>
  <si>
    <t>991004664859702656</t>
  </si>
  <si>
    <t>2266710250002656</t>
  </si>
  <si>
    <t>9780838619537</t>
  </si>
  <si>
    <t>32285000370451</t>
  </si>
  <si>
    <t>893350253</t>
  </si>
  <si>
    <t>DS884.S3 O5</t>
  </si>
  <si>
    <t>0                      DS 0884000S  3                  O  5</t>
  </si>
  <si>
    <t>The last genro, Prince Saionji, the man who westernized Japan, by Bunji Omura.</t>
  </si>
  <si>
    <t>Omura, Bunji.</t>
  </si>
  <si>
    <t>Philadelphia, New York [etc.] J.B. Lippincott Company [c1938]</t>
  </si>
  <si>
    <t>2004-03-11</t>
  </si>
  <si>
    <t>1465017:eng</t>
  </si>
  <si>
    <t>413121</t>
  </si>
  <si>
    <t>991002722559702656</t>
  </si>
  <si>
    <t>2268294050002656</t>
  </si>
  <si>
    <t>32285002450475</t>
  </si>
  <si>
    <t>893710596</t>
  </si>
  <si>
    <t>DS884.Y3 M3</t>
  </si>
  <si>
    <t>0                      DS 0884000Y  3                  M  3</t>
  </si>
  <si>
    <t>Yamagata Aritomo in the rise of modern Japan, 1838-1922 [by] Roger F. Hackett.</t>
  </si>
  <si>
    <t>Hackett, Roger F.</t>
  </si>
  <si>
    <t>Cambridge, Harvard University Press, 1971.</t>
  </si>
  <si>
    <t>Harvard East Asian series ; 60</t>
  </si>
  <si>
    <t>2005-03-16</t>
  </si>
  <si>
    <t>1318903:eng</t>
  </si>
  <si>
    <t>144501</t>
  </si>
  <si>
    <t>991000820359702656</t>
  </si>
  <si>
    <t>2257537070002656</t>
  </si>
  <si>
    <t>9780674963016</t>
  </si>
  <si>
    <t>32285002450483</t>
  </si>
  <si>
    <t>893522052</t>
  </si>
  <si>
    <t>DS885 .A63</t>
  </si>
  <si>
    <t>0                      DS 0885000A  63</t>
  </si>
  <si>
    <t>Japan, the years of triumph : from feudal isolation to Pacific empire.</t>
  </si>
  <si>
    <t>Allen, Louis, 1922-1991.</t>
  </si>
  <si>
    <t>[New York] : American Heritage Press, [1971]</t>
  </si>
  <si>
    <t>Library of the 20th century</t>
  </si>
  <si>
    <t>1995-02-25</t>
  </si>
  <si>
    <t>1992-02-17</t>
  </si>
  <si>
    <t>321819446:eng</t>
  </si>
  <si>
    <t>156699</t>
  </si>
  <si>
    <t>991000904989702656</t>
  </si>
  <si>
    <t>2255487220002656</t>
  </si>
  <si>
    <t>32285000970433</t>
  </si>
  <si>
    <t>893315340</t>
  </si>
  <si>
    <t>DS885 .E85</t>
  </si>
  <si>
    <t>0                      DS 0885000E  85</t>
  </si>
  <si>
    <t>100 years : the amazing development of Japan since 1860.</t>
  </si>
  <si>
    <t>Eunson, Roby.</t>
  </si>
  <si>
    <t>Tokyo : Kodansha International distributed by Japan Publications Trading Co., Rutland, Vt., 1965.</t>
  </si>
  <si>
    <t>197777041:eng</t>
  </si>
  <si>
    <t>1384155</t>
  </si>
  <si>
    <t>991003732459702656</t>
  </si>
  <si>
    <t>2262205420002656</t>
  </si>
  <si>
    <t>32285000970425</t>
  </si>
  <si>
    <t>893234506</t>
  </si>
  <si>
    <t>DS885.5. O9 A3  2001</t>
  </si>
  <si>
    <t>0                      DS 0885500O  9                  A  3           2001</t>
  </si>
  <si>
    <t>The autobiography of Ozaki Yukio: the struggle for constitutional government in Japan / translated by Fujiko Hara ; with a foreword by Marius B. Jansen.</t>
  </si>
  <si>
    <t>Ozaki, Yukio, 1858-1954.</t>
  </si>
  <si>
    <t>Princeton, N.J. : Princeton University Press, 2001.</t>
  </si>
  <si>
    <t>3856654158:eng</t>
  </si>
  <si>
    <t>45363447</t>
  </si>
  <si>
    <t>991003967159702656</t>
  </si>
  <si>
    <t>2256564510002656</t>
  </si>
  <si>
    <t>9780691050959</t>
  </si>
  <si>
    <t>32285004699962</t>
  </si>
  <si>
    <t>893535743</t>
  </si>
  <si>
    <t>DS885.5.K52 W5</t>
  </si>
  <si>
    <t>0                      DS 0885500K  52                 W  5</t>
  </si>
  <si>
    <t>Radical nationalist in Japan: Kita Ikki, 1883-1937, [by] George M. Wilson.</t>
  </si>
  <si>
    <t>Wilson, George M. (George Macklin), 1937-</t>
  </si>
  <si>
    <t>Harvard East Asian series ; 37</t>
  </si>
  <si>
    <t>502938238:eng</t>
  </si>
  <si>
    <t>11889</t>
  </si>
  <si>
    <t>991000003049702656</t>
  </si>
  <si>
    <t>2265503510002656</t>
  </si>
  <si>
    <t>32285002450525</t>
  </si>
  <si>
    <t>893720538</t>
  </si>
  <si>
    <t>DS885.5.O7 B69</t>
  </si>
  <si>
    <t>0                      DS 0885500O  7                  B  69</t>
  </si>
  <si>
    <t>The extraordinary envoy : General Hiroshi Ōshima and diplomacy in the Third Reich, 1934-1939 / Carl Boyd.</t>
  </si>
  <si>
    <t>Boyd, Carl.</t>
  </si>
  <si>
    <t>Washington, D.C. : University Press of America, c1980.</t>
  </si>
  <si>
    <t>483018:eng</t>
  </si>
  <si>
    <t>5892507</t>
  </si>
  <si>
    <t>991004894849702656</t>
  </si>
  <si>
    <t>2265542930002656</t>
  </si>
  <si>
    <t>9780819109576</t>
  </si>
  <si>
    <t>32285000370477</t>
  </si>
  <si>
    <t>893606569</t>
  </si>
  <si>
    <t>DS888.2 .D68 1993</t>
  </si>
  <si>
    <t>0                      DS 0888200D  68          1993</t>
  </si>
  <si>
    <t>Japan in war and peace : selected essays / John W. Dower.</t>
  </si>
  <si>
    <t>New York : New Press : Distributed by W.W. Norton &amp; Co., c1993.</t>
  </si>
  <si>
    <t>2009-02-13</t>
  </si>
  <si>
    <t>837010977:eng</t>
  </si>
  <si>
    <t>27727396</t>
  </si>
  <si>
    <t>991003998429702656</t>
  </si>
  <si>
    <t>2264284060002656</t>
  </si>
  <si>
    <t>9781565840676</t>
  </si>
  <si>
    <t>32285004686464</t>
  </si>
  <si>
    <t>893699696</t>
  </si>
  <si>
    <t>DS888.2 .S556 1992</t>
  </si>
  <si>
    <t>0                      DS 0888200S  556         1992</t>
  </si>
  <si>
    <t>Showa : the Japan of Hirohito / Carol Gluck and Stephen R. Graubard, editors.</t>
  </si>
  <si>
    <t>1992-11-24</t>
  </si>
  <si>
    <t>195512134:eng</t>
  </si>
  <si>
    <t>24626726</t>
  </si>
  <si>
    <t>991001947349702656</t>
  </si>
  <si>
    <t>2260117760002656</t>
  </si>
  <si>
    <t>9780393029840</t>
  </si>
  <si>
    <t>32285001364792</t>
  </si>
  <si>
    <t>893779226</t>
  </si>
  <si>
    <t>DS888.5 .K355 1970</t>
  </si>
  <si>
    <t>0                      DS 0888500K  355         1970</t>
  </si>
  <si>
    <t>The United States and Japan in the Pacific; American naval maneuvers and Japan's Pacific policy [by] Jiuji G. Kasai.</t>
  </si>
  <si>
    <t>Kasai, Jiuji George, 1886-</t>
  </si>
  <si>
    <t>New York, Arno Press, 1970.</t>
  </si>
  <si>
    <t>American imperialism</t>
  </si>
  <si>
    <t>2007-04-06</t>
  </si>
  <si>
    <t>1189011:eng</t>
  </si>
  <si>
    <t>106264</t>
  </si>
  <si>
    <t>991000632339702656</t>
  </si>
  <si>
    <t>2263873400002656</t>
  </si>
  <si>
    <t>9780405020308</t>
  </si>
  <si>
    <t>32285001253748</t>
  </si>
  <si>
    <t>893890876</t>
  </si>
  <si>
    <t>DS888.5 .K4613 2006</t>
  </si>
  <si>
    <t>0                      DS 0888500K  4613        2006</t>
  </si>
  <si>
    <t>From Marco Polo Bridge to Pearl Harbor : who was responsible? / foreword by editor-in-chief Tsuneo Watanabe ; edited by James E. Auer.</t>
  </si>
  <si>
    <t>Kenshō sensō sekinin. English.</t>
  </si>
  <si>
    <t>Tokyo, Japan : Yomiuri Shimbun, c2006.</t>
  </si>
  <si>
    <t>3857846322:eng</t>
  </si>
  <si>
    <t>78063709</t>
  </si>
  <si>
    <t>991005102619702656</t>
  </si>
  <si>
    <t>2266286400002656</t>
  </si>
  <si>
    <t>9784643060126</t>
  </si>
  <si>
    <t>32285005321228</t>
  </si>
  <si>
    <t>893344646</t>
  </si>
  <si>
    <t>DS888.5 .N34513 1992</t>
  </si>
  <si>
    <t>0                      DS 0888500N  34513       1992</t>
  </si>
  <si>
    <t>The Japanese monarchy : Ambassador Joseph Grew and the making of the "Symbol emperor system," 1931-1991 / Nakamura Masanori ; translated by Herbert P. Bix, Jonathan Baker-Bates and Derek Bowen.</t>
  </si>
  <si>
    <t>Nakamura, Masanori, 1935-2015.</t>
  </si>
  <si>
    <t>Armonk, N.Y. : M.E. Sharpe, 1992.</t>
  </si>
  <si>
    <t>Asia and the Pacific</t>
  </si>
  <si>
    <t>1993-08-25</t>
  </si>
  <si>
    <t>20966312:eng</t>
  </si>
  <si>
    <t>25710825</t>
  </si>
  <si>
    <t>991002021179702656</t>
  </si>
  <si>
    <t>2268266060002656</t>
  </si>
  <si>
    <t>9781563241024</t>
  </si>
  <si>
    <t>32285001728632</t>
  </si>
  <si>
    <t>893439682</t>
  </si>
  <si>
    <t>DS888.5 .Y7 1974</t>
  </si>
  <si>
    <t>0                      DS 0888500Y  7           1974</t>
  </si>
  <si>
    <t>Imperial Japan, 1926-1938 / by A. Morgan Young.</t>
  </si>
  <si>
    <t>Young, A. Morgan (Arthur Morgan), 1874-1942.</t>
  </si>
  <si>
    <t>1970882:eng</t>
  </si>
  <si>
    <t>1053987</t>
  </si>
  <si>
    <t>991003501049702656</t>
  </si>
  <si>
    <t>2270582710002656</t>
  </si>
  <si>
    <t>9780837172552</t>
  </si>
  <si>
    <t>32285001964088</t>
  </si>
  <si>
    <t>893717721</t>
  </si>
  <si>
    <t>DS889 .B27 1996</t>
  </si>
  <si>
    <t>0                      DS 0889000B  27          1996</t>
  </si>
  <si>
    <t>Postwar Japan : 1945 to the present / Paul J. Bailey.</t>
  </si>
  <si>
    <t>Oxford, UK ; Cambridge, Mass. : Blackwell, 1996.</t>
  </si>
  <si>
    <t>1997-01-30</t>
  </si>
  <si>
    <t>144154248:eng</t>
  </si>
  <si>
    <t>34409770</t>
  </si>
  <si>
    <t>991005423439702656</t>
  </si>
  <si>
    <t>2256061210002656</t>
  </si>
  <si>
    <t>9780631179016</t>
  </si>
  <si>
    <t>32285002412657</t>
  </si>
  <si>
    <t>893883866</t>
  </si>
  <si>
    <t>DS889 .B6613 2002</t>
  </si>
  <si>
    <t>0                      DS 0889000B  6613        2002</t>
  </si>
  <si>
    <t>Japan, the burden of success / Jean-Marie Bouissou.</t>
  </si>
  <si>
    <t>Bouissou, Jean-Marie.</t>
  </si>
  <si>
    <t>Boulder, Colo. : Lynne Rienner Publishers, 2002.</t>
  </si>
  <si>
    <t>7875408:eng</t>
  </si>
  <si>
    <t>48987605</t>
  </si>
  <si>
    <t>991004010199702656</t>
  </si>
  <si>
    <t>2266464170002656</t>
  </si>
  <si>
    <t>9781588260178</t>
  </si>
  <si>
    <t>32285004688650</t>
  </si>
  <si>
    <t>893593161</t>
  </si>
  <si>
    <t>DS889 .B765 1998</t>
  </si>
  <si>
    <t>0                      DS 0889000B  765         1998</t>
  </si>
  <si>
    <t>Japan today / Roger Buckley.</t>
  </si>
  <si>
    <t>Buckley, Roger, 1944-</t>
  </si>
  <si>
    <t>New York : Cambridge University Press, c1998.</t>
  </si>
  <si>
    <t>3429976:eng</t>
  </si>
  <si>
    <t>39640055</t>
  </si>
  <si>
    <t>991002963189702656</t>
  </si>
  <si>
    <t>2266891890002656</t>
  </si>
  <si>
    <t>9780521643733</t>
  </si>
  <si>
    <t>32285003670121</t>
  </si>
  <si>
    <t>893698507</t>
  </si>
  <si>
    <t>DS889 .D56 1998, v.1</t>
  </si>
  <si>
    <t>0                      DS 0889000D  56          1998                                        v.1</t>
  </si>
  <si>
    <t>History of contemporary Japan, 1945-1998 / edited with an introduction by Edward R. Beauchamp.</t>
  </si>
  <si>
    <t>New York : Garland Publishing, 1998.</t>
  </si>
  <si>
    <t>Dimensions of contemporary Japan ; 1</t>
  </si>
  <si>
    <t>2776783:eng</t>
  </si>
  <si>
    <t>40339989</t>
  </si>
  <si>
    <t>991002989419702656</t>
  </si>
  <si>
    <t>2262034270002656</t>
  </si>
  <si>
    <t>9780815327288</t>
  </si>
  <si>
    <t>32285003557575</t>
  </si>
  <si>
    <t>893717186</t>
  </si>
  <si>
    <t>DS889 .D56 1998, v.2</t>
  </si>
  <si>
    <t>0                      DS 0889000D  56          1998                                        v.2</t>
  </si>
  <si>
    <t>Japanese society since 1945 / edited with an introduction by Edward R. Beauchamp.</t>
  </si>
  <si>
    <t>New York : Garland, 1998.</t>
  </si>
  <si>
    <t>Dimensions of contemporary Japan ; 2</t>
  </si>
  <si>
    <t>2002-10-18</t>
  </si>
  <si>
    <t>2776800:eng</t>
  </si>
  <si>
    <t>40354621</t>
  </si>
  <si>
    <t>991002990239702656</t>
  </si>
  <si>
    <t>2267266760002656</t>
  </si>
  <si>
    <t>9780815327295</t>
  </si>
  <si>
    <t>32285003557583</t>
  </si>
  <si>
    <t>893530729</t>
  </si>
  <si>
    <t>DS889 .D56 1998, v.3</t>
  </si>
  <si>
    <t>0                      DS 0889000D  56          1998                                        v.3</t>
  </si>
  <si>
    <t>Education and schooling in Japan since 1945 / edited with an introduction by Edward R. Beauchamp.</t>
  </si>
  <si>
    <t>Dimensions of contemporary Japan ; 3</t>
  </si>
  <si>
    <t>2005-09-04</t>
  </si>
  <si>
    <t>2776821:eng</t>
  </si>
  <si>
    <t>40396524</t>
  </si>
  <si>
    <t>991002991449702656</t>
  </si>
  <si>
    <t>2269776290002656</t>
  </si>
  <si>
    <t>9780815327301</t>
  </si>
  <si>
    <t>32285003557591</t>
  </si>
  <si>
    <t>893505067</t>
  </si>
  <si>
    <t>DS889 .D56 1998, v.4</t>
  </si>
  <si>
    <t>0                      DS 0889000D  56          1998                                        v.4</t>
  </si>
  <si>
    <t>Women and women's issues in post World War II Japan / edited with an introduction by Edward R. Beauchamp.</t>
  </si>
  <si>
    <t>Dimensions of contemporary Japan ; 4</t>
  </si>
  <si>
    <t>2010-02-18</t>
  </si>
  <si>
    <t>2776852:eng</t>
  </si>
  <si>
    <t>40397841</t>
  </si>
  <si>
    <t>991002991669702656</t>
  </si>
  <si>
    <t>2271924950002656</t>
  </si>
  <si>
    <t>9780815327318</t>
  </si>
  <si>
    <t>32285003557609</t>
  </si>
  <si>
    <t>893505070</t>
  </si>
  <si>
    <t>DS889 .D56 1998, v.6</t>
  </si>
  <si>
    <t>0                      DS 0889000D  56          1998                                        v.6</t>
  </si>
  <si>
    <t>Japan's role in international politics since World War II / edited with an introduction by Edward R. Beauchamp.</t>
  </si>
  <si>
    <t>Dimensions of contemporary Japan ; 6</t>
  </si>
  <si>
    <t>2776870:eng</t>
  </si>
  <si>
    <t>40444028</t>
  </si>
  <si>
    <t>991005429789702656</t>
  </si>
  <si>
    <t>2271369400002656</t>
  </si>
  <si>
    <t>9780815327332</t>
  </si>
  <si>
    <t>32285003557625</t>
  </si>
  <si>
    <t>893437826</t>
  </si>
  <si>
    <t>DS889 .H47313 1984</t>
  </si>
  <si>
    <t>0                      DS 0889000H  47313       1984</t>
  </si>
  <si>
    <t>The price of affluence : dilemmas of contemporary Japan / Rokurō Hidaka.</t>
  </si>
  <si>
    <t>Hidaka, Rokurō, 1917-2018.</t>
  </si>
  <si>
    <t>Tokyo ; New York : Kodansha International ; New York, N.Y. : Distributed in the U.S. by Kodansha International/USA through Harper &amp; Row, 1984.</t>
  </si>
  <si>
    <t>1st English ed.</t>
  </si>
  <si>
    <t>1990-04-26</t>
  </si>
  <si>
    <t>3364697:eng</t>
  </si>
  <si>
    <t>10483852</t>
  </si>
  <si>
    <t>991000379229702656</t>
  </si>
  <si>
    <t>2259934050002656</t>
  </si>
  <si>
    <t>9780870116551</t>
  </si>
  <si>
    <t>32285000134055</t>
  </si>
  <si>
    <t>893255370</t>
  </si>
  <si>
    <t>DS889 .K38</t>
  </si>
  <si>
    <t>0                      DS 0889000K  38</t>
  </si>
  <si>
    <t>Japan's American interlude / Kazuo Kawai.</t>
  </si>
  <si>
    <t>Kawai, Kazuo, 1904-1963.</t>
  </si>
  <si>
    <t>Chicago : University of Chicago Press, 1960.</t>
  </si>
  <si>
    <t>1997-06-25</t>
  </si>
  <si>
    <t>1994-12-03</t>
  </si>
  <si>
    <t>418652:eng</t>
  </si>
  <si>
    <t>412545</t>
  </si>
  <si>
    <t>991002720579702656</t>
  </si>
  <si>
    <t>2264544420002656</t>
  </si>
  <si>
    <t>32285001980332</t>
  </si>
  <si>
    <t>893610200</t>
  </si>
  <si>
    <t>DS889 .K6557</t>
  </si>
  <si>
    <t>0                      DS 0889000K  6557</t>
  </si>
  <si>
    <t>100 million Japanese; the postwar experience / Masataka Kosaka. Foreword by E. O. Reischauer.</t>
  </si>
  <si>
    <t>Kōsaka, Masataka, 1934-1996.</t>
  </si>
  <si>
    <t>Tokyo ; Palo Alto [Calif.] : Kodansha International, 1972.</t>
  </si>
  <si>
    <t>1498878:eng</t>
  </si>
  <si>
    <t>516389</t>
  </si>
  <si>
    <t>991002900199702656</t>
  </si>
  <si>
    <t>2256542230002656</t>
  </si>
  <si>
    <t>9780870111822</t>
  </si>
  <si>
    <t>32285000370527</t>
  </si>
  <si>
    <t>893239644</t>
  </si>
  <si>
    <t>DS889 .M3457413 1995</t>
  </si>
  <si>
    <t>0                      DS 0889000M  3457413     1995</t>
  </si>
  <si>
    <t>Contemporary politics in Japan / Masumi Junnosuke ; translated by Lonny E. Carlile.</t>
  </si>
  <si>
    <t>Masumi, Junnosuke, 1926-2010.</t>
  </si>
  <si>
    <t>Berkeley : University of California Press, c1995.</t>
  </si>
  <si>
    <t>2000-05-01</t>
  </si>
  <si>
    <t>1996-06-25</t>
  </si>
  <si>
    <t>33660119:eng</t>
  </si>
  <si>
    <t>31435277</t>
  </si>
  <si>
    <t>991002415949702656</t>
  </si>
  <si>
    <t>2263191450002656</t>
  </si>
  <si>
    <t>9780520058538</t>
  </si>
  <si>
    <t>32285002173309</t>
  </si>
  <si>
    <t>893792435</t>
  </si>
  <si>
    <t>DS889 .P95 1992</t>
  </si>
  <si>
    <t>0                      DS 0889000P  95          1992</t>
  </si>
  <si>
    <t>The Japanese question : power and purpose in a new era / Kenneth B. Pyle.</t>
  </si>
  <si>
    <t>Washington, D.C. : AEI Press ; Lanham, Md. ; London, England : Distributed by National Book Network, 1992.</t>
  </si>
  <si>
    <t>20554823:eng</t>
  </si>
  <si>
    <t>25165111</t>
  </si>
  <si>
    <t>991003997749702656</t>
  </si>
  <si>
    <t>2257072200002656</t>
  </si>
  <si>
    <t>9780844737980</t>
  </si>
  <si>
    <t>32285004680962</t>
  </si>
  <si>
    <t>893705885</t>
  </si>
  <si>
    <t>DS889 .Y583 1962</t>
  </si>
  <si>
    <t>0                      DS 0889000Y  583         1962</t>
  </si>
  <si>
    <t>The Yoshida memoirs : the story of Japan in crisis / translated by Kenichi Yoshida.</t>
  </si>
  <si>
    <t>Yoshida, Shigeru, 1878-1967.</t>
  </si>
  <si>
    <t>Boston : Houghton Mifflin, 1962 [c1961]</t>
  </si>
  <si>
    <t>4920661828:eng</t>
  </si>
  <si>
    <t>1141242</t>
  </si>
  <si>
    <t>991003567569702656</t>
  </si>
  <si>
    <t>2264952220002656</t>
  </si>
  <si>
    <t>32285001474328</t>
  </si>
  <si>
    <t>893893859</t>
  </si>
  <si>
    <t>DS889.15 .D42</t>
  </si>
  <si>
    <t>0                      DS 0889150D  42</t>
  </si>
  <si>
    <t>Return of the black ships / by Benton Weaver Decker and Edwina Naylor Decker.</t>
  </si>
  <si>
    <t>Decker, Benton Weaver, 1899-</t>
  </si>
  <si>
    <t>New York : Vantage Press, c1978.</t>
  </si>
  <si>
    <t>2007-06-04</t>
  </si>
  <si>
    <t>1990-11-01</t>
  </si>
  <si>
    <t>4495046566:eng</t>
  </si>
  <si>
    <t>5100357</t>
  </si>
  <si>
    <t>991004774469702656</t>
  </si>
  <si>
    <t>2256410150002656</t>
  </si>
  <si>
    <t>9780533033683</t>
  </si>
  <si>
    <t>32285000370618</t>
  </si>
  <si>
    <t>893795264</t>
  </si>
  <si>
    <t>DS889.15 .F54 1993</t>
  </si>
  <si>
    <t>0                      DS 0889150F  54          1993</t>
  </si>
  <si>
    <t>In the realm of a dying emperor / Norma Field.</t>
  </si>
  <si>
    <t>Field, Norma, 1947-</t>
  </si>
  <si>
    <t>New York : Vintage Books, 1993.</t>
  </si>
  <si>
    <t>1998-12-01</t>
  </si>
  <si>
    <t>14460599:eng</t>
  </si>
  <si>
    <t>26546516</t>
  </si>
  <si>
    <t>991002071699702656</t>
  </si>
  <si>
    <t>2259654780002656</t>
  </si>
  <si>
    <t>9780679741893</t>
  </si>
  <si>
    <t>32285003492369</t>
  </si>
  <si>
    <t>893328657</t>
  </si>
  <si>
    <t>DS889.15 .W54 1978</t>
  </si>
  <si>
    <t>0                      DS 0889150W  54          1978</t>
  </si>
  <si>
    <t>Typhoon in Tokyo : the occupation and its aftermath / Harry Emerson Wildes.</t>
  </si>
  <si>
    <t>Wildes, Harry Emerson, 1890-1982.</t>
  </si>
  <si>
    <t>New York : Octagon Books, 1978, c1954.</t>
  </si>
  <si>
    <t>2007-04-17</t>
  </si>
  <si>
    <t>376994261:eng</t>
  </si>
  <si>
    <t>4004123</t>
  </si>
  <si>
    <t>991004564249702656</t>
  </si>
  <si>
    <t>2265219980002656</t>
  </si>
  <si>
    <t>9780374985721</t>
  </si>
  <si>
    <t>32285000370634</t>
  </si>
  <si>
    <t>893319396</t>
  </si>
  <si>
    <t>DS889.16 .T35 2002</t>
  </si>
  <si>
    <t>0                      DS 0889160T  35          2002</t>
  </si>
  <si>
    <t>Inside GHQ : the Allied occupation of Japan and its legacy / by Eiji Takemae ; translated and adapted from the Japanese by Robert Ricketts and Sebastian Swann.</t>
  </si>
  <si>
    <t>Takemae, Eiji, 1930-2015.</t>
  </si>
  <si>
    <t>New York : Continuum, 2002.</t>
  </si>
  <si>
    <t>2002-07-15</t>
  </si>
  <si>
    <t>1024475:eng</t>
  </si>
  <si>
    <t>45583413</t>
  </si>
  <si>
    <t>991003825749702656</t>
  </si>
  <si>
    <t>2266064900002656</t>
  </si>
  <si>
    <t>9780485113143</t>
  </si>
  <si>
    <t>32285004497920</t>
  </si>
  <si>
    <t>893416839</t>
  </si>
  <si>
    <t>DS889.8 .B44 1989</t>
  </si>
  <si>
    <t>0                      DS 0889800B  44          1989</t>
  </si>
  <si>
    <t>Hirohito : behind the myth / Edward Behr.</t>
  </si>
  <si>
    <t>Behr, Edward, 1926-2007.</t>
  </si>
  <si>
    <t>New York : Villard Books, 1989.</t>
  </si>
  <si>
    <t>1989-11-07</t>
  </si>
  <si>
    <t>396378827:eng</t>
  </si>
  <si>
    <t>19456565</t>
  </si>
  <si>
    <t>991001462399702656</t>
  </si>
  <si>
    <t>2270148600002656</t>
  </si>
  <si>
    <t>9780394580722</t>
  </si>
  <si>
    <t>32285000012178</t>
  </si>
  <si>
    <t>893439157</t>
  </si>
  <si>
    <t>DS889.8 .B59 2000</t>
  </si>
  <si>
    <t>0                      DS 0889800B  59          2000</t>
  </si>
  <si>
    <t>Hirohito and the making of modern Japan / Herbert P. Bix.</t>
  </si>
  <si>
    <t>Bix, Herbert P.</t>
  </si>
  <si>
    <t>New York : HarperCollins, c2000.</t>
  </si>
  <si>
    <t>4928205493:eng</t>
  </si>
  <si>
    <t>43031388</t>
  </si>
  <si>
    <t>991003298039702656</t>
  </si>
  <si>
    <t>2261138300002656</t>
  </si>
  <si>
    <t>9780060193140</t>
  </si>
  <si>
    <t>32285003767612</t>
  </si>
  <si>
    <t>893323959</t>
  </si>
  <si>
    <t>DS889.8 .K3613</t>
  </si>
  <si>
    <t>0                      DS 0889800K  3613</t>
  </si>
  <si>
    <t>Hirohito : an intimate portrait of the Japanese emperor / by Osanaga Kanroji.</t>
  </si>
  <si>
    <t>Kanroji, Osanaga, 1880-</t>
  </si>
  <si>
    <t>Los Angeles, Calif. : Gateway Publishers ; New York : distributed in the U.S. by Japan Publications Trading Co., 1975.</t>
  </si>
  <si>
    <t>12509849:eng</t>
  </si>
  <si>
    <t>1975921</t>
  </si>
  <si>
    <t>991003962099702656</t>
  </si>
  <si>
    <t>2266753730002656</t>
  </si>
  <si>
    <t>9780914594048</t>
  </si>
  <si>
    <t>32285002450780</t>
  </si>
  <si>
    <t>893775433</t>
  </si>
  <si>
    <t>DS889.8 .M6 1966</t>
  </si>
  <si>
    <t>0                      DS 0889800M  6           1966</t>
  </si>
  <si>
    <t>Hirohito, Emperor of Japan.</t>
  </si>
  <si>
    <t>Mosley, Leonard, 1913-1992.</t>
  </si>
  <si>
    <t>112257668:eng</t>
  </si>
  <si>
    <t>406462</t>
  </si>
  <si>
    <t>991002703899702656</t>
  </si>
  <si>
    <t>2260969130002656</t>
  </si>
  <si>
    <t>32285002831229</t>
  </si>
  <si>
    <t>893239388</t>
  </si>
  <si>
    <t>DS89.A42 G55 1996</t>
  </si>
  <si>
    <t>0                      DS 0089000A  42                 G  55          1996</t>
  </si>
  <si>
    <t>Lords of the Lebanese marches : violence and narrative in an Arab society / Michael Gilsenan.</t>
  </si>
  <si>
    <t>Gilsenan, Michael.</t>
  </si>
  <si>
    <t>Berkeley : University of California Press, c1996.</t>
  </si>
  <si>
    <t>2006-02-14</t>
  </si>
  <si>
    <t>794196:eng</t>
  </si>
  <si>
    <t>33862221</t>
  </si>
  <si>
    <t>991002582659702656</t>
  </si>
  <si>
    <t>2266543640002656</t>
  </si>
  <si>
    <t>9780520205895</t>
  </si>
  <si>
    <t>32285002391760</t>
  </si>
  <si>
    <t>893779978</t>
  </si>
  <si>
    <t>DS89.B4 J5</t>
  </si>
  <si>
    <t>0                      DS 0089000B  4                  J  5</t>
  </si>
  <si>
    <t>Beirut through the ages.</t>
  </si>
  <si>
    <t>Jidejian, Nina.</t>
  </si>
  <si>
    <t>Beirut, Dar el-Machreq [distribution: Librairie orientale, 1973]</t>
  </si>
  <si>
    <t>1968876:eng</t>
  </si>
  <si>
    <t>1053364</t>
  </si>
  <si>
    <t>991003500589702656</t>
  </si>
  <si>
    <t>2270805850002656</t>
  </si>
  <si>
    <t>32285002460391</t>
  </si>
  <si>
    <t>893692768</t>
  </si>
  <si>
    <t>DS89.B9 J53</t>
  </si>
  <si>
    <t>0                      DS 0089000B  9                  J  53</t>
  </si>
  <si>
    <t>Byblos through the ages. With a foreword by Maurice Dunand.</t>
  </si>
  <si>
    <t>Beirut, Dar el-Machreq Publishers; [distribution Librairie Orientale, 1968]</t>
  </si>
  <si>
    <t>1130780:eng</t>
  </si>
  <si>
    <t>7630</t>
  </si>
  <si>
    <t>991000000209702656</t>
  </si>
  <si>
    <t>2267576710002656</t>
  </si>
  <si>
    <t>32285002460417</t>
  </si>
  <si>
    <t>893521277</t>
  </si>
  <si>
    <t>DS89.S37 P742 1975</t>
  </si>
  <si>
    <t>0                      DS 0089000S  37                 P  742         1975</t>
  </si>
  <si>
    <t>Sarepta, a preliminary report on the Iron Age : excavations of the University Museum of the University of Pennsylvania, 1970-72 / by James B. Pritchard ; with contributions by William P. Anderson, Ellen Herscher, Javier Teixidor.</t>
  </si>
  <si>
    <t>Philadelphia : University Museum, University of Pennsylvania, 1975.</t>
  </si>
  <si>
    <t>Museum monographs</t>
  </si>
  <si>
    <t>2008-02-07</t>
  </si>
  <si>
    <t>3768719757:eng</t>
  </si>
  <si>
    <t>2313906</t>
  </si>
  <si>
    <t>991004074119702656</t>
  </si>
  <si>
    <t>2259682260002656</t>
  </si>
  <si>
    <t>32285003533881</t>
  </si>
  <si>
    <t>893337307</t>
  </si>
  <si>
    <t>DS89.S37 U5 1985, v.1</t>
  </si>
  <si>
    <t>0                      DS 0089000S  37                 U  5           1985                  v.1</t>
  </si>
  <si>
    <t>Sarepta I : the late Bronze and Iron Age strata of area II, Y : the University Museum of the University of Pennsylvania excavations at Sarafand, Lebanon / William P. Anderson.</t>
  </si>
  <si>
    <t>Anderson, William Paul.</t>
  </si>
  <si>
    <t>Beyrouth : Distribution, Département des publications de l'Université libanaise, 1988.</t>
  </si>
  <si>
    <t>Publications de l'Université libanaise. Section des études archéologique ; 2</t>
  </si>
  <si>
    <t>2000-02-17</t>
  </si>
  <si>
    <t>3768546191:eng</t>
  </si>
  <si>
    <t>22224593</t>
  </si>
  <si>
    <t>991001757379702656</t>
  </si>
  <si>
    <t>2255242480002656</t>
  </si>
  <si>
    <t>32285003533840</t>
  </si>
  <si>
    <t>893703304</t>
  </si>
  <si>
    <t>DS89.S5 J5</t>
  </si>
  <si>
    <t>0                      DS 0089000S  5                  J  5</t>
  </si>
  <si>
    <t>Sidon, through the ages, with a foreword by Maurice Dunand.</t>
  </si>
  <si>
    <t>Beirut, Dar el-Mach-req [1971]</t>
  </si>
  <si>
    <t>1432691:eng</t>
  </si>
  <si>
    <t>405939</t>
  </si>
  <si>
    <t>991002702019702656</t>
  </si>
  <si>
    <t>2258378290002656</t>
  </si>
  <si>
    <t>32285002460425</t>
  </si>
  <si>
    <t>893804914</t>
  </si>
  <si>
    <t>DS89.T8 J53</t>
  </si>
  <si>
    <t>0                      DS 0089000T  8                  J  53</t>
  </si>
  <si>
    <t>Tyre through the ages. With a foreword by Émir Maurice Chéhab.</t>
  </si>
  <si>
    <t>Beirut, Dar el-Mashreq Publishers [1969]</t>
  </si>
  <si>
    <t>1362243:eng</t>
  </si>
  <si>
    <t>307825</t>
  </si>
  <si>
    <t>991002269649702656</t>
  </si>
  <si>
    <t>2264501650002656</t>
  </si>
  <si>
    <t>32285002460441</t>
  </si>
  <si>
    <t>893697562</t>
  </si>
  <si>
    <t>DS890.Y6 D68</t>
  </si>
  <si>
    <t>0                      DS 0890000Y  6                  D  68</t>
  </si>
  <si>
    <t>Empire and aftermath : Yoshida Shigeru and the Japanese experience, 1878-1954 / J. W. Dower.</t>
  </si>
  <si>
    <t>Cambridge, Mass. : Council on East Asian Studies, Harvard University : distributed by Harvard University Press, 1979.</t>
  </si>
  <si>
    <t>Harvard East Asian monographs ; 84</t>
  </si>
  <si>
    <t>521211:eng</t>
  </si>
  <si>
    <t>5239823</t>
  </si>
  <si>
    <t>991004805069702656</t>
  </si>
  <si>
    <t>2264322310002656</t>
  </si>
  <si>
    <t>9780674251250</t>
  </si>
  <si>
    <t>32285000190610</t>
  </si>
  <si>
    <t>893235938</t>
  </si>
  <si>
    <t>DS891 .K47 2001</t>
  </si>
  <si>
    <t>0                      DS 0891000K  47          2001</t>
  </si>
  <si>
    <t>Dogs and demons : tales from the dark side of Japan / Alex Kerr.</t>
  </si>
  <si>
    <t>Kerr, Alex, 1952-</t>
  </si>
  <si>
    <t>New York : Hill and Wang, 2001.</t>
  </si>
  <si>
    <t>2001-09-17</t>
  </si>
  <si>
    <t>3856863656:eng</t>
  </si>
  <si>
    <t>44727781</t>
  </si>
  <si>
    <t>991003597769702656</t>
  </si>
  <si>
    <t>2255530600002656</t>
  </si>
  <si>
    <t>9780809095216</t>
  </si>
  <si>
    <t>32285004383708</t>
  </si>
  <si>
    <t>893604966</t>
  </si>
  <si>
    <t>DS891 .V58 1997</t>
  </si>
  <si>
    <t>0                      DS 0891000V  58          1997</t>
  </si>
  <si>
    <t>The vitality of Japan : sources of national strength and weakness / edited by Armand Clesse ... [et al.].</t>
  </si>
  <si>
    <t>1998-06-17</t>
  </si>
  <si>
    <t>837054559:eng</t>
  </si>
  <si>
    <t>36126387</t>
  </si>
  <si>
    <t>991002752899702656</t>
  </si>
  <si>
    <t>2260484730002656</t>
  </si>
  <si>
    <t>9780312173135</t>
  </si>
  <si>
    <t>32285003421699</t>
  </si>
  <si>
    <t>893323332</t>
  </si>
  <si>
    <t>DS891.2 .K39 2003</t>
  </si>
  <si>
    <t>0                      DS 0891200K  39          2003</t>
  </si>
  <si>
    <t>Japanese foreign policy at the crossroads : challenges and options for the twenty-first century / Yutaka Kawashima.</t>
  </si>
  <si>
    <t>Kawashima, Yutaka, 1942-</t>
  </si>
  <si>
    <t>Washington, D.C. : Brookings Institution Press, c2003.</t>
  </si>
  <si>
    <t>4918469144:eng</t>
  </si>
  <si>
    <t>52757522</t>
  </si>
  <si>
    <t>991004196509702656</t>
  </si>
  <si>
    <t>2265072690002656</t>
  </si>
  <si>
    <t>9780815748700</t>
  </si>
  <si>
    <t>32285004843859</t>
  </si>
  <si>
    <t>893241139</t>
  </si>
  <si>
    <t>DS894.59.T698 L48 2000</t>
  </si>
  <si>
    <t>0                      DS 0894590T  698                L  48          2000</t>
  </si>
  <si>
    <t>Becoming apart : national power and local politics in Toyama, 1868-1945 / Michael Lewis.</t>
  </si>
  <si>
    <t>Lewis, Michael, 1949-</t>
  </si>
  <si>
    <t>Cambridge, Mass. : Harvard University Asia Center, 2000.</t>
  </si>
  <si>
    <t>Harvard East Asian monographs ; 192</t>
  </si>
  <si>
    <t>2001-05-15</t>
  </si>
  <si>
    <t>2001-05-14</t>
  </si>
  <si>
    <t>235496664:eng</t>
  </si>
  <si>
    <t>43851406</t>
  </si>
  <si>
    <t>991003509859702656</t>
  </si>
  <si>
    <t>2272163740002656</t>
  </si>
  <si>
    <t>9780674002425</t>
  </si>
  <si>
    <t>32285004317342</t>
  </si>
  <si>
    <t>893499368</t>
  </si>
  <si>
    <t>DS894.79.Y349 C4623 2000</t>
  </si>
  <si>
    <t>0                      DS 0894790Y  349                C  4623        2000</t>
  </si>
  <si>
    <t>Ch*osh*u in the Meiji restoration / Albert M. Craig.</t>
  </si>
  <si>
    <t>Craig, Albert M.</t>
  </si>
  <si>
    <t>Lanham, Md. : Lexington Books, c2000.</t>
  </si>
  <si>
    <t>Studies of modern Japan</t>
  </si>
  <si>
    <t>2010-04-08</t>
  </si>
  <si>
    <t>5091210246:eng</t>
  </si>
  <si>
    <t>44541848</t>
  </si>
  <si>
    <t>991003998399702656</t>
  </si>
  <si>
    <t>2257602170002656</t>
  </si>
  <si>
    <t>9780739101933</t>
  </si>
  <si>
    <t>32285004682059</t>
  </si>
  <si>
    <t>893247034</t>
  </si>
  <si>
    <t>DS894.79.Y349 C4637 1981</t>
  </si>
  <si>
    <t>0                      DS 0894790Y  349                C  4637        1981</t>
  </si>
  <si>
    <t>The revolutionary origins of modern Japan / Thomas M. Huber.</t>
  </si>
  <si>
    <t>Huber, Thomas M.</t>
  </si>
  <si>
    <t>Stanford, Calif. : Stanford University Press, 1981.</t>
  </si>
  <si>
    <t>459760:eng</t>
  </si>
  <si>
    <t>7655421</t>
  </si>
  <si>
    <t>991003997129702656</t>
  </si>
  <si>
    <t>2260136320002656</t>
  </si>
  <si>
    <t>9780804710480</t>
  </si>
  <si>
    <t>32285004740386</t>
  </si>
  <si>
    <t>893499977</t>
  </si>
  <si>
    <t>DS895.F7 K4</t>
  </si>
  <si>
    <t>0                      DS 0895000F  7                  K  4</t>
  </si>
  <si>
    <t>Formosa betrayed [by] George H. Kerr.</t>
  </si>
  <si>
    <t>Kerr, George H., 1911-1992.</t>
  </si>
  <si>
    <t>Boston, Houghton Mifflin, 1965.</t>
  </si>
  <si>
    <t>1390391:eng</t>
  </si>
  <si>
    <t>242620</t>
  </si>
  <si>
    <t>991001912469702656</t>
  </si>
  <si>
    <t>2269460010002656</t>
  </si>
  <si>
    <t>32285002450822</t>
  </si>
  <si>
    <t>893898165</t>
  </si>
  <si>
    <t>DS895.F72 S56</t>
  </si>
  <si>
    <t>0                      DS 0895000F  72                 S  56</t>
  </si>
  <si>
    <t>Taiwan in modern times. Edited with an introd. by Paul K. T. Sih.</t>
  </si>
  <si>
    <t>Sih, Paul K. T. (Paul Kwang Tsien), 1910-1978.</t>
  </si>
  <si>
    <t>[New York, St. John's University Press, 1973]</t>
  </si>
  <si>
    <t>Asia in the modern world series, no. 13</t>
  </si>
  <si>
    <t>1998-11-08</t>
  </si>
  <si>
    <t>132523339:eng</t>
  </si>
  <si>
    <t>700400</t>
  </si>
  <si>
    <t>991003161289702656</t>
  </si>
  <si>
    <t>2256658180002656</t>
  </si>
  <si>
    <t>9780870750670</t>
  </si>
  <si>
    <t>32285002450848</t>
  </si>
  <si>
    <t>893233867</t>
  </si>
  <si>
    <t>DS895.F72 T276</t>
  </si>
  <si>
    <t>0                      DS 0895000F  72                 T  276</t>
  </si>
  <si>
    <t>Taiwan; studies in Chinese local history. Edited by Leonard H. D. Gordon.</t>
  </si>
  <si>
    <t>New York, Columbia University Press, 1970.</t>
  </si>
  <si>
    <t>Occasional papers of the East Asian Institute of Columbia University</t>
  </si>
  <si>
    <t>3077696:eng</t>
  </si>
  <si>
    <t>79149</t>
  </si>
  <si>
    <t>991000470269702656</t>
  </si>
  <si>
    <t>2254760750002656</t>
  </si>
  <si>
    <t>9780231033763</t>
  </si>
  <si>
    <t>32285002450855</t>
  </si>
  <si>
    <t>893225004</t>
  </si>
  <si>
    <t>DS895.F75 M3 1964</t>
  </si>
  <si>
    <t>0                      DS 0895000F  75                 M  3           1964</t>
  </si>
  <si>
    <t>Formosa today.</t>
  </si>
  <si>
    <t>Mancall, Mark editor.</t>
  </si>
  <si>
    <t>New York, Praeger [1964]</t>
  </si>
  <si>
    <t>The Praeger contemporary world series, no. 11</t>
  </si>
  <si>
    <t>1548294:eng</t>
  </si>
  <si>
    <t>475964</t>
  </si>
  <si>
    <t>991002827309702656</t>
  </si>
  <si>
    <t>2254800160002656</t>
  </si>
  <si>
    <t>32285002450889</t>
  </si>
  <si>
    <t>893227333</t>
  </si>
  <si>
    <t>DS895.F75 M4</t>
  </si>
  <si>
    <t>0                      DS 0895000F  75                 M  4</t>
  </si>
  <si>
    <t>The politics of Formosan nationalism [by] Douglas Mendel.</t>
  </si>
  <si>
    <t>Mendel, Douglas Heusted, 1921-1978.</t>
  </si>
  <si>
    <t>Berkeley, University of California Press, 1970.</t>
  </si>
  <si>
    <t>787864013:eng</t>
  </si>
  <si>
    <t>64322</t>
  </si>
  <si>
    <t>991000197789702656</t>
  </si>
  <si>
    <t>2255567740002656</t>
  </si>
  <si>
    <t>9780520015579</t>
  </si>
  <si>
    <t>32285002450897</t>
  </si>
  <si>
    <t>893890505</t>
  </si>
  <si>
    <t>DS895.F75 R5 1972</t>
  </si>
  <si>
    <t>0                      DS 0895000F  75                 R  5           1972</t>
  </si>
  <si>
    <t>Formosa under Chinese Nationalist rule [by] Fred W. Riggs.</t>
  </si>
  <si>
    <t>Riggs, Fred Warren.</t>
  </si>
  <si>
    <t>New York, Octagon Books, 1972 [c1952]</t>
  </si>
  <si>
    <t>1422146:eng</t>
  </si>
  <si>
    <t>279019</t>
  </si>
  <si>
    <t>991002180919702656</t>
  </si>
  <si>
    <t>2261664370002656</t>
  </si>
  <si>
    <t>9780374968076</t>
  </si>
  <si>
    <t>32285002450913</t>
  </si>
  <si>
    <t>893250911</t>
  </si>
  <si>
    <t>DS895.I5 R5 1993</t>
  </si>
  <si>
    <t>0                      DS 0895000I  5                  R  5           1993</t>
  </si>
  <si>
    <t>The Inland Sea / Donald Richie ; with photographs by Yoichi Midorikawa.</t>
  </si>
  <si>
    <t>1998-08-26</t>
  </si>
  <si>
    <t>1067748:eng</t>
  </si>
  <si>
    <t>29660412</t>
  </si>
  <si>
    <t>991002287409702656</t>
  </si>
  <si>
    <t>2255733290002656</t>
  </si>
  <si>
    <t>9784770017512</t>
  </si>
  <si>
    <t>32285003462933</t>
  </si>
  <si>
    <t>893517111</t>
  </si>
  <si>
    <t>DS895.O4 K4</t>
  </si>
  <si>
    <t>0                      DS 0895000O  4                  K  4</t>
  </si>
  <si>
    <t>Okinawa : the history of an island people / by George H. Kerr .</t>
  </si>
  <si>
    <t>Rutland, Vt. : C. E. Tuttle Co., c1958, 1980 printing.</t>
  </si>
  <si>
    <t>2005-08-30</t>
  </si>
  <si>
    <t>1708098:eng</t>
  </si>
  <si>
    <t>722356</t>
  </si>
  <si>
    <t>991003197189702656</t>
  </si>
  <si>
    <t>2256922310002656</t>
  </si>
  <si>
    <t>32285000370642</t>
  </si>
  <si>
    <t>893239962</t>
  </si>
  <si>
    <t>DS895.R95 S65 1999</t>
  </si>
  <si>
    <t>0                      DS 0895000R  95                 S  65          1999</t>
  </si>
  <si>
    <t>Visions of Ryukyu : identity and ideology in early-modern thought and politics / Gregory Smits.</t>
  </si>
  <si>
    <t>Smits, Gregory, 1960-</t>
  </si>
  <si>
    <t>Honolulu : University of Hawai'i Press, c1999.</t>
  </si>
  <si>
    <t>2001-05-04</t>
  </si>
  <si>
    <t>2001-04-23</t>
  </si>
  <si>
    <t>793890208:eng</t>
  </si>
  <si>
    <t>39633631</t>
  </si>
  <si>
    <t>991003510029702656</t>
  </si>
  <si>
    <t>2268659140002656</t>
  </si>
  <si>
    <t>9780824820374</t>
  </si>
  <si>
    <t>32285004314075</t>
  </si>
  <si>
    <t>893524880</t>
  </si>
  <si>
    <t>DS896.64 .S43 1990</t>
  </si>
  <si>
    <t>0                      DS 0896640S  43          1990</t>
  </si>
  <si>
    <t>Tokyo rising : the city since the great earthquake / Edward Seidensticker.</t>
  </si>
  <si>
    <t>New York : Knopf : Distributed by Random House, c1990.</t>
  </si>
  <si>
    <t>1990-07-19</t>
  </si>
  <si>
    <t>143998079:eng</t>
  </si>
  <si>
    <t>19722163</t>
  </si>
  <si>
    <t>991001490099702656</t>
  </si>
  <si>
    <t>2258529150002656</t>
  </si>
  <si>
    <t>9780394543604</t>
  </si>
  <si>
    <t>32285000209618</t>
  </si>
  <si>
    <t>893261848</t>
  </si>
  <si>
    <t>DS896.64 .S44 1983</t>
  </si>
  <si>
    <t>0                      DS 0896640S  44          1983</t>
  </si>
  <si>
    <t>Low city, high city : Tokyo from Edo to the earthquake / Edward Seidensticker.</t>
  </si>
  <si>
    <t>New York : Knopf, 1983.</t>
  </si>
  <si>
    <t>197827027:eng</t>
  </si>
  <si>
    <t>9217421</t>
  </si>
  <si>
    <t>991000152299702656</t>
  </si>
  <si>
    <t>2267792250002656</t>
  </si>
  <si>
    <t>9780394507309</t>
  </si>
  <si>
    <t>32285000370667</t>
  </si>
  <si>
    <t>893249135</t>
  </si>
  <si>
    <t>DS897.K3253 M35 1982</t>
  </si>
  <si>
    <t>0                      DS 0897000K  3253               M  35          1982</t>
  </si>
  <si>
    <t>Kanazawa : a seventeenth-century Japanese castle town / James L. McClain.</t>
  </si>
  <si>
    <t>Yale historical publications. Miscellany ; 128</t>
  </si>
  <si>
    <t>792292505:eng</t>
  </si>
  <si>
    <t>8409035</t>
  </si>
  <si>
    <t>991005239529702656</t>
  </si>
  <si>
    <t>2271003990002656</t>
  </si>
  <si>
    <t>9780300027365</t>
  </si>
  <si>
    <t>32285000370683</t>
  </si>
  <si>
    <t>893350961</t>
  </si>
  <si>
    <t>DS897.K85 N3313 1995</t>
  </si>
  <si>
    <t>0                      DS 0897000K  85                 N  3313        1995</t>
  </si>
  <si>
    <t>Makiko's diary : a merchant wife in 1910 Kyoto / Nakano Makiko ; translated, with introduction and notes, by Kazuko Smith.</t>
  </si>
  <si>
    <t>Nakano, Makiko, 1890-1978.</t>
  </si>
  <si>
    <t>Stanford, California : Stanford University Press, 1995.</t>
  </si>
  <si>
    <t>33232655:eng</t>
  </si>
  <si>
    <t>31516559</t>
  </si>
  <si>
    <t>991002420169702656</t>
  </si>
  <si>
    <t>2270794140002656</t>
  </si>
  <si>
    <t>9780804724401</t>
  </si>
  <si>
    <t>32285003610838</t>
  </si>
  <si>
    <t>893804593</t>
  </si>
  <si>
    <t>DS897.S3923 S65 2001</t>
  </si>
  <si>
    <t>0                      DS 0897000S  3923               S  65          2001</t>
  </si>
  <si>
    <t>A time of crisis : Japan, the great depression, and rural revitalization / Kerry Smith.</t>
  </si>
  <si>
    <t>Smith, Kerry Douglas.</t>
  </si>
  <si>
    <t>Cambridge, Mass. : Harvard University Asia Center ; Distributed by Harvard University Press, c2001.</t>
  </si>
  <si>
    <t>Harvard East Asian monographs ; 191</t>
  </si>
  <si>
    <t>725186:eng</t>
  </si>
  <si>
    <t>44979639</t>
  </si>
  <si>
    <t>991003997279702656</t>
  </si>
  <si>
    <t>2271297920002656</t>
  </si>
  <si>
    <t>9780674003705</t>
  </si>
  <si>
    <t>32285004740543</t>
  </si>
  <si>
    <t>893806524</t>
  </si>
  <si>
    <t>DS897.S5153 S5213</t>
  </si>
  <si>
    <t>0                      DS 0897000S  5153               S  5213</t>
  </si>
  <si>
    <t>Shinjō : the chronicle of a Japanese village / translated and with an introd. by Keith Brown.</t>
  </si>
  <si>
    <t>Pittsburgh : University Center for International Studies in cooperation with the Dept. of Anthropology, University of Pittsburgh, 1979.</t>
  </si>
  <si>
    <t>Ethnology monographs ; no. 2</t>
  </si>
  <si>
    <t>1996-04-10</t>
  </si>
  <si>
    <t>1043684145:eng</t>
  </si>
  <si>
    <t>4494666</t>
  </si>
  <si>
    <t>991004653589702656</t>
  </si>
  <si>
    <t>2265349590002656</t>
  </si>
  <si>
    <t>9780916002374</t>
  </si>
  <si>
    <t>32285000370709</t>
  </si>
  <si>
    <t>893624928</t>
  </si>
  <si>
    <t>DS90 .D613 1982</t>
  </si>
  <si>
    <t>0                      DS 0090000D  613         1982</t>
  </si>
  <si>
    <t>The Philistines and their material culture / Trude Dothan.</t>
  </si>
  <si>
    <t>Dothan, Trude.</t>
  </si>
  <si>
    <t>435303:eng</t>
  </si>
  <si>
    <t>6735520</t>
  </si>
  <si>
    <t>991005033399702656</t>
  </si>
  <si>
    <t>2267984490002656</t>
  </si>
  <si>
    <t>9780300022582</t>
  </si>
  <si>
    <t>32285000292267</t>
  </si>
  <si>
    <t>893332306</t>
  </si>
  <si>
    <t>DS90 .D63 1992</t>
  </si>
  <si>
    <t>0                      DS 0090000D  63          1992</t>
  </si>
  <si>
    <t>People of the sea : the search for the Philistines / Trude Dothan, Moshe Dothan.</t>
  </si>
  <si>
    <t>New York : Macmillan ; Toronto : Maxwell Macmillan Canada ; New York : Maxwell Macmillan International, c1992.</t>
  </si>
  <si>
    <t>203229482:eng</t>
  </si>
  <si>
    <t>25050180</t>
  </si>
  <si>
    <t>991001976469702656</t>
  </si>
  <si>
    <t>2269655910002656</t>
  </si>
  <si>
    <t>9780025322615</t>
  </si>
  <si>
    <t>32285003555322</t>
  </si>
  <si>
    <t>893250672</t>
  </si>
  <si>
    <t>DS90 .E37 1996</t>
  </si>
  <si>
    <t>0                      DS 0090000E  37          1996</t>
  </si>
  <si>
    <t>The Philistines in transition : a history from ca. 1000-730 B.C.E. / by Carl S. Ehrlich.</t>
  </si>
  <si>
    <t>Ehrlich, Carl S.</t>
  </si>
  <si>
    <t>Leiden ; New York : E.J. Brill, 1996.</t>
  </si>
  <si>
    <t>Studies in the history and culture of the ancient Near East, 0169-9024 ; v. 10</t>
  </si>
  <si>
    <t>2003-03-17</t>
  </si>
  <si>
    <t>891179106:eng</t>
  </si>
  <si>
    <t>35657860</t>
  </si>
  <si>
    <t>991002719739702656</t>
  </si>
  <si>
    <t>2255505570002656</t>
  </si>
  <si>
    <t>9789004104266</t>
  </si>
  <si>
    <t>32285003555447</t>
  </si>
  <si>
    <t>893335637</t>
  </si>
  <si>
    <t>DS90 .H56</t>
  </si>
  <si>
    <t>0                      DS 0090000H  56</t>
  </si>
  <si>
    <t>The Philistines and the Old Testament, by Edward E. Hindson.</t>
  </si>
  <si>
    <t>Hindson, Edward E.</t>
  </si>
  <si>
    <t>Grand Rapids, Baker Book House [1972, c1971]</t>
  </si>
  <si>
    <t>449894:eng</t>
  </si>
  <si>
    <t>592415</t>
  </si>
  <si>
    <t>991003029189702656</t>
  </si>
  <si>
    <t>2266421330002656</t>
  </si>
  <si>
    <t>9780801040344</t>
  </si>
  <si>
    <t>32285002831120</t>
  </si>
  <si>
    <t>893721765</t>
  </si>
  <si>
    <t>DS902 .K54 1963</t>
  </si>
  <si>
    <t>0                      DS 0902000K  54          1963</t>
  </si>
  <si>
    <t>Korea : its land, people and culture of all ages.</t>
  </si>
  <si>
    <t>Seoul : Hakwon-sa, [1963]</t>
  </si>
  <si>
    <t xml:space="preserve">ko </t>
  </si>
  <si>
    <t>3373753227:eng</t>
  </si>
  <si>
    <t>722605</t>
  </si>
  <si>
    <t>991003197459702656</t>
  </si>
  <si>
    <t>2256782520002656</t>
  </si>
  <si>
    <t>32285000473545</t>
  </si>
  <si>
    <t>893511664</t>
  </si>
  <si>
    <t>DS902 .K547</t>
  </si>
  <si>
    <t>0                      DS 0902000K  547</t>
  </si>
  <si>
    <t>Korea : past and present.</t>
  </si>
  <si>
    <t>Seoul : Kwangmyong Pub. Co., [1972]</t>
  </si>
  <si>
    <t>[1st. ed.]</t>
  </si>
  <si>
    <t>9566511063:eng</t>
  </si>
  <si>
    <t>692335</t>
  </si>
  <si>
    <t>991003153169702656</t>
  </si>
  <si>
    <t>2268413600002656</t>
  </si>
  <si>
    <t>32285000473537</t>
  </si>
  <si>
    <t>893904261</t>
  </si>
  <si>
    <t>DS904 .I57 1979</t>
  </si>
  <si>
    <t>0                      DS 0904000I  57          1979</t>
  </si>
  <si>
    <t>Introducing Korea : historical legacy, acts of creation, way of life, food and games, discovering Korea / edited by Peter Hyun.</t>
  </si>
  <si>
    <t>Seoul, Korea : Jungwoo-sa, 1979.</t>
  </si>
  <si>
    <t>54373215:eng</t>
  </si>
  <si>
    <t>6188601</t>
  </si>
  <si>
    <t>991004940889702656</t>
  </si>
  <si>
    <t>2263979090002656</t>
  </si>
  <si>
    <t>32285000370758</t>
  </si>
  <si>
    <t>893325962</t>
  </si>
  <si>
    <t>DS904 .K68 v...</t>
  </si>
  <si>
    <t>0                      DS 0904000K  68                                                      v...</t>
  </si>
  <si>
    <t>Korean cultural heritage / [Editor: SON Chu-hwan]</t>
  </si>
  <si>
    <t>Seoul : The Korea Foundation, 1994-</t>
  </si>
  <si>
    <t>2007-09-23</t>
  </si>
  <si>
    <t>2908815417:eng</t>
  </si>
  <si>
    <t>32451775</t>
  </si>
  <si>
    <t>991002493819702656</t>
  </si>
  <si>
    <t>2267315480002656</t>
  </si>
  <si>
    <t>32285003392031</t>
  </si>
  <si>
    <t>893892625</t>
  </si>
  <si>
    <t>32285002056629</t>
  </si>
  <si>
    <t>893892626</t>
  </si>
  <si>
    <t>1997-12-16</t>
  </si>
  <si>
    <t>32285002390333</t>
  </si>
  <si>
    <t>893892624</t>
  </si>
  <si>
    <t>1997-05-04</t>
  </si>
  <si>
    <t>32285002573219</t>
  </si>
  <si>
    <t>893873595</t>
  </si>
  <si>
    <t>DS904 .O8</t>
  </si>
  <si>
    <t>0                      DS 0904000O  8</t>
  </si>
  <si>
    <t>The Koreans and their culture.</t>
  </si>
  <si>
    <t>Osgood, Cornelius, 1905-1985.</t>
  </si>
  <si>
    <t>New York : Ronald Press Co., [1951]</t>
  </si>
  <si>
    <t>1462688:eng</t>
  </si>
  <si>
    <t>412547</t>
  </si>
  <si>
    <t>991002720599702656</t>
  </si>
  <si>
    <t>2264544740002656</t>
  </si>
  <si>
    <t>32285001379691</t>
  </si>
  <si>
    <t>893773954</t>
  </si>
  <si>
    <t>DS907 .H3313</t>
  </si>
  <si>
    <t>0                      DS 0907000H  3313</t>
  </si>
  <si>
    <t>A history of Korea / translated and edited by Warren W. Smith, Jr., and Benjamin H. Hazard.</t>
  </si>
  <si>
    <t>Hatada, Takashi, 1908-1994.</t>
  </si>
  <si>
    <t>Santa Barbara, Calif. : ABC-Clio, 1969.</t>
  </si>
  <si>
    <t>1997-01-16</t>
  </si>
  <si>
    <t>37230073:eng</t>
  </si>
  <si>
    <t>228867</t>
  </si>
  <si>
    <t>991001398959702656</t>
  </si>
  <si>
    <t>2256988290002656</t>
  </si>
  <si>
    <t>32285001893600</t>
  </si>
  <si>
    <t>893715416</t>
  </si>
  <si>
    <t>DS907 .H8 1962</t>
  </si>
  <si>
    <t>0                      DS 0907000H  8           1962</t>
  </si>
  <si>
    <t>Hulbert's History of Korea / Edited by Clarence Norwood Weems.</t>
  </si>
  <si>
    <t>Hulbert, Homer B. (Homer Bezaleel), 1863-1949.</t>
  </si>
  <si>
    <t>New York : Hillary House Publishers, 1962.</t>
  </si>
  <si>
    <t>1993-10-05</t>
  </si>
  <si>
    <t>10076415702:eng</t>
  </si>
  <si>
    <t>412893</t>
  </si>
  <si>
    <t>991002721999702656</t>
  </si>
  <si>
    <t>2264408410002656</t>
  </si>
  <si>
    <t>32285000370782</t>
  </si>
  <si>
    <t>893535152</t>
  </si>
  <si>
    <t>32285000370774</t>
  </si>
  <si>
    <t>893535153</t>
  </si>
  <si>
    <t>DS907 .H84 1969</t>
  </si>
  <si>
    <t>0                      DS 0907000H  84          1969</t>
  </si>
  <si>
    <t>The passing of Korea / by Homer B. Hulbert.</t>
  </si>
  <si>
    <t>Seoul : Yonsei University Press, 1969.</t>
  </si>
  <si>
    <t>A Series of reprints of Western books on Korea, no. 1</t>
  </si>
  <si>
    <t>1995-03-03</t>
  </si>
  <si>
    <t>1362637:eng</t>
  </si>
  <si>
    <t>258451</t>
  </si>
  <si>
    <t>991002007529702656</t>
  </si>
  <si>
    <t>2271596440002656</t>
  </si>
  <si>
    <t>32285000370790</t>
  </si>
  <si>
    <t>893626903</t>
  </si>
  <si>
    <t>DS907 .P73 2007</t>
  </si>
  <si>
    <t>0                      DS 0907000P  73          2007</t>
  </si>
  <si>
    <t>Everlasting flower : a history of Korea / Keith Pratt.</t>
  </si>
  <si>
    <t>Pratt, Keith L.</t>
  </si>
  <si>
    <t>London : Reaktion, 2007.</t>
  </si>
  <si>
    <t>304799098:eng</t>
  </si>
  <si>
    <t>972876536</t>
  </si>
  <si>
    <t>991005259129702656</t>
  </si>
  <si>
    <t>2272072580002656</t>
  </si>
  <si>
    <t>9781861893352</t>
  </si>
  <si>
    <t>32285005453286</t>
  </si>
  <si>
    <t>893625724</t>
  </si>
  <si>
    <t>DS907.16 .Y5313 1984b</t>
  </si>
  <si>
    <t>0                      DS 0907160Y  5313        1984b</t>
  </si>
  <si>
    <t>A new history of Korea / Ki-Baik Lee ; translated by Edward W. Wagner, with Edward J. Shultz.</t>
  </si>
  <si>
    <t>Yi, Ki-baek.</t>
  </si>
  <si>
    <t>Seoul, Korea : Ilchokak Publishers, c1984.</t>
  </si>
  <si>
    <t>53739395:eng</t>
  </si>
  <si>
    <t>11761016</t>
  </si>
  <si>
    <t>991000586889702656</t>
  </si>
  <si>
    <t>2271746740002656</t>
  </si>
  <si>
    <t>32285000370808</t>
  </si>
  <si>
    <t>893327414</t>
  </si>
  <si>
    <t>DS907.18 .M33 1996</t>
  </si>
  <si>
    <t>0                      DS 0907180M  33          1996</t>
  </si>
  <si>
    <t>The Koreans : contemporary politics and society / Donald Stone Macdonald ; edited and revised by Donald N. Clark.</t>
  </si>
  <si>
    <t>Macdonald, Donald Stone.</t>
  </si>
  <si>
    <t>Boulder : Westview Press, 1996.</t>
  </si>
  <si>
    <t>2010-09-08</t>
  </si>
  <si>
    <t>9077458:eng</t>
  </si>
  <si>
    <t>34410471</t>
  </si>
  <si>
    <t>991002624559702656</t>
  </si>
  <si>
    <t>2263774440002656</t>
  </si>
  <si>
    <t>9780813328881</t>
  </si>
  <si>
    <t>32285002318458</t>
  </si>
  <si>
    <t>893627219</t>
  </si>
  <si>
    <t>DS907.18 .S4 2006</t>
  </si>
  <si>
    <t>0                      DS 0907180S  4           2006</t>
  </si>
  <si>
    <t>A concise history of Korea : from the neolithic period through the nineteenth century / Michael J. Seth.</t>
  </si>
  <si>
    <t>Seth, Michael J., 1948-</t>
  </si>
  <si>
    <t>2007-01-17</t>
  </si>
  <si>
    <t>795540413:eng</t>
  </si>
  <si>
    <t>65407346</t>
  </si>
  <si>
    <t>991004937709702656</t>
  </si>
  <si>
    <t>2266246990002656</t>
  </si>
  <si>
    <t>9780742540040</t>
  </si>
  <si>
    <t>32285005235824</t>
  </si>
  <si>
    <t>893901917</t>
  </si>
  <si>
    <t>DS910.18 .K67 1998</t>
  </si>
  <si>
    <t>0                      DS 0910180K  67          1998</t>
  </si>
  <si>
    <t>Korea and regional geopolitics / edited by Walter Jung, Xiao-bing Li.</t>
  </si>
  <si>
    <t>Lanham, Md : University Press of America, 1998.</t>
  </si>
  <si>
    <t>350417762:eng</t>
  </si>
  <si>
    <t>39627563</t>
  </si>
  <si>
    <t>991003520949702656</t>
  </si>
  <si>
    <t>2263219610002656</t>
  </si>
  <si>
    <t>9780761812531</t>
  </si>
  <si>
    <t>32285004326590</t>
  </si>
  <si>
    <t>893623578</t>
  </si>
  <si>
    <t>DS910.2.K7 C66 2003</t>
  </si>
  <si>
    <t>0                      DS 0910200K  7                  C  66          2003</t>
  </si>
  <si>
    <t>Conflict in Asia : Korea, China-Taiwan, and India-Pakistan / edited by Uk Heo and Shale A. Horowitz.</t>
  </si>
  <si>
    <t>2003-07-24</t>
  </si>
  <si>
    <t>801416105:eng</t>
  </si>
  <si>
    <t>49583730</t>
  </si>
  <si>
    <t>991004080459702656</t>
  </si>
  <si>
    <t>2263177680002656</t>
  </si>
  <si>
    <t>9780275977795</t>
  </si>
  <si>
    <t>32285004756655</t>
  </si>
  <si>
    <t>893624324</t>
  </si>
  <si>
    <t>DS913.4 .T87 2002</t>
  </si>
  <si>
    <t>0                      DS 0913400T  87          2002</t>
  </si>
  <si>
    <t>Samurai invasion : Japan's Korean War, 1592-98 / Stephen Turnbull.</t>
  </si>
  <si>
    <t>Turnbull, Stephen R.</t>
  </si>
  <si>
    <t>London : Cassell &amp; Co., c2002.</t>
  </si>
  <si>
    <t>2004-12-01</t>
  </si>
  <si>
    <t>837574475:eng</t>
  </si>
  <si>
    <t>50289152</t>
  </si>
  <si>
    <t>991003961099702656</t>
  </si>
  <si>
    <t>2260604920002656</t>
  </si>
  <si>
    <t>9780304359486</t>
  </si>
  <si>
    <t>32285004690938</t>
  </si>
  <si>
    <t>893410946</t>
  </si>
  <si>
    <t>DS915 .C6 1974</t>
  </si>
  <si>
    <t>0                      DS 0915000C  6           1974</t>
  </si>
  <si>
    <t>The Japanese seizure of Korea: 1868-1910 : a study of realism and idealism in international relations / by Hilary Conroy.</t>
  </si>
  <si>
    <t>Conroy, Hilary, 1919-2015.</t>
  </si>
  <si>
    <t>Philadelphia : University of Pennsylvania Press, 1974, c1960.</t>
  </si>
  <si>
    <t>1st Pennsylvania Paperback ed.</t>
  </si>
  <si>
    <t>Pennsylvania paperback ; 74</t>
  </si>
  <si>
    <t>1103958362:eng</t>
  </si>
  <si>
    <t>1943653</t>
  </si>
  <si>
    <t>991004412509702656</t>
  </si>
  <si>
    <t>2266420210002656</t>
  </si>
  <si>
    <t>9780812210743</t>
  </si>
  <si>
    <t>32285000370816</t>
  </si>
  <si>
    <t>893628147</t>
  </si>
  <si>
    <t>DS915 .C63 1972</t>
  </si>
  <si>
    <t>0                      DS 0915000C  63          1972</t>
  </si>
  <si>
    <t>Korea's 1884 incident; its background and Kim Ok-kyun's elusive dream / by Harold F. Cook.</t>
  </si>
  <si>
    <t>Cook, Harold F., 1929-</t>
  </si>
  <si>
    <t>[Seoul] : Royal Asiatic Society, Korea Branch, c1972, 1982 printing.</t>
  </si>
  <si>
    <t>Royal Asiatic Society. Korea Branch. Monograph series, no. 4</t>
  </si>
  <si>
    <t>2003-04-29</t>
  </si>
  <si>
    <t>287473804:eng</t>
  </si>
  <si>
    <t>354362</t>
  </si>
  <si>
    <t>991002455869702656</t>
  </si>
  <si>
    <t>2266294470002656</t>
  </si>
  <si>
    <t>32285000370824</t>
  </si>
  <si>
    <t>893335339</t>
  </si>
  <si>
    <t>DS915 .K56</t>
  </si>
  <si>
    <t>0                      DS 0915000K  56</t>
  </si>
  <si>
    <t>The last phase of the East Asian world order : Korea, Japan, and the Chinese Empire, 1860-1882 / Key-Hiuk Kim.</t>
  </si>
  <si>
    <t>Kim, Key-Hiuk.</t>
  </si>
  <si>
    <t>501663:eng</t>
  </si>
  <si>
    <t>6114963</t>
  </si>
  <si>
    <t>991004932999702656</t>
  </si>
  <si>
    <t>2255658550002656</t>
  </si>
  <si>
    <t>9780520035560</t>
  </si>
  <si>
    <t>32285000370832</t>
  </si>
  <si>
    <t>893776601</t>
  </si>
  <si>
    <t>DS916.5.R5 O4 1973</t>
  </si>
  <si>
    <t>0                      DS 0916500R  5                  O  4           1973</t>
  </si>
  <si>
    <t>Syngman Rhee, the man behind the myth, by Robert T. Oliver.</t>
  </si>
  <si>
    <t>Oliver, Robert T. (Robert Tarbell), 1909-2000.</t>
  </si>
  <si>
    <t>Westport, Conn., Greenwood Press [1973, c1954]</t>
  </si>
  <si>
    <t>2007-03-03</t>
  </si>
  <si>
    <t>1717678:eng</t>
  </si>
  <si>
    <t>595318</t>
  </si>
  <si>
    <t>991003032609702656</t>
  </si>
  <si>
    <t>2272285740002656</t>
  </si>
  <si>
    <t>9780837167596</t>
  </si>
  <si>
    <t>32285002451044</t>
  </si>
  <si>
    <t>893717250</t>
  </si>
  <si>
    <t>DS916.58.K56 A36 2000</t>
  </si>
  <si>
    <t>0                      DS 0916580K  56                 A  36          2000</t>
  </si>
  <si>
    <t>The autobiography of Kim Ku / translated, annotated and introduced by Jongsoo Lee.</t>
  </si>
  <si>
    <t>Kim, Ku, 1876-1949.</t>
  </si>
  <si>
    <t>Lanham, MD : University Press of America, 2000.</t>
  </si>
  <si>
    <t>2009-03-20</t>
  </si>
  <si>
    <t>9592854399:eng</t>
  </si>
  <si>
    <t>43641313</t>
  </si>
  <si>
    <t>991003520899702656</t>
  </si>
  <si>
    <t>2268166630002656</t>
  </si>
  <si>
    <t>9780761816850</t>
  </si>
  <si>
    <t>32285004326582</t>
  </si>
  <si>
    <t>893416467</t>
  </si>
  <si>
    <t>DS917 .C86 2005</t>
  </si>
  <si>
    <t>0                      DS 0917000C  86          2005</t>
  </si>
  <si>
    <t>Korea's place in the sun : a modern history / Bruce Cumings.</t>
  </si>
  <si>
    <t>Cumings, Bruce, 1943-</t>
  </si>
  <si>
    <t>New York ; London : W. W. Norton, 2005.</t>
  </si>
  <si>
    <t>Updated ed.</t>
  </si>
  <si>
    <t>2007-11-30</t>
  </si>
  <si>
    <t>179148:eng</t>
  </si>
  <si>
    <t>62042862</t>
  </si>
  <si>
    <t>991004683159702656</t>
  </si>
  <si>
    <t>2264174600002656</t>
  </si>
  <si>
    <t>9780393327021</t>
  </si>
  <si>
    <t>32285005150858</t>
  </si>
  <si>
    <t>893889135</t>
  </si>
  <si>
    <t>DS917 .G6</t>
  </si>
  <si>
    <t>0                      DS 0917000G  6</t>
  </si>
  <si>
    <t>Korea : a study of U. S. policy in the United Nations.</t>
  </si>
  <si>
    <t>Goodrich, Leland M. (Leland Matthew), 1899-1990.</t>
  </si>
  <si>
    <t>New York : Council on Foreign Relations, 1956.</t>
  </si>
  <si>
    <t>1994-11-13</t>
  </si>
  <si>
    <t>1994-01-06</t>
  </si>
  <si>
    <t>365416061:eng</t>
  </si>
  <si>
    <t>1546243</t>
  </si>
  <si>
    <t>991003815089702656</t>
  </si>
  <si>
    <t>2271590970002656</t>
  </si>
  <si>
    <t>32285001828846</t>
  </si>
  <si>
    <t>893318442</t>
  </si>
  <si>
    <t>DS917 .K5437 1980</t>
  </si>
  <si>
    <t>0                      DS 0917000K  5437        1980</t>
  </si>
  <si>
    <t>The Korean War, 1950-53 / by Kim Chum-kon.</t>
  </si>
  <si>
    <t>Kim, Chŏm-gon, 1923-</t>
  </si>
  <si>
    <t>Seoul (Korea) : Kwangmyong Pub. Co., c1980.</t>
  </si>
  <si>
    <t>1966590:eng</t>
  </si>
  <si>
    <t>6549105</t>
  </si>
  <si>
    <t>991005001319702656</t>
  </si>
  <si>
    <t>2262368490002656</t>
  </si>
  <si>
    <t>32285000370865</t>
  </si>
  <si>
    <t>893722693</t>
  </si>
  <si>
    <t>DS917 .K5517813 1976</t>
  </si>
  <si>
    <t>0                      DS 0917000K  5517813     1976</t>
  </si>
  <si>
    <t>For the independent peaceful reunification of Korea / Kim Il Sung.</t>
  </si>
  <si>
    <t>Kim, Il-sŏng, 1912-1994.</t>
  </si>
  <si>
    <t>New York : Guardian Associates, c1976.</t>
  </si>
  <si>
    <t>1991-04-19</t>
  </si>
  <si>
    <t>149180902:eng</t>
  </si>
  <si>
    <t>2593062</t>
  </si>
  <si>
    <t>991004174389702656</t>
  </si>
  <si>
    <t>2267892420002656</t>
  </si>
  <si>
    <t>9780917654046</t>
  </si>
  <si>
    <t>32285000583772</t>
  </si>
  <si>
    <t>893794561</t>
  </si>
  <si>
    <t>DS917 .K667</t>
  </si>
  <si>
    <t>0                      DS 0917000K  667</t>
  </si>
  <si>
    <t>Korean politics in transition / edited by Edward Reynolds Wright ; contributors, Suk-choon Cho ... [et al.].</t>
  </si>
  <si>
    <t>Seattle : Published for the Royal Asiatic Society, Korea Branch, by the University of Washington Press, 1975.</t>
  </si>
  <si>
    <t>1997-10-11</t>
  </si>
  <si>
    <t>1992-08-07</t>
  </si>
  <si>
    <t>537101526:eng</t>
  </si>
  <si>
    <t>1551118</t>
  </si>
  <si>
    <t>991003817479702656</t>
  </si>
  <si>
    <t>2265778680002656</t>
  </si>
  <si>
    <t>9780295954226</t>
  </si>
  <si>
    <t>32285001243111</t>
  </si>
  <si>
    <t>893445874</t>
  </si>
  <si>
    <t>DS917 .K67</t>
  </si>
  <si>
    <t>0                      DS 0917000K  67</t>
  </si>
  <si>
    <t>Road to peaceful Korean unification : Republic of Korea's basic policy toward unification.</t>
  </si>
  <si>
    <t>Korea (South). Haeoe Kongbogwan.</t>
  </si>
  <si>
    <t>Seoul : Korean Overseas Information Service, 1973.</t>
  </si>
  <si>
    <t>350054506:eng</t>
  </si>
  <si>
    <t>3515538</t>
  </si>
  <si>
    <t>991004451379702656</t>
  </si>
  <si>
    <t>2271983420002656</t>
  </si>
  <si>
    <t>32285002027745</t>
  </si>
  <si>
    <t>893618683</t>
  </si>
  <si>
    <t>DS917 .O4 1950</t>
  </si>
  <si>
    <t>0                      DS 0917000O  4           1950</t>
  </si>
  <si>
    <t>Why war came in Korea / Robert T. Oliver.</t>
  </si>
  <si>
    <t>New York : Fordham University Press ; D.X. McMullen Co., Distributors, 1950.</t>
  </si>
  <si>
    <t>2001-01-10</t>
  </si>
  <si>
    <t>1462798:eng</t>
  </si>
  <si>
    <t>412572</t>
  </si>
  <si>
    <t>991002720849702656</t>
  </si>
  <si>
    <t>2264536490002656</t>
  </si>
  <si>
    <t>32285000299981</t>
  </si>
  <si>
    <t>893610201</t>
  </si>
  <si>
    <t>DS917 .P313 1970</t>
  </si>
  <si>
    <t>0                      DS 0917000P  313         1970</t>
  </si>
  <si>
    <t>Our nation's path: ideology of social reconstruction, by Park Chung Hee.</t>
  </si>
  <si>
    <t>Park, Chung Hee, 1917-1979.</t>
  </si>
  <si>
    <t>Seoul, Hollym Corp. [1970]</t>
  </si>
  <si>
    <t>A New horizon in Asia, 1</t>
  </si>
  <si>
    <t>1901178:eng</t>
  </si>
  <si>
    <t>1105075</t>
  </si>
  <si>
    <t>991003540889702656</t>
  </si>
  <si>
    <t>2258994720002656</t>
  </si>
  <si>
    <t>32285002274305</t>
  </si>
  <si>
    <t>893422678</t>
  </si>
  <si>
    <t>DS917 .P74 2004</t>
  </si>
  <si>
    <t>0                      DS 0917000P  74          2004</t>
  </si>
  <si>
    <t>A hard journey to justice : first term report by the Presidential Truth Commission on Suspicious Deaths of the Republic of Korea.</t>
  </si>
  <si>
    <t>Taetʻongnyŏng Sosok Ŭimunsa Chinsang Kyumyŏng Wiwŏnhoe (Korea)</t>
  </si>
  <si>
    <t>Seoul, South Korea : Samin Books, 2004.</t>
  </si>
  <si>
    <t>16515202:eng</t>
  </si>
  <si>
    <t>55945625</t>
  </si>
  <si>
    <t>991004321779702656</t>
  </si>
  <si>
    <t>2262816640002656</t>
  </si>
  <si>
    <t>32285004923347</t>
  </si>
  <si>
    <t>893599697</t>
  </si>
  <si>
    <t>DS917 .T86</t>
  </si>
  <si>
    <t>0                      DS 0917000T  86</t>
  </si>
  <si>
    <t>The Two Koreas in East Asian affairs / edited by William J. Barnds.</t>
  </si>
  <si>
    <t>New York : New York University Press, 1976.</t>
  </si>
  <si>
    <t>54097747:eng</t>
  </si>
  <si>
    <t>2020057</t>
  </si>
  <si>
    <t>991003980979702656</t>
  </si>
  <si>
    <t>2271690390002656</t>
  </si>
  <si>
    <t>9780814709887</t>
  </si>
  <si>
    <t>32285002451127</t>
  </si>
  <si>
    <t>893722195</t>
  </si>
  <si>
    <t>DS917 .U54 1969</t>
  </si>
  <si>
    <t>0                      DS 0917000U  54          1969</t>
  </si>
  <si>
    <t>Korea, 1945 to 1948; a report on political developments and economic resources with selected documents.</t>
  </si>
  <si>
    <t>United States. Department of State. Office of Public Affairs.</t>
  </si>
  <si>
    <t>New York, Greenwood Press [1969]</t>
  </si>
  <si>
    <t>8907729467:eng</t>
  </si>
  <si>
    <t>21845</t>
  </si>
  <si>
    <t>991000041539702656</t>
  </si>
  <si>
    <t>2261435530002656</t>
  </si>
  <si>
    <t>9780837117317</t>
  </si>
  <si>
    <t>32285002451135</t>
  </si>
  <si>
    <t>893601404</t>
  </si>
  <si>
    <t>DS917.444 .O54 1994</t>
  </si>
  <si>
    <t>0                      DS 0917444O  54          1994</t>
  </si>
  <si>
    <t>One Korea? : challenges and prospects for reunification / edited by Thomas H. Henriksen and Kyongsoo Lho.</t>
  </si>
  <si>
    <t>Stanford, Calif. : Hoover Institution Press, c1994.</t>
  </si>
  <si>
    <t>Hoover Institution Press publication ; no. 421a</t>
  </si>
  <si>
    <t>2008-04-11</t>
  </si>
  <si>
    <t>1995-11-02</t>
  </si>
  <si>
    <t>366521841:eng</t>
  </si>
  <si>
    <t>30625391</t>
  </si>
  <si>
    <t>991002353789702656</t>
  </si>
  <si>
    <t>2260665870002656</t>
  </si>
  <si>
    <t>9780817992910</t>
  </si>
  <si>
    <t>32285002100450</t>
  </si>
  <si>
    <t>893427504</t>
  </si>
  <si>
    <t>DS918 .A555 2002</t>
  </si>
  <si>
    <t>0                      DS 0918000A  555         2002</t>
  </si>
  <si>
    <t>Rethinking the Korean war : a new diplomatic and strategic history / William Stueck.</t>
  </si>
  <si>
    <t>Stueck, William Whitney, 1945-</t>
  </si>
  <si>
    <t>Princeton, NJ : Princeton University Press, 2002.</t>
  </si>
  <si>
    <t>2010-08-26</t>
  </si>
  <si>
    <t>50464374:eng</t>
  </si>
  <si>
    <t>48613450</t>
  </si>
  <si>
    <t>991004499519702656</t>
  </si>
  <si>
    <t>2257091990002656</t>
  </si>
  <si>
    <t>9780691088532</t>
  </si>
  <si>
    <t>32285005049282</t>
  </si>
  <si>
    <t>893319312</t>
  </si>
  <si>
    <t>DS918 .A64 1986</t>
  </si>
  <si>
    <t>0                      DS 0918000A  64          1986</t>
  </si>
  <si>
    <t>Korea, the first war we lost / Bevin Alexander.</t>
  </si>
  <si>
    <t>Alexander, Bevin.</t>
  </si>
  <si>
    <t>New York (171 Madison Ave., New York, N.Y. 10016) : Hippocrene, c1986.</t>
  </si>
  <si>
    <t>2009-05-06</t>
  </si>
  <si>
    <t>3901210125:eng</t>
  </si>
  <si>
    <t>20994629</t>
  </si>
  <si>
    <t>991000876349702656</t>
  </si>
  <si>
    <t>2271917860002656</t>
  </si>
  <si>
    <t>9780870521355</t>
  </si>
  <si>
    <t>32285000181718</t>
  </si>
  <si>
    <t>893608354</t>
  </si>
  <si>
    <t>DS918 .B4 1964</t>
  </si>
  <si>
    <t>0                      DS 0918000B  4           1964</t>
  </si>
  <si>
    <t>The Korea knot : a military-political history.</t>
  </si>
  <si>
    <t>Berger, Carl, 1925 January 28-</t>
  </si>
  <si>
    <t>Philadelphia, Pa. : University of Pennsylvania Press, 1964, c1957.</t>
  </si>
  <si>
    <t>19752037:eng</t>
  </si>
  <si>
    <t>15285559</t>
  </si>
  <si>
    <t>991001012369702656</t>
  </si>
  <si>
    <t>2262183020002656</t>
  </si>
  <si>
    <t>32285002451143</t>
  </si>
  <si>
    <t>893231625</t>
  </si>
  <si>
    <t>DS918 .C28 2000</t>
  </si>
  <si>
    <t>0                      DS 0918000C  28          2000</t>
  </si>
  <si>
    <t>The Korean War, 1950-53 / Brian Catchpole.</t>
  </si>
  <si>
    <t>Catchpole, Brian.</t>
  </si>
  <si>
    <t>New York : Carroll &amp; Graf Publishers, Inc., 2000.</t>
  </si>
  <si>
    <t>2008-02-18</t>
  </si>
  <si>
    <t>20525322:eng</t>
  </si>
  <si>
    <t>45231073</t>
  </si>
  <si>
    <t>991003729849702656</t>
  </si>
  <si>
    <t>2266920290002656</t>
  </si>
  <si>
    <t>9780786707805</t>
  </si>
  <si>
    <t>32285004455241</t>
  </si>
  <si>
    <t>893875088</t>
  </si>
  <si>
    <t>DS918 .C55 1973</t>
  </si>
  <si>
    <t>0                      DS 0918000C  55          1973</t>
  </si>
  <si>
    <t>From the Danube to the Yalu, by Mark W. Clark.</t>
  </si>
  <si>
    <t>Clark, Mark W. (Mark Wayne), 1896-1984.</t>
  </si>
  <si>
    <t>1997-06-11</t>
  </si>
  <si>
    <t>1317936:eng</t>
  </si>
  <si>
    <t>548093</t>
  </si>
  <si>
    <t>991002970119702656</t>
  </si>
  <si>
    <t>2262627540002656</t>
  </si>
  <si>
    <t>9780837167428</t>
  </si>
  <si>
    <t>32285002451150</t>
  </si>
  <si>
    <t>893342089</t>
  </si>
  <si>
    <t>DS918 .D8 1990</t>
  </si>
  <si>
    <t>0                      DS 0918000D  8           1990</t>
  </si>
  <si>
    <t>This is war! : a photo-narrative of the Korean War / by David Douglas Duncan ; with a foreword by Harrison E. Salisbury.</t>
  </si>
  <si>
    <t>Duncan, David Douglas.</t>
  </si>
  <si>
    <t>Boston : Little, Brown, c1990.</t>
  </si>
  <si>
    <t>1998-10-26</t>
  </si>
  <si>
    <t>3856354370:eng</t>
  </si>
  <si>
    <t>20994221</t>
  </si>
  <si>
    <t>991001638499702656</t>
  </si>
  <si>
    <t>2270154330002656</t>
  </si>
  <si>
    <t>9780316195652</t>
  </si>
  <si>
    <t>32285003414728</t>
  </si>
  <si>
    <t>893602741</t>
  </si>
  <si>
    <t>DS918 .E36 1998</t>
  </si>
  <si>
    <t>0                      DS 0918000E  36          1998</t>
  </si>
  <si>
    <t>The Korean War : an annotated bibliography / compiled by Paul M. Edwards.</t>
  </si>
  <si>
    <t>Edwards, Paul M.</t>
  </si>
  <si>
    <t>Bibliographies and indexes in military studies, 1040-7995 ; no. 10</t>
  </si>
  <si>
    <t>3943930052:eng</t>
  </si>
  <si>
    <t>37675804</t>
  </si>
  <si>
    <t>991002858839702656</t>
  </si>
  <si>
    <t>2266467070002656</t>
  </si>
  <si>
    <t>9780313303173</t>
  </si>
  <si>
    <t>32285003555256</t>
  </si>
  <si>
    <t>893698356</t>
  </si>
  <si>
    <t>DS918 .E39 2000</t>
  </si>
  <si>
    <t>0                      DS 0918000E  39          2000</t>
  </si>
  <si>
    <t>To acknowledge a war : the Korean War in American memory / Paul M. Edwards.</t>
  </si>
  <si>
    <t>Westport, Conn. : Greenwood Press, 2000.</t>
  </si>
  <si>
    <t>Contributions in military studies, 0883-6884 ; no. 193</t>
  </si>
  <si>
    <t>2001-01-09</t>
  </si>
  <si>
    <t>2632334:eng</t>
  </si>
  <si>
    <t>42772737</t>
  </si>
  <si>
    <t>991003320219702656</t>
  </si>
  <si>
    <t>2272666480002656</t>
  </si>
  <si>
    <t>9780313310218</t>
  </si>
  <si>
    <t>32285004281662</t>
  </si>
  <si>
    <t>893511825</t>
  </si>
  <si>
    <t>DS918 .F62 1985</t>
  </si>
  <si>
    <t>0                      DS 0918000F  62          1985</t>
  </si>
  <si>
    <t>The wrong war : American policy and the dimensions of the Korean conflict, 1950-1953 / Rosemary Foot.</t>
  </si>
  <si>
    <t>Foot, Rosemary, 1948-</t>
  </si>
  <si>
    <t>Ithaca : Cornell University Press, 1985.</t>
  </si>
  <si>
    <t>Cornell studies in security affairs</t>
  </si>
  <si>
    <t>4440417:eng</t>
  </si>
  <si>
    <t>11621430</t>
  </si>
  <si>
    <t>991000564739702656</t>
  </si>
  <si>
    <t>2263493580002656</t>
  </si>
  <si>
    <t>9780801418006</t>
  </si>
  <si>
    <t>32285000370923</t>
  </si>
  <si>
    <t>893496359</t>
  </si>
  <si>
    <t>DS918 .H515</t>
  </si>
  <si>
    <t>0                      DS 0918000H  515</t>
  </si>
  <si>
    <t>Korea and the fall of MacArthur; a précis in limited war.</t>
  </si>
  <si>
    <t>Higgins, Trumbull.</t>
  </si>
  <si>
    <t>New York, Oxford University Press, 1960.</t>
  </si>
  <si>
    <t>2004-04-18</t>
  </si>
  <si>
    <t>1462840:eng</t>
  </si>
  <si>
    <t>412581</t>
  </si>
  <si>
    <t>991002720929702656</t>
  </si>
  <si>
    <t>2264533950002656</t>
  </si>
  <si>
    <t>32285002451176</t>
  </si>
  <si>
    <t>893317169</t>
  </si>
  <si>
    <t>DS918 .K68 1998</t>
  </si>
  <si>
    <t>0                      DS 0918000K  68          1998</t>
  </si>
  <si>
    <t>The Korean war in retrospect : lessons for the future / edited by Daniel J. Meador, James Monroe.</t>
  </si>
  <si>
    <t>Lanham : University Press of America, c1998.</t>
  </si>
  <si>
    <t>501843310:eng</t>
  </si>
  <si>
    <t>38281712</t>
  </si>
  <si>
    <t>991003520919702656</t>
  </si>
  <si>
    <t>2262462030002656</t>
  </si>
  <si>
    <t>9780761810735</t>
  </si>
  <si>
    <t>32285004330972</t>
  </si>
  <si>
    <t>893524893</t>
  </si>
  <si>
    <t>DS918 .K684 2004</t>
  </si>
  <si>
    <t>0                      DS 0918000K  684         2004</t>
  </si>
  <si>
    <t>The Korean War in world history / edited by William Stueck.</t>
  </si>
  <si>
    <t>Lexington, Ky. : University Press of Kentucky, c2004.</t>
  </si>
  <si>
    <t>56968215:eng</t>
  </si>
  <si>
    <t>53375148</t>
  </si>
  <si>
    <t>991005053639702656</t>
  </si>
  <si>
    <t>2270951370002656</t>
  </si>
  <si>
    <t>9780813123066</t>
  </si>
  <si>
    <t>32285005283626</t>
  </si>
  <si>
    <t>893242122</t>
  </si>
  <si>
    <t>DS918 .L68 1986</t>
  </si>
  <si>
    <t>0                      DS 0918000L  68          1986</t>
  </si>
  <si>
    <t>The origins of the Korean War / Peter Lowe.</t>
  </si>
  <si>
    <t>Lowe, Peter.</t>
  </si>
  <si>
    <t>Origins of modern wars</t>
  </si>
  <si>
    <t>1999-05-02</t>
  </si>
  <si>
    <t>571750:eng</t>
  </si>
  <si>
    <t>12585335</t>
  </si>
  <si>
    <t>991000712119702656</t>
  </si>
  <si>
    <t>2263067510002656</t>
  </si>
  <si>
    <t>9780582492783</t>
  </si>
  <si>
    <t>32285000370956</t>
  </si>
  <si>
    <t>893620731</t>
  </si>
  <si>
    <t>DS918 .M263 1987</t>
  </si>
  <si>
    <t>0                      DS 0918000M  263         1987</t>
  </si>
  <si>
    <t>Korea, the war before Vietnam / Callum A. MacDonald.</t>
  </si>
  <si>
    <t>MacDonald, C. A.</t>
  </si>
  <si>
    <t>New York : Free Press, 1987.</t>
  </si>
  <si>
    <t>8997889:eng</t>
  </si>
  <si>
    <t>14240157</t>
  </si>
  <si>
    <t>991000925939702656</t>
  </si>
  <si>
    <t>2258763500002656</t>
  </si>
  <si>
    <t>9780029196212</t>
  </si>
  <si>
    <t>32285000370964</t>
  </si>
  <si>
    <t>893784635</t>
  </si>
  <si>
    <t>DS918 .P8</t>
  </si>
  <si>
    <t>0                      DS 0918000P  8</t>
  </si>
  <si>
    <t>The truth behind the Korean War : a review of worldwide news reports and editorials.</t>
  </si>
  <si>
    <t>Hanʼguk Hongbo Hyŏphoe.</t>
  </si>
  <si>
    <t>4036687541:eng</t>
  </si>
  <si>
    <t>1502748</t>
  </si>
  <si>
    <t>991003787319702656</t>
  </si>
  <si>
    <t>2263392170002656</t>
  </si>
  <si>
    <t>32285000470962</t>
  </si>
  <si>
    <t>893693157</t>
  </si>
  <si>
    <t>DS918 .R47 1993</t>
  </si>
  <si>
    <t>0                      DS 0918000R  47          1993</t>
  </si>
  <si>
    <t>A revolutionary war : Korea and the transformation of the postwar world / edited by William J. Williams.</t>
  </si>
  <si>
    <t>Chicago : Imprint Publications, 1993.</t>
  </si>
  <si>
    <t>Military History Symposium series of the United States Air Force Academy ; v. 2</t>
  </si>
  <si>
    <t>1999-11-04</t>
  </si>
  <si>
    <t>474146148:eng</t>
  </si>
  <si>
    <t>29863776</t>
  </si>
  <si>
    <t>991002301869702656</t>
  </si>
  <si>
    <t>2259135340002656</t>
  </si>
  <si>
    <t>9781879176164</t>
  </si>
  <si>
    <t>32285003618401</t>
  </si>
  <si>
    <t>893433727</t>
  </si>
  <si>
    <t>DS918 .R5 1973</t>
  </si>
  <si>
    <t>0                      DS 0918000R  5           1973</t>
  </si>
  <si>
    <t>The Reds take a city; the Communist occupation of Seoul, with eyewitness accounts, by John W. Riley, Jr. and Wilbur Schramm. Narratives translated by Hugh Heung-wu Cynn.</t>
  </si>
  <si>
    <t>Riley, John W.</t>
  </si>
  <si>
    <t>Westport, Conn., Greenwood Press [1973, c1951]</t>
  </si>
  <si>
    <t>4020402385:eng</t>
  </si>
  <si>
    <t>578009</t>
  </si>
  <si>
    <t>991003011199702656</t>
  </si>
  <si>
    <t>2256438460002656</t>
  </si>
  <si>
    <t>9780837167114</t>
  </si>
  <si>
    <t>32285002451192</t>
  </si>
  <si>
    <t>893874322</t>
  </si>
  <si>
    <t>DS918 .S55</t>
  </si>
  <si>
    <t>0                      DS 0918000S  55</t>
  </si>
  <si>
    <t>The strained alliance : Peking, Pʼyŏngyang, Moscow, and the politics of the Korean Civil War / [by] Robert R. Simmons.</t>
  </si>
  <si>
    <t>Simmons, Robert R.</t>
  </si>
  <si>
    <t>1995-02-24</t>
  </si>
  <si>
    <t>400816:eng</t>
  </si>
  <si>
    <t>1419668</t>
  </si>
  <si>
    <t>991003747339702656</t>
  </si>
  <si>
    <t>2260575970002656</t>
  </si>
  <si>
    <t>9780029288801</t>
  </si>
  <si>
    <t>32285002010048</t>
  </si>
  <si>
    <t>893318357</t>
  </si>
  <si>
    <t>DS918 .S86 1990</t>
  </si>
  <si>
    <t>0                      DS 0918000S  86          1990</t>
  </si>
  <si>
    <t>Korean War almanac / Harry G. Summers, Jr.</t>
  </si>
  <si>
    <t>New York, N.Y. : Facts on File, 1990.</t>
  </si>
  <si>
    <t>1990-06-29</t>
  </si>
  <si>
    <t>21473341:eng</t>
  </si>
  <si>
    <t>19722569</t>
  </si>
  <si>
    <t>991001490549702656</t>
  </si>
  <si>
    <t>2256278040002656</t>
  </si>
  <si>
    <t>9780816017379</t>
  </si>
  <si>
    <t>32285000206754</t>
  </si>
  <si>
    <t>893503448</t>
  </si>
  <si>
    <t>DS918 .T658 1991</t>
  </si>
  <si>
    <t>0                      DS 0918000T  658         1991</t>
  </si>
  <si>
    <t>In mortal combat : Korea, 1950-1953 / John Toland.</t>
  </si>
  <si>
    <t>Toland, John.</t>
  </si>
  <si>
    <t>New York : Morrow, c1991.</t>
  </si>
  <si>
    <t>1997-01-06</t>
  </si>
  <si>
    <t>3769139896:eng</t>
  </si>
  <si>
    <t>23140489</t>
  </si>
  <si>
    <t>991001841139702656</t>
  </si>
  <si>
    <t>2266731080002656</t>
  </si>
  <si>
    <t>9780688100797</t>
  </si>
  <si>
    <t>32285001008829</t>
  </si>
  <si>
    <t>893426913</t>
  </si>
  <si>
    <t>DS918 .W37 2001</t>
  </si>
  <si>
    <t>0                      DS 0918000W  37          2001</t>
  </si>
  <si>
    <t>War and democracy : a comparative study of the Korean War and the Peloponnesian War / David McCann and Barry S. Strauss, editors.</t>
  </si>
  <si>
    <t>Armonk, N.Y. : M.E. Sharpe, c2001.</t>
  </si>
  <si>
    <t>2001-11-07</t>
  </si>
  <si>
    <t>889759967:eng</t>
  </si>
  <si>
    <t>44683497</t>
  </si>
  <si>
    <t>991003638049702656</t>
  </si>
  <si>
    <t>2257718750002656</t>
  </si>
  <si>
    <t>9780765606945</t>
  </si>
  <si>
    <t>32285004415864</t>
  </si>
  <si>
    <t>893598785</t>
  </si>
  <si>
    <t>DS918 .W485</t>
  </si>
  <si>
    <t>0                      DS 0918000W  485</t>
  </si>
  <si>
    <t>Who started the war? : The truth about the Korean conflict.</t>
  </si>
  <si>
    <t>[Seoul : Public Relations Association of Korea, 1973]</t>
  </si>
  <si>
    <t>1993-12-16</t>
  </si>
  <si>
    <t>1894001:eng</t>
  </si>
  <si>
    <t>937651</t>
  </si>
  <si>
    <t>991003398449702656</t>
  </si>
  <si>
    <t>2266170540002656</t>
  </si>
  <si>
    <t>32285001809796</t>
  </si>
  <si>
    <t>893698972</t>
  </si>
  <si>
    <t>DS918.15 .D85 2003</t>
  </si>
  <si>
    <t>0                      DS 0918150D  85          2003</t>
  </si>
  <si>
    <t>Battle for Korea : a history of the Korean conflict / Robert J. Dvorchak.</t>
  </si>
  <si>
    <t>Dvorchak, Robert J.</t>
  </si>
  <si>
    <t>Cambridge, Mass. : Da Capo ; London : Eurospan, 2003.</t>
  </si>
  <si>
    <t>1st Da Capo ed.</t>
  </si>
  <si>
    <t>2007-09-05</t>
  </si>
  <si>
    <t>793074917:eng</t>
  </si>
  <si>
    <t>51668369</t>
  </si>
  <si>
    <t>991004164789702656</t>
  </si>
  <si>
    <t>2267124480002656</t>
  </si>
  <si>
    <t>9780306812446</t>
  </si>
  <si>
    <t>32285004798293</t>
  </si>
  <si>
    <t>893423460</t>
  </si>
  <si>
    <t>DS918.2.C4 M3 1970</t>
  </si>
  <si>
    <t>0                      DS 0918200C  4                  M  3           1970</t>
  </si>
  <si>
    <t>The river and the gauntlet : defeat of the Eighth Army by the Chinese Communist forces, November, 1950, in the Battle of the Chongchon River, Korea / by S. L. A. Marshall.</t>
  </si>
  <si>
    <t>Marshall, S. L. A. (Samuel Lyman Atwood), 1900-1977.</t>
  </si>
  <si>
    <t>Westport, Conn. : Greenwood Press, [1970, c1953]</t>
  </si>
  <si>
    <t>2008-07-25</t>
  </si>
  <si>
    <t>1990-11-05</t>
  </si>
  <si>
    <t>1102585922:eng</t>
  </si>
  <si>
    <t>69456</t>
  </si>
  <si>
    <t>991000312929702656</t>
  </si>
  <si>
    <t>2259471390002656</t>
  </si>
  <si>
    <t>9780837130118</t>
  </si>
  <si>
    <t>32285000370980</t>
  </si>
  <si>
    <t>893249239</t>
  </si>
  <si>
    <t>DS919 .G37 1972</t>
  </si>
  <si>
    <t>0                      DS 0919000G  37          1972</t>
  </si>
  <si>
    <t>The Korean War / edited with an introd. by Lloyd C. Gardner.</t>
  </si>
  <si>
    <t>Gardner, Lloyd C., 1934- compiler.</t>
  </si>
  <si>
    <t>New York : Quadrangle Books, 1972.</t>
  </si>
  <si>
    <t>1527103:eng</t>
  </si>
  <si>
    <t>524545</t>
  </si>
  <si>
    <t>991002917409702656</t>
  </si>
  <si>
    <t>2261111520002656</t>
  </si>
  <si>
    <t>9780812902495</t>
  </si>
  <si>
    <t>32285000371004</t>
  </si>
  <si>
    <t>893434454</t>
  </si>
  <si>
    <t>DS919 .G8</t>
  </si>
  <si>
    <t>0                      DS 0919000G  8</t>
  </si>
  <si>
    <t>Korea and the theory of limited war.</t>
  </si>
  <si>
    <t>Guttmann, Allen compiler.</t>
  </si>
  <si>
    <t>Boston, Heath [1967]</t>
  </si>
  <si>
    <t>Problems in American civilization</t>
  </si>
  <si>
    <t>118271822:eng</t>
  </si>
  <si>
    <t>2579698</t>
  </si>
  <si>
    <t>991004170319702656</t>
  </si>
  <si>
    <t>2257614500002656</t>
  </si>
  <si>
    <t>32285002451218</t>
  </si>
  <si>
    <t>893806752</t>
  </si>
  <si>
    <t>DS919 .H35 2007</t>
  </si>
  <si>
    <t>0                      DS 0919000H  35          2007</t>
  </si>
  <si>
    <t>The coldest winter : America and the Korean War / David Halberstam.</t>
  </si>
  <si>
    <t>Halberstam, David.</t>
  </si>
  <si>
    <t>New York : Hyperion, c2007.</t>
  </si>
  <si>
    <t>168280440:eng</t>
  </si>
  <si>
    <t>137324872</t>
  </si>
  <si>
    <t>991005206969702656</t>
  </si>
  <si>
    <t>2256007540002656</t>
  </si>
  <si>
    <t>9781401300524</t>
  </si>
  <si>
    <t>32285005404966</t>
  </si>
  <si>
    <t>893533361</t>
  </si>
  <si>
    <t>DS919 .K38 1986</t>
  </si>
  <si>
    <t>0                      DS 0919000K  38          1986</t>
  </si>
  <si>
    <t>The Korean War : challenges in crisis, credibility, and command / Burton I. Kaufman.</t>
  </si>
  <si>
    <t>Kaufman, Burton Ira.</t>
  </si>
  <si>
    <t>Philadelphia : Temple University Press, c1986.</t>
  </si>
  <si>
    <t>2009-04-30</t>
  </si>
  <si>
    <t>5385728:eng</t>
  </si>
  <si>
    <t>12804982</t>
  </si>
  <si>
    <t>991000739139702656</t>
  </si>
  <si>
    <t>2255978260002656</t>
  </si>
  <si>
    <t>9780877224181</t>
  </si>
  <si>
    <t>32285000371012</t>
  </si>
  <si>
    <t>893620747</t>
  </si>
  <si>
    <t>DS919 .N6 1975</t>
  </si>
  <si>
    <t>0                      DS 0919000N  6           1975</t>
  </si>
  <si>
    <t>Embassy at war / Harold Joyce Noble ; edited with an introd. by Frank Baldwin.</t>
  </si>
  <si>
    <t>Noble, Harold Joyce, 1903-1953.</t>
  </si>
  <si>
    <t>Seattle : University of Washington Press, [1975] c1974.</t>
  </si>
  <si>
    <t>2063074:eng</t>
  </si>
  <si>
    <t>1091788</t>
  </si>
  <si>
    <t>991003528179702656</t>
  </si>
  <si>
    <t>2265980740002656</t>
  </si>
  <si>
    <t>9780295953410</t>
  </si>
  <si>
    <t>32285002449022</t>
  </si>
  <si>
    <t>893499393</t>
  </si>
  <si>
    <t>DS919 .S62</t>
  </si>
  <si>
    <t>0                      DS 0919000S  62</t>
  </si>
  <si>
    <t>The Truman-MacArthur controversy and the Korean War.</t>
  </si>
  <si>
    <t>Spanier, John W.</t>
  </si>
  <si>
    <t>Cambridge, Mass., Belknap Press, 1959.</t>
  </si>
  <si>
    <t>459280:eng</t>
  </si>
  <si>
    <t>412555</t>
  </si>
  <si>
    <t>991002720699702656</t>
  </si>
  <si>
    <t>2264539390002656</t>
  </si>
  <si>
    <t>32285002449048</t>
  </si>
  <si>
    <t>893421716</t>
  </si>
  <si>
    <t>DS919.2 .W37 2002</t>
  </si>
  <si>
    <t>0                      DS 0919200W  37          2002</t>
  </si>
  <si>
    <t>Far Eastern tour : the Canadian infantry in Korea, 1950-1953 / Brent Byron Watson.</t>
  </si>
  <si>
    <t>Watson, Brent Byron, 1970-</t>
  </si>
  <si>
    <t>Montreal : McGill-Queen's University Press, c2002.</t>
  </si>
  <si>
    <t>quc</t>
  </si>
  <si>
    <t>793980927:eng</t>
  </si>
  <si>
    <t>49512753</t>
  </si>
  <si>
    <t>991004242039702656</t>
  </si>
  <si>
    <t>2269647670002656</t>
  </si>
  <si>
    <t>9780773523722</t>
  </si>
  <si>
    <t>32285004892005</t>
  </si>
  <si>
    <t>893446101</t>
  </si>
  <si>
    <t>DS920.8 .H36 2001</t>
  </si>
  <si>
    <t>0                      DS 0920800H  36          2001</t>
  </si>
  <si>
    <t>The bridge at No Gun Ri : a hidden nightmare from the Korean War / Charles J. Hanley, Sang-Hun Choe, and Martha Mendoza ; with research assistance by Randy Herschaft.</t>
  </si>
  <si>
    <t>Hanley, Charles J.</t>
  </si>
  <si>
    <t>New York : Henry Holt and Co., 2001.</t>
  </si>
  <si>
    <t>2003-01-28</t>
  </si>
  <si>
    <t>4757817896:eng</t>
  </si>
  <si>
    <t>46872329</t>
  </si>
  <si>
    <t>991003970979702656</t>
  </si>
  <si>
    <t>2271892580002656</t>
  </si>
  <si>
    <t>9780805066586</t>
  </si>
  <si>
    <t>32285004695606</t>
  </si>
  <si>
    <t>893699656</t>
  </si>
  <si>
    <t>DS921 .B72 2000</t>
  </si>
  <si>
    <t>0                      DS 0921000B  72          2000</t>
  </si>
  <si>
    <t>The coldest war : a memoir of Korea / James Brady.</t>
  </si>
  <si>
    <t>Brady, James, 1928-2009.</t>
  </si>
  <si>
    <t>New York : St. Martin's Griffin, [2000], c1990.</t>
  </si>
  <si>
    <t>2000-08-09</t>
  </si>
  <si>
    <t>196068533:eng</t>
  </si>
  <si>
    <t>44139882</t>
  </si>
  <si>
    <t>991003225849702656</t>
  </si>
  <si>
    <t>2265162590002656</t>
  </si>
  <si>
    <t>9780312265113</t>
  </si>
  <si>
    <t>32285003756763</t>
  </si>
  <si>
    <t>893511709</t>
  </si>
  <si>
    <t>DS921 .C75 1955</t>
  </si>
  <si>
    <t>0                      DS 0921000C  75          1955</t>
  </si>
  <si>
    <t>March till they die.</t>
  </si>
  <si>
    <t>Crosbie, Philip.</t>
  </si>
  <si>
    <t>Dublin : Browne &amp; Nolan, limited, [1955]</t>
  </si>
  <si>
    <t>1996-11-03</t>
  </si>
  <si>
    <t>2304278:eng</t>
  </si>
  <si>
    <t>2000173</t>
  </si>
  <si>
    <t>991003974739702656</t>
  </si>
  <si>
    <t>2258253090002656</t>
  </si>
  <si>
    <t>32285002274321</t>
  </si>
  <si>
    <t>893442022</t>
  </si>
  <si>
    <t>DS921 .L43 2000</t>
  </si>
  <si>
    <t>0                      DS 0921000L  43          2000</t>
  </si>
  <si>
    <t>Broken soldiers / Raymond B. Lech.</t>
  </si>
  <si>
    <t>Lech, Raymond B., 1940-</t>
  </si>
  <si>
    <t>Urbana : University of Illinois Press, c2000.</t>
  </si>
  <si>
    <t>44807994:eng</t>
  </si>
  <si>
    <t>43384812</t>
  </si>
  <si>
    <t>991003864669702656</t>
  </si>
  <si>
    <t>2263569410002656</t>
  </si>
  <si>
    <t>9780252025419</t>
  </si>
  <si>
    <t>32285004646583</t>
  </si>
  <si>
    <t>893693238</t>
  </si>
  <si>
    <t>DS921.2 .W4 1976</t>
  </si>
  <si>
    <t>0                      DS 0921200W  4           1976</t>
  </si>
  <si>
    <t>War in the wards : Korea's unknown battle in a prisoner-of-war hospital camp / Stanley Weintraub.</t>
  </si>
  <si>
    <t>Weintraub, Stanley, 1929-2019.</t>
  </si>
  <si>
    <t>San Rafael, Calif. : Presidio Press, c1976.</t>
  </si>
  <si>
    <t>2248858:eng</t>
  </si>
  <si>
    <t>2994345</t>
  </si>
  <si>
    <t>991004310989702656</t>
  </si>
  <si>
    <t>2257307270002656</t>
  </si>
  <si>
    <t>9780891410126</t>
  </si>
  <si>
    <t>32285002451242</t>
  </si>
  <si>
    <t>893722368</t>
  </si>
  <si>
    <t>DS921.6 .P33 1995</t>
  </si>
  <si>
    <t>0                      DS 0921600P  33          1995</t>
  </si>
  <si>
    <t>Witness to war : Korea / Rod Paschall.</t>
  </si>
  <si>
    <t>Paschall, Rod, 1935-</t>
  </si>
  <si>
    <t>New York, N.Y. : Berkley Pub. Group, c1995.</t>
  </si>
  <si>
    <t>9657319521:eng</t>
  </si>
  <si>
    <t>31330354</t>
  </si>
  <si>
    <t>991002408199702656</t>
  </si>
  <si>
    <t>2255741970002656</t>
  </si>
  <si>
    <t>9780399519345</t>
  </si>
  <si>
    <t>32285003611554</t>
  </si>
  <si>
    <t>893433843</t>
  </si>
  <si>
    <t>DS921.7 .J625 1978</t>
  </si>
  <si>
    <t>0                      DS 0921700J  625         1978</t>
  </si>
  <si>
    <t>Negotiating while fighting : the diary of Admiral C. Turner Joy at the Korean Armistice Conference / edited and with an introd. by Allan E. Goodman ; foreword by Matthew B. Ridgway. --</t>
  </si>
  <si>
    <t>Joy, C. Turner (Charles Turner), 1895-1956.</t>
  </si>
  <si>
    <t>Hoover archival documentaries</t>
  </si>
  <si>
    <t>14699538:eng</t>
  </si>
  <si>
    <t>4325501</t>
  </si>
  <si>
    <t>991004624439702656</t>
  </si>
  <si>
    <t>2260361070002656</t>
  </si>
  <si>
    <t>9780817967512</t>
  </si>
  <si>
    <t>32285000371038</t>
  </si>
  <si>
    <t>893782443</t>
  </si>
  <si>
    <t>DS921.7.V3 P3 1973</t>
  </si>
  <si>
    <t>0                      DS 0921700V  3                  P  3           1973</t>
  </si>
  <si>
    <t>Panmunjom; the story of the Korean military armistice negotiations, by William H. Vatcher, Jr.</t>
  </si>
  <si>
    <t>Vatcher, William Henry.</t>
  </si>
  <si>
    <t>Westport, Conn., Greenwood Press [1973, c1958]</t>
  </si>
  <si>
    <t>118777098:eng</t>
  </si>
  <si>
    <t>604959</t>
  </si>
  <si>
    <t>991003043869702656</t>
  </si>
  <si>
    <t>2263193020002656</t>
  </si>
  <si>
    <t>9780837167435</t>
  </si>
  <si>
    <t>32285002451275</t>
  </si>
  <si>
    <t>893610658</t>
  </si>
  <si>
    <t>DS921.8 .K67</t>
  </si>
  <si>
    <t>0                      DS 0921800K  67</t>
  </si>
  <si>
    <t>The Korean problem : Unfinished task of the United Nations.</t>
  </si>
  <si>
    <t>Seoul : Ministry of Foreign Affairs, Republic of Korea, [1960?]</t>
  </si>
  <si>
    <t>2005-04-05</t>
  </si>
  <si>
    <t>40291925:eng</t>
  </si>
  <si>
    <t>19565589</t>
  </si>
  <si>
    <t>991001476089702656</t>
  </si>
  <si>
    <t>2261868130002656</t>
  </si>
  <si>
    <t>32285002452612</t>
  </si>
  <si>
    <t>893703055</t>
  </si>
  <si>
    <t>DS922 .K36</t>
  </si>
  <si>
    <t>0                      DS 0922000K  36</t>
  </si>
  <si>
    <t>Korean phoenix : a nation from the ashes / Michael Keon.</t>
  </si>
  <si>
    <t>Keon, Michael, 1918-</t>
  </si>
  <si>
    <t>Englewood Cliffs, N.J. : Prentice-Hall International, c1977.</t>
  </si>
  <si>
    <t>6399306:eng</t>
  </si>
  <si>
    <t>2874581</t>
  </si>
  <si>
    <t>991004269199702656</t>
  </si>
  <si>
    <t>2258823660002656</t>
  </si>
  <si>
    <t>9780135168233</t>
  </si>
  <si>
    <t>32285002451291</t>
  </si>
  <si>
    <t>893624531</t>
  </si>
  <si>
    <t>DS922 .K575</t>
  </si>
  <si>
    <t>0                      DS 0922000K  575</t>
  </si>
  <si>
    <t>Korea in context : a primer on the dynamics of Northeast Asia / Association of the United States Army.</t>
  </si>
  <si>
    <t>Association of the United States Army.</t>
  </si>
  <si>
    <t>Washington : The Association, 1977.</t>
  </si>
  <si>
    <t>30835080:eng</t>
  </si>
  <si>
    <t>5927061</t>
  </si>
  <si>
    <t>991004900129702656</t>
  </si>
  <si>
    <t>2255503410002656</t>
  </si>
  <si>
    <t>32285002451317</t>
  </si>
  <si>
    <t>893688330</t>
  </si>
  <si>
    <t>DS922.2.P3 A55</t>
  </si>
  <si>
    <t>0                      DS 0922200P  3                  A  55</t>
  </si>
  <si>
    <t>Major speeches by Korea's Park Chung Hee. Compiled by Shin Bum Shik.</t>
  </si>
  <si>
    <t>A New horizon in Asia, 3</t>
  </si>
  <si>
    <t>1451687:eng</t>
  </si>
  <si>
    <t>335158</t>
  </si>
  <si>
    <t>991002397229702656</t>
  </si>
  <si>
    <t>2256610820002656</t>
  </si>
  <si>
    <t>32285002451325</t>
  </si>
  <si>
    <t>893322885</t>
  </si>
  <si>
    <t>DS922.35 .H56 1983</t>
  </si>
  <si>
    <t>0                      DS 0922350H  56          1983</t>
  </si>
  <si>
    <t>Korea under new leadership : the Fifth Republic / Harold C. Hinton.</t>
  </si>
  <si>
    <t>New York, NY : Praeger, 1983.</t>
  </si>
  <si>
    <t>292177981:eng</t>
  </si>
  <si>
    <t>9219028</t>
  </si>
  <si>
    <t>991000153419702656</t>
  </si>
  <si>
    <t>2268366810002656</t>
  </si>
  <si>
    <t>9780030632839</t>
  </si>
  <si>
    <t>32285000371053</t>
  </si>
  <si>
    <t>893521448</t>
  </si>
  <si>
    <t>DS922.35 .P3</t>
  </si>
  <si>
    <t>0                      DS 0922350P  3</t>
  </si>
  <si>
    <t>Korea reborn : a model for development / Park Chung Hee [i.e. C.-h. Pak]</t>
  </si>
  <si>
    <t>Englewood Cliffs, N.J. : Prentice-Hall, c1979.</t>
  </si>
  <si>
    <t>2005-10-30</t>
  </si>
  <si>
    <t>878289700:eng</t>
  </si>
  <si>
    <t>4832589</t>
  </si>
  <si>
    <t>991004729309702656</t>
  </si>
  <si>
    <t>2268634700002656</t>
  </si>
  <si>
    <t>9780135168318</t>
  </si>
  <si>
    <t>32285000371061</t>
  </si>
  <si>
    <t>893612701</t>
  </si>
  <si>
    <t>DS922.37 .C46 1987</t>
  </si>
  <si>
    <t>0                      DS 0922370C  46          1987</t>
  </si>
  <si>
    <t>Embattled Korea : the rivalry for international support / Ralph N. Clough.</t>
  </si>
  <si>
    <t>Clough, Ralph N., 1916-2007.</t>
  </si>
  <si>
    <t>Boulder, Colo. : Westview Press, c1987.</t>
  </si>
  <si>
    <t>13125502:eng</t>
  </si>
  <si>
    <t>16753053</t>
  </si>
  <si>
    <t>991001142049702656</t>
  </si>
  <si>
    <t>2257001580002656</t>
  </si>
  <si>
    <t>9780813373249</t>
  </si>
  <si>
    <t>32285000371079</t>
  </si>
  <si>
    <t>893340189</t>
  </si>
  <si>
    <t>DS924.T655 K45 2008</t>
  </si>
  <si>
    <t>0                      DS 0924000T  655                K  45          2008</t>
  </si>
  <si>
    <t>The history of imperial Japan's seizure of Dokdo / Kim Byungryull.</t>
  </si>
  <si>
    <t>Kim, Pyŏng-nyŏl, 1956-</t>
  </si>
  <si>
    <t>Seoul : Northeast Asian History Foundation, c2008.</t>
  </si>
  <si>
    <t>2009-02-17</t>
  </si>
  <si>
    <t>315604352:eng</t>
  </si>
  <si>
    <t>277605671</t>
  </si>
  <si>
    <t>991005296959702656</t>
  </si>
  <si>
    <t>2270528130002656</t>
  </si>
  <si>
    <t>9788961870665</t>
  </si>
  <si>
    <t>32285005504906</t>
  </si>
  <si>
    <t>893501656</t>
  </si>
  <si>
    <t>DS925.S4 A64 1974</t>
  </si>
  <si>
    <t>0                      DS 0925000S  4                  A  64          1974</t>
  </si>
  <si>
    <t>Through gates of Seoul : trails and tales of Yi dynasty / by Edward B. Adams ; foreword by Samuel H. Moffett.</t>
  </si>
  <si>
    <t>Adams, Edward Ben, 1934-</t>
  </si>
  <si>
    <t>Seoul : Taewon Pub. Corp., 1974-77.</t>
  </si>
  <si>
    <t>1997-06-10</t>
  </si>
  <si>
    <t>1221082:eng</t>
  </si>
  <si>
    <t>6596051</t>
  </si>
  <si>
    <t>991005009879702656</t>
  </si>
  <si>
    <t>2256596060002656</t>
  </si>
  <si>
    <t>32285000371087</t>
  </si>
  <si>
    <t>893319884</t>
  </si>
  <si>
    <t>32285000371095</t>
  </si>
  <si>
    <t>893353640</t>
  </si>
  <si>
    <t>DS925.S4 H97 1984</t>
  </si>
  <si>
    <t>0                      DS 0925000S  4                  H  97          1984</t>
  </si>
  <si>
    <t>Seoul : the magnetic city / [text by Peter Hyun and photographs by Space Group of Korea].</t>
  </si>
  <si>
    <t>Hyun, Peter.</t>
  </si>
  <si>
    <t>[S.l.] : Space Group, c1984.</t>
  </si>
  <si>
    <t>7833199:eng</t>
  </si>
  <si>
    <t>12422333</t>
  </si>
  <si>
    <t>991000688279702656</t>
  </si>
  <si>
    <t>2256074770002656</t>
  </si>
  <si>
    <t>32285001861441</t>
  </si>
  <si>
    <t>893601982</t>
  </si>
  <si>
    <t>DS934.K5 A512 1977</t>
  </si>
  <si>
    <t>0                      DS 0934000K  5                  A  512         1977</t>
  </si>
  <si>
    <t>Answers to the questions raised by foreign journalists, 2 / Kim Il Sung.</t>
  </si>
  <si>
    <t>Pyongyang : Foreign Languages Pub. House, 1977</t>
  </si>
  <si>
    <t xml:space="preserve">kn </t>
  </si>
  <si>
    <t>3372526420:eng</t>
  </si>
  <si>
    <t>4090003</t>
  </si>
  <si>
    <t>991004586289702656</t>
  </si>
  <si>
    <t>2261229960002656</t>
  </si>
  <si>
    <t>32285000371103</t>
  </si>
  <si>
    <t>893888921</t>
  </si>
  <si>
    <t>DS935 .F74 2005</t>
  </si>
  <si>
    <t>0                      DS 0935000F  74          2005</t>
  </si>
  <si>
    <t>North Korea : the paranoid peninsula--a modern history / Paul French.</t>
  </si>
  <si>
    <t>French, Paul, 1966-</t>
  </si>
  <si>
    <t>London ; New York : Zed Books ; New York : Distributed in the USA by Palgrave Macmillan, c2005.</t>
  </si>
  <si>
    <t>800413960:eng</t>
  </si>
  <si>
    <t>54960606</t>
  </si>
  <si>
    <t>991004547739702656</t>
  </si>
  <si>
    <t>2263565580002656</t>
  </si>
  <si>
    <t>9781842774724</t>
  </si>
  <si>
    <t>32285005038962</t>
  </si>
  <si>
    <t>893337868</t>
  </si>
  <si>
    <t>DS935.5 .C6</t>
  </si>
  <si>
    <t>0                      DS 0935500C  6</t>
  </si>
  <si>
    <t>Pʻyongyang between Peking and Moscow : North Korea's involvement in the Sino-Soviet dispute, 1958-1975 / Chin O. Chung. --</t>
  </si>
  <si>
    <t>Chŏng, Chin-wi, 1938-</t>
  </si>
  <si>
    <t>1994-10-30</t>
  </si>
  <si>
    <t>289702936:eng</t>
  </si>
  <si>
    <t>2508036</t>
  </si>
  <si>
    <t>991004144969702656</t>
  </si>
  <si>
    <t>2254862760002656</t>
  </si>
  <si>
    <t>9780817347284</t>
  </si>
  <si>
    <t>32285000371137</t>
  </si>
  <si>
    <t>893775687</t>
  </si>
  <si>
    <t>DS935.5 .L36 2002</t>
  </si>
  <si>
    <t>0                      DS 0935500L  36          2002</t>
  </si>
  <si>
    <t>From Stalin to Kim Il Sung : the formation of North Korea, 1945-1960 / Andrei Lankov.</t>
  </si>
  <si>
    <t>Lanʹkov, A. N. (Andreĭ Nikolaevich)</t>
  </si>
  <si>
    <t>New Brunswick, N.J. : Rutgers University Press, 2002.</t>
  </si>
  <si>
    <t>2006-11-25</t>
  </si>
  <si>
    <t>234045215:eng</t>
  </si>
  <si>
    <t>48170675</t>
  </si>
  <si>
    <t>991003968819702656</t>
  </si>
  <si>
    <t>2261598820002656</t>
  </si>
  <si>
    <t>9780813531175</t>
  </si>
  <si>
    <t>32285004695861</t>
  </si>
  <si>
    <t>893519099</t>
  </si>
  <si>
    <t>DS935.5 .N66 1997</t>
  </si>
  <si>
    <t>0                      DS 0935500N  66          1997</t>
  </si>
  <si>
    <t>North Korea after Kim Il Sung : continuity or change? / edited by Thomas H. Henriksen and Jongryn Mo.</t>
  </si>
  <si>
    <t>Stanford, Calif. : Hoover Institution Press, Stanford University, c1997.</t>
  </si>
  <si>
    <t>Hoover Institution Press publication ; no. 438</t>
  </si>
  <si>
    <t>1997-05-28</t>
  </si>
  <si>
    <t>365894678:eng</t>
  </si>
  <si>
    <t>35317786</t>
  </si>
  <si>
    <t>991002704959702656</t>
  </si>
  <si>
    <t>2257384790002656</t>
  </si>
  <si>
    <t>9780817994624</t>
  </si>
  <si>
    <t>32285002611878</t>
  </si>
  <si>
    <t>893616457</t>
  </si>
  <si>
    <t>DS935.55 .A76 2003</t>
  </si>
  <si>
    <t>0                      DS 0935550A  76          2003</t>
  </si>
  <si>
    <t>The North Korean revolution, 1945-1950 / Charles K. Armstrong.</t>
  </si>
  <si>
    <t>Armstrong, Charles K.</t>
  </si>
  <si>
    <t>Ithaca, N.Y. : Cornell University Press, 2003.</t>
  </si>
  <si>
    <t>2003-03-28</t>
  </si>
  <si>
    <t>25575:eng</t>
  </si>
  <si>
    <t>49891551</t>
  </si>
  <si>
    <t>991003977319702656</t>
  </si>
  <si>
    <t>2258158760002656</t>
  </si>
  <si>
    <t>9780801440144</t>
  </si>
  <si>
    <t>32285004699368</t>
  </si>
  <si>
    <t>893718307</t>
  </si>
  <si>
    <t>DS935.65 .S69  1999</t>
  </si>
  <si>
    <t>0                      DS 0935650S  69          1999</t>
  </si>
  <si>
    <t>Negotiating on the edge : North Korean negotiating behavior / Scott Snyder.</t>
  </si>
  <si>
    <t>Snyder, Scott, 1964-</t>
  </si>
  <si>
    <t>Washington, D.C. : United States Institute of Peace Press, 1999.</t>
  </si>
  <si>
    <t>5487106421:eng</t>
  </si>
  <si>
    <t>42462925</t>
  </si>
  <si>
    <t>991003463379702656</t>
  </si>
  <si>
    <t>2263356280002656</t>
  </si>
  <si>
    <t>9781878379948</t>
  </si>
  <si>
    <t>32285004279831</t>
  </si>
  <si>
    <t>893774737</t>
  </si>
  <si>
    <t>DS94.5 .B46 1988</t>
  </si>
  <si>
    <t>0                      DS 0094500B  46          1988</t>
  </si>
  <si>
    <t>Benchmarks in time and culture : an introduction to Palestinian archaeology / edited by Joel F. Drinkard, Jr., Gerald L. Mattingly, and J. Maxwell Miller.</t>
  </si>
  <si>
    <t>Atlanta, Ga. : Scholars Press, c1988.</t>
  </si>
  <si>
    <t>Archaeology and biblical studies / Society of Biblical Literature ; no. 1</t>
  </si>
  <si>
    <t>1998-02-12</t>
  </si>
  <si>
    <t>1990-02-24</t>
  </si>
  <si>
    <t>889420271:eng</t>
  </si>
  <si>
    <t>16353317</t>
  </si>
  <si>
    <t>991001101289702656</t>
  </si>
  <si>
    <t>2255435860002656</t>
  </si>
  <si>
    <t>9781555401733</t>
  </si>
  <si>
    <t>32285000040732</t>
  </si>
  <si>
    <t>893256014</t>
  </si>
  <si>
    <t>DS94.5 .T36</t>
  </si>
  <si>
    <t>0                      DS 0094500T  36</t>
  </si>
  <si>
    <t>Villages antiques de la Syrie du Nord; le massif du Bélus à l'époque romaine.</t>
  </si>
  <si>
    <t>Tchalenko, Georges.</t>
  </si>
  <si>
    <t>Paris, P. Geuthner, 1953-58.</t>
  </si>
  <si>
    <t>Bibliothèque archéologique et historique ; t. 50</t>
  </si>
  <si>
    <t>9965182689:fre</t>
  </si>
  <si>
    <t>807922</t>
  </si>
  <si>
    <t>991003286059702656</t>
  </si>
  <si>
    <t>2268505220002656</t>
  </si>
  <si>
    <t>32285002460482</t>
  </si>
  <si>
    <t>893598441</t>
  </si>
  <si>
    <t>32285002460474</t>
  </si>
  <si>
    <t>893604627</t>
  </si>
  <si>
    <t>DS95 .B4 1936a</t>
  </si>
  <si>
    <t>0                      DS 0095000B  4           1936a</t>
  </si>
  <si>
    <t>The battleground : Syria and Palestine, the seedplot of religion / Hilaire Belloc ; with 16 illustrations in aquatone and 7 maps.</t>
  </si>
  <si>
    <t>Belloc, Hilaire, 1870-1953.</t>
  </si>
  <si>
    <t>Philadelphia : J.B. Lippincott, 1936.</t>
  </si>
  <si>
    <t>2044481697:eng</t>
  </si>
  <si>
    <t>708952</t>
  </si>
  <si>
    <t>991003173529702656</t>
  </si>
  <si>
    <t>2269405370002656</t>
  </si>
  <si>
    <t>32285002460490</t>
  </si>
  <si>
    <t>893893447</t>
  </si>
  <si>
    <t>DS95 .G5 1967b</t>
  </si>
  <si>
    <t>0                      DS 0095000G  5           1967b</t>
  </si>
  <si>
    <t>Syria, Lebanon, Jordan.</t>
  </si>
  <si>
    <t>Glubb, John Bagot, Sir, 1897-1986.</t>
  </si>
  <si>
    <t>New York, Walker [1967]</t>
  </si>
  <si>
    <t>2006-03-02</t>
  </si>
  <si>
    <t>114479579:eng</t>
  </si>
  <si>
    <t>585939</t>
  </si>
  <si>
    <t>991003021329702656</t>
  </si>
  <si>
    <t>2269506760002656</t>
  </si>
  <si>
    <t>32285002460508</t>
  </si>
  <si>
    <t>893698590</t>
  </si>
  <si>
    <t>DS95 .H5</t>
  </si>
  <si>
    <t>0                      DS 0095000H  5</t>
  </si>
  <si>
    <t>History of Syria, including Lebanon and Palestine.</t>
  </si>
  <si>
    <t>London, Macmillan, 1951.</t>
  </si>
  <si>
    <t>2863483653:eng</t>
  </si>
  <si>
    <t>5510718</t>
  </si>
  <si>
    <t>991004842349702656</t>
  </si>
  <si>
    <t>2270000990002656</t>
  </si>
  <si>
    <t>32285002460516</t>
  </si>
  <si>
    <t>893625156</t>
  </si>
  <si>
    <t>DS95 .T5</t>
  </si>
  <si>
    <t>0                      DS 0095000T  5</t>
  </si>
  <si>
    <t>A modern history of Syria, including Lebanon and Palestine [by] A. L. Tibawi.</t>
  </si>
  <si>
    <t>Tibawi, Abdul Latif.</t>
  </si>
  <si>
    <t>London, Macmillan; New York, St. Martin's P., 1969.</t>
  </si>
  <si>
    <t>443284:eng</t>
  </si>
  <si>
    <t>69294</t>
  </si>
  <si>
    <t>991000305169702656</t>
  </si>
  <si>
    <t>2259493820002656</t>
  </si>
  <si>
    <t>9780333100660</t>
  </si>
  <si>
    <t>32285002460524</t>
  </si>
  <si>
    <t>893339452</t>
  </si>
  <si>
    <t>DS95.6.F8 S53 1998</t>
  </si>
  <si>
    <t>0                      DS 0095600F  8                  S  53          1998</t>
  </si>
  <si>
    <t>French imperialism in Syria, 1927-1936 / Peter A. Shambrook ; with a foreword by Philip S. Khoury.</t>
  </si>
  <si>
    <t>Shambrook, Peter A.</t>
  </si>
  <si>
    <t>Reading [England] : Ithaca Press, c1998.</t>
  </si>
  <si>
    <t>27230852:eng</t>
  </si>
  <si>
    <t>41832536</t>
  </si>
  <si>
    <t>991003480319702656</t>
  </si>
  <si>
    <t>2267663960002656</t>
  </si>
  <si>
    <t>9780863722431</t>
  </si>
  <si>
    <t>32285004305081</t>
  </si>
  <si>
    <t>893348718</t>
  </si>
  <si>
    <t>DS95.6.S33 S86 2007</t>
  </si>
  <si>
    <t>0                      DS 0095600S  33                 S  86          2007</t>
  </si>
  <si>
    <t>Syria and Saudi Arabia : collaboration and conflicts in the oil era / Sonoko Sunayama.</t>
  </si>
  <si>
    <t>Sunayama, Sonoko.</t>
  </si>
  <si>
    <t>London : Tauris Academic Studies, 2007.</t>
  </si>
  <si>
    <t>Library of international relations ; 31</t>
  </si>
  <si>
    <t>802686543:eng</t>
  </si>
  <si>
    <t>77541184</t>
  </si>
  <si>
    <t>991005258989702656</t>
  </si>
  <si>
    <t>2263066080002656</t>
  </si>
  <si>
    <t>9781845113025</t>
  </si>
  <si>
    <t>32285005452999</t>
  </si>
  <si>
    <t>893625722</t>
  </si>
  <si>
    <t>DS96 .B57 1985</t>
  </si>
  <si>
    <t>0                      DS 0096000B  57          1985</t>
  </si>
  <si>
    <t>The house of Seleucus / by Edwyn Robert Bevan.</t>
  </si>
  <si>
    <t>Bevan, Edwyn Robert, 1870-1943.</t>
  </si>
  <si>
    <t>Chicago : Ares Publishers, 1985.</t>
  </si>
  <si>
    <t>2003-01-20</t>
  </si>
  <si>
    <t>1545953:eng</t>
  </si>
  <si>
    <t>12276125</t>
  </si>
  <si>
    <t>991000665609702656</t>
  </si>
  <si>
    <t>2256305800002656</t>
  </si>
  <si>
    <t>9780890055373</t>
  </si>
  <si>
    <t>32285001110278</t>
  </si>
  <si>
    <t>893345861</t>
  </si>
  <si>
    <t>DS96 .J67 2000</t>
  </si>
  <si>
    <t>0                      DS 0096000J  67          2000</t>
  </si>
  <si>
    <t>The chronicle of pseudo-Joshua the Stylite / translated with notes and introduction by Frank R. Trombley and John W. Watt.</t>
  </si>
  <si>
    <t>Joshua, the Stylite.</t>
  </si>
  <si>
    <t>Liverpool : Liverpool University Press, 2000.</t>
  </si>
  <si>
    <t>Translated texts for historians ; v. 32</t>
  </si>
  <si>
    <t>3768931756:eng</t>
  </si>
  <si>
    <t>43819599</t>
  </si>
  <si>
    <t>991004204939702656</t>
  </si>
  <si>
    <t>2258733730002656</t>
  </si>
  <si>
    <t>9780853235859</t>
  </si>
  <si>
    <t>32285004632732</t>
  </si>
  <si>
    <t>893411249</t>
  </si>
  <si>
    <t>DS96 .R45 1990</t>
  </si>
  <si>
    <t>0                      DS 0096000R  45          1990</t>
  </si>
  <si>
    <t>Religion and religious practice in the Seleucid Kingdom / edited by Per Bilde [and others].</t>
  </si>
  <si>
    <t>Aarhus, Denmark : Aarhus University Press, 1990.</t>
  </si>
  <si>
    <t xml:space="preserve">dk </t>
  </si>
  <si>
    <t>Studies in Hellenistic civilization ; 1</t>
  </si>
  <si>
    <t>9657308029:eng</t>
  </si>
  <si>
    <t>24617652</t>
  </si>
  <si>
    <t>991001946989702656</t>
  </si>
  <si>
    <t>2254854190002656</t>
  </si>
  <si>
    <t>9788772883229</t>
  </si>
  <si>
    <t>32285001580033</t>
  </si>
  <si>
    <t>893503846</t>
  </si>
  <si>
    <t>DS96.2 .B87 2003</t>
  </si>
  <si>
    <t>0                      DS 0096200B  87          2003</t>
  </si>
  <si>
    <t>Roman Syria and the Near East / Kevin Butcher.</t>
  </si>
  <si>
    <t>Butcher, Kevin.</t>
  </si>
  <si>
    <t>Los Angeles : J. Paul Getty Museum/Getty Publications, 2003.</t>
  </si>
  <si>
    <t>2004-02-23</t>
  </si>
  <si>
    <t>737418:eng</t>
  </si>
  <si>
    <t>52001730</t>
  </si>
  <si>
    <t>991004201299702656</t>
  </si>
  <si>
    <t>2263371470002656</t>
  </si>
  <si>
    <t>9780892367153</t>
  </si>
  <si>
    <t>32285004639711</t>
  </si>
  <si>
    <t>893506538</t>
  </si>
  <si>
    <t>DS97 .S48 1993</t>
  </si>
  <si>
    <t>0                      DS 0097000S  48          1993</t>
  </si>
  <si>
    <t>The Seventh century in the west-Syrian chronicles / introduced, translated and annotated by Andrew Palmer ; including two seventh-century Syriac apocalyptic texts, introduced, translated and annotated by Sebastian Brock ; with added annotation and an historical introduction by Robert Hoyland.</t>
  </si>
  <si>
    <t>Liverpool, [Eng.] : Liverpool University Press, 1993.</t>
  </si>
  <si>
    <t>Translated texts for historians ; v. 15</t>
  </si>
  <si>
    <t>2008-01-19</t>
  </si>
  <si>
    <t>365629675:eng</t>
  </si>
  <si>
    <t>42719747</t>
  </si>
  <si>
    <t>991002207769702656</t>
  </si>
  <si>
    <t>2263576430002656</t>
  </si>
  <si>
    <t>9780853232384</t>
  </si>
  <si>
    <t>32285002112075</t>
  </si>
  <si>
    <t>893697476</t>
  </si>
  <si>
    <t>DS97 .Z5 1970</t>
  </si>
  <si>
    <t>0                      DS 0097000Z  5           1970</t>
  </si>
  <si>
    <t>Urban life in Syria under the early Mamluks, by Nicola A. Ziadeh.</t>
  </si>
  <si>
    <t>Ziadeh, Nicola A.</t>
  </si>
  <si>
    <t>Westport, Conn., Greenwood Press [1970]</t>
  </si>
  <si>
    <t>American University of Beirut. Publication of the Faculty of Arts and Sciences. Oriental series, no. 24</t>
  </si>
  <si>
    <t>1997-03-25</t>
  </si>
  <si>
    <t>1169085:eng</t>
  </si>
  <si>
    <t>100773</t>
  </si>
  <si>
    <t>991000612499702656</t>
  </si>
  <si>
    <t>2258436960002656</t>
  </si>
  <si>
    <t>9780837131627</t>
  </si>
  <si>
    <t>32285002460540</t>
  </si>
  <si>
    <t>893890860</t>
  </si>
  <si>
    <t>DS97.5 .D68 2000</t>
  </si>
  <si>
    <t>0                      DS 0097500D  68          2000</t>
  </si>
  <si>
    <t>The Ottomans in Syria : a history of justice and oppression / Dick Douwes.</t>
  </si>
  <si>
    <t>Douwes, Dick.</t>
  </si>
  <si>
    <t>London ; New York : I.B. Tauris Publishers ; New York, NY : Distributed by St. Martin's Press, 2000.</t>
  </si>
  <si>
    <t>2001-08-20</t>
  </si>
  <si>
    <t>793981260:eng</t>
  </si>
  <si>
    <t>43477628</t>
  </si>
  <si>
    <t>991003572129702656</t>
  </si>
  <si>
    <t>2264129540002656</t>
  </si>
  <si>
    <t>9781860640315</t>
  </si>
  <si>
    <t>32285004378310</t>
  </si>
  <si>
    <t>893699139</t>
  </si>
  <si>
    <t>DS976.H757 C44 1999</t>
  </si>
  <si>
    <t>0                      DS 0976000H  757                C  44          1999</t>
  </si>
  <si>
    <t>The politics of Hong Kong's reversion to China / David Wen-Wei Chang and Richard Y. Chuang ; foreword by Hungdah Chiu.</t>
  </si>
  <si>
    <t>Chang, David W., 1929-</t>
  </si>
  <si>
    <t>Basingstoke : Macmillan, 1999.</t>
  </si>
  <si>
    <t>141762223:eng</t>
  </si>
  <si>
    <t>810728509</t>
  </si>
  <si>
    <t>991003235979702656</t>
  </si>
  <si>
    <t>2267272910002656</t>
  </si>
  <si>
    <t>9780333790304</t>
  </si>
  <si>
    <t>32285004280136</t>
  </si>
  <si>
    <t>893711172</t>
  </si>
  <si>
    <t>DS98 .A67 2007</t>
  </si>
  <si>
    <t>0                      DS 0098000A  67          2007</t>
  </si>
  <si>
    <t>Antun Saʼadeh : the man, his thought : an anthology / edited by Adel Beshara.</t>
  </si>
  <si>
    <t>Reading, UK : Ithaca Press, c2007.</t>
  </si>
  <si>
    <t>873046273:eng</t>
  </si>
  <si>
    <t>132690640</t>
  </si>
  <si>
    <t>991005291709702656</t>
  </si>
  <si>
    <t>2266824140002656</t>
  </si>
  <si>
    <t>9780863723087</t>
  </si>
  <si>
    <t>32285005505085</t>
  </si>
  <si>
    <t>893320393</t>
  </si>
  <si>
    <t>DS98 .L6 1972</t>
  </si>
  <si>
    <t>0                      DS 0098000L  6           1972</t>
  </si>
  <si>
    <t>Syria and Lebanon under French mandate.</t>
  </si>
  <si>
    <t>New York, Octagon Books, 1972 [c1958]</t>
  </si>
  <si>
    <t>1545937:eng</t>
  </si>
  <si>
    <t>446253</t>
  </si>
  <si>
    <t>991002799479702656</t>
  </si>
  <si>
    <t>2265692400002656</t>
  </si>
  <si>
    <t>9780374950880</t>
  </si>
  <si>
    <t>32285002460573</t>
  </si>
  <si>
    <t>893616591</t>
  </si>
  <si>
    <t>DS98 .Z4 1977</t>
  </si>
  <si>
    <t>0                      DS 0098000Z  4           1977</t>
  </si>
  <si>
    <t>The struggle for Arab independence : Western diplomacy and the rise and fall of Faisal's kingdom in Syria / by Zeine N. Zeine. --</t>
  </si>
  <si>
    <t>Zeine, Zeine N.</t>
  </si>
  <si>
    <t>Delmar, N.Y. : Caravan Books, 1977.</t>
  </si>
  <si>
    <t>6382112:eng</t>
  </si>
  <si>
    <t>2873532</t>
  </si>
  <si>
    <t>991004268059702656</t>
  </si>
  <si>
    <t>2259478110002656</t>
  </si>
  <si>
    <t>9780882060026</t>
  </si>
  <si>
    <t>32285000292291</t>
  </si>
  <si>
    <t>893259524</t>
  </si>
  <si>
    <t>DS98.2 .B37 1983</t>
  </si>
  <si>
    <t>0                      DS 0098200B  37          1983</t>
  </si>
  <si>
    <t>Linkage politics in the Middle East : Syria between domestic and external conflict, 1961-1970 / Yaacov Bar-Siman-Tov.</t>
  </si>
  <si>
    <t>Boulder, Colo. : Westview Press, 1983.</t>
  </si>
  <si>
    <t>836621055:eng</t>
  </si>
  <si>
    <t>8953472</t>
  </si>
  <si>
    <t>991000101069702656</t>
  </si>
  <si>
    <t>2269493370002656</t>
  </si>
  <si>
    <t>9780865319455</t>
  </si>
  <si>
    <t>32285000292309</t>
  </si>
  <si>
    <t>893607620</t>
  </si>
  <si>
    <t>DS98.2 .D35 1979</t>
  </si>
  <si>
    <t>0                      DS 0098200D  35          1979</t>
  </si>
  <si>
    <t>The struggle for power in Syria : sectarianism, regionalism, and tribalism in politics, 1961-1978 / Nikolaos van Dam.</t>
  </si>
  <si>
    <t>Dam, Nikolaos van.</t>
  </si>
  <si>
    <t>New York : St. Martin's Press, 1979.</t>
  </si>
  <si>
    <t>3900997240:eng</t>
  </si>
  <si>
    <t>4497977</t>
  </si>
  <si>
    <t>991004662669702656</t>
  </si>
  <si>
    <t>2266833350002656</t>
  </si>
  <si>
    <t>9780312768713</t>
  </si>
  <si>
    <t>32285000292317</t>
  </si>
  <si>
    <t>893513519</t>
  </si>
  <si>
    <t>DS98.2 .G56 2005</t>
  </si>
  <si>
    <t>0                      DS 0098200G  56          2005</t>
  </si>
  <si>
    <t>Syria and the doctrine of Arab neutralism : from independence to dependence / Rami Ginat.</t>
  </si>
  <si>
    <t>Ginat, Rami.</t>
  </si>
  <si>
    <t>Portland, Or. : Sussex Academic Press, 2005.</t>
  </si>
  <si>
    <t>32647:eng</t>
  </si>
  <si>
    <t>55124329</t>
  </si>
  <si>
    <t>991004776589702656</t>
  </si>
  <si>
    <t>2260739280002656</t>
  </si>
  <si>
    <t>9781845190088</t>
  </si>
  <si>
    <t>32285005182570</t>
  </si>
  <si>
    <t>893507218</t>
  </si>
  <si>
    <t>DS98.2 .S97 1986</t>
  </si>
  <si>
    <t>0                      DS 0098200S  97          1986</t>
  </si>
  <si>
    <t>Syria under Assad : domestic constraints and regional risks / edited by Moshe Maʻoz and Avner Yaniv.</t>
  </si>
  <si>
    <t>New York : St. Martin's Press, c1986.</t>
  </si>
  <si>
    <t>1990-05-03</t>
  </si>
  <si>
    <t>836659183:eng</t>
  </si>
  <si>
    <t>12343668</t>
  </si>
  <si>
    <t>991000674919702656</t>
  </si>
  <si>
    <t>2268070610002656</t>
  </si>
  <si>
    <t>9780312782061</t>
  </si>
  <si>
    <t>32285000147545</t>
  </si>
  <si>
    <t>893249565</t>
  </si>
  <si>
    <t>DS98.3.A8 M36 1988</t>
  </si>
  <si>
    <t>0                      DS 0098300A  8                  M  36          1988</t>
  </si>
  <si>
    <t>Asad : the Sphinx of Damascus : a political biography / Moshe Maʻoz.</t>
  </si>
  <si>
    <t>Maʻoz, Moshe.</t>
  </si>
  <si>
    <t>New York : Weidenfeld &amp; Nicholson, c1988.</t>
  </si>
  <si>
    <t>15444694:eng</t>
  </si>
  <si>
    <t>17353630</t>
  </si>
  <si>
    <t>991001205929702656</t>
  </si>
  <si>
    <t>2265430490002656</t>
  </si>
  <si>
    <t>9781555840624</t>
  </si>
  <si>
    <t>32285000274760</t>
  </si>
  <si>
    <t>893720953</t>
  </si>
  <si>
    <t>DS98.6 .Z57 2007</t>
  </si>
  <si>
    <t>0                      DS 0098600Z  57          2007</t>
  </si>
  <si>
    <t>Commanding Syria : Bashar al-Asad and the first years in power / Eyal Zisser.</t>
  </si>
  <si>
    <t>Ziser, Eyal.</t>
  </si>
  <si>
    <t>London : Tauris, 2007.</t>
  </si>
  <si>
    <t>Library of modern Middle East studies ; 60</t>
  </si>
  <si>
    <t>2007-10-30</t>
  </si>
  <si>
    <t>792507391:eng</t>
  </si>
  <si>
    <t>76797532</t>
  </si>
  <si>
    <t>991005124339702656</t>
  </si>
  <si>
    <t>2261335150002656</t>
  </si>
  <si>
    <t>9781845111533</t>
  </si>
  <si>
    <t>32285005362933</t>
  </si>
  <si>
    <t>893350758</t>
  </si>
  <si>
    <t>DS99.B23 T93 2008</t>
  </si>
  <si>
    <t>0                      DS 0099000B  23                 T  93          2008</t>
  </si>
  <si>
    <t>Paneas / Vassilios Tzaferis and Shoshana Israeli.</t>
  </si>
  <si>
    <t>Tzapherēs, Vasileios.</t>
  </si>
  <si>
    <t>Jerusalem : Israel Antiquities Authority, 2008-</t>
  </si>
  <si>
    <t>IAA reports ; no. 37, 38</t>
  </si>
  <si>
    <t>3133877551:eng</t>
  </si>
  <si>
    <t>319946711</t>
  </si>
  <si>
    <t>991005351909702656</t>
  </si>
  <si>
    <t>2272098780002656</t>
  </si>
  <si>
    <t>9789654062015</t>
  </si>
  <si>
    <t>32285005557995</t>
  </si>
  <si>
    <t>893628697</t>
  </si>
  <si>
    <t>DS99.D3 B867 2007</t>
  </si>
  <si>
    <t>0                      DS 0099000D  3                  B  867         2007</t>
  </si>
  <si>
    <t>Damascus : a history / Ross Burns.</t>
  </si>
  <si>
    <t>Burns, Ross.</t>
  </si>
  <si>
    <t>London ; New York : Routledge, 2007, c2005.</t>
  </si>
  <si>
    <t>2007-10-24</t>
  </si>
  <si>
    <t>902713:eng</t>
  </si>
  <si>
    <t>55067557</t>
  </si>
  <si>
    <t>991005136789702656</t>
  </si>
  <si>
    <t>2265073620002656</t>
  </si>
  <si>
    <t>9780415271059</t>
  </si>
  <si>
    <t>32285005360614</t>
  </si>
  <si>
    <t>893501382</t>
  </si>
  <si>
    <t>DS99.D3 P58 1987</t>
  </si>
  <si>
    <t>0                      DS 0099000D  3                  P  58          1987</t>
  </si>
  <si>
    <t>Ancient Damascus : a historical study of the Syrian city-state from earliest times until its fall to the Assyrians in 732 B.C.E. / by Wayne T. Pitard.</t>
  </si>
  <si>
    <t>Pitard, Wayne T.</t>
  </si>
  <si>
    <t>Winona Lake, Ind. : Eisenbrauns, 1987.</t>
  </si>
  <si>
    <t>4049670:eng</t>
  </si>
  <si>
    <t>14588494</t>
  </si>
  <si>
    <t>991000947809702656</t>
  </si>
  <si>
    <t>2271566010002656</t>
  </si>
  <si>
    <t>9780931464294</t>
  </si>
  <si>
    <t>32285000012160</t>
  </si>
  <si>
    <t>893502965</t>
  </si>
  <si>
    <t>DS99.E52 E45 1996</t>
  </si>
  <si>
    <t>0                      DS 0099000E  52                 E  45          1996</t>
  </si>
  <si>
    <t>Emar : the history, religion, and culture of a Syrian town in the late Bronze Age / edited by Mark W. Chavalas.</t>
  </si>
  <si>
    <t>Bethesda, Md. : CDL Press, c1996.</t>
  </si>
  <si>
    <t>1997-06-05</t>
  </si>
  <si>
    <t>890104135:eng</t>
  </si>
  <si>
    <t>34244364</t>
  </si>
  <si>
    <t>991002612669702656</t>
  </si>
  <si>
    <t>2272152220002656</t>
  </si>
  <si>
    <t>9781883053185</t>
  </si>
  <si>
    <t>32285002614567</t>
  </si>
  <si>
    <t>893773807</t>
  </si>
  <si>
    <t>DS99.P17 S86 1992</t>
  </si>
  <si>
    <t>0                      DS 0099000P  17                 S  86          1992</t>
  </si>
  <si>
    <t>Palmyra and its empire : Zenobia's revolt against Rome / Richard Stoneman.</t>
  </si>
  <si>
    <t>Stoneman, Richard.</t>
  </si>
  <si>
    <t>Ann Arbor : University of Michigan Press, c1992.</t>
  </si>
  <si>
    <t>1995-08-28</t>
  </si>
  <si>
    <t>28616384:eng</t>
  </si>
  <si>
    <t>26553018</t>
  </si>
  <si>
    <t>991002073289702656</t>
  </si>
  <si>
    <t>2257462790002656</t>
  </si>
  <si>
    <t>9780472103874</t>
  </si>
  <si>
    <t>32285001788404</t>
  </si>
  <si>
    <t>893497688</t>
  </si>
  <si>
    <t>DS99.S86 H655 2006</t>
  </si>
  <si>
    <t>0                      DS 0099000S  86                 H  655         2006</t>
  </si>
  <si>
    <t>Archaeology of the Bronze Age, Hellenistic, and Roman remains at an ancient town on the Euphrates River / by Thomas A. Holland ; with contributions by Martha Goodway and Michael Roaf.</t>
  </si>
  <si>
    <t>Holland, Thomas A.</t>
  </si>
  <si>
    <t>Chicago : The Oriental Institute, 2006.</t>
  </si>
  <si>
    <t>Excavations at Tell es-Sweyhat, Syria ; v. 2</t>
  </si>
  <si>
    <t>2007-06-11</t>
  </si>
  <si>
    <t>9657760949:eng</t>
  </si>
  <si>
    <t>173509257</t>
  </si>
  <si>
    <t>991005076809702656</t>
  </si>
  <si>
    <t>2260957710002656</t>
  </si>
  <si>
    <t>9781885923332</t>
  </si>
  <si>
    <t>32285005316277</t>
  </si>
  <si>
    <t>893594432</t>
  </si>
  <si>
    <t>DS99.S86 H655 2006 PT. 2</t>
  </si>
  <si>
    <t>0                      DS 0099000S  86                 H  655         2006                  PT. 2</t>
  </si>
  <si>
    <t>PT. 2*</t>
  </si>
  <si>
    <t>32285005316285</t>
  </si>
  <si>
    <t>893613080</t>
  </si>
  <si>
    <t>DS99.U35 C7 1983</t>
  </si>
  <si>
    <t>0                      DS 0099000U  35                 C  7           1983</t>
  </si>
  <si>
    <t>Ugarit and the Old Testament / by Peter C. Craigie.</t>
  </si>
  <si>
    <t>Craigie, Peter C.</t>
  </si>
  <si>
    <t>Grand Rapids : Eerdmans, c1983.</t>
  </si>
  <si>
    <t>9349974856:eng</t>
  </si>
  <si>
    <t>8805927</t>
  </si>
  <si>
    <t>991000075649702656</t>
  </si>
  <si>
    <t>2270104700002656</t>
  </si>
  <si>
    <t>9780802819284</t>
  </si>
  <si>
    <t>32285000292382</t>
  </si>
  <si>
    <t>893224706</t>
  </si>
  <si>
    <t>Keep in Collection? (Yes/No)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</si>
</sst>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u/>
      <sz val="11"/>
      <color rgb="FF0000FF"/>
      <name val="Calibri"/>
      <family val="2"/>
      <scheme val="minor"/>
    </font>
  </fonts>
  <fills count="3">
    <fill>
      <patternFill patternType="none"/>
    </fill>
    <fill>
      <patternFill patternType="gray125"/>
    </fill>
    <fill>
      <patternFill patternType="solid">
        <fgColor rgb="FFC0C0C0"/>
        <bgColor indexed="64"/>
      </patternFill>
    </fill>
  </fills>
  <borders count="1">
    <border>
      <left/>
      <right/>
      <top/>
      <bottom/>
      <diagonal/>
    </border>
  </borders>
  <cellStyleXfs count="1">
    <xf numFmtId="0" fontId="0" fillId="0" borderId="0"/>
  </cellStyleXfs>
  <cellXfs count="9">
    <xf numFmtId="0" fontId="0" fillId="0" borderId="0" xfId="0"/>
    <xf numFmtId="0" fontId="1" fillId="2" borderId="0" xfId="0" applyFont="1" applyFill="1" applyAlignment="1">
      <alignment horizontal="center" vertical="center" wrapText="1"/>
    </xf>
    <xf numFmtId="0" fontId="0" fillId="0" borderId="0" xfId="0" applyAlignment="1">
      <alignment vertical="center" wrapText="1"/>
    </xf>
    <xf numFmtId="49" fontId="0" fillId="0" borderId="0" xfId="0" applyNumberFormat="1" applyAlignment="1">
      <alignment horizontal="center" vertical="center"/>
    </xf>
    <xf numFmtId="3" fontId="0" fillId="0" borderId="0" xfId="0" applyNumberFormat="1" applyAlignment="1">
      <alignment horizontal="center" vertical="center"/>
    </xf>
    <xf numFmtId="164" fontId="0" fillId="0" borderId="0" xfId="0" applyNumberFormat="1" applyAlignment="1">
      <alignment horizontal="center" vertical="center"/>
    </xf>
    <xf numFmtId="0" fontId="2" fillId="0" borderId="0" xfId="0" applyFont="1" applyAlignment="1">
      <alignment horizontal="center" vertical="center" wrapText="1"/>
    </xf>
    <xf numFmtId="0" fontId="0" fillId="0" borderId="0" xfId="0" applyProtection="1">
      <protection locked="0"/>
    </xf>
    <xf numFmtId="0" fontId="1" fillId="2" borderId="0" xfId="0" applyFont="1" applyFill="1" applyAlignment="1" applyProtection="1">
      <alignment horizontal="center" vertical="center" wrapText="1"/>
      <protection locked="0"/>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C5937-DF9A-4C86-8ACC-B82260D4B02B}">
  <dimension ref="A1:BD2756"/>
  <sheetViews>
    <sheetView tabSelected="1" workbookViewId="0">
      <pane ySplit="1" topLeftCell="A2" activePane="bottomLeft" state="frozen"/>
      <selection pane="bottomLeft" activeCell="AA2" sqref="AA2"/>
    </sheetView>
  </sheetViews>
  <sheetFormatPr defaultRowHeight="51" customHeight="1" x14ac:dyDescent="0.25"/>
  <cols>
    <col min="1" max="1" width="12.5703125" customWidth="1"/>
    <col min="2" max="2" width="14.42578125" customWidth="1"/>
    <col min="3" max="3" width="0" hidden="1" customWidth="1"/>
    <col min="4" max="4" width="25.42578125" customWidth="1"/>
    <col min="6" max="10" width="0" hidden="1" customWidth="1"/>
    <col min="11" max="11" width="18.85546875" customWidth="1"/>
    <col min="12" max="12" width="19" customWidth="1"/>
    <col min="14" max="17" width="0" hidden="1" customWidth="1"/>
    <col min="20" max="26" width="0" hidden="1" customWidth="1"/>
    <col min="28" max="28" width="0" hidden="1" customWidth="1"/>
    <col min="30" max="30" width="0" hidden="1" customWidth="1"/>
    <col min="31" max="31" width="17.5703125" customWidth="1"/>
    <col min="32" max="41" width="0" hidden="1" customWidth="1"/>
    <col min="42" max="42" width="11.42578125" customWidth="1"/>
    <col min="43" max="43" width="11.140625" customWidth="1"/>
    <col min="44" max="44" width="11.28515625" customWidth="1"/>
    <col min="47" max="56" width="0" hidden="1" customWidth="1"/>
  </cols>
  <sheetData>
    <row r="1" spans="1:56" ht="51" customHeight="1" x14ac:dyDescent="0.25">
      <c r="A1" s="8" t="s">
        <v>33547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row>
    <row r="2" spans="1:56" ht="51" customHeight="1" x14ac:dyDescent="0.25">
      <c r="A2" s="7" t="s">
        <v>58</v>
      </c>
      <c r="B2" s="2" t="s">
        <v>55</v>
      </c>
      <c r="C2" s="2" t="s">
        <v>56</v>
      </c>
      <c r="D2" s="2" t="s">
        <v>57</v>
      </c>
      <c r="F2" s="3" t="s">
        <v>58</v>
      </c>
      <c r="G2" s="3" t="s">
        <v>59</v>
      </c>
      <c r="H2" s="3" t="s">
        <v>58</v>
      </c>
      <c r="I2" s="3" t="s">
        <v>58</v>
      </c>
      <c r="J2" s="3" t="s">
        <v>60</v>
      </c>
      <c r="L2" s="2" t="s">
        <v>61</v>
      </c>
      <c r="M2" s="3" t="s">
        <v>62</v>
      </c>
      <c r="O2" s="3" t="s">
        <v>63</v>
      </c>
      <c r="P2" s="3" t="s">
        <v>64</v>
      </c>
      <c r="R2" s="3" t="s">
        <v>65</v>
      </c>
      <c r="S2" s="4">
        <v>2</v>
      </c>
      <c r="T2" s="4">
        <v>2</v>
      </c>
      <c r="U2" s="5" t="s">
        <v>66</v>
      </c>
      <c r="V2" s="5" t="s">
        <v>66</v>
      </c>
      <c r="W2" s="5" t="s">
        <v>67</v>
      </c>
      <c r="X2" s="5" t="s">
        <v>67</v>
      </c>
      <c r="Y2" s="4">
        <v>233</v>
      </c>
      <c r="Z2" s="4">
        <v>165</v>
      </c>
      <c r="AA2" s="4">
        <v>180</v>
      </c>
      <c r="AB2" s="4">
        <v>3</v>
      </c>
      <c r="AC2" s="4">
        <v>3</v>
      </c>
      <c r="AD2" s="4">
        <v>10</v>
      </c>
      <c r="AE2" s="4">
        <v>10</v>
      </c>
      <c r="AF2" s="4">
        <v>3</v>
      </c>
      <c r="AG2" s="4">
        <v>3</v>
      </c>
      <c r="AH2" s="4">
        <v>4</v>
      </c>
      <c r="AI2" s="4">
        <v>4</v>
      </c>
      <c r="AJ2" s="4">
        <v>3</v>
      </c>
      <c r="AK2" s="4">
        <v>3</v>
      </c>
      <c r="AL2" s="4">
        <v>2</v>
      </c>
      <c r="AM2" s="4">
        <v>2</v>
      </c>
      <c r="AN2" s="4">
        <v>0</v>
      </c>
      <c r="AO2" s="4">
        <v>0</v>
      </c>
      <c r="AP2" s="3" t="s">
        <v>58</v>
      </c>
      <c r="AQ2" s="3" t="s">
        <v>68</v>
      </c>
      <c r="AR2" s="6" t="str">
        <f>HYPERLINK("http://catalog.hathitrust.org/Record/004409711","HathiTrust Record")</f>
        <v>HathiTrust Record</v>
      </c>
      <c r="AS2" s="6" t="str">
        <f>HYPERLINK("https://creighton-primo.hosted.exlibrisgroup.com/primo-explore/search?tab=default_tab&amp;search_scope=EVERYTHING&amp;vid=01CRU&amp;lang=en_US&amp;offset=0&amp;query=any,contains,991001275319702656","Catalog Record")</f>
        <v>Catalog Record</v>
      </c>
      <c r="AT2" s="6" t="str">
        <f>HYPERLINK("http://www.worldcat.org/oclc/214338","WorldCat Record")</f>
        <v>WorldCat Record</v>
      </c>
      <c r="AU2" s="3" t="s">
        <v>69</v>
      </c>
      <c r="AV2" s="3" t="s">
        <v>70</v>
      </c>
      <c r="AW2" s="3" t="s">
        <v>71</v>
      </c>
      <c r="AX2" s="3" t="s">
        <v>71</v>
      </c>
      <c r="AY2" s="3" t="s">
        <v>72</v>
      </c>
      <c r="AZ2" s="3" t="s">
        <v>73</v>
      </c>
      <c r="BB2" s="3" t="s">
        <v>74</v>
      </c>
      <c r="BC2" s="3" t="s">
        <v>75</v>
      </c>
      <c r="BD2" s="3" t="s">
        <v>76</v>
      </c>
    </row>
    <row r="3" spans="1:56" ht="51" customHeight="1" x14ac:dyDescent="0.25">
      <c r="A3" s="7" t="s">
        <v>58</v>
      </c>
      <c r="B3" s="2" t="s">
        <v>77</v>
      </c>
      <c r="C3" s="2" t="s">
        <v>78</v>
      </c>
      <c r="D3" s="2" t="s">
        <v>79</v>
      </c>
      <c r="E3" s="3" t="s">
        <v>80</v>
      </c>
      <c r="F3" s="3" t="s">
        <v>68</v>
      </c>
      <c r="G3" s="3" t="s">
        <v>59</v>
      </c>
      <c r="H3" s="3" t="s">
        <v>58</v>
      </c>
      <c r="I3" s="3" t="s">
        <v>58</v>
      </c>
      <c r="J3" s="3" t="s">
        <v>60</v>
      </c>
      <c r="K3" s="2" t="s">
        <v>81</v>
      </c>
      <c r="L3" s="2" t="s">
        <v>82</v>
      </c>
      <c r="M3" s="3" t="s">
        <v>83</v>
      </c>
      <c r="O3" s="3" t="s">
        <v>63</v>
      </c>
      <c r="P3" s="3" t="s">
        <v>84</v>
      </c>
      <c r="Q3" s="2" t="s">
        <v>85</v>
      </c>
      <c r="R3" s="3" t="s">
        <v>65</v>
      </c>
      <c r="S3" s="4">
        <v>2</v>
      </c>
      <c r="T3" s="4">
        <v>4</v>
      </c>
      <c r="U3" s="5" t="s">
        <v>86</v>
      </c>
      <c r="V3" s="5" t="s">
        <v>86</v>
      </c>
      <c r="W3" s="5" t="s">
        <v>87</v>
      </c>
      <c r="X3" s="5" t="s">
        <v>87</v>
      </c>
      <c r="Y3" s="4">
        <v>170</v>
      </c>
      <c r="Z3" s="4">
        <v>133</v>
      </c>
      <c r="AA3" s="4">
        <v>144</v>
      </c>
      <c r="AB3" s="4">
        <v>1</v>
      </c>
      <c r="AC3" s="4">
        <v>1</v>
      </c>
      <c r="AD3" s="4">
        <v>3</v>
      </c>
      <c r="AE3" s="4">
        <v>3</v>
      </c>
      <c r="AF3" s="4">
        <v>2</v>
      </c>
      <c r="AG3" s="4">
        <v>2</v>
      </c>
      <c r="AH3" s="4">
        <v>0</v>
      </c>
      <c r="AI3" s="4">
        <v>0</v>
      </c>
      <c r="AJ3" s="4">
        <v>1</v>
      </c>
      <c r="AK3" s="4">
        <v>1</v>
      </c>
      <c r="AL3" s="4">
        <v>0</v>
      </c>
      <c r="AM3" s="4">
        <v>0</v>
      </c>
      <c r="AN3" s="4">
        <v>0</v>
      </c>
      <c r="AO3" s="4">
        <v>0</v>
      </c>
      <c r="AP3" s="3" t="s">
        <v>58</v>
      </c>
      <c r="AQ3" s="3" t="s">
        <v>68</v>
      </c>
      <c r="AR3" s="6" t="str">
        <f>HYPERLINK("http://catalog.hathitrust.org/Record/000044064","HathiTrust Record")</f>
        <v>HathiTrust Record</v>
      </c>
      <c r="AS3" s="6" t="str">
        <f>HYPERLINK("https://creighton-primo.hosted.exlibrisgroup.com/primo-explore/search?tab=default_tab&amp;search_scope=EVERYTHING&amp;vid=01CRU&amp;lang=en_US&amp;offset=0&amp;query=any,contains,991004744929702656","Catalog Record")</f>
        <v>Catalog Record</v>
      </c>
      <c r="AT3" s="6" t="str">
        <f>HYPERLINK("http://www.worldcat.org/oclc/4907531","WorldCat Record")</f>
        <v>WorldCat Record</v>
      </c>
      <c r="AU3" s="3" t="s">
        <v>88</v>
      </c>
      <c r="AV3" s="3" t="s">
        <v>89</v>
      </c>
      <c r="AW3" s="3" t="s">
        <v>90</v>
      </c>
      <c r="AX3" s="3" t="s">
        <v>90</v>
      </c>
      <c r="AY3" s="3" t="s">
        <v>91</v>
      </c>
      <c r="AZ3" s="3" t="s">
        <v>73</v>
      </c>
      <c r="BC3" s="3" t="s">
        <v>92</v>
      </c>
      <c r="BD3" s="3" t="s">
        <v>93</v>
      </c>
    </row>
    <row r="4" spans="1:56" ht="51" customHeight="1" x14ac:dyDescent="0.25">
      <c r="A4" s="7" t="s">
        <v>58</v>
      </c>
      <c r="B4" s="2" t="s">
        <v>77</v>
      </c>
      <c r="C4" s="2" t="s">
        <v>78</v>
      </c>
      <c r="D4" s="2" t="s">
        <v>79</v>
      </c>
      <c r="E4" s="3" t="s">
        <v>94</v>
      </c>
      <c r="F4" s="3" t="s">
        <v>68</v>
      </c>
      <c r="G4" s="3" t="s">
        <v>59</v>
      </c>
      <c r="H4" s="3" t="s">
        <v>58</v>
      </c>
      <c r="I4" s="3" t="s">
        <v>58</v>
      </c>
      <c r="J4" s="3" t="s">
        <v>60</v>
      </c>
      <c r="K4" s="2" t="s">
        <v>81</v>
      </c>
      <c r="L4" s="2" t="s">
        <v>82</v>
      </c>
      <c r="M4" s="3" t="s">
        <v>83</v>
      </c>
      <c r="O4" s="3" t="s">
        <v>63</v>
      </c>
      <c r="P4" s="3" t="s">
        <v>84</v>
      </c>
      <c r="Q4" s="2" t="s">
        <v>85</v>
      </c>
      <c r="R4" s="3" t="s">
        <v>65</v>
      </c>
      <c r="S4" s="4">
        <v>2</v>
      </c>
      <c r="T4" s="4">
        <v>4</v>
      </c>
      <c r="V4" s="5" t="s">
        <v>86</v>
      </c>
      <c r="W4" s="5" t="s">
        <v>87</v>
      </c>
      <c r="X4" s="5" t="s">
        <v>87</v>
      </c>
      <c r="Y4" s="4">
        <v>170</v>
      </c>
      <c r="Z4" s="4">
        <v>133</v>
      </c>
      <c r="AA4" s="4">
        <v>144</v>
      </c>
      <c r="AB4" s="4">
        <v>1</v>
      </c>
      <c r="AC4" s="4">
        <v>1</v>
      </c>
      <c r="AD4" s="4">
        <v>3</v>
      </c>
      <c r="AE4" s="4">
        <v>3</v>
      </c>
      <c r="AF4" s="4">
        <v>2</v>
      </c>
      <c r="AG4" s="4">
        <v>2</v>
      </c>
      <c r="AH4" s="4">
        <v>0</v>
      </c>
      <c r="AI4" s="4">
        <v>0</v>
      </c>
      <c r="AJ4" s="4">
        <v>1</v>
      </c>
      <c r="AK4" s="4">
        <v>1</v>
      </c>
      <c r="AL4" s="4">
        <v>0</v>
      </c>
      <c r="AM4" s="4">
        <v>0</v>
      </c>
      <c r="AN4" s="4">
        <v>0</v>
      </c>
      <c r="AO4" s="4">
        <v>0</v>
      </c>
      <c r="AP4" s="3" t="s">
        <v>58</v>
      </c>
      <c r="AQ4" s="3" t="s">
        <v>68</v>
      </c>
      <c r="AR4" s="6" t="str">
        <f>HYPERLINK("http://catalog.hathitrust.org/Record/000044064","HathiTrust Record")</f>
        <v>HathiTrust Record</v>
      </c>
      <c r="AS4" s="6" t="str">
        <f>HYPERLINK("https://creighton-primo.hosted.exlibrisgroup.com/primo-explore/search?tab=default_tab&amp;search_scope=EVERYTHING&amp;vid=01CRU&amp;lang=en_US&amp;offset=0&amp;query=any,contains,991004744929702656","Catalog Record")</f>
        <v>Catalog Record</v>
      </c>
      <c r="AT4" s="6" t="str">
        <f>HYPERLINK("http://www.worldcat.org/oclc/4907531","WorldCat Record")</f>
        <v>WorldCat Record</v>
      </c>
      <c r="AU4" s="3" t="s">
        <v>88</v>
      </c>
      <c r="AV4" s="3" t="s">
        <v>89</v>
      </c>
      <c r="AW4" s="3" t="s">
        <v>90</v>
      </c>
      <c r="AX4" s="3" t="s">
        <v>90</v>
      </c>
      <c r="AY4" s="3" t="s">
        <v>91</v>
      </c>
      <c r="AZ4" s="3" t="s">
        <v>73</v>
      </c>
      <c r="BC4" s="3" t="s">
        <v>95</v>
      </c>
      <c r="BD4" s="3" t="s">
        <v>96</v>
      </c>
    </row>
    <row r="5" spans="1:56" ht="51" customHeight="1" x14ac:dyDescent="0.25">
      <c r="A5" s="7" t="s">
        <v>58</v>
      </c>
      <c r="B5" s="2" t="s">
        <v>77</v>
      </c>
      <c r="C5" s="2" t="s">
        <v>78</v>
      </c>
      <c r="D5" s="2" t="s">
        <v>97</v>
      </c>
      <c r="E5" s="3" t="s">
        <v>98</v>
      </c>
      <c r="F5" s="3" t="s">
        <v>68</v>
      </c>
      <c r="G5" s="3" t="s">
        <v>59</v>
      </c>
      <c r="H5" s="3" t="s">
        <v>58</v>
      </c>
      <c r="I5" s="3" t="s">
        <v>58</v>
      </c>
      <c r="J5" s="3" t="s">
        <v>60</v>
      </c>
      <c r="K5" s="2" t="s">
        <v>99</v>
      </c>
      <c r="L5" s="2" t="s">
        <v>100</v>
      </c>
      <c r="M5" s="3" t="s">
        <v>101</v>
      </c>
      <c r="O5" s="3" t="s">
        <v>63</v>
      </c>
      <c r="P5" s="3" t="s">
        <v>84</v>
      </c>
      <c r="Q5" s="2" t="s">
        <v>102</v>
      </c>
      <c r="R5" s="3" t="s">
        <v>65</v>
      </c>
      <c r="S5" s="4">
        <v>0</v>
      </c>
      <c r="T5" s="4">
        <v>4</v>
      </c>
      <c r="V5" s="5" t="s">
        <v>103</v>
      </c>
      <c r="W5" s="5" t="s">
        <v>87</v>
      </c>
      <c r="X5" s="5" t="s">
        <v>103</v>
      </c>
      <c r="Y5" s="4">
        <v>225</v>
      </c>
      <c r="Z5" s="4">
        <v>177</v>
      </c>
      <c r="AA5" s="4">
        <v>179</v>
      </c>
      <c r="AB5" s="4">
        <v>1</v>
      </c>
      <c r="AC5" s="4">
        <v>1</v>
      </c>
      <c r="AD5" s="4">
        <v>6</v>
      </c>
      <c r="AE5" s="4">
        <v>6</v>
      </c>
      <c r="AF5" s="4">
        <v>1</v>
      </c>
      <c r="AG5" s="4">
        <v>1</v>
      </c>
      <c r="AH5" s="4">
        <v>2</v>
      </c>
      <c r="AI5" s="4">
        <v>2</v>
      </c>
      <c r="AJ5" s="4">
        <v>4</v>
      </c>
      <c r="AK5" s="4">
        <v>4</v>
      </c>
      <c r="AL5" s="4">
        <v>0</v>
      </c>
      <c r="AM5" s="4">
        <v>0</v>
      </c>
      <c r="AN5" s="4">
        <v>0</v>
      </c>
      <c r="AO5" s="4">
        <v>0</v>
      </c>
      <c r="AP5" s="3" t="s">
        <v>58</v>
      </c>
      <c r="AQ5" s="3" t="s">
        <v>68</v>
      </c>
      <c r="AR5" s="6" t="str">
        <f t="shared" ref="AR5:AR11" si="0">HYPERLINK("http://catalog.hathitrust.org/Record/000341821","HathiTrust Record")</f>
        <v>HathiTrust Record</v>
      </c>
      <c r="AS5" s="6" t="str">
        <f t="shared" ref="AS5:AS11" si="1">HYPERLINK("https://creighton-primo.hosted.exlibrisgroup.com/primo-explore/search?tab=default_tab&amp;search_scope=EVERYTHING&amp;vid=01CRU&amp;lang=en_US&amp;offset=0&amp;query=any,contains,991000576139702656","Catalog Record")</f>
        <v>Catalog Record</v>
      </c>
      <c r="AT5" s="6" t="str">
        <f t="shared" ref="AT5:AT11" si="2">HYPERLINK("http://www.worldcat.org/oclc/11685976","WorldCat Record")</f>
        <v>WorldCat Record</v>
      </c>
      <c r="AU5" s="3" t="s">
        <v>104</v>
      </c>
      <c r="AV5" s="3" t="s">
        <v>105</v>
      </c>
      <c r="AW5" s="3" t="s">
        <v>106</v>
      </c>
      <c r="AX5" s="3" t="s">
        <v>106</v>
      </c>
      <c r="AY5" s="3" t="s">
        <v>107</v>
      </c>
      <c r="AZ5" s="3" t="s">
        <v>73</v>
      </c>
      <c r="BC5" s="3" t="s">
        <v>108</v>
      </c>
      <c r="BD5" s="3" t="s">
        <v>109</v>
      </c>
    </row>
    <row r="6" spans="1:56" ht="51" customHeight="1" x14ac:dyDescent="0.25">
      <c r="A6" s="7" t="s">
        <v>58</v>
      </c>
      <c r="B6" s="2" t="s">
        <v>77</v>
      </c>
      <c r="C6" s="2" t="s">
        <v>78</v>
      </c>
      <c r="D6" s="2" t="s">
        <v>97</v>
      </c>
      <c r="E6" s="3" t="s">
        <v>110</v>
      </c>
      <c r="F6" s="3" t="s">
        <v>68</v>
      </c>
      <c r="G6" s="3" t="s">
        <v>59</v>
      </c>
      <c r="H6" s="3" t="s">
        <v>58</v>
      </c>
      <c r="I6" s="3" t="s">
        <v>58</v>
      </c>
      <c r="J6" s="3" t="s">
        <v>60</v>
      </c>
      <c r="K6" s="2" t="s">
        <v>99</v>
      </c>
      <c r="L6" s="2" t="s">
        <v>100</v>
      </c>
      <c r="M6" s="3" t="s">
        <v>101</v>
      </c>
      <c r="O6" s="3" t="s">
        <v>63</v>
      </c>
      <c r="P6" s="3" t="s">
        <v>84</v>
      </c>
      <c r="Q6" s="2" t="s">
        <v>102</v>
      </c>
      <c r="R6" s="3" t="s">
        <v>65</v>
      </c>
      <c r="S6" s="4">
        <v>1</v>
      </c>
      <c r="T6" s="4">
        <v>4</v>
      </c>
      <c r="U6" s="5" t="s">
        <v>111</v>
      </c>
      <c r="V6" s="5" t="s">
        <v>103</v>
      </c>
      <c r="W6" s="5" t="s">
        <v>112</v>
      </c>
      <c r="X6" s="5" t="s">
        <v>103</v>
      </c>
      <c r="Y6" s="4">
        <v>225</v>
      </c>
      <c r="Z6" s="4">
        <v>177</v>
      </c>
      <c r="AA6" s="4">
        <v>179</v>
      </c>
      <c r="AB6" s="4">
        <v>1</v>
      </c>
      <c r="AC6" s="4">
        <v>1</v>
      </c>
      <c r="AD6" s="4">
        <v>6</v>
      </c>
      <c r="AE6" s="4">
        <v>6</v>
      </c>
      <c r="AF6" s="4">
        <v>1</v>
      </c>
      <c r="AG6" s="4">
        <v>1</v>
      </c>
      <c r="AH6" s="4">
        <v>2</v>
      </c>
      <c r="AI6" s="4">
        <v>2</v>
      </c>
      <c r="AJ6" s="4">
        <v>4</v>
      </c>
      <c r="AK6" s="4">
        <v>4</v>
      </c>
      <c r="AL6" s="4">
        <v>0</v>
      </c>
      <c r="AM6" s="4">
        <v>0</v>
      </c>
      <c r="AN6" s="4">
        <v>0</v>
      </c>
      <c r="AO6" s="4">
        <v>0</v>
      </c>
      <c r="AP6" s="3" t="s">
        <v>58</v>
      </c>
      <c r="AQ6" s="3" t="s">
        <v>68</v>
      </c>
      <c r="AR6" s="6" t="str">
        <f t="shared" si="0"/>
        <v>HathiTrust Record</v>
      </c>
      <c r="AS6" s="6" t="str">
        <f t="shared" si="1"/>
        <v>Catalog Record</v>
      </c>
      <c r="AT6" s="6" t="str">
        <f t="shared" si="2"/>
        <v>WorldCat Record</v>
      </c>
      <c r="AU6" s="3" t="s">
        <v>104</v>
      </c>
      <c r="AV6" s="3" t="s">
        <v>105</v>
      </c>
      <c r="AW6" s="3" t="s">
        <v>106</v>
      </c>
      <c r="AX6" s="3" t="s">
        <v>106</v>
      </c>
      <c r="AY6" s="3" t="s">
        <v>107</v>
      </c>
      <c r="AZ6" s="3" t="s">
        <v>73</v>
      </c>
      <c r="BC6" s="3" t="s">
        <v>113</v>
      </c>
      <c r="BD6" s="3" t="s">
        <v>114</v>
      </c>
    </row>
    <row r="7" spans="1:56" ht="51" customHeight="1" x14ac:dyDescent="0.25">
      <c r="A7" s="7" t="s">
        <v>58</v>
      </c>
      <c r="B7" s="2" t="s">
        <v>77</v>
      </c>
      <c r="C7" s="2" t="s">
        <v>78</v>
      </c>
      <c r="D7" s="2" t="s">
        <v>97</v>
      </c>
      <c r="E7" s="3" t="s">
        <v>115</v>
      </c>
      <c r="F7" s="3" t="s">
        <v>68</v>
      </c>
      <c r="G7" s="3" t="s">
        <v>59</v>
      </c>
      <c r="H7" s="3" t="s">
        <v>58</v>
      </c>
      <c r="I7" s="3" t="s">
        <v>58</v>
      </c>
      <c r="J7" s="3" t="s">
        <v>60</v>
      </c>
      <c r="K7" s="2" t="s">
        <v>99</v>
      </c>
      <c r="L7" s="2" t="s">
        <v>100</v>
      </c>
      <c r="M7" s="3" t="s">
        <v>101</v>
      </c>
      <c r="O7" s="3" t="s">
        <v>63</v>
      </c>
      <c r="P7" s="3" t="s">
        <v>84</v>
      </c>
      <c r="Q7" s="2" t="s">
        <v>102</v>
      </c>
      <c r="R7" s="3" t="s">
        <v>65</v>
      </c>
      <c r="S7" s="4">
        <v>0</v>
      </c>
      <c r="T7" s="4">
        <v>4</v>
      </c>
      <c r="V7" s="5" t="s">
        <v>103</v>
      </c>
      <c r="W7" s="5" t="s">
        <v>87</v>
      </c>
      <c r="X7" s="5" t="s">
        <v>103</v>
      </c>
      <c r="Y7" s="4">
        <v>225</v>
      </c>
      <c r="Z7" s="4">
        <v>177</v>
      </c>
      <c r="AA7" s="4">
        <v>179</v>
      </c>
      <c r="AB7" s="4">
        <v>1</v>
      </c>
      <c r="AC7" s="4">
        <v>1</v>
      </c>
      <c r="AD7" s="4">
        <v>6</v>
      </c>
      <c r="AE7" s="4">
        <v>6</v>
      </c>
      <c r="AF7" s="4">
        <v>1</v>
      </c>
      <c r="AG7" s="4">
        <v>1</v>
      </c>
      <c r="AH7" s="4">
        <v>2</v>
      </c>
      <c r="AI7" s="4">
        <v>2</v>
      </c>
      <c r="AJ7" s="4">
        <v>4</v>
      </c>
      <c r="AK7" s="4">
        <v>4</v>
      </c>
      <c r="AL7" s="4">
        <v>0</v>
      </c>
      <c r="AM7" s="4">
        <v>0</v>
      </c>
      <c r="AN7" s="4">
        <v>0</v>
      </c>
      <c r="AO7" s="4">
        <v>0</v>
      </c>
      <c r="AP7" s="3" t="s">
        <v>58</v>
      </c>
      <c r="AQ7" s="3" t="s">
        <v>68</v>
      </c>
      <c r="AR7" s="6" t="str">
        <f t="shared" si="0"/>
        <v>HathiTrust Record</v>
      </c>
      <c r="AS7" s="6" t="str">
        <f t="shared" si="1"/>
        <v>Catalog Record</v>
      </c>
      <c r="AT7" s="6" t="str">
        <f t="shared" si="2"/>
        <v>WorldCat Record</v>
      </c>
      <c r="AU7" s="3" t="s">
        <v>104</v>
      </c>
      <c r="AV7" s="3" t="s">
        <v>105</v>
      </c>
      <c r="AW7" s="3" t="s">
        <v>106</v>
      </c>
      <c r="AX7" s="3" t="s">
        <v>106</v>
      </c>
      <c r="AY7" s="3" t="s">
        <v>107</v>
      </c>
      <c r="AZ7" s="3" t="s">
        <v>73</v>
      </c>
      <c r="BC7" s="3" t="s">
        <v>116</v>
      </c>
      <c r="BD7" s="3" t="s">
        <v>117</v>
      </c>
    </row>
    <row r="8" spans="1:56" ht="51" customHeight="1" x14ac:dyDescent="0.25">
      <c r="A8" s="7" t="s">
        <v>58</v>
      </c>
      <c r="B8" s="2" t="s">
        <v>77</v>
      </c>
      <c r="C8" s="2" t="s">
        <v>78</v>
      </c>
      <c r="D8" s="2" t="s">
        <v>97</v>
      </c>
      <c r="E8" s="3" t="s">
        <v>118</v>
      </c>
      <c r="F8" s="3" t="s">
        <v>68</v>
      </c>
      <c r="G8" s="3" t="s">
        <v>59</v>
      </c>
      <c r="H8" s="3" t="s">
        <v>58</v>
      </c>
      <c r="I8" s="3" t="s">
        <v>58</v>
      </c>
      <c r="J8" s="3" t="s">
        <v>60</v>
      </c>
      <c r="K8" s="2" t="s">
        <v>99</v>
      </c>
      <c r="L8" s="2" t="s">
        <v>100</v>
      </c>
      <c r="M8" s="3" t="s">
        <v>101</v>
      </c>
      <c r="O8" s="3" t="s">
        <v>63</v>
      </c>
      <c r="P8" s="3" t="s">
        <v>84</v>
      </c>
      <c r="Q8" s="2" t="s">
        <v>102</v>
      </c>
      <c r="R8" s="3" t="s">
        <v>65</v>
      </c>
      <c r="S8" s="4">
        <v>1</v>
      </c>
      <c r="T8" s="4">
        <v>4</v>
      </c>
      <c r="U8" s="5" t="s">
        <v>119</v>
      </c>
      <c r="V8" s="5" t="s">
        <v>103</v>
      </c>
      <c r="W8" s="5" t="s">
        <v>87</v>
      </c>
      <c r="X8" s="5" t="s">
        <v>103</v>
      </c>
      <c r="Y8" s="4">
        <v>225</v>
      </c>
      <c r="Z8" s="4">
        <v>177</v>
      </c>
      <c r="AA8" s="4">
        <v>179</v>
      </c>
      <c r="AB8" s="4">
        <v>1</v>
      </c>
      <c r="AC8" s="4">
        <v>1</v>
      </c>
      <c r="AD8" s="4">
        <v>6</v>
      </c>
      <c r="AE8" s="4">
        <v>6</v>
      </c>
      <c r="AF8" s="4">
        <v>1</v>
      </c>
      <c r="AG8" s="4">
        <v>1</v>
      </c>
      <c r="AH8" s="4">
        <v>2</v>
      </c>
      <c r="AI8" s="4">
        <v>2</v>
      </c>
      <c r="AJ8" s="4">
        <v>4</v>
      </c>
      <c r="AK8" s="4">
        <v>4</v>
      </c>
      <c r="AL8" s="4">
        <v>0</v>
      </c>
      <c r="AM8" s="4">
        <v>0</v>
      </c>
      <c r="AN8" s="4">
        <v>0</v>
      </c>
      <c r="AO8" s="4">
        <v>0</v>
      </c>
      <c r="AP8" s="3" t="s">
        <v>58</v>
      </c>
      <c r="AQ8" s="3" t="s">
        <v>68</v>
      </c>
      <c r="AR8" s="6" t="str">
        <f t="shared" si="0"/>
        <v>HathiTrust Record</v>
      </c>
      <c r="AS8" s="6" t="str">
        <f t="shared" si="1"/>
        <v>Catalog Record</v>
      </c>
      <c r="AT8" s="6" t="str">
        <f t="shared" si="2"/>
        <v>WorldCat Record</v>
      </c>
      <c r="AU8" s="3" t="s">
        <v>104</v>
      </c>
      <c r="AV8" s="3" t="s">
        <v>105</v>
      </c>
      <c r="AW8" s="3" t="s">
        <v>106</v>
      </c>
      <c r="AX8" s="3" t="s">
        <v>106</v>
      </c>
      <c r="AY8" s="3" t="s">
        <v>107</v>
      </c>
      <c r="AZ8" s="3" t="s">
        <v>73</v>
      </c>
      <c r="BC8" s="3" t="s">
        <v>120</v>
      </c>
      <c r="BD8" s="3" t="s">
        <v>121</v>
      </c>
    </row>
    <row r="9" spans="1:56" ht="51" customHeight="1" x14ac:dyDescent="0.25">
      <c r="A9" s="7" t="s">
        <v>58</v>
      </c>
      <c r="B9" s="2" t="s">
        <v>77</v>
      </c>
      <c r="C9" s="2" t="s">
        <v>78</v>
      </c>
      <c r="D9" s="2" t="s">
        <v>97</v>
      </c>
      <c r="E9" s="3" t="s">
        <v>122</v>
      </c>
      <c r="F9" s="3" t="s">
        <v>68</v>
      </c>
      <c r="G9" s="3" t="s">
        <v>59</v>
      </c>
      <c r="H9" s="3" t="s">
        <v>58</v>
      </c>
      <c r="I9" s="3" t="s">
        <v>58</v>
      </c>
      <c r="J9" s="3" t="s">
        <v>60</v>
      </c>
      <c r="K9" s="2" t="s">
        <v>99</v>
      </c>
      <c r="L9" s="2" t="s">
        <v>100</v>
      </c>
      <c r="M9" s="3" t="s">
        <v>101</v>
      </c>
      <c r="O9" s="3" t="s">
        <v>63</v>
      </c>
      <c r="P9" s="3" t="s">
        <v>84</v>
      </c>
      <c r="Q9" s="2" t="s">
        <v>102</v>
      </c>
      <c r="R9" s="3" t="s">
        <v>65</v>
      </c>
      <c r="S9" s="4">
        <v>1</v>
      </c>
      <c r="T9" s="4">
        <v>4</v>
      </c>
      <c r="U9" s="5" t="s">
        <v>119</v>
      </c>
      <c r="V9" s="5" t="s">
        <v>103</v>
      </c>
      <c r="W9" s="5" t="s">
        <v>123</v>
      </c>
      <c r="X9" s="5" t="s">
        <v>103</v>
      </c>
      <c r="Y9" s="4">
        <v>225</v>
      </c>
      <c r="Z9" s="4">
        <v>177</v>
      </c>
      <c r="AA9" s="4">
        <v>179</v>
      </c>
      <c r="AB9" s="4">
        <v>1</v>
      </c>
      <c r="AC9" s="4">
        <v>1</v>
      </c>
      <c r="AD9" s="4">
        <v>6</v>
      </c>
      <c r="AE9" s="4">
        <v>6</v>
      </c>
      <c r="AF9" s="4">
        <v>1</v>
      </c>
      <c r="AG9" s="4">
        <v>1</v>
      </c>
      <c r="AH9" s="4">
        <v>2</v>
      </c>
      <c r="AI9" s="4">
        <v>2</v>
      </c>
      <c r="AJ9" s="4">
        <v>4</v>
      </c>
      <c r="AK9" s="4">
        <v>4</v>
      </c>
      <c r="AL9" s="4">
        <v>0</v>
      </c>
      <c r="AM9" s="4">
        <v>0</v>
      </c>
      <c r="AN9" s="4">
        <v>0</v>
      </c>
      <c r="AO9" s="4">
        <v>0</v>
      </c>
      <c r="AP9" s="3" t="s">
        <v>58</v>
      </c>
      <c r="AQ9" s="3" t="s">
        <v>68</v>
      </c>
      <c r="AR9" s="6" t="str">
        <f t="shared" si="0"/>
        <v>HathiTrust Record</v>
      </c>
      <c r="AS9" s="6" t="str">
        <f t="shared" si="1"/>
        <v>Catalog Record</v>
      </c>
      <c r="AT9" s="6" t="str">
        <f t="shared" si="2"/>
        <v>WorldCat Record</v>
      </c>
      <c r="AU9" s="3" t="s">
        <v>104</v>
      </c>
      <c r="AV9" s="3" t="s">
        <v>105</v>
      </c>
      <c r="AW9" s="3" t="s">
        <v>106</v>
      </c>
      <c r="AX9" s="3" t="s">
        <v>106</v>
      </c>
      <c r="AY9" s="3" t="s">
        <v>107</v>
      </c>
      <c r="AZ9" s="3" t="s">
        <v>73</v>
      </c>
      <c r="BC9" s="3" t="s">
        <v>124</v>
      </c>
      <c r="BD9" s="3" t="s">
        <v>125</v>
      </c>
    </row>
    <row r="10" spans="1:56" ht="51" customHeight="1" x14ac:dyDescent="0.25">
      <c r="A10" s="7" t="s">
        <v>58</v>
      </c>
      <c r="B10" s="2" t="s">
        <v>77</v>
      </c>
      <c r="C10" s="2" t="s">
        <v>78</v>
      </c>
      <c r="D10" s="2" t="s">
        <v>97</v>
      </c>
      <c r="F10" s="3" t="s">
        <v>68</v>
      </c>
      <c r="G10" s="3" t="s">
        <v>59</v>
      </c>
      <c r="H10" s="3" t="s">
        <v>68</v>
      </c>
      <c r="I10" s="3" t="s">
        <v>58</v>
      </c>
      <c r="J10" s="3" t="s">
        <v>60</v>
      </c>
      <c r="K10" s="2" t="s">
        <v>99</v>
      </c>
      <c r="L10" s="2" t="s">
        <v>100</v>
      </c>
      <c r="M10" s="3" t="s">
        <v>101</v>
      </c>
      <c r="O10" s="3" t="s">
        <v>63</v>
      </c>
      <c r="P10" s="3" t="s">
        <v>84</v>
      </c>
      <c r="Q10" s="2" t="s">
        <v>102</v>
      </c>
      <c r="R10" s="3" t="s">
        <v>65</v>
      </c>
      <c r="S10" s="4">
        <v>0</v>
      </c>
      <c r="T10" s="4">
        <v>4</v>
      </c>
      <c r="V10" s="5" t="s">
        <v>103</v>
      </c>
      <c r="W10" s="5" t="s">
        <v>126</v>
      </c>
      <c r="X10" s="5" t="s">
        <v>103</v>
      </c>
      <c r="Y10" s="4">
        <v>225</v>
      </c>
      <c r="Z10" s="4">
        <v>177</v>
      </c>
      <c r="AA10" s="4">
        <v>179</v>
      </c>
      <c r="AB10" s="4">
        <v>1</v>
      </c>
      <c r="AC10" s="4">
        <v>1</v>
      </c>
      <c r="AD10" s="4">
        <v>6</v>
      </c>
      <c r="AE10" s="4">
        <v>6</v>
      </c>
      <c r="AF10" s="4">
        <v>1</v>
      </c>
      <c r="AG10" s="4">
        <v>1</v>
      </c>
      <c r="AH10" s="4">
        <v>2</v>
      </c>
      <c r="AI10" s="4">
        <v>2</v>
      </c>
      <c r="AJ10" s="4">
        <v>4</v>
      </c>
      <c r="AK10" s="4">
        <v>4</v>
      </c>
      <c r="AL10" s="4">
        <v>0</v>
      </c>
      <c r="AM10" s="4">
        <v>0</v>
      </c>
      <c r="AN10" s="4">
        <v>0</v>
      </c>
      <c r="AO10" s="4">
        <v>0</v>
      </c>
      <c r="AP10" s="3" t="s">
        <v>58</v>
      </c>
      <c r="AQ10" s="3" t="s">
        <v>68</v>
      </c>
      <c r="AR10" s="6" t="str">
        <f t="shared" si="0"/>
        <v>HathiTrust Record</v>
      </c>
      <c r="AS10" s="6" t="str">
        <f t="shared" si="1"/>
        <v>Catalog Record</v>
      </c>
      <c r="AT10" s="6" t="str">
        <f t="shared" si="2"/>
        <v>WorldCat Record</v>
      </c>
      <c r="AU10" s="3" t="s">
        <v>104</v>
      </c>
      <c r="AV10" s="3" t="s">
        <v>105</v>
      </c>
      <c r="AW10" s="3" t="s">
        <v>106</v>
      </c>
      <c r="AX10" s="3" t="s">
        <v>106</v>
      </c>
      <c r="AY10" s="3" t="s">
        <v>107</v>
      </c>
      <c r="AZ10" s="3" t="s">
        <v>73</v>
      </c>
      <c r="BC10" s="3" t="s">
        <v>127</v>
      </c>
      <c r="BD10" s="3" t="s">
        <v>128</v>
      </c>
    </row>
    <row r="11" spans="1:56" ht="51" customHeight="1" x14ac:dyDescent="0.25">
      <c r="A11" s="7" t="s">
        <v>58</v>
      </c>
      <c r="B11" s="2" t="s">
        <v>77</v>
      </c>
      <c r="C11" s="2" t="s">
        <v>78</v>
      </c>
      <c r="D11" s="2" t="s">
        <v>97</v>
      </c>
      <c r="E11" s="3" t="s">
        <v>129</v>
      </c>
      <c r="F11" s="3" t="s">
        <v>68</v>
      </c>
      <c r="G11" s="3" t="s">
        <v>59</v>
      </c>
      <c r="H11" s="3" t="s">
        <v>58</v>
      </c>
      <c r="I11" s="3" t="s">
        <v>58</v>
      </c>
      <c r="J11" s="3" t="s">
        <v>60</v>
      </c>
      <c r="K11" s="2" t="s">
        <v>99</v>
      </c>
      <c r="L11" s="2" t="s">
        <v>100</v>
      </c>
      <c r="M11" s="3" t="s">
        <v>101</v>
      </c>
      <c r="O11" s="3" t="s">
        <v>63</v>
      </c>
      <c r="P11" s="3" t="s">
        <v>84</v>
      </c>
      <c r="Q11" s="2" t="s">
        <v>102</v>
      </c>
      <c r="R11" s="3" t="s">
        <v>65</v>
      </c>
      <c r="S11" s="4">
        <v>1</v>
      </c>
      <c r="T11" s="4">
        <v>4</v>
      </c>
      <c r="U11" s="5" t="s">
        <v>103</v>
      </c>
      <c r="V11" s="5" t="s">
        <v>103</v>
      </c>
      <c r="W11" s="5" t="s">
        <v>103</v>
      </c>
      <c r="X11" s="5" t="s">
        <v>103</v>
      </c>
      <c r="Y11" s="4">
        <v>225</v>
      </c>
      <c r="Z11" s="4">
        <v>177</v>
      </c>
      <c r="AA11" s="4">
        <v>179</v>
      </c>
      <c r="AB11" s="4">
        <v>1</v>
      </c>
      <c r="AC11" s="4">
        <v>1</v>
      </c>
      <c r="AD11" s="4">
        <v>6</v>
      </c>
      <c r="AE11" s="4">
        <v>6</v>
      </c>
      <c r="AF11" s="4">
        <v>1</v>
      </c>
      <c r="AG11" s="4">
        <v>1</v>
      </c>
      <c r="AH11" s="4">
        <v>2</v>
      </c>
      <c r="AI11" s="4">
        <v>2</v>
      </c>
      <c r="AJ11" s="4">
        <v>4</v>
      </c>
      <c r="AK11" s="4">
        <v>4</v>
      </c>
      <c r="AL11" s="4">
        <v>0</v>
      </c>
      <c r="AM11" s="4">
        <v>0</v>
      </c>
      <c r="AN11" s="4">
        <v>0</v>
      </c>
      <c r="AO11" s="4">
        <v>0</v>
      </c>
      <c r="AP11" s="3" t="s">
        <v>58</v>
      </c>
      <c r="AQ11" s="3" t="s">
        <v>68</v>
      </c>
      <c r="AR11" s="6" t="str">
        <f t="shared" si="0"/>
        <v>HathiTrust Record</v>
      </c>
      <c r="AS11" s="6" t="str">
        <f t="shared" si="1"/>
        <v>Catalog Record</v>
      </c>
      <c r="AT11" s="6" t="str">
        <f t="shared" si="2"/>
        <v>WorldCat Record</v>
      </c>
      <c r="AU11" s="3" t="s">
        <v>104</v>
      </c>
      <c r="AV11" s="3" t="s">
        <v>105</v>
      </c>
      <c r="AW11" s="3" t="s">
        <v>106</v>
      </c>
      <c r="AX11" s="3" t="s">
        <v>106</v>
      </c>
      <c r="AY11" s="3" t="s">
        <v>107</v>
      </c>
      <c r="AZ11" s="3" t="s">
        <v>73</v>
      </c>
      <c r="BC11" s="3" t="s">
        <v>130</v>
      </c>
      <c r="BD11" s="3" t="s">
        <v>131</v>
      </c>
    </row>
    <row r="12" spans="1:56" ht="51" customHeight="1" x14ac:dyDescent="0.25">
      <c r="A12" s="7" t="s">
        <v>58</v>
      </c>
      <c r="B12" s="2" t="s">
        <v>132</v>
      </c>
      <c r="C12" s="2" t="s">
        <v>133</v>
      </c>
      <c r="D12" s="2" t="s">
        <v>134</v>
      </c>
      <c r="E12" s="3" t="s">
        <v>135</v>
      </c>
      <c r="F12" s="3" t="s">
        <v>58</v>
      </c>
      <c r="G12" s="3" t="s">
        <v>59</v>
      </c>
      <c r="H12" s="3" t="s">
        <v>58</v>
      </c>
      <c r="I12" s="3" t="s">
        <v>58</v>
      </c>
      <c r="J12" s="3" t="s">
        <v>60</v>
      </c>
      <c r="K12" s="2" t="s">
        <v>136</v>
      </c>
      <c r="L12" s="2" t="s">
        <v>137</v>
      </c>
      <c r="M12" s="3" t="s">
        <v>138</v>
      </c>
      <c r="O12" s="3" t="s">
        <v>63</v>
      </c>
      <c r="P12" s="3" t="s">
        <v>84</v>
      </c>
      <c r="Q12" s="2" t="s">
        <v>139</v>
      </c>
      <c r="R12" s="3" t="s">
        <v>65</v>
      </c>
      <c r="S12" s="4">
        <v>15</v>
      </c>
      <c r="T12" s="4">
        <v>15</v>
      </c>
      <c r="U12" s="5" t="s">
        <v>140</v>
      </c>
      <c r="V12" s="5" t="s">
        <v>140</v>
      </c>
      <c r="W12" s="5" t="s">
        <v>141</v>
      </c>
      <c r="X12" s="5" t="s">
        <v>141</v>
      </c>
      <c r="Y12" s="4">
        <v>195</v>
      </c>
      <c r="Z12" s="4">
        <v>143</v>
      </c>
      <c r="AA12" s="4">
        <v>143</v>
      </c>
      <c r="AB12" s="4">
        <v>1</v>
      </c>
      <c r="AC12" s="4">
        <v>1</v>
      </c>
      <c r="AD12" s="4">
        <v>2</v>
      </c>
      <c r="AE12" s="4">
        <v>2</v>
      </c>
      <c r="AF12" s="4">
        <v>2</v>
      </c>
      <c r="AG12" s="4">
        <v>2</v>
      </c>
      <c r="AH12" s="4">
        <v>0</v>
      </c>
      <c r="AI12" s="4">
        <v>0</v>
      </c>
      <c r="AJ12" s="4">
        <v>0</v>
      </c>
      <c r="AK12" s="4">
        <v>0</v>
      </c>
      <c r="AL12" s="4">
        <v>0</v>
      </c>
      <c r="AM12" s="4">
        <v>0</v>
      </c>
      <c r="AN12" s="4">
        <v>0</v>
      </c>
      <c r="AO12" s="4">
        <v>0</v>
      </c>
      <c r="AP12" s="3" t="s">
        <v>58</v>
      </c>
      <c r="AQ12" s="3" t="s">
        <v>58</v>
      </c>
      <c r="AS12" s="6" t="str">
        <f>HYPERLINK("https://creighton-primo.hosted.exlibrisgroup.com/primo-explore/search?tab=default_tab&amp;search_scope=EVERYTHING&amp;vid=01CRU&amp;lang=en_US&amp;offset=0&amp;query=any,contains,991000115209702656","Catalog Record")</f>
        <v>Catalog Record</v>
      </c>
      <c r="AT12" s="6" t="str">
        <f>HYPERLINK("http://www.worldcat.org/oclc/9032788","WorldCat Record")</f>
        <v>WorldCat Record</v>
      </c>
      <c r="AU12" s="3" t="s">
        <v>142</v>
      </c>
      <c r="AV12" s="3" t="s">
        <v>143</v>
      </c>
      <c r="AW12" s="3" t="s">
        <v>144</v>
      </c>
      <c r="AX12" s="3" t="s">
        <v>144</v>
      </c>
      <c r="AY12" s="3" t="s">
        <v>145</v>
      </c>
      <c r="AZ12" s="3" t="s">
        <v>73</v>
      </c>
      <c r="BC12" s="3" t="s">
        <v>146</v>
      </c>
      <c r="BD12" s="3" t="s">
        <v>147</v>
      </c>
    </row>
    <row r="13" spans="1:56" ht="51" customHeight="1" x14ac:dyDescent="0.25">
      <c r="A13" s="7" t="s">
        <v>58</v>
      </c>
      <c r="B13" s="2" t="s">
        <v>148</v>
      </c>
      <c r="C13" s="2" t="s">
        <v>149</v>
      </c>
      <c r="D13" s="2" t="s">
        <v>150</v>
      </c>
      <c r="E13" s="3" t="s">
        <v>151</v>
      </c>
      <c r="F13" s="3" t="s">
        <v>58</v>
      </c>
      <c r="G13" s="3" t="s">
        <v>59</v>
      </c>
      <c r="H13" s="3" t="s">
        <v>58</v>
      </c>
      <c r="I13" s="3" t="s">
        <v>58</v>
      </c>
      <c r="J13" s="3" t="s">
        <v>60</v>
      </c>
      <c r="K13" s="2" t="s">
        <v>152</v>
      </c>
      <c r="L13" s="2" t="s">
        <v>153</v>
      </c>
      <c r="M13" s="3" t="s">
        <v>154</v>
      </c>
      <c r="O13" s="3" t="s">
        <v>63</v>
      </c>
      <c r="P13" s="3" t="s">
        <v>84</v>
      </c>
      <c r="Q13" s="2" t="s">
        <v>155</v>
      </c>
      <c r="R13" s="3" t="s">
        <v>65</v>
      </c>
      <c r="S13" s="4">
        <v>2</v>
      </c>
      <c r="T13" s="4">
        <v>2</v>
      </c>
      <c r="U13" s="5" t="s">
        <v>156</v>
      </c>
      <c r="V13" s="5" t="s">
        <v>156</v>
      </c>
      <c r="W13" s="5" t="s">
        <v>157</v>
      </c>
      <c r="X13" s="5" t="s">
        <v>157</v>
      </c>
      <c r="Y13" s="4">
        <v>179</v>
      </c>
      <c r="Z13" s="4">
        <v>112</v>
      </c>
      <c r="AA13" s="4">
        <v>114</v>
      </c>
      <c r="AB13" s="4">
        <v>1</v>
      </c>
      <c r="AC13" s="4">
        <v>1</v>
      </c>
      <c r="AD13" s="4">
        <v>1</v>
      </c>
      <c r="AE13" s="4">
        <v>1</v>
      </c>
      <c r="AF13" s="4">
        <v>1</v>
      </c>
      <c r="AG13" s="4">
        <v>1</v>
      </c>
      <c r="AH13" s="4">
        <v>0</v>
      </c>
      <c r="AI13" s="4">
        <v>0</v>
      </c>
      <c r="AJ13" s="4">
        <v>0</v>
      </c>
      <c r="AK13" s="4">
        <v>0</v>
      </c>
      <c r="AL13" s="4">
        <v>0</v>
      </c>
      <c r="AM13" s="4">
        <v>0</v>
      </c>
      <c r="AN13" s="4">
        <v>0</v>
      </c>
      <c r="AO13" s="4">
        <v>0</v>
      </c>
      <c r="AP13" s="3" t="s">
        <v>58</v>
      </c>
      <c r="AQ13" s="3" t="s">
        <v>68</v>
      </c>
      <c r="AR13" s="6" t="str">
        <f>HYPERLINK("http://catalog.hathitrust.org/Record/001823131","HathiTrust Record")</f>
        <v>HathiTrust Record</v>
      </c>
      <c r="AS13" s="6" t="str">
        <f>HYPERLINK("https://creighton-primo.hosted.exlibrisgroup.com/primo-explore/search?tab=default_tab&amp;search_scope=EVERYTHING&amp;vid=01CRU&amp;lang=en_US&amp;offset=0&amp;query=any,contains,991001552769702656","Catalog Record")</f>
        <v>Catalog Record</v>
      </c>
      <c r="AT13" s="6" t="str">
        <f>HYPERLINK("http://www.worldcat.org/oclc/20253929","WorldCat Record")</f>
        <v>WorldCat Record</v>
      </c>
      <c r="AU13" s="3" t="s">
        <v>158</v>
      </c>
      <c r="AV13" s="3" t="s">
        <v>159</v>
      </c>
      <c r="AW13" s="3" t="s">
        <v>160</v>
      </c>
      <c r="AX13" s="3" t="s">
        <v>160</v>
      </c>
      <c r="AY13" s="3" t="s">
        <v>161</v>
      </c>
      <c r="AZ13" s="3" t="s">
        <v>73</v>
      </c>
      <c r="BC13" s="3" t="s">
        <v>162</v>
      </c>
      <c r="BD13" s="3" t="s">
        <v>163</v>
      </c>
    </row>
    <row r="14" spans="1:56" ht="51" customHeight="1" x14ac:dyDescent="0.25">
      <c r="A14" s="7" t="s">
        <v>58</v>
      </c>
      <c r="B14" s="2" t="s">
        <v>164</v>
      </c>
      <c r="C14" s="2" t="s">
        <v>165</v>
      </c>
      <c r="D14" s="2" t="s">
        <v>166</v>
      </c>
      <c r="E14" s="3" t="s">
        <v>167</v>
      </c>
      <c r="F14" s="3" t="s">
        <v>58</v>
      </c>
      <c r="G14" s="3" t="s">
        <v>59</v>
      </c>
      <c r="H14" s="3" t="s">
        <v>58</v>
      </c>
      <c r="I14" s="3" t="s">
        <v>58</v>
      </c>
      <c r="J14" s="3" t="s">
        <v>60</v>
      </c>
      <c r="K14" s="2" t="s">
        <v>168</v>
      </c>
      <c r="L14" s="2" t="s">
        <v>169</v>
      </c>
      <c r="M14" s="3" t="s">
        <v>154</v>
      </c>
      <c r="O14" s="3" t="s">
        <v>63</v>
      </c>
      <c r="P14" s="3" t="s">
        <v>84</v>
      </c>
      <c r="Q14" s="2" t="s">
        <v>170</v>
      </c>
      <c r="R14" s="3" t="s">
        <v>65</v>
      </c>
      <c r="S14" s="4">
        <v>1</v>
      </c>
      <c r="T14" s="4">
        <v>1</v>
      </c>
      <c r="U14" s="5" t="s">
        <v>111</v>
      </c>
      <c r="V14" s="5" t="s">
        <v>111</v>
      </c>
      <c r="W14" s="5" t="s">
        <v>87</v>
      </c>
      <c r="X14" s="5" t="s">
        <v>87</v>
      </c>
      <c r="Y14" s="4">
        <v>171</v>
      </c>
      <c r="Z14" s="4">
        <v>115</v>
      </c>
      <c r="AA14" s="4">
        <v>118</v>
      </c>
      <c r="AB14" s="4">
        <v>1</v>
      </c>
      <c r="AC14" s="4">
        <v>1</v>
      </c>
      <c r="AD14" s="4">
        <v>3</v>
      </c>
      <c r="AE14" s="4">
        <v>3</v>
      </c>
      <c r="AF14" s="4">
        <v>0</v>
      </c>
      <c r="AG14" s="4">
        <v>0</v>
      </c>
      <c r="AH14" s="4">
        <v>0</v>
      </c>
      <c r="AI14" s="4">
        <v>0</v>
      </c>
      <c r="AJ14" s="4">
        <v>3</v>
      </c>
      <c r="AK14" s="4">
        <v>3</v>
      </c>
      <c r="AL14" s="4">
        <v>0</v>
      </c>
      <c r="AM14" s="4">
        <v>0</v>
      </c>
      <c r="AN14" s="4">
        <v>0</v>
      </c>
      <c r="AO14" s="4">
        <v>0</v>
      </c>
      <c r="AP14" s="3" t="s">
        <v>58</v>
      </c>
      <c r="AQ14" s="3" t="s">
        <v>68</v>
      </c>
      <c r="AR14" s="6" t="str">
        <f>HYPERLINK("http://catalog.hathitrust.org/Record/001948901","HathiTrust Record")</f>
        <v>HathiTrust Record</v>
      </c>
      <c r="AS14" s="6" t="str">
        <f>HYPERLINK("https://creighton-primo.hosted.exlibrisgroup.com/primo-explore/search?tab=default_tab&amp;search_scope=EVERYTHING&amp;vid=01CRU&amp;lang=en_US&amp;offset=0&amp;query=any,contains,991001636949702656","Catalog Record")</f>
        <v>Catalog Record</v>
      </c>
      <c r="AT14" s="6" t="str">
        <f>HYPERLINK("http://www.worldcat.org/oclc/20984647","WorldCat Record")</f>
        <v>WorldCat Record</v>
      </c>
      <c r="AU14" s="3" t="s">
        <v>171</v>
      </c>
      <c r="AV14" s="3" t="s">
        <v>172</v>
      </c>
      <c r="AW14" s="3" t="s">
        <v>173</v>
      </c>
      <c r="AX14" s="3" t="s">
        <v>173</v>
      </c>
      <c r="AY14" s="3" t="s">
        <v>174</v>
      </c>
      <c r="AZ14" s="3" t="s">
        <v>73</v>
      </c>
      <c r="BC14" s="3" t="s">
        <v>175</v>
      </c>
      <c r="BD14" s="3" t="s">
        <v>176</v>
      </c>
    </row>
    <row r="15" spans="1:56" ht="51" customHeight="1" x14ac:dyDescent="0.25">
      <c r="A15" s="7" t="s">
        <v>58</v>
      </c>
      <c r="B15" s="2" t="s">
        <v>177</v>
      </c>
      <c r="C15" s="2" t="s">
        <v>178</v>
      </c>
      <c r="D15" s="2" t="s">
        <v>179</v>
      </c>
      <c r="E15" s="3" t="s">
        <v>180</v>
      </c>
      <c r="F15" s="3" t="s">
        <v>58</v>
      </c>
      <c r="G15" s="3" t="s">
        <v>59</v>
      </c>
      <c r="H15" s="3" t="s">
        <v>58</v>
      </c>
      <c r="I15" s="3" t="s">
        <v>58</v>
      </c>
      <c r="J15" s="3" t="s">
        <v>60</v>
      </c>
      <c r="K15" s="2" t="s">
        <v>181</v>
      </c>
      <c r="L15" s="2" t="s">
        <v>182</v>
      </c>
      <c r="M15" s="3" t="s">
        <v>183</v>
      </c>
      <c r="O15" s="3" t="s">
        <v>63</v>
      </c>
      <c r="P15" s="3" t="s">
        <v>84</v>
      </c>
      <c r="Q15" s="2" t="s">
        <v>184</v>
      </c>
      <c r="R15" s="3" t="s">
        <v>65</v>
      </c>
      <c r="S15" s="4">
        <v>6</v>
      </c>
      <c r="T15" s="4">
        <v>6</v>
      </c>
      <c r="U15" s="5" t="s">
        <v>185</v>
      </c>
      <c r="V15" s="5" t="s">
        <v>185</v>
      </c>
      <c r="W15" s="5" t="s">
        <v>157</v>
      </c>
      <c r="X15" s="5" t="s">
        <v>157</v>
      </c>
      <c r="Y15" s="4">
        <v>181</v>
      </c>
      <c r="Z15" s="4">
        <v>128</v>
      </c>
      <c r="AA15" s="4">
        <v>133</v>
      </c>
      <c r="AB15" s="4">
        <v>1</v>
      </c>
      <c r="AC15" s="4">
        <v>1</v>
      </c>
      <c r="AD15" s="4">
        <v>3</v>
      </c>
      <c r="AE15" s="4">
        <v>3</v>
      </c>
      <c r="AF15" s="4">
        <v>2</v>
      </c>
      <c r="AG15" s="4">
        <v>2</v>
      </c>
      <c r="AH15" s="4">
        <v>0</v>
      </c>
      <c r="AI15" s="4">
        <v>0</v>
      </c>
      <c r="AJ15" s="4">
        <v>1</v>
      </c>
      <c r="AK15" s="4">
        <v>1</v>
      </c>
      <c r="AL15" s="4">
        <v>0</v>
      </c>
      <c r="AM15" s="4">
        <v>0</v>
      </c>
      <c r="AN15" s="4">
        <v>0</v>
      </c>
      <c r="AO15" s="4">
        <v>0</v>
      </c>
      <c r="AP15" s="3" t="s">
        <v>58</v>
      </c>
      <c r="AQ15" s="3" t="s">
        <v>68</v>
      </c>
      <c r="AR15" s="6" t="str">
        <f>HYPERLINK("http://catalog.hathitrust.org/Record/000090804","HathiTrust Record")</f>
        <v>HathiTrust Record</v>
      </c>
      <c r="AS15" s="6" t="str">
        <f>HYPERLINK("https://creighton-primo.hosted.exlibrisgroup.com/primo-explore/search?tab=default_tab&amp;search_scope=EVERYTHING&amp;vid=01CRU&amp;lang=en_US&amp;offset=0&amp;query=any,contains,991004469999702656","Catalog Record")</f>
        <v>Catalog Record</v>
      </c>
      <c r="AT15" s="6" t="str">
        <f>HYPERLINK("http://www.worldcat.org/oclc/3590795","WorldCat Record")</f>
        <v>WorldCat Record</v>
      </c>
      <c r="AU15" s="3" t="s">
        <v>186</v>
      </c>
      <c r="AV15" s="3" t="s">
        <v>187</v>
      </c>
      <c r="AW15" s="3" t="s">
        <v>188</v>
      </c>
      <c r="AX15" s="3" t="s">
        <v>188</v>
      </c>
      <c r="AY15" s="3" t="s">
        <v>189</v>
      </c>
      <c r="AZ15" s="3" t="s">
        <v>73</v>
      </c>
      <c r="BC15" s="3" t="s">
        <v>190</v>
      </c>
      <c r="BD15" s="3" t="s">
        <v>191</v>
      </c>
    </row>
    <row r="16" spans="1:56" ht="51" customHeight="1" x14ac:dyDescent="0.25">
      <c r="A16" s="7" t="s">
        <v>58</v>
      </c>
      <c r="B16" s="2" t="s">
        <v>192</v>
      </c>
      <c r="C16" s="2" t="s">
        <v>193</v>
      </c>
      <c r="D16" s="2" t="s">
        <v>194</v>
      </c>
      <c r="F16" s="3" t="s">
        <v>58</v>
      </c>
      <c r="G16" s="3" t="s">
        <v>59</v>
      </c>
      <c r="H16" s="3" t="s">
        <v>58</v>
      </c>
      <c r="I16" s="3" t="s">
        <v>58</v>
      </c>
      <c r="J16" s="3" t="s">
        <v>60</v>
      </c>
      <c r="L16" s="2" t="s">
        <v>195</v>
      </c>
      <c r="M16" s="3" t="s">
        <v>196</v>
      </c>
      <c r="O16" s="3" t="s">
        <v>63</v>
      </c>
      <c r="P16" s="3" t="s">
        <v>197</v>
      </c>
      <c r="R16" s="3" t="s">
        <v>65</v>
      </c>
      <c r="S16" s="4">
        <v>7</v>
      </c>
      <c r="T16" s="4">
        <v>7</v>
      </c>
      <c r="U16" s="5" t="s">
        <v>198</v>
      </c>
      <c r="V16" s="5" t="s">
        <v>198</v>
      </c>
      <c r="W16" s="5" t="s">
        <v>199</v>
      </c>
      <c r="X16" s="5" t="s">
        <v>199</v>
      </c>
      <c r="Y16" s="4">
        <v>352</v>
      </c>
      <c r="Z16" s="4">
        <v>299</v>
      </c>
      <c r="AA16" s="4">
        <v>376</v>
      </c>
      <c r="AB16" s="4">
        <v>1</v>
      </c>
      <c r="AC16" s="4">
        <v>2</v>
      </c>
      <c r="AD16" s="4">
        <v>20</v>
      </c>
      <c r="AE16" s="4">
        <v>21</v>
      </c>
      <c r="AF16" s="4">
        <v>8</v>
      </c>
      <c r="AG16" s="4">
        <v>8</v>
      </c>
      <c r="AH16" s="4">
        <v>6</v>
      </c>
      <c r="AI16" s="4">
        <v>6</v>
      </c>
      <c r="AJ16" s="4">
        <v>10</v>
      </c>
      <c r="AK16" s="4">
        <v>10</v>
      </c>
      <c r="AL16" s="4">
        <v>0</v>
      </c>
      <c r="AM16" s="4">
        <v>1</v>
      </c>
      <c r="AN16" s="4">
        <v>0</v>
      </c>
      <c r="AO16" s="4">
        <v>0</v>
      </c>
      <c r="AP16" s="3" t="s">
        <v>58</v>
      </c>
      <c r="AQ16" s="3" t="s">
        <v>68</v>
      </c>
      <c r="AR16" s="6" t="str">
        <f>HYPERLINK("http://catalog.hathitrust.org/Record/003133639","HathiTrust Record")</f>
        <v>HathiTrust Record</v>
      </c>
      <c r="AS16" s="6" t="str">
        <f>HYPERLINK("https://creighton-primo.hosted.exlibrisgroup.com/primo-explore/search?tab=default_tab&amp;search_scope=EVERYTHING&amp;vid=01CRU&amp;lang=en_US&amp;offset=0&amp;query=any,contains,991002667719702656","Catalog Record")</f>
        <v>Catalog Record</v>
      </c>
      <c r="AT16" s="6" t="str">
        <f>HYPERLINK("http://www.worldcat.org/oclc/34894341","WorldCat Record")</f>
        <v>WorldCat Record</v>
      </c>
      <c r="AU16" s="3" t="s">
        <v>200</v>
      </c>
      <c r="AV16" s="3" t="s">
        <v>201</v>
      </c>
      <c r="AW16" s="3" t="s">
        <v>202</v>
      </c>
      <c r="AX16" s="3" t="s">
        <v>202</v>
      </c>
      <c r="AY16" s="3" t="s">
        <v>203</v>
      </c>
      <c r="AZ16" s="3" t="s">
        <v>73</v>
      </c>
      <c r="BB16" s="3" t="s">
        <v>204</v>
      </c>
      <c r="BC16" s="3" t="s">
        <v>205</v>
      </c>
      <c r="BD16" s="3" t="s">
        <v>206</v>
      </c>
    </row>
    <row r="17" spans="1:56" ht="51" customHeight="1" x14ac:dyDescent="0.25">
      <c r="A17" s="7" t="s">
        <v>58</v>
      </c>
      <c r="B17" s="2" t="s">
        <v>207</v>
      </c>
      <c r="C17" s="2" t="s">
        <v>208</v>
      </c>
      <c r="D17" s="2" t="s">
        <v>209</v>
      </c>
      <c r="E17" s="3" t="s">
        <v>210</v>
      </c>
      <c r="F17" s="3" t="s">
        <v>68</v>
      </c>
      <c r="G17" s="3" t="s">
        <v>59</v>
      </c>
      <c r="H17" s="3" t="s">
        <v>58</v>
      </c>
      <c r="I17" s="3" t="s">
        <v>58</v>
      </c>
      <c r="J17" s="3" t="s">
        <v>60</v>
      </c>
      <c r="K17" s="2" t="s">
        <v>211</v>
      </c>
      <c r="L17" s="2" t="s">
        <v>212</v>
      </c>
      <c r="M17" s="3" t="s">
        <v>83</v>
      </c>
      <c r="N17" s="2" t="s">
        <v>213</v>
      </c>
      <c r="O17" s="3" t="s">
        <v>63</v>
      </c>
      <c r="P17" s="3" t="s">
        <v>214</v>
      </c>
      <c r="R17" s="3" t="s">
        <v>65</v>
      </c>
      <c r="S17" s="4">
        <v>0</v>
      </c>
      <c r="T17" s="4">
        <v>2</v>
      </c>
      <c r="U17" s="5" t="s">
        <v>215</v>
      </c>
      <c r="V17" s="5" t="s">
        <v>216</v>
      </c>
      <c r="W17" s="5" t="s">
        <v>112</v>
      </c>
      <c r="X17" s="5" t="s">
        <v>112</v>
      </c>
      <c r="Y17" s="4">
        <v>153</v>
      </c>
      <c r="Z17" s="4">
        <v>136</v>
      </c>
      <c r="AA17" s="4">
        <v>201</v>
      </c>
      <c r="AB17" s="4">
        <v>1</v>
      </c>
      <c r="AC17" s="4">
        <v>1</v>
      </c>
      <c r="AD17" s="4">
        <v>6</v>
      </c>
      <c r="AE17" s="4">
        <v>7</v>
      </c>
      <c r="AF17" s="4">
        <v>3</v>
      </c>
      <c r="AG17" s="4">
        <v>3</v>
      </c>
      <c r="AH17" s="4">
        <v>2</v>
      </c>
      <c r="AI17" s="4">
        <v>2</v>
      </c>
      <c r="AJ17" s="4">
        <v>3</v>
      </c>
      <c r="AK17" s="4">
        <v>4</v>
      </c>
      <c r="AL17" s="4">
        <v>0</v>
      </c>
      <c r="AM17" s="4">
        <v>0</v>
      </c>
      <c r="AN17" s="4">
        <v>0</v>
      </c>
      <c r="AO17" s="4">
        <v>0</v>
      </c>
      <c r="AP17" s="3" t="s">
        <v>58</v>
      </c>
      <c r="AQ17" s="3" t="s">
        <v>58</v>
      </c>
      <c r="AR17" s="6" t="str">
        <f>HYPERLINK("http://catalog.hathitrust.org/Record/101990912","HathiTrust Record")</f>
        <v>HathiTrust Record</v>
      </c>
      <c r="AS17" s="6" t="str">
        <f>HYPERLINK("https://creighton-primo.hosted.exlibrisgroup.com/primo-explore/search?tab=default_tab&amp;search_scope=EVERYTHING&amp;vid=01CRU&amp;lang=en_US&amp;offset=0&amp;query=any,contains,991004672889702656","Catalog Record")</f>
        <v>Catalog Record</v>
      </c>
      <c r="AT17" s="6" t="str">
        <f>HYPERLINK("http://www.worldcat.org/oclc/11235229","WorldCat Record")</f>
        <v>WorldCat Record</v>
      </c>
      <c r="AU17" s="3" t="s">
        <v>217</v>
      </c>
      <c r="AV17" s="3" t="s">
        <v>218</v>
      </c>
      <c r="AW17" s="3" t="s">
        <v>219</v>
      </c>
      <c r="AX17" s="3" t="s">
        <v>219</v>
      </c>
      <c r="AY17" s="3" t="s">
        <v>220</v>
      </c>
      <c r="AZ17" s="3" t="s">
        <v>73</v>
      </c>
      <c r="BC17" s="3" t="s">
        <v>221</v>
      </c>
      <c r="BD17" s="3" t="s">
        <v>222</v>
      </c>
    </row>
    <row r="18" spans="1:56" ht="51" customHeight="1" x14ac:dyDescent="0.25">
      <c r="A18" s="7" t="s">
        <v>58</v>
      </c>
      <c r="B18" s="2" t="s">
        <v>207</v>
      </c>
      <c r="C18" s="2" t="s">
        <v>208</v>
      </c>
      <c r="D18" s="2" t="s">
        <v>209</v>
      </c>
      <c r="E18" s="3" t="s">
        <v>223</v>
      </c>
      <c r="F18" s="3" t="s">
        <v>68</v>
      </c>
      <c r="G18" s="3" t="s">
        <v>59</v>
      </c>
      <c r="H18" s="3" t="s">
        <v>58</v>
      </c>
      <c r="I18" s="3" t="s">
        <v>58</v>
      </c>
      <c r="J18" s="3" t="s">
        <v>60</v>
      </c>
      <c r="K18" s="2" t="s">
        <v>211</v>
      </c>
      <c r="L18" s="2" t="s">
        <v>212</v>
      </c>
      <c r="M18" s="3" t="s">
        <v>83</v>
      </c>
      <c r="N18" s="2" t="s">
        <v>213</v>
      </c>
      <c r="O18" s="3" t="s">
        <v>63</v>
      </c>
      <c r="P18" s="3" t="s">
        <v>214</v>
      </c>
      <c r="R18" s="3" t="s">
        <v>65</v>
      </c>
      <c r="S18" s="4">
        <v>2</v>
      </c>
      <c r="T18" s="4">
        <v>2</v>
      </c>
      <c r="U18" s="5" t="s">
        <v>216</v>
      </c>
      <c r="V18" s="5" t="s">
        <v>216</v>
      </c>
      <c r="W18" s="5" t="s">
        <v>112</v>
      </c>
      <c r="X18" s="5" t="s">
        <v>112</v>
      </c>
      <c r="Y18" s="4">
        <v>153</v>
      </c>
      <c r="Z18" s="4">
        <v>136</v>
      </c>
      <c r="AA18" s="4">
        <v>201</v>
      </c>
      <c r="AB18" s="4">
        <v>1</v>
      </c>
      <c r="AC18" s="4">
        <v>1</v>
      </c>
      <c r="AD18" s="4">
        <v>6</v>
      </c>
      <c r="AE18" s="4">
        <v>7</v>
      </c>
      <c r="AF18" s="4">
        <v>3</v>
      </c>
      <c r="AG18" s="4">
        <v>3</v>
      </c>
      <c r="AH18" s="4">
        <v>2</v>
      </c>
      <c r="AI18" s="4">
        <v>2</v>
      </c>
      <c r="AJ18" s="4">
        <v>3</v>
      </c>
      <c r="AK18" s="4">
        <v>4</v>
      </c>
      <c r="AL18" s="4">
        <v>0</v>
      </c>
      <c r="AM18" s="4">
        <v>0</v>
      </c>
      <c r="AN18" s="4">
        <v>0</v>
      </c>
      <c r="AO18" s="4">
        <v>0</v>
      </c>
      <c r="AP18" s="3" t="s">
        <v>58</v>
      </c>
      <c r="AQ18" s="3" t="s">
        <v>58</v>
      </c>
      <c r="AR18" s="6" t="str">
        <f>HYPERLINK("http://catalog.hathitrust.org/Record/101990912","HathiTrust Record")</f>
        <v>HathiTrust Record</v>
      </c>
      <c r="AS18" s="6" t="str">
        <f>HYPERLINK("https://creighton-primo.hosted.exlibrisgroup.com/primo-explore/search?tab=default_tab&amp;search_scope=EVERYTHING&amp;vid=01CRU&amp;lang=en_US&amp;offset=0&amp;query=any,contains,991004672889702656","Catalog Record")</f>
        <v>Catalog Record</v>
      </c>
      <c r="AT18" s="6" t="str">
        <f>HYPERLINK("http://www.worldcat.org/oclc/11235229","WorldCat Record")</f>
        <v>WorldCat Record</v>
      </c>
      <c r="AU18" s="3" t="s">
        <v>217</v>
      </c>
      <c r="AV18" s="3" t="s">
        <v>218</v>
      </c>
      <c r="AW18" s="3" t="s">
        <v>219</v>
      </c>
      <c r="AX18" s="3" t="s">
        <v>219</v>
      </c>
      <c r="AY18" s="3" t="s">
        <v>220</v>
      </c>
      <c r="AZ18" s="3" t="s">
        <v>73</v>
      </c>
      <c r="BC18" s="3" t="s">
        <v>224</v>
      </c>
      <c r="BD18" s="3" t="s">
        <v>225</v>
      </c>
    </row>
    <row r="19" spans="1:56" ht="51" customHeight="1" x14ac:dyDescent="0.25">
      <c r="A19" s="7" t="s">
        <v>58</v>
      </c>
      <c r="B19" s="2" t="s">
        <v>226</v>
      </c>
      <c r="C19" s="2" t="s">
        <v>227</v>
      </c>
      <c r="D19" s="2" t="s">
        <v>228</v>
      </c>
      <c r="E19" s="3" t="s">
        <v>223</v>
      </c>
      <c r="F19" s="3" t="s">
        <v>68</v>
      </c>
      <c r="G19" s="3" t="s">
        <v>59</v>
      </c>
      <c r="H19" s="3" t="s">
        <v>58</v>
      </c>
      <c r="I19" s="3" t="s">
        <v>58</v>
      </c>
      <c r="J19" s="3" t="s">
        <v>60</v>
      </c>
      <c r="K19" s="2" t="s">
        <v>229</v>
      </c>
      <c r="L19" s="2" t="s">
        <v>230</v>
      </c>
      <c r="M19" s="3" t="s">
        <v>231</v>
      </c>
      <c r="N19" s="2" t="s">
        <v>232</v>
      </c>
      <c r="O19" s="3" t="s">
        <v>63</v>
      </c>
      <c r="P19" s="3" t="s">
        <v>214</v>
      </c>
      <c r="R19" s="3" t="s">
        <v>65</v>
      </c>
      <c r="S19" s="4">
        <v>1</v>
      </c>
      <c r="T19" s="4">
        <v>4</v>
      </c>
      <c r="U19" s="5" t="s">
        <v>233</v>
      </c>
      <c r="V19" s="5" t="s">
        <v>234</v>
      </c>
      <c r="W19" s="5" t="s">
        <v>235</v>
      </c>
      <c r="X19" s="5" t="s">
        <v>235</v>
      </c>
      <c r="Y19" s="4">
        <v>656</v>
      </c>
      <c r="Z19" s="4">
        <v>596</v>
      </c>
      <c r="AA19" s="4">
        <v>1103</v>
      </c>
      <c r="AB19" s="4">
        <v>7</v>
      </c>
      <c r="AC19" s="4">
        <v>11</v>
      </c>
      <c r="AD19" s="4">
        <v>22</v>
      </c>
      <c r="AE19" s="4">
        <v>46</v>
      </c>
      <c r="AF19" s="4">
        <v>7</v>
      </c>
      <c r="AG19" s="4">
        <v>19</v>
      </c>
      <c r="AH19" s="4">
        <v>3</v>
      </c>
      <c r="AI19" s="4">
        <v>9</v>
      </c>
      <c r="AJ19" s="4">
        <v>12</v>
      </c>
      <c r="AK19" s="4">
        <v>22</v>
      </c>
      <c r="AL19" s="4">
        <v>4</v>
      </c>
      <c r="AM19" s="4">
        <v>8</v>
      </c>
      <c r="AN19" s="4">
        <v>0</v>
      </c>
      <c r="AO19" s="4">
        <v>0</v>
      </c>
      <c r="AP19" s="3" t="s">
        <v>58</v>
      </c>
      <c r="AQ19" s="3" t="s">
        <v>58</v>
      </c>
      <c r="AR19" s="6" t="str">
        <f>HYPERLINK("http://catalog.hathitrust.org/Record/006159467","HathiTrust Record")</f>
        <v>HathiTrust Record</v>
      </c>
      <c r="AS19" s="6" t="str">
        <f>HYPERLINK("https://creighton-primo.hosted.exlibrisgroup.com/primo-explore/search?tab=default_tab&amp;search_scope=EVERYTHING&amp;vid=01CRU&amp;lang=en_US&amp;offset=0&amp;query=any,contains,991002679689702656","Catalog Record")</f>
        <v>Catalog Record</v>
      </c>
      <c r="AT19" s="6" t="str">
        <f>HYPERLINK("http://www.worldcat.org/oclc/398070","WorldCat Record")</f>
        <v>WorldCat Record</v>
      </c>
      <c r="AU19" s="3" t="s">
        <v>236</v>
      </c>
      <c r="AV19" s="3" t="s">
        <v>237</v>
      </c>
      <c r="AW19" s="3" t="s">
        <v>238</v>
      </c>
      <c r="AX19" s="3" t="s">
        <v>238</v>
      </c>
      <c r="AY19" s="3" t="s">
        <v>239</v>
      </c>
      <c r="AZ19" s="3" t="s">
        <v>73</v>
      </c>
      <c r="BC19" s="3" t="s">
        <v>240</v>
      </c>
      <c r="BD19" s="3" t="s">
        <v>241</v>
      </c>
    </row>
    <row r="20" spans="1:56" ht="51" customHeight="1" x14ac:dyDescent="0.25">
      <c r="A20" s="7" t="s">
        <v>58</v>
      </c>
      <c r="B20" s="2" t="s">
        <v>226</v>
      </c>
      <c r="C20" s="2" t="s">
        <v>227</v>
      </c>
      <c r="D20" s="2" t="s">
        <v>228</v>
      </c>
      <c r="E20" s="3" t="s">
        <v>210</v>
      </c>
      <c r="F20" s="3" t="s">
        <v>68</v>
      </c>
      <c r="G20" s="3" t="s">
        <v>59</v>
      </c>
      <c r="H20" s="3" t="s">
        <v>58</v>
      </c>
      <c r="I20" s="3" t="s">
        <v>58</v>
      </c>
      <c r="J20" s="3" t="s">
        <v>60</v>
      </c>
      <c r="K20" s="2" t="s">
        <v>229</v>
      </c>
      <c r="L20" s="2" t="s">
        <v>230</v>
      </c>
      <c r="M20" s="3" t="s">
        <v>231</v>
      </c>
      <c r="N20" s="2" t="s">
        <v>232</v>
      </c>
      <c r="O20" s="3" t="s">
        <v>63</v>
      </c>
      <c r="P20" s="3" t="s">
        <v>214</v>
      </c>
      <c r="R20" s="3" t="s">
        <v>65</v>
      </c>
      <c r="S20" s="4">
        <v>3</v>
      </c>
      <c r="T20" s="4">
        <v>4</v>
      </c>
      <c r="U20" s="5" t="s">
        <v>234</v>
      </c>
      <c r="V20" s="5" t="s">
        <v>234</v>
      </c>
      <c r="W20" s="5" t="s">
        <v>235</v>
      </c>
      <c r="X20" s="5" t="s">
        <v>235</v>
      </c>
      <c r="Y20" s="4">
        <v>656</v>
      </c>
      <c r="Z20" s="4">
        <v>596</v>
      </c>
      <c r="AA20" s="4">
        <v>1103</v>
      </c>
      <c r="AB20" s="4">
        <v>7</v>
      </c>
      <c r="AC20" s="4">
        <v>11</v>
      </c>
      <c r="AD20" s="4">
        <v>22</v>
      </c>
      <c r="AE20" s="4">
        <v>46</v>
      </c>
      <c r="AF20" s="4">
        <v>7</v>
      </c>
      <c r="AG20" s="4">
        <v>19</v>
      </c>
      <c r="AH20" s="4">
        <v>3</v>
      </c>
      <c r="AI20" s="4">
        <v>9</v>
      </c>
      <c r="AJ20" s="4">
        <v>12</v>
      </c>
      <c r="AK20" s="4">
        <v>22</v>
      </c>
      <c r="AL20" s="4">
        <v>4</v>
      </c>
      <c r="AM20" s="4">
        <v>8</v>
      </c>
      <c r="AN20" s="4">
        <v>0</v>
      </c>
      <c r="AO20" s="4">
        <v>0</v>
      </c>
      <c r="AP20" s="3" t="s">
        <v>58</v>
      </c>
      <c r="AQ20" s="3" t="s">
        <v>58</v>
      </c>
      <c r="AR20" s="6" t="str">
        <f>HYPERLINK("http://catalog.hathitrust.org/Record/006159467","HathiTrust Record")</f>
        <v>HathiTrust Record</v>
      </c>
      <c r="AS20" s="6" t="str">
        <f>HYPERLINK("https://creighton-primo.hosted.exlibrisgroup.com/primo-explore/search?tab=default_tab&amp;search_scope=EVERYTHING&amp;vid=01CRU&amp;lang=en_US&amp;offset=0&amp;query=any,contains,991002679689702656","Catalog Record")</f>
        <v>Catalog Record</v>
      </c>
      <c r="AT20" s="6" t="str">
        <f>HYPERLINK("http://www.worldcat.org/oclc/398070","WorldCat Record")</f>
        <v>WorldCat Record</v>
      </c>
      <c r="AU20" s="3" t="s">
        <v>236</v>
      </c>
      <c r="AV20" s="3" t="s">
        <v>237</v>
      </c>
      <c r="AW20" s="3" t="s">
        <v>238</v>
      </c>
      <c r="AX20" s="3" t="s">
        <v>238</v>
      </c>
      <c r="AY20" s="3" t="s">
        <v>239</v>
      </c>
      <c r="AZ20" s="3" t="s">
        <v>73</v>
      </c>
      <c r="BC20" s="3" t="s">
        <v>242</v>
      </c>
      <c r="BD20" s="3" t="s">
        <v>243</v>
      </c>
    </row>
    <row r="21" spans="1:56" ht="51" customHeight="1" x14ac:dyDescent="0.25">
      <c r="A21" s="7" t="s">
        <v>58</v>
      </c>
      <c r="B21" s="2" t="s">
        <v>244</v>
      </c>
      <c r="C21" s="2" t="s">
        <v>245</v>
      </c>
      <c r="D21" s="2" t="s">
        <v>246</v>
      </c>
      <c r="F21" s="3" t="s">
        <v>58</v>
      </c>
      <c r="G21" s="3" t="s">
        <v>59</v>
      </c>
      <c r="H21" s="3" t="s">
        <v>58</v>
      </c>
      <c r="I21" s="3" t="s">
        <v>58</v>
      </c>
      <c r="J21" s="3" t="s">
        <v>60</v>
      </c>
      <c r="K21" s="2" t="s">
        <v>247</v>
      </c>
      <c r="L21" s="2" t="s">
        <v>248</v>
      </c>
      <c r="M21" s="3" t="s">
        <v>249</v>
      </c>
      <c r="O21" s="3" t="s">
        <v>63</v>
      </c>
      <c r="P21" s="3" t="s">
        <v>214</v>
      </c>
      <c r="R21" s="3" t="s">
        <v>65</v>
      </c>
      <c r="S21" s="4">
        <v>1</v>
      </c>
      <c r="T21" s="4">
        <v>1</v>
      </c>
      <c r="U21" s="5" t="s">
        <v>250</v>
      </c>
      <c r="V21" s="5" t="s">
        <v>250</v>
      </c>
      <c r="W21" s="5" t="s">
        <v>235</v>
      </c>
      <c r="X21" s="5" t="s">
        <v>235</v>
      </c>
      <c r="Y21" s="4">
        <v>344</v>
      </c>
      <c r="Z21" s="4">
        <v>332</v>
      </c>
      <c r="AA21" s="4">
        <v>342</v>
      </c>
      <c r="AB21" s="4">
        <v>3</v>
      </c>
      <c r="AC21" s="4">
        <v>3</v>
      </c>
      <c r="AD21" s="4">
        <v>17</v>
      </c>
      <c r="AE21" s="4">
        <v>17</v>
      </c>
      <c r="AF21" s="4">
        <v>9</v>
      </c>
      <c r="AG21" s="4">
        <v>9</v>
      </c>
      <c r="AH21" s="4">
        <v>3</v>
      </c>
      <c r="AI21" s="4">
        <v>3</v>
      </c>
      <c r="AJ21" s="4">
        <v>8</v>
      </c>
      <c r="AK21" s="4">
        <v>8</v>
      </c>
      <c r="AL21" s="4">
        <v>2</v>
      </c>
      <c r="AM21" s="4">
        <v>2</v>
      </c>
      <c r="AN21" s="4">
        <v>0</v>
      </c>
      <c r="AO21" s="4">
        <v>0</v>
      </c>
      <c r="AP21" s="3" t="s">
        <v>58</v>
      </c>
      <c r="AQ21" s="3" t="s">
        <v>58</v>
      </c>
      <c r="AS21" s="6" t="str">
        <f>HYPERLINK("https://creighton-primo.hosted.exlibrisgroup.com/primo-explore/search?tab=default_tab&amp;search_scope=EVERYTHING&amp;vid=01CRU&amp;lang=en_US&amp;offset=0&amp;query=any,contains,991002129759702656","Catalog Record")</f>
        <v>Catalog Record</v>
      </c>
      <c r="AT21" s="6" t="str">
        <f>HYPERLINK("http://www.worldcat.org/oclc/269722","WorldCat Record")</f>
        <v>WorldCat Record</v>
      </c>
      <c r="AU21" s="3" t="s">
        <v>251</v>
      </c>
      <c r="AV21" s="3" t="s">
        <v>252</v>
      </c>
      <c r="AW21" s="3" t="s">
        <v>253</v>
      </c>
      <c r="AX21" s="3" t="s">
        <v>253</v>
      </c>
      <c r="AY21" s="3" t="s">
        <v>254</v>
      </c>
      <c r="AZ21" s="3" t="s">
        <v>73</v>
      </c>
      <c r="BC21" s="3" t="s">
        <v>255</v>
      </c>
      <c r="BD21" s="3" t="s">
        <v>256</v>
      </c>
    </row>
    <row r="22" spans="1:56" ht="51" customHeight="1" x14ac:dyDescent="0.25">
      <c r="A22" s="7" t="s">
        <v>58</v>
      </c>
      <c r="B22" s="2" t="s">
        <v>257</v>
      </c>
      <c r="C22" s="2" t="s">
        <v>258</v>
      </c>
      <c r="D22" s="2" t="s">
        <v>259</v>
      </c>
      <c r="E22" s="3" t="s">
        <v>223</v>
      </c>
      <c r="F22" s="3" t="s">
        <v>68</v>
      </c>
      <c r="G22" s="3" t="s">
        <v>59</v>
      </c>
      <c r="H22" s="3" t="s">
        <v>58</v>
      </c>
      <c r="I22" s="3" t="s">
        <v>58</v>
      </c>
      <c r="J22" s="3" t="s">
        <v>60</v>
      </c>
      <c r="L22" s="2" t="s">
        <v>260</v>
      </c>
      <c r="M22" s="3" t="s">
        <v>261</v>
      </c>
      <c r="O22" s="3" t="s">
        <v>63</v>
      </c>
      <c r="P22" s="3" t="s">
        <v>84</v>
      </c>
      <c r="R22" s="3" t="s">
        <v>65</v>
      </c>
      <c r="S22" s="4">
        <v>1</v>
      </c>
      <c r="T22" s="4">
        <v>4</v>
      </c>
      <c r="U22" s="5" t="s">
        <v>262</v>
      </c>
      <c r="V22" s="5" t="s">
        <v>263</v>
      </c>
      <c r="W22" s="5" t="s">
        <v>112</v>
      </c>
      <c r="X22" s="5" t="s">
        <v>264</v>
      </c>
      <c r="Y22" s="4">
        <v>322</v>
      </c>
      <c r="Z22" s="4">
        <v>285</v>
      </c>
      <c r="AA22" s="4">
        <v>288</v>
      </c>
      <c r="AB22" s="4">
        <v>1</v>
      </c>
      <c r="AC22" s="4">
        <v>1</v>
      </c>
      <c r="AD22" s="4">
        <v>11</v>
      </c>
      <c r="AE22" s="4">
        <v>11</v>
      </c>
      <c r="AF22" s="4">
        <v>5</v>
      </c>
      <c r="AG22" s="4">
        <v>5</v>
      </c>
      <c r="AH22" s="4">
        <v>3</v>
      </c>
      <c r="AI22" s="4">
        <v>3</v>
      </c>
      <c r="AJ22" s="4">
        <v>6</v>
      </c>
      <c r="AK22" s="4">
        <v>6</v>
      </c>
      <c r="AL22" s="4">
        <v>0</v>
      </c>
      <c r="AM22" s="4">
        <v>0</v>
      </c>
      <c r="AN22" s="4">
        <v>0</v>
      </c>
      <c r="AO22" s="4">
        <v>0</v>
      </c>
      <c r="AP22" s="3" t="s">
        <v>58</v>
      </c>
      <c r="AQ22" s="3" t="s">
        <v>68</v>
      </c>
      <c r="AR22" s="6" t="str">
        <f>HYPERLINK("http://catalog.hathitrust.org/Record/000029919","HathiTrust Record")</f>
        <v>HathiTrust Record</v>
      </c>
      <c r="AS22" s="6" t="str">
        <f>HYPERLINK("https://creighton-primo.hosted.exlibrisgroup.com/primo-explore/search?tab=default_tab&amp;search_scope=EVERYTHING&amp;vid=01CRU&amp;lang=en_US&amp;offset=0&amp;query=any,contains,991003769139702656","Catalog Record")</f>
        <v>Catalog Record</v>
      </c>
      <c r="AT22" s="6" t="str">
        <f>HYPERLINK("http://www.worldcat.org/oclc/1466317","WorldCat Record")</f>
        <v>WorldCat Record</v>
      </c>
      <c r="AU22" s="3" t="s">
        <v>265</v>
      </c>
      <c r="AV22" s="3" t="s">
        <v>266</v>
      </c>
      <c r="AW22" s="3" t="s">
        <v>267</v>
      </c>
      <c r="AX22" s="3" t="s">
        <v>267</v>
      </c>
      <c r="AY22" s="3" t="s">
        <v>268</v>
      </c>
      <c r="AZ22" s="3" t="s">
        <v>73</v>
      </c>
      <c r="BC22" s="3" t="s">
        <v>269</v>
      </c>
      <c r="BD22" s="3" t="s">
        <v>270</v>
      </c>
    </row>
    <row r="23" spans="1:56" ht="51" customHeight="1" x14ac:dyDescent="0.25">
      <c r="A23" s="7" t="s">
        <v>58</v>
      </c>
      <c r="B23" s="2" t="s">
        <v>257</v>
      </c>
      <c r="C23" s="2" t="s">
        <v>258</v>
      </c>
      <c r="D23" s="2" t="s">
        <v>259</v>
      </c>
      <c r="E23" s="3" t="s">
        <v>271</v>
      </c>
      <c r="F23" s="3" t="s">
        <v>68</v>
      </c>
      <c r="G23" s="3" t="s">
        <v>59</v>
      </c>
      <c r="H23" s="3" t="s">
        <v>58</v>
      </c>
      <c r="I23" s="3" t="s">
        <v>58</v>
      </c>
      <c r="J23" s="3" t="s">
        <v>60</v>
      </c>
      <c r="L23" s="2" t="s">
        <v>260</v>
      </c>
      <c r="M23" s="3" t="s">
        <v>261</v>
      </c>
      <c r="O23" s="3" t="s">
        <v>63</v>
      </c>
      <c r="P23" s="3" t="s">
        <v>84</v>
      </c>
      <c r="R23" s="3" t="s">
        <v>65</v>
      </c>
      <c r="S23" s="4">
        <v>0</v>
      </c>
      <c r="T23" s="4">
        <v>4</v>
      </c>
      <c r="V23" s="5" t="s">
        <v>263</v>
      </c>
      <c r="W23" s="5" t="s">
        <v>264</v>
      </c>
      <c r="X23" s="5" t="s">
        <v>264</v>
      </c>
      <c r="Y23" s="4">
        <v>322</v>
      </c>
      <c r="Z23" s="4">
        <v>285</v>
      </c>
      <c r="AA23" s="4">
        <v>288</v>
      </c>
      <c r="AB23" s="4">
        <v>1</v>
      </c>
      <c r="AC23" s="4">
        <v>1</v>
      </c>
      <c r="AD23" s="4">
        <v>11</v>
      </c>
      <c r="AE23" s="4">
        <v>11</v>
      </c>
      <c r="AF23" s="4">
        <v>5</v>
      </c>
      <c r="AG23" s="4">
        <v>5</v>
      </c>
      <c r="AH23" s="4">
        <v>3</v>
      </c>
      <c r="AI23" s="4">
        <v>3</v>
      </c>
      <c r="AJ23" s="4">
        <v>6</v>
      </c>
      <c r="AK23" s="4">
        <v>6</v>
      </c>
      <c r="AL23" s="4">
        <v>0</v>
      </c>
      <c r="AM23" s="4">
        <v>0</v>
      </c>
      <c r="AN23" s="4">
        <v>0</v>
      </c>
      <c r="AO23" s="4">
        <v>0</v>
      </c>
      <c r="AP23" s="3" t="s">
        <v>58</v>
      </c>
      <c r="AQ23" s="3" t="s">
        <v>68</v>
      </c>
      <c r="AR23" s="6" t="str">
        <f>HYPERLINK("http://catalog.hathitrust.org/Record/000029919","HathiTrust Record")</f>
        <v>HathiTrust Record</v>
      </c>
      <c r="AS23" s="6" t="str">
        <f>HYPERLINK("https://creighton-primo.hosted.exlibrisgroup.com/primo-explore/search?tab=default_tab&amp;search_scope=EVERYTHING&amp;vid=01CRU&amp;lang=en_US&amp;offset=0&amp;query=any,contains,991003769139702656","Catalog Record")</f>
        <v>Catalog Record</v>
      </c>
      <c r="AT23" s="6" t="str">
        <f>HYPERLINK("http://www.worldcat.org/oclc/1466317","WorldCat Record")</f>
        <v>WorldCat Record</v>
      </c>
      <c r="AU23" s="3" t="s">
        <v>265</v>
      </c>
      <c r="AV23" s="3" t="s">
        <v>266</v>
      </c>
      <c r="AW23" s="3" t="s">
        <v>267</v>
      </c>
      <c r="AX23" s="3" t="s">
        <v>267</v>
      </c>
      <c r="AY23" s="3" t="s">
        <v>268</v>
      </c>
      <c r="AZ23" s="3" t="s">
        <v>73</v>
      </c>
      <c r="BC23" s="3" t="s">
        <v>272</v>
      </c>
      <c r="BD23" s="3" t="s">
        <v>273</v>
      </c>
    </row>
    <row r="24" spans="1:56" ht="51" customHeight="1" x14ac:dyDescent="0.25">
      <c r="A24" s="7" t="s">
        <v>58</v>
      </c>
      <c r="B24" s="2" t="s">
        <v>257</v>
      </c>
      <c r="C24" s="2" t="s">
        <v>258</v>
      </c>
      <c r="D24" s="2" t="s">
        <v>259</v>
      </c>
      <c r="E24" s="3" t="s">
        <v>210</v>
      </c>
      <c r="F24" s="3" t="s">
        <v>68</v>
      </c>
      <c r="G24" s="3" t="s">
        <v>59</v>
      </c>
      <c r="H24" s="3" t="s">
        <v>58</v>
      </c>
      <c r="I24" s="3" t="s">
        <v>58</v>
      </c>
      <c r="J24" s="3" t="s">
        <v>60</v>
      </c>
      <c r="L24" s="2" t="s">
        <v>260</v>
      </c>
      <c r="M24" s="3" t="s">
        <v>261</v>
      </c>
      <c r="O24" s="3" t="s">
        <v>63</v>
      </c>
      <c r="P24" s="3" t="s">
        <v>84</v>
      </c>
      <c r="R24" s="3" t="s">
        <v>65</v>
      </c>
      <c r="S24" s="4">
        <v>3</v>
      </c>
      <c r="T24" s="4">
        <v>4</v>
      </c>
      <c r="U24" s="5" t="s">
        <v>263</v>
      </c>
      <c r="V24" s="5" t="s">
        <v>263</v>
      </c>
      <c r="W24" s="5" t="s">
        <v>112</v>
      </c>
      <c r="X24" s="5" t="s">
        <v>264</v>
      </c>
      <c r="Y24" s="4">
        <v>322</v>
      </c>
      <c r="Z24" s="4">
        <v>285</v>
      </c>
      <c r="AA24" s="4">
        <v>288</v>
      </c>
      <c r="AB24" s="4">
        <v>1</v>
      </c>
      <c r="AC24" s="4">
        <v>1</v>
      </c>
      <c r="AD24" s="4">
        <v>11</v>
      </c>
      <c r="AE24" s="4">
        <v>11</v>
      </c>
      <c r="AF24" s="4">
        <v>5</v>
      </c>
      <c r="AG24" s="4">
        <v>5</v>
      </c>
      <c r="AH24" s="4">
        <v>3</v>
      </c>
      <c r="AI24" s="4">
        <v>3</v>
      </c>
      <c r="AJ24" s="4">
        <v>6</v>
      </c>
      <c r="AK24" s="4">
        <v>6</v>
      </c>
      <c r="AL24" s="4">
        <v>0</v>
      </c>
      <c r="AM24" s="4">
        <v>0</v>
      </c>
      <c r="AN24" s="4">
        <v>0</v>
      </c>
      <c r="AO24" s="4">
        <v>0</v>
      </c>
      <c r="AP24" s="3" t="s">
        <v>58</v>
      </c>
      <c r="AQ24" s="3" t="s">
        <v>68</v>
      </c>
      <c r="AR24" s="6" t="str">
        <f>HYPERLINK("http://catalog.hathitrust.org/Record/000029919","HathiTrust Record")</f>
        <v>HathiTrust Record</v>
      </c>
      <c r="AS24" s="6" t="str">
        <f>HYPERLINK("https://creighton-primo.hosted.exlibrisgroup.com/primo-explore/search?tab=default_tab&amp;search_scope=EVERYTHING&amp;vid=01CRU&amp;lang=en_US&amp;offset=0&amp;query=any,contains,991003769139702656","Catalog Record")</f>
        <v>Catalog Record</v>
      </c>
      <c r="AT24" s="6" t="str">
        <f>HYPERLINK("http://www.worldcat.org/oclc/1466317","WorldCat Record")</f>
        <v>WorldCat Record</v>
      </c>
      <c r="AU24" s="3" t="s">
        <v>265</v>
      </c>
      <c r="AV24" s="3" t="s">
        <v>266</v>
      </c>
      <c r="AW24" s="3" t="s">
        <v>267</v>
      </c>
      <c r="AX24" s="3" t="s">
        <v>267</v>
      </c>
      <c r="AY24" s="3" t="s">
        <v>268</v>
      </c>
      <c r="AZ24" s="3" t="s">
        <v>73</v>
      </c>
      <c r="BC24" s="3" t="s">
        <v>274</v>
      </c>
      <c r="BD24" s="3" t="s">
        <v>275</v>
      </c>
    </row>
    <row r="25" spans="1:56" ht="51" customHeight="1" x14ac:dyDescent="0.25">
      <c r="A25" s="7" t="s">
        <v>58</v>
      </c>
      <c r="B25" s="2" t="s">
        <v>276</v>
      </c>
      <c r="C25" s="2" t="s">
        <v>277</v>
      </c>
      <c r="D25" s="2" t="s">
        <v>278</v>
      </c>
      <c r="E25" s="3" t="s">
        <v>279</v>
      </c>
      <c r="F25" s="3" t="s">
        <v>68</v>
      </c>
      <c r="G25" s="3" t="s">
        <v>59</v>
      </c>
      <c r="H25" s="3" t="s">
        <v>58</v>
      </c>
      <c r="I25" s="3" t="s">
        <v>58</v>
      </c>
      <c r="J25" s="3" t="s">
        <v>60</v>
      </c>
      <c r="L25" s="2" t="s">
        <v>280</v>
      </c>
      <c r="M25" s="3" t="s">
        <v>281</v>
      </c>
      <c r="O25" s="3" t="s">
        <v>63</v>
      </c>
      <c r="P25" s="3" t="s">
        <v>214</v>
      </c>
      <c r="R25" s="3" t="s">
        <v>65</v>
      </c>
      <c r="S25" s="4">
        <v>0</v>
      </c>
      <c r="T25" s="4">
        <v>7</v>
      </c>
      <c r="V25" s="5" t="s">
        <v>282</v>
      </c>
      <c r="W25" s="5" t="s">
        <v>235</v>
      </c>
      <c r="X25" s="5" t="s">
        <v>235</v>
      </c>
      <c r="Y25" s="4">
        <v>527</v>
      </c>
      <c r="Z25" s="4">
        <v>440</v>
      </c>
      <c r="AA25" s="4">
        <v>689</v>
      </c>
      <c r="AB25" s="4">
        <v>4</v>
      </c>
      <c r="AC25" s="4">
        <v>5</v>
      </c>
      <c r="AD25" s="4">
        <v>24</v>
      </c>
      <c r="AE25" s="4">
        <v>35</v>
      </c>
      <c r="AF25" s="4">
        <v>12</v>
      </c>
      <c r="AG25" s="4">
        <v>16</v>
      </c>
      <c r="AH25" s="4">
        <v>5</v>
      </c>
      <c r="AI25" s="4">
        <v>6</v>
      </c>
      <c r="AJ25" s="4">
        <v>11</v>
      </c>
      <c r="AK25" s="4">
        <v>16</v>
      </c>
      <c r="AL25" s="4">
        <v>3</v>
      </c>
      <c r="AM25" s="4">
        <v>4</v>
      </c>
      <c r="AN25" s="4">
        <v>0</v>
      </c>
      <c r="AO25" s="4">
        <v>1</v>
      </c>
      <c r="AP25" s="3" t="s">
        <v>68</v>
      </c>
      <c r="AQ25" s="3" t="s">
        <v>58</v>
      </c>
      <c r="AR25" s="6" t="str">
        <f t="shared" ref="AR25:AR36" si="3">HYPERLINK("http://catalog.hathitrust.org/Record/001242015","HathiTrust Record")</f>
        <v>HathiTrust Record</v>
      </c>
      <c r="AS25" s="6" t="str">
        <f t="shared" ref="AS25:AS36" si="4">HYPERLINK("https://creighton-primo.hosted.exlibrisgroup.com/primo-explore/search?tab=default_tab&amp;search_scope=EVERYTHING&amp;vid=01CRU&amp;lang=en_US&amp;offset=0&amp;query=any,contains,991003473169702656","Catalog Record")</f>
        <v>Catalog Record</v>
      </c>
      <c r="AT25" s="6" t="str">
        <f t="shared" ref="AT25:AT36" si="5">HYPERLINK("http://www.worldcat.org/oclc/269638","WorldCat Record")</f>
        <v>WorldCat Record</v>
      </c>
      <c r="AU25" s="3" t="s">
        <v>283</v>
      </c>
      <c r="AV25" s="3" t="s">
        <v>284</v>
      </c>
      <c r="AW25" s="3" t="s">
        <v>285</v>
      </c>
      <c r="AX25" s="3" t="s">
        <v>285</v>
      </c>
      <c r="AY25" s="3" t="s">
        <v>286</v>
      </c>
      <c r="AZ25" s="3" t="s">
        <v>73</v>
      </c>
      <c r="BC25" s="3" t="s">
        <v>287</v>
      </c>
      <c r="BD25" s="3" t="s">
        <v>288</v>
      </c>
    </row>
    <row r="26" spans="1:56" ht="51" customHeight="1" x14ac:dyDescent="0.25">
      <c r="A26" s="7" t="s">
        <v>58</v>
      </c>
      <c r="B26" s="2" t="s">
        <v>276</v>
      </c>
      <c r="C26" s="2" t="s">
        <v>277</v>
      </c>
      <c r="D26" s="2" t="s">
        <v>278</v>
      </c>
      <c r="E26" s="3" t="s">
        <v>289</v>
      </c>
      <c r="F26" s="3" t="s">
        <v>68</v>
      </c>
      <c r="G26" s="3" t="s">
        <v>59</v>
      </c>
      <c r="H26" s="3" t="s">
        <v>58</v>
      </c>
      <c r="I26" s="3" t="s">
        <v>58</v>
      </c>
      <c r="J26" s="3" t="s">
        <v>60</v>
      </c>
      <c r="L26" s="2" t="s">
        <v>280</v>
      </c>
      <c r="M26" s="3" t="s">
        <v>281</v>
      </c>
      <c r="O26" s="3" t="s">
        <v>63</v>
      </c>
      <c r="P26" s="3" t="s">
        <v>214</v>
      </c>
      <c r="R26" s="3" t="s">
        <v>65</v>
      </c>
      <c r="S26" s="4">
        <v>0</v>
      </c>
      <c r="T26" s="4">
        <v>7</v>
      </c>
      <c r="V26" s="5" t="s">
        <v>282</v>
      </c>
      <c r="W26" s="5" t="s">
        <v>235</v>
      </c>
      <c r="X26" s="5" t="s">
        <v>235</v>
      </c>
      <c r="Y26" s="4">
        <v>527</v>
      </c>
      <c r="Z26" s="4">
        <v>440</v>
      </c>
      <c r="AA26" s="4">
        <v>689</v>
      </c>
      <c r="AB26" s="4">
        <v>4</v>
      </c>
      <c r="AC26" s="4">
        <v>5</v>
      </c>
      <c r="AD26" s="4">
        <v>24</v>
      </c>
      <c r="AE26" s="4">
        <v>35</v>
      </c>
      <c r="AF26" s="4">
        <v>12</v>
      </c>
      <c r="AG26" s="4">
        <v>16</v>
      </c>
      <c r="AH26" s="4">
        <v>5</v>
      </c>
      <c r="AI26" s="4">
        <v>6</v>
      </c>
      <c r="AJ26" s="4">
        <v>11</v>
      </c>
      <c r="AK26" s="4">
        <v>16</v>
      </c>
      <c r="AL26" s="4">
        <v>3</v>
      </c>
      <c r="AM26" s="4">
        <v>4</v>
      </c>
      <c r="AN26" s="4">
        <v>0</v>
      </c>
      <c r="AO26" s="4">
        <v>1</v>
      </c>
      <c r="AP26" s="3" t="s">
        <v>68</v>
      </c>
      <c r="AQ26" s="3" t="s">
        <v>58</v>
      </c>
      <c r="AR26" s="6" t="str">
        <f t="shared" si="3"/>
        <v>HathiTrust Record</v>
      </c>
      <c r="AS26" s="6" t="str">
        <f t="shared" si="4"/>
        <v>Catalog Record</v>
      </c>
      <c r="AT26" s="6" t="str">
        <f t="shared" si="5"/>
        <v>WorldCat Record</v>
      </c>
      <c r="AU26" s="3" t="s">
        <v>283</v>
      </c>
      <c r="AV26" s="3" t="s">
        <v>284</v>
      </c>
      <c r="AW26" s="3" t="s">
        <v>285</v>
      </c>
      <c r="AX26" s="3" t="s">
        <v>285</v>
      </c>
      <c r="AY26" s="3" t="s">
        <v>286</v>
      </c>
      <c r="AZ26" s="3" t="s">
        <v>73</v>
      </c>
      <c r="BC26" s="3" t="s">
        <v>290</v>
      </c>
      <c r="BD26" s="3" t="s">
        <v>291</v>
      </c>
    </row>
    <row r="27" spans="1:56" ht="51" customHeight="1" x14ac:dyDescent="0.25">
      <c r="A27" s="7" t="s">
        <v>58</v>
      </c>
      <c r="B27" s="2" t="s">
        <v>276</v>
      </c>
      <c r="C27" s="2" t="s">
        <v>277</v>
      </c>
      <c r="D27" s="2" t="s">
        <v>278</v>
      </c>
      <c r="E27" s="3" t="s">
        <v>223</v>
      </c>
      <c r="F27" s="3" t="s">
        <v>68</v>
      </c>
      <c r="G27" s="3" t="s">
        <v>59</v>
      </c>
      <c r="H27" s="3" t="s">
        <v>58</v>
      </c>
      <c r="I27" s="3" t="s">
        <v>58</v>
      </c>
      <c r="J27" s="3" t="s">
        <v>60</v>
      </c>
      <c r="L27" s="2" t="s">
        <v>280</v>
      </c>
      <c r="M27" s="3" t="s">
        <v>281</v>
      </c>
      <c r="O27" s="3" t="s">
        <v>63</v>
      </c>
      <c r="P27" s="3" t="s">
        <v>214</v>
      </c>
      <c r="R27" s="3" t="s">
        <v>65</v>
      </c>
      <c r="S27" s="4">
        <v>0</v>
      </c>
      <c r="T27" s="4">
        <v>7</v>
      </c>
      <c r="V27" s="5" t="s">
        <v>282</v>
      </c>
      <c r="W27" s="5" t="s">
        <v>235</v>
      </c>
      <c r="X27" s="5" t="s">
        <v>235</v>
      </c>
      <c r="Y27" s="4">
        <v>527</v>
      </c>
      <c r="Z27" s="4">
        <v>440</v>
      </c>
      <c r="AA27" s="4">
        <v>689</v>
      </c>
      <c r="AB27" s="4">
        <v>4</v>
      </c>
      <c r="AC27" s="4">
        <v>5</v>
      </c>
      <c r="AD27" s="4">
        <v>24</v>
      </c>
      <c r="AE27" s="4">
        <v>35</v>
      </c>
      <c r="AF27" s="4">
        <v>12</v>
      </c>
      <c r="AG27" s="4">
        <v>16</v>
      </c>
      <c r="AH27" s="4">
        <v>5</v>
      </c>
      <c r="AI27" s="4">
        <v>6</v>
      </c>
      <c r="AJ27" s="4">
        <v>11</v>
      </c>
      <c r="AK27" s="4">
        <v>16</v>
      </c>
      <c r="AL27" s="4">
        <v>3</v>
      </c>
      <c r="AM27" s="4">
        <v>4</v>
      </c>
      <c r="AN27" s="4">
        <v>0</v>
      </c>
      <c r="AO27" s="4">
        <v>1</v>
      </c>
      <c r="AP27" s="3" t="s">
        <v>68</v>
      </c>
      <c r="AQ27" s="3" t="s">
        <v>58</v>
      </c>
      <c r="AR27" s="6" t="str">
        <f t="shared" si="3"/>
        <v>HathiTrust Record</v>
      </c>
      <c r="AS27" s="6" t="str">
        <f t="shared" si="4"/>
        <v>Catalog Record</v>
      </c>
      <c r="AT27" s="6" t="str">
        <f t="shared" si="5"/>
        <v>WorldCat Record</v>
      </c>
      <c r="AU27" s="3" t="s">
        <v>283</v>
      </c>
      <c r="AV27" s="3" t="s">
        <v>284</v>
      </c>
      <c r="AW27" s="3" t="s">
        <v>285</v>
      </c>
      <c r="AX27" s="3" t="s">
        <v>285</v>
      </c>
      <c r="AY27" s="3" t="s">
        <v>286</v>
      </c>
      <c r="AZ27" s="3" t="s">
        <v>73</v>
      </c>
      <c r="BC27" s="3" t="s">
        <v>292</v>
      </c>
      <c r="BD27" s="3" t="s">
        <v>293</v>
      </c>
    </row>
    <row r="28" spans="1:56" ht="51" customHeight="1" x14ac:dyDescent="0.25">
      <c r="A28" s="7" t="s">
        <v>58</v>
      </c>
      <c r="B28" s="2" t="s">
        <v>276</v>
      </c>
      <c r="C28" s="2" t="s">
        <v>277</v>
      </c>
      <c r="D28" s="2" t="s">
        <v>278</v>
      </c>
      <c r="E28" s="3" t="s">
        <v>294</v>
      </c>
      <c r="F28" s="3" t="s">
        <v>68</v>
      </c>
      <c r="G28" s="3" t="s">
        <v>59</v>
      </c>
      <c r="H28" s="3" t="s">
        <v>58</v>
      </c>
      <c r="I28" s="3" t="s">
        <v>58</v>
      </c>
      <c r="J28" s="3" t="s">
        <v>60</v>
      </c>
      <c r="L28" s="2" t="s">
        <v>280</v>
      </c>
      <c r="M28" s="3" t="s">
        <v>281</v>
      </c>
      <c r="O28" s="3" t="s">
        <v>63</v>
      </c>
      <c r="P28" s="3" t="s">
        <v>214</v>
      </c>
      <c r="R28" s="3" t="s">
        <v>65</v>
      </c>
      <c r="S28" s="4">
        <v>0</v>
      </c>
      <c r="T28" s="4">
        <v>7</v>
      </c>
      <c r="V28" s="5" t="s">
        <v>282</v>
      </c>
      <c r="W28" s="5" t="s">
        <v>235</v>
      </c>
      <c r="X28" s="5" t="s">
        <v>235</v>
      </c>
      <c r="Y28" s="4">
        <v>527</v>
      </c>
      <c r="Z28" s="4">
        <v>440</v>
      </c>
      <c r="AA28" s="4">
        <v>689</v>
      </c>
      <c r="AB28" s="4">
        <v>4</v>
      </c>
      <c r="AC28" s="4">
        <v>5</v>
      </c>
      <c r="AD28" s="4">
        <v>24</v>
      </c>
      <c r="AE28" s="4">
        <v>35</v>
      </c>
      <c r="AF28" s="4">
        <v>12</v>
      </c>
      <c r="AG28" s="4">
        <v>16</v>
      </c>
      <c r="AH28" s="4">
        <v>5</v>
      </c>
      <c r="AI28" s="4">
        <v>6</v>
      </c>
      <c r="AJ28" s="4">
        <v>11</v>
      </c>
      <c r="AK28" s="4">
        <v>16</v>
      </c>
      <c r="AL28" s="4">
        <v>3</v>
      </c>
      <c r="AM28" s="4">
        <v>4</v>
      </c>
      <c r="AN28" s="4">
        <v>0</v>
      </c>
      <c r="AO28" s="4">
        <v>1</v>
      </c>
      <c r="AP28" s="3" t="s">
        <v>68</v>
      </c>
      <c r="AQ28" s="3" t="s">
        <v>58</v>
      </c>
      <c r="AR28" s="6" t="str">
        <f t="shared" si="3"/>
        <v>HathiTrust Record</v>
      </c>
      <c r="AS28" s="6" t="str">
        <f t="shared" si="4"/>
        <v>Catalog Record</v>
      </c>
      <c r="AT28" s="6" t="str">
        <f t="shared" si="5"/>
        <v>WorldCat Record</v>
      </c>
      <c r="AU28" s="3" t="s">
        <v>283</v>
      </c>
      <c r="AV28" s="3" t="s">
        <v>284</v>
      </c>
      <c r="AW28" s="3" t="s">
        <v>285</v>
      </c>
      <c r="AX28" s="3" t="s">
        <v>285</v>
      </c>
      <c r="AY28" s="3" t="s">
        <v>286</v>
      </c>
      <c r="AZ28" s="3" t="s">
        <v>73</v>
      </c>
      <c r="BC28" s="3" t="s">
        <v>295</v>
      </c>
      <c r="BD28" s="3" t="s">
        <v>296</v>
      </c>
    </row>
    <row r="29" spans="1:56" ht="51" customHeight="1" x14ac:dyDescent="0.25">
      <c r="A29" s="7" t="s">
        <v>58</v>
      </c>
      <c r="B29" s="2" t="s">
        <v>276</v>
      </c>
      <c r="C29" s="2" t="s">
        <v>277</v>
      </c>
      <c r="D29" s="2" t="s">
        <v>278</v>
      </c>
      <c r="E29" s="3" t="s">
        <v>297</v>
      </c>
      <c r="F29" s="3" t="s">
        <v>68</v>
      </c>
      <c r="G29" s="3" t="s">
        <v>59</v>
      </c>
      <c r="H29" s="3" t="s">
        <v>58</v>
      </c>
      <c r="I29" s="3" t="s">
        <v>58</v>
      </c>
      <c r="J29" s="3" t="s">
        <v>60</v>
      </c>
      <c r="L29" s="2" t="s">
        <v>280</v>
      </c>
      <c r="M29" s="3" t="s">
        <v>281</v>
      </c>
      <c r="O29" s="3" t="s">
        <v>63</v>
      </c>
      <c r="P29" s="3" t="s">
        <v>214</v>
      </c>
      <c r="R29" s="3" t="s">
        <v>65</v>
      </c>
      <c r="S29" s="4">
        <v>0</v>
      </c>
      <c r="T29" s="4">
        <v>7</v>
      </c>
      <c r="V29" s="5" t="s">
        <v>282</v>
      </c>
      <c r="W29" s="5" t="s">
        <v>235</v>
      </c>
      <c r="X29" s="5" t="s">
        <v>235</v>
      </c>
      <c r="Y29" s="4">
        <v>527</v>
      </c>
      <c r="Z29" s="4">
        <v>440</v>
      </c>
      <c r="AA29" s="4">
        <v>689</v>
      </c>
      <c r="AB29" s="4">
        <v>4</v>
      </c>
      <c r="AC29" s="4">
        <v>5</v>
      </c>
      <c r="AD29" s="4">
        <v>24</v>
      </c>
      <c r="AE29" s="4">
        <v>35</v>
      </c>
      <c r="AF29" s="4">
        <v>12</v>
      </c>
      <c r="AG29" s="4">
        <v>16</v>
      </c>
      <c r="AH29" s="4">
        <v>5</v>
      </c>
      <c r="AI29" s="4">
        <v>6</v>
      </c>
      <c r="AJ29" s="4">
        <v>11</v>
      </c>
      <c r="AK29" s="4">
        <v>16</v>
      </c>
      <c r="AL29" s="4">
        <v>3</v>
      </c>
      <c r="AM29" s="4">
        <v>4</v>
      </c>
      <c r="AN29" s="4">
        <v>0</v>
      </c>
      <c r="AO29" s="4">
        <v>1</v>
      </c>
      <c r="AP29" s="3" t="s">
        <v>68</v>
      </c>
      <c r="AQ29" s="3" t="s">
        <v>58</v>
      </c>
      <c r="AR29" s="6" t="str">
        <f t="shared" si="3"/>
        <v>HathiTrust Record</v>
      </c>
      <c r="AS29" s="6" t="str">
        <f t="shared" si="4"/>
        <v>Catalog Record</v>
      </c>
      <c r="AT29" s="6" t="str">
        <f t="shared" si="5"/>
        <v>WorldCat Record</v>
      </c>
      <c r="AU29" s="3" t="s">
        <v>283</v>
      </c>
      <c r="AV29" s="3" t="s">
        <v>284</v>
      </c>
      <c r="AW29" s="3" t="s">
        <v>285</v>
      </c>
      <c r="AX29" s="3" t="s">
        <v>285</v>
      </c>
      <c r="AY29" s="3" t="s">
        <v>286</v>
      </c>
      <c r="AZ29" s="3" t="s">
        <v>73</v>
      </c>
      <c r="BC29" s="3" t="s">
        <v>298</v>
      </c>
      <c r="BD29" s="3" t="s">
        <v>299</v>
      </c>
    </row>
    <row r="30" spans="1:56" ht="51" customHeight="1" x14ac:dyDescent="0.25">
      <c r="A30" s="7" t="s">
        <v>58</v>
      </c>
      <c r="B30" s="2" t="s">
        <v>276</v>
      </c>
      <c r="C30" s="2" t="s">
        <v>277</v>
      </c>
      <c r="D30" s="2" t="s">
        <v>278</v>
      </c>
      <c r="E30" s="3" t="s">
        <v>300</v>
      </c>
      <c r="F30" s="3" t="s">
        <v>68</v>
      </c>
      <c r="G30" s="3" t="s">
        <v>59</v>
      </c>
      <c r="H30" s="3" t="s">
        <v>58</v>
      </c>
      <c r="I30" s="3" t="s">
        <v>58</v>
      </c>
      <c r="J30" s="3" t="s">
        <v>60</v>
      </c>
      <c r="L30" s="2" t="s">
        <v>280</v>
      </c>
      <c r="M30" s="3" t="s">
        <v>281</v>
      </c>
      <c r="O30" s="3" t="s">
        <v>63</v>
      </c>
      <c r="P30" s="3" t="s">
        <v>214</v>
      </c>
      <c r="R30" s="3" t="s">
        <v>65</v>
      </c>
      <c r="S30" s="4">
        <v>0</v>
      </c>
      <c r="T30" s="4">
        <v>7</v>
      </c>
      <c r="V30" s="5" t="s">
        <v>282</v>
      </c>
      <c r="W30" s="5" t="s">
        <v>235</v>
      </c>
      <c r="X30" s="5" t="s">
        <v>235</v>
      </c>
      <c r="Y30" s="4">
        <v>527</v>
      </c>
      <c r="Z30" s="4">
        <v>440</v>
      </c>
      <c r="AA30" s="4">
        <v>689</v>
      </c>
      <c r="AB30" s="4">
        <v>4</v>
      </c>
      <c r="AC30" s="4">
        <v>5</v>
      </c>
      <c r="AD30" s="4">
        <v>24</v>
      </c>
      <c r="AE30" s="4">
        <v>35</v>
      </c>
      <c r="AF30" s="4">
        <v>12</v>
      </c>
      <c r="AG30" s="4">
        <v>16</v>
      </c>
      <c r="AH30" s="4">
        <v>5</v>
      </c>
      <c r="AI30" s="4">
        <v>6</v>
      </c>
      <c r="AJ30" s="4">
        <v>11</v>
      </c>
      <c r="AK30" s="4">
        <v>16</v>
      </c>
      <c r="AL30" s="4">
        <v>3</v>
      </c>
      <c r="AM30" s="4">
        <v>4</v>
      </c>
      <c r="AN30" s="4">
        <v>0</v>
      </c>
      <c r="AO30" s="4">
        <v>1</v>
      </c>
      <c r="AP30" s="3" t="s">
        <v>68</v>
      </c>
      <c r="AQ30" s="3" t="s">
        <v>58</v>
      </c>
      <c r="AR30" s="6" t="str">
        <f t="shared" si="3"/>
        <v>HathiTrust Record</v>
      </c>
      <c r="AS30" s="6" t="str">
        <f t="shared" si="4"/>
        <v>Catalog Record</v>
      </c>
      <c r="AT30" s="6" t="str">
        <f t="shared" si="5"/>
        <v>WorldCat Record</v>
      </c>
      <c r="AU30" s="3" t="s">
        <v>283</v>
      </c>
      <c r="AV30" s="3" t="s">
        <v>284</v>
      </c>
      <c r="AW30" s="3" t="s">
        <v>285</v>
      </c>
      <c r="AX30" s="3" t="s">
        <v>285</v>
      </c>
      <c r="AY30" s="3" t="s">
        <v>286</v>
      </c>
      <c r="AZ30" s="3" t="s">
        <v>73</v>
      </c>
      <c r="BC30" s="3" t="s">
        <v>301</v>
      </c>
      <c r="BD30" s="3" t="s">
        <v>302</v>
      </c>
    </row>
    <row r="31" spans="1:56" ht="51" customHeight="1" x14ac:dyDescent="0.25">
      <c r="A31" s="7" t="s">
        <v>58</v>
      </c>
      <c r="B31" s="2" t="s">
        <v>276</v>
      </c>
      <c r="C31" s="2" t="s">
        <v>277</v>
      </c>
      <c r="D31" s="2" t="s">
        <v>278</v>
      </c>
      <c r="E31" s="3" t="s">
        <v>210</v>
      </c>
      <c r="F31" s="3" t="s">
        <v>68</v>
      </c>
      <c r="G31" s="3" t="s">
        <v>59</v>
      </c>
      <c r="H31" s="3" t="s">
        <v>58</v>
      </c>
      <c r="I31" s="3" t="s">
        <v>58</v>
      </c>
      <c r="J31" s="3" t="s">
        <v>60</v>
      </c>
      <c r="L31" s="2" t="s">
        <v>280</v>
      </c>
      <c r="M31" s="3" t="s">
        <v>281</v>
      </c>
      <c r="O31" s="3" t="s">
        <v>63</v>
      </c>
      <c r="P31" s="3" t="s">
        <v>214</v>
      </c>
      <c r="R31" s="3" t="s">
        <v>65</v>
      </c>
      <c r="S31" s="4">
        <v>3</v>
      </c>
      <c r="T31" s="4">
        <v>7</v>
      </c>
      <c r="U31" s="5" t="s">
        <v>250</v>
      </c>
      <c r="V31" s="5" t="s">
        <v>282</v>
      </c>
      <c r="W31" s="5" t="s">
        <v>235</v>
      </c>
      <c r="X31" s="5" t="s">
        <v>235</v>
      </c>
      <c r="Y31" s="4">
        <v>527</v>
      </c>
      <c r="Z31" s="4">
        <v>440</v>
      </c>
      <c r="AA31" s="4">
        <v>689</v>
      </c>
      <c r="AB31" s="4">
        <v>4</v>
      </c>
      <c r="AC31" s="4">
        <v>5</v>
      </c>
      <c r="AD31" s="4">
        <v>24</v>
      </c>
      <c r="AE31" s="4">
        <v>35</v>
      </c>
      <c r="AF31" s="4">
        <v>12</v>
      </c>
      <c r="AG31" s="4">
        <v>16</v>
      </c>
      <c r="AH31" s="4">
        <v>5</v>
      </c>
      <c r="AI31" s="4">
        <v>6</v>
      </c>
      <c r="AJ31" s="4">
        <v>11</v>
      </c>
      <c r="AK31" s="4">
        <v>16</v>
      </c>
      <c r="AL31" s="4">
        <v>3</v>
      </c>
      <c r="AM31" s="4">
        <v>4</v>
      </c>
      <c r="AN31" s="4">
        <v>0</v>
      </c>
      <c r="AO31" s="4">
        <v>1</v>
      </c>
      <c r="AP31" s="3" t="s">
        <v>68</v>
      </c>
      <c r="AQ31" s="3" t="s">
        <v>58</v>
      </c>
      <c r="AR31" s="6" t="str">
        <f t="shared" si="3"/>
        <v>HathiTrust Record</v>
      </c>
      <c r="AS31" s="6" t="str">
        <f t="shared" si="4"/>
        <v>Catalog Record</v>
      </c>
      <c r="AT31" s="6" t="str">
        <f t="shared" si="5"/>
        <v>WorldCat Record</v>
      </c>
      <c r="AU31" s="3" t="s">
        <v>283</v>
      </c>
      <c r="AV31" s="3" t="s">
        <v>284</v>
      </c>
      <c r="AW31" s="3" t="s">
        <v>285</v>
      </c>
      <c r="AX31" s="3" t="s">
        <v>285</v>
      </c>
      <c r="AY31" s="3" t="s">
        <v>286</v>
      </c>
      <c r="AZ31" s="3" t="s">
        <v>73</v>
      </c>
      <c r="BC31" s="3" t="s">
        <v>303</v>
      </c>
      <c r="BD31" s="3" t="s">
        <v>304</v>
      </c>
    </row>
    <row r="32" spans="1:56" ht="51" customHeight="1" x14ac:dyDescent="0.25">
      <c r="A32" s="7" t="s">
        <v>58</v>
      </c>
      <c r="B32" s="2" t="s">
        <v>276</v>
      </c>
      <c r="C32" s="2" t="s">
        <v>277</v>
      </c>
      <c r="D32" s="2" t="s">
        <v>278</v>
      </c>
      <c r="E32" s="3" t="s">
        <v>305</v>
      </c>
      <c r="F32" s="3" t="s">
        <v>68</v>
      </c>
      <c r="G32" s="3" t="s">
        <v>59</v>
      </c>
      <c r="H32" s="3" t="s">
        <v>58</v>
      </c>
      <c r="I32" s="3" t="s">
        <v>58</v>
      </c>
      <c r="J32" s="3" t="s">
        <v>60</v>
      </c>
      <c r="L32" s="2" t="s">
        <v>280</v>
      </c>
      <c r="M32" s="3" t="s">
        <v>281</v>
      </c>
      <c r="O32" s="3" t="s">
        <v>63</v>
      </c>
      <c r="P32" s="3" t="s">
        <v>214</v>
      </c>
      <c r="R32" s="3" t="s">
        <v>65</v>
      </c>
      <c r="S32" s="4">
        <v>2</v>
      </c>
      <c r="T32" s="4">
        <v>7</v>
      </c>
      <c r="U32" s="5" t="s">
        <v>306</v>
      </c>
      <c r="V32" s="5" t="s">
        <v>282</v>
      </c>
      <c r="W32" s="5" t="s">
        <v>235</v>
      </c>
      <c r="X32" s="5" t="s">
        <v>235</v>
      </c>
      <c r="Y32" s="4">
        <v>527</v>
      </c>
      <c r="Z32" s="4">
        <v>440</v>
      </c>
      <c r="AA32" s="4">
        <v>689</v>
      </c>
      <c r="AB32" s="4">
        <v>4</v>
      </c>
      <c r="AC32" s="4">
        <v>5</v>
      </c>
      <c r="AD32" s="4">
        <v>24</v>
      </c>
      <c r="AE32" s="4">
        <v>35</v>
      </c>
      <c r="AF32" s="4">
        <v>12</v>
      </c>
      <c r="AG32" s="4">
        <v>16</v>
      </c>
      <c r="AH32" s="4">
        <v>5</v>
      </c>
      <c r="AI32" s="4">
        <v>6</v>
      </c>
      <c r="AJ32" s="4">
        <v>11</v>
      </c>
      <c r="AK32" s="4">
        <v>16</v>
      </c>
      <c r="AL32" s="4">
        <v>3</v>
      </c>
      <c r="AM32" s="4">
        <v>4</v>
      </c>
      <c r="AN32" s="4">
        <v>0</v>
      </c>
      <c r="AO32" s="4">
        <v>1</v>
      </c>
      <c r="AP32" s="3" t="s">
        <v>68</v>
      </c>
      <c r="AQ32" s="3" t="s">
        <v>58</v>
      </c>
      <c r="AR32" s="6" t="str">
        <f t="shared" si="3"/>
        <v>HathiTrust Record</v>
      </c>
      <c r="AS32" s="6" t="str">
        <f t="shared" si="4"/>
        <v>Catalog Record</v>
      </c>
      <c r="AT32" s="6" t="str">
        <f t="shared" si="5"/>
        <v>WorldCat Record</v>
      </c>
      <c r="AU32" s="3" t="s">
        <v>283</v>
      </c>
      <c r="AV32" s="3" t="s">
        <v>284</v>
      </c>
      <c r="AW32" s="3" t="s">
        <v>285</v>
      </c>
      <c r="AX32" s="3" t="s">
        <v>285</v>
      </c>
      <c r="AY32" s="3" t="s">
        <v>286</v>
      </c>
      <c r="AZ32" s="3" t="s">
        <v>73</v>
      </c>
      <c r="BC32" s="3" t="s">
        <v>307</v>
      </c>
      <c r="BD32" s="3" t="s">
        <v>308</v>
      </c>
    </row>
    <row r="33" spans="1:56" ht="51" customHeight="1" x14ac:dyDescent="0.25">
      <c r="A33" s="7" t="s">
        <v>58</v>
      </c>
      <c r="B33" s="2" t="s">
        <v>276</v>
      </c>
      <c r="C33" s="2" t="s">
        <v>277</v>
      </c>
      <c r="D33" s="2" t="s">
        <v>278</v>
      </c>
      <c r="E33" s="3" t="s">
        <v>309</v>
      </c>
      <c r="F33" s="3" t="s">
        <v>68</v>
      </c>
      <c r="G33" s="3" t="s">
        <v>59</v>
      </c>
      <c r="H33" s="3" t="s">
        <v>58</v>
      </c>
      <c r="I33" s="3" t="s">
        <v>58</v>
      </c>
      <c r="J33" s="3" t="s">
        <v>60</v>
      </c>
      <c r="L33" s="2" t="s">
        <v>280</v>
      </c>
      <c r="M33" s="3" t="s">
        <v>281</v>
      </c>
      <c r="O33" s="3" t="s">
        <v>63</v>
      </c>
      <c r="P33" s="3" t="s">
        <v>214</v>
      </c>
      <c r="R33" s="3" t="s">
        <v>65</v>
      </c>
      <c r="S33" s="4">
        <v>0</v>
      </c>
      <c r="T33" s="4">
        <v>7</v>
      </c>
      <c r="V33" s="5" t="s">
        <v>282</v>
      </c>
      <c r="W33" s="5" t="s">
        <v>235</v>
      </c>
      <c r="X33" s="5" t="s">
        <v>235</v>
      </c>
      <c r="Y33" s="4">
        <v>527</v>
      </c>
      <c r="Z33" s="4">
        <v>440</v>
      </c>
      <c r="AA33" s="4">
        <v>689</v>
      </c>
      <c r="AB33" s="4">
        <v>4</v>
      </c>
      <c r="AC33" s="4">
        <v>5</v>
      </c>
      <c r="AD33" s="4">
        <v>24</v>
      </c>
      <c r="AE33" s="4">
        <v>35</v>
      </c>
      <c r="AF33" s="4">
        <v>12</v>
      </c>
      <c r="AG33" s="4">
        <v>16</v>
      </c>
      <c r="AH33" s="4">
        <v>5</v>
      </c>
      <c r="AI33" s="4">
        <v>6</v>
      </c>
      <c r="AJ33" s="4">
        <v>11</v>
      </c>
      <c r="AK33" s="4">
        <v>16</v>
      </c>
      <c r="AL33" s="4">
        <v>3</v>
      </c>
      <c r="AM33" s="4">
        <v>4</v>
      </c>
      <c r="AN33" s="4">
        <v>0</v>
      </c>
      <c r="AO33" s="4">
        <v>1</v>
      </c>
      <c r="AP33" s="3" t="s">
        <v>68</v>
      </c>
      <c r="AQ33" s="3" t="s">
        <v>58</v>
      </c>
      <c r="AR33" s="6" t="str">
        <f t="shared" si="3"/>
        <v>HathiTrust Record</v>
      </c>
      <c r="AS33" s="6" t="str">
        <f t="shared" si="4"/>
        <v>Catalog Record</v>
      </c>
      <c r="AT33" s="6" t="str">
        <f t="shared" si="5"/>
        <v>WorldCat Record</v>
      </c>
      <c r="AU33" s="3" t="s">
        <v>283</v>
      </c>
      <c r="AV33" s="3" t="s">
        <v>284</v>
      </c>
      <c r="AW33" s="3" t="s">
        <v>285</v>
      </c>
      <c r="AX33" s="3" t="s">
        <v>285</v>
      </c>
      <c r="AY33" s="3" t="s">
        <v>286</v>
      </c>
      <c r="AZ33" s="3" t="s">
        <v>73</v>
      </c>
      <c r="BC33" s="3" t="s">
        <v>310</v>
      </c>
      <c r="BD33" s="3" t="s">
        <v>311</v>
      </c>
    </row>
    <row r="34" spans="1:56" ht="51" customHeight="1" x14ac:dyDescent="0.25">
      <c r="A34" s="7" t="s">
        <v>58</v>
      </c>
      <c r="B34" s="2" t="s">
        <v>276</v>
      </c>
      <c r="C34" s="2" t="s">
        <v>277</v>
      </c>
      <c r="D34" s="2" t="s">
        <v>278</v>
      </c>
      <c r="E34" s="3" t="s">
        <v>312</v>
      </c>
      <c r="F34" s="3" t="s">
        <v>68</v>
      </c>
      <c r="G34" s="3" t="s">
        <v>59</v>
      </c>
      <c r="H34" s="3" t="s">
        <v>58</v>
      </c>
      <c r="I34" s="3" t="s">
        <v>58</v>
      </c>
      <c r="J34" s="3" t="s">
        <v>60</v>
      </c>
      <c r="L34" s="2" t="s">
        <v>280</v>
      </c>
      <c r="M34" s="3" t="s">
        <v>281</v>
      </c>
      <c r="O34" s="3" t="s">
        <v>63</v>
      </c>
      <c r="P34" s="3" t="s">
        <v>214</v>
      </c>
      <c r="R34" s="3" t="s">
        <v>65</v>
      </c>
      <c r="S34" s="4">
        <v>0</v>
      </c>
      <c r="T34" s="4">
        <v>7</v>
      </c>
      <c r="V34" s="5" t="s">
        <v>282</v>
      </c>
      <c r="W34" s="5" t="s">
        <v>235</v>
      </c>
      <c r="X34" s="5" t="s">
        <v>235</v>
      </c>
      <c r="Y34" s="4">
        <v>527</v>
      </c>
      <c r="Z34" s="4">
        <v>440</v>
      </c>
      <c r="AA34" s="4">
        <v>689</v>
      </c>
      <c r="AB34" s="4">
        <v>4</v>
      </c>
      <c r="AC34" s="4">
        <v>5</v>
      </c>
      <c r="AD34" s="4">
        <v>24</v>
      </c>
      <c r="AE34" s="4">
        <v>35</v>
      </c>
      <c r="AF34" s="4">
        <v>12</v>
      </c>
      <c r="AG34" s="4">
        <v>16</v>
      </c>
      <c r="AH34" s="4">
        <v>5</v>
      </c>
      <c r="AI34" s="4">
        <v>6</v>
      </c>
      <c r="AJ34" s="4">
        <v>11</v>
      </c>
      <c r="AK34" s="4">
        <v>16</v>
      </c>
      <c r="AL34" s="4">
        <v>3</v>
      </c>
      <c r="AM34" s="4">
        <v>4</v>
      </c>
      <c r="AN34" s="4">
        <v>0</v>
      </c>
      <c r="AO34" s="4">
        <v>1</v>
      </c>
      <c r="AP34" s="3" t="s">
        <v>68</v>
      </c>
      <c r="AQ34" s="3" t="s">
        <v>58</v>
      </c>
      <c r="AR34" s="6" t="str">
        <f t="shared" si="3"/>
        <v>HathiTrust Record</v>
      </c>
      <c r="AS34" s="6" t="str">
        <f t="shared" si="4"/>
        <v>Catalog Record</v>
      </c>
      <c r="AT34" s="6" t="str">
        <f t="shared" si="5"/>
        <v>WorldCat Record</v>
      </c>
      <c r="AU34" s="3" t="s">
        <v>283</v>
      </c>
      <c r="AV34" s="3" t="s">
        <v>284</v>
      </c>
      <c r="AW34" s="3" t="s">
        <v>285</v>
      </c>
      <c r="AX34" s="3" t="s">
        <v>285</v>
      </c>
      <c r="AY34" s="3" t="s">
        <v>286</v>
      </c>
      <c r="AZ34" s="3" t="s">
        <v>73</v>
      </c>
      <c r="BC34" s="3" t="s">
        <v>313</v>
      </c>
      <c r="BD34" s="3" t="s">
        <v>314</v>
      </c>
    </row>
    <row r="35" spans="1:56" ht="51" customHeight="1" x14ac:dyDescent="0.25">
      <c r="A35" s="7" t="s">
        <v>58</v>
      </c>
      <c r="B35" s="2" t="s">
        <v>276</v>
      </c>
      <c r="C35" s="2" t="s">
        <v>277</v>
      </c>
      <c r="D35" s="2" t="s">
        <v>278</v>
      </c>
      <c r="E35" s="3" t="s">
        <v>80</v>
      </c>
      <c r="F35" s="3" t="s">
        <v>68</v>
      </c>
      <c r="G35" s="3" t="s">
        <v>59</v>
      </c>
      <c r="H35" s="3" t="s">
        <v>58</v>
      </c>
      <c r="I35" s="3" t="s">
        <v>58</v>
      </c>
      <c r="J35" s="3" t="s">
        <v>60</v>
      </c>
      <c r="L35" s="2" t="s">
        <v>280</v>
      </c>
      <c r="M35" s="3" t="s">
        <v>281</v>
      </c>
      <c r="O35" s="3" t="s">
        <v>63</v>
      </c>
      <c r="P35" s="3" t="s">
        <v>214</v>
      </c>
      <c r="R35" s="3" t="s">
        <v>65</v>
      </c>
      <c r="S35" s="4">
        <v>1</v>
      </c>
      <c r="T35" s="4">
        <v>7</v>
      </c>
      <c r="U35" s="5" t="s">
        <v>282</v>
      </c>
      <c r="V35" s="5" t="s">
        <v>282</v>
      </c>
      <c r="W35" s="5" t="s">
        <v>235</v>
      </c>
      <c r="X35" s="5" t="s">
        <v>235</v>
      </c>
      <c r="Y35" s="4">
        <v>527</v>
      </c>
      <c r="Z35" s="4">
        <v>440</v>
      </c>
      <c r="AA35" s="4">
        <v>689</v>
      </c>
      <c r="AB35" s="4">
        <v>4</v>
      </c>
      <c r="AC35" s="4">
        <v>5</v>
      </c>
      <c r="AD35" s="4">
        <v>24</v>
      </c>
      <c r="AE35" s="4">
        <v>35</v>
      </c>
      <c r="AF35" s="4">
        <v>12</v>
      </c>
      <c r="AG35" s="4">
        <v>16</v>
      </c>
      <c r="AH35" s="4">
        <v>5</v>
      </c>
      <c r="AI35" s="4">
        <v>6</v>
      </c>
      <c r="AJ35" s="4">
        <v>11</v>
      </c>
      <c r="AK35" s="4">
        <v>16</v>
      </c>
      <c r="AL35" s="4">
        <v>3</v>
      </c>
      <c r="AM35" s="4">
        <v>4</v>
      </c>
      <c r="AN35" s="4">
        <v>0</v>
      </c>
      <c r="AO35" s="4">
        <v>1</v>
      </c>
      <c r="AP35" s="3" t="s">
        <v>68</v>
      </c>
      <c r="AQ35" s="3" t="s">
        <v>58</v>
      </c>
      <c r="AR35" s="6" t="str">
        <f t="shared" si="3"/>
        <v>HathiTrust Record</v>
      </c>
      <c r="AS35" s="6" t="str">
        <f t="shared" si="4"/>
        <v>Catalog Record</v>
      </c>
      <c r="AT35" s="6" t="str">
        <f t="shared" si="5"/>
        <v>WorldCat Record</v>
      </c>
      <c r="AU35" s="3" t="s">
        <v>283</v>
      </c>
      <c r="AV35" s="3" t="s">
        <v>284</v>
      </c>
      <c r="AW35" s="3" t="s">
        <v>285</v>
      </c>
      <c r="AX35" s="3" t="s">
        <v>285</v>
      </c>
      <c r="AY35" s="3" t="s">
        <v>286</v>
      </c>
      <c r="AZ35" s="3" t="s">
        <v>73</v>
      </c>
      <c r="BC35" s="3" t="s">
        <v>315</v>
      </c>
      <c r="BD35" s="3" t="s">
        <v>316</v>
      </c>
    </row>
    <row r="36" spans="1:56" ht="51" customHeight="1" x14ac:dyDescent="0.25">
      <c r="A36" s="7" t="s">
        <v>58</v>
      </c>
      <c r="B36" s="2" t="s">
        <v>276</v>
      </c>
      <c r="C36" s="2" t="s">
        <v>277</v>
      </c>
      <c r="D36" s="2" t="s">
        <v>278</v>
      </c>
      <c r="E36" s="3" t="s">
        <v>317</v>
      </c>
      <c r="F36" s="3" t="s">
        <v>68</v>
      </c>
      <c r="G36" s="3" t="s">
        <v>59</v>
      </c>
      <c r="H36" s="3" t="s">
        <v>58</v>
      </c>
      <c r="I36" s="3" t="s">
        <v>58</v>
      </c>
      <c r="J36" s="3" t="s">
        <v>60</v>
      </c>
      <c r="L36" s="2" t="s">
        <v>280</v>
      </c>
      <c r="M36" s="3" t="s">
        <v>281</v>
      </c>
      <c r="O36" s="3" t="s">
        <v>63</v>
      </c>
      <c r="P36" s="3" t="s">
        <v>214</v>
      </c>
      <c r="R36" s="3" t="s">
        <v>65</v>
      </c>
      <c r="S36" s="4">
        <v>1</v>
      </c>
      <c r="T36" s="4">
        <v>7</v>
      </c>
      <c r="U36" s="5" t="s">
        <v>233</v>
      </c>
      <c r="V36" s="5" t="s">
        <v>282</v>
      </c>
      <c r="W36" s="5" t="s">
        <v>235</v>
      </c>
      <c r="X36" s="5" t="s">
        <v>235</v>
      </c>
      <c r="Y36" s="4">
        <v>527</v>
      </c>
      <c r="Z36" s="4">
        <v>440</v>
      </c>
      <c r="AA36" s="4">
        <v>689</v>
      </c>
      <c r="AB36" s="4">
        <v>4</v>
      </c>
      <c r="AC36" s="4">
        <v>5</v>
      </c>
      <c r="AD36" s="4">
        <v>24</v>
      </c>
      <c r="AE36" s="4">
        <v>35</v>
      </c>
      <c r="AF36" s="4">
        <v>12</v>
      </c>
      <c r="AG36" s="4">
        <v>16</v>
      </c>
      <c r="AH36" s="4">
        <v>5</v>
      </c>
      <c r="AI36" s="4">
        <v>6</v>
      </c>
      <c r="AJ36" s="4">
        <v>11</v>
      </c>
      <c r="AK36" s="4">
        <v>16</v>
      </c>
      <c r="AL36" s="4">
        <v>3</v>
      </c>
      <c r="AM36" s="4">
        <v>4</v>
      </c>
      <c r="AN36" s="4">
        <v>0</v>
      </c>
      <c r="AO36" s="4">
        <v>1</v>
      </c>
      <c r="AP36" s="3" t="s">
        <v>68</v>
      </c>
      <c r="AQ36" s="3" t="s">
        <v>58</v>
      </c>
      <c r="AR36" s="6" t="str">
        <f t="shared" si="3"/>
        <v>HathiTrust Record</v>
      </c>
      <c r="AS36" s="6" t="str">
        <f t="shared" si="4"/>
        <v>Catalog Record</v>
      </c>
      <c r="AT36" s="6" t="str">
        <f t="shared" si="5"/>
        <v>WorldCat Record</v>
      </c>
      <c r="AU36" s="3" t="s">
        <v>283</v>
      </c>
      <c r="AV36" s="3" t="s">
        <v>284</v>
      </c>
      <c r="AW36" s="3" t="s">
        <v>285</v>
      </c>
      <c r="AX36" s="3" t="s">
        <v>285</v>
      </c>
      <c r="AY36" s="3" t="s">
        <v>286</v>
      </c>
      <c r="AZ36" s="3" t="s">
        <v>73</v>
      </c>
      <c r="BC36" s="3" t="s">
        <v>318</v>
      </c>
      <c r="BD36" s="3" t="s">
        <v>319</v>
      </c>
    </row>
    <row r="37" spans="1:56" ht="51" customHeight="1" x14ac:dyDescent="0.25">
      <c r="A37" s="7" t="s">
        <v>58</v>
      </c>
      <c r="B37" s="2" t="s">
        <v>320</v>
      </c>
      <c r="C37" s="2" t="s">
        <v>321</v>
      </c>
      <c r="D37" s="2" t="s">
        <v>322</v>
      </c>
      <c r="F37" s="3" t="s">
        <v>58</v>
      </c>
      <c r="G37" s="3" t="s">
        <v>59</v>
      </c>
      <c r="H37" s="3" t="s">
        <v>58</v>
      </c>
      <c r="I37" s="3" t="s">
        <v>58</v>
      </c>
      <c r="J37" s="3" t="s">
        <v>60</v>
      </c>
      <c r="K37" s="2" t="s">
        <v>323</v>
      </c>
      <c r="L37" s="2" t="s">
        <v>324</v>
      </c>
      <c r="M37" s="3" t="s">
        <v>325</v>
      </c>
      <c r="O37" s="3" t="s">
        <v>63</v>
      </c>
      <c r="P37" s="3" t="s">
        <v>214</v>
      </c>
      <c r="R37" s="3" t="s">
        <v>65</v>
      </c>
      <c r="S37" s="4">
        <v>3</v>
      </c>
      <c r="T37" s="4">
        <v>3</v>
      </c>
      <c r="U37" s="5" t="s">
        <v>326</v>
      </c>
      <c r="V37" s="5" t="s">
        <v>326</v>
      </c>
      <c r="W37" s="5" t="s">
        <v>235</v>
      </c>
      <c r="X37" s="5" t="s">
        <v>235</v>
      </c>
      <c r="Y37" s="4">
        <v>97</v>
      </c>
      <c r="Z37" s="4">
        <v>94</v>
      </c>
      <c r="AA37" s="4">
        <v>148</v>
      </c>
      <c r="AB37" s="4">
        <v>1</v>
      </c>
      <c r="AC37" s="4">
        <v>2</v>
      </c>
      <c r="AD37" s="4">
        <v>2</v>
      </c>
      <c r="AE37" s="4">
        <v>3</v>
      </c>
      <c r="AF37" s="4">
        <v>1</v>
      </c>
      <c r="AG37" s="4">
        <v>1</v>
      </c>
      <c r="AH37" s="4">
        <v>0</v>
      </c>
      <c r="AI37" s="4">
        <v>0</v>
      </c>
      <c r="AJ37" s="4">
        <v>2</v>
      </c>
      <c r="AK37" s="4">
        <v>2</v>
      </c>
      <c r="AL37" s="4">
        <v>0</v>
      </c>
      <c r="AM37" s="4">
        <v>1</v>
      </c>
      <c r="AN37" s="4">
        <v>0</v>
      </c>
      <c r="AO37" s="4">
        <v>0</v>
      </c>
      <c r="AP37" s="3" t="s">
        <v>58</v>
      </c>
      <c r="AQ37" s="3" t="s">
        <v>58</v>
      </c>
      <c r="AS37" s="6" t="str">
        <f>HYPERLINK("https://creighton-primo.hosted.exlibrisgroup.com/primo-explore/search?tab=default_tab&amp;search_scope=EVERYTHING&amp;vid=01CRU&amp;lang=en_US&amp;offset=0&amp;query=any,contains,991002678269702656","Catalog Record")</f>
        <v>Catalog Record</v>
      </c>
      <c r="AT37" s="6" t="str">
        <f>HYPERLINK("http://www.worldcat.org/oclc/397619","WorldCat Record")</f>
        <v>WorldCat Record</v>
      </c>
      <c r="AU37" s="3" t="s">
        <v>327</v>
      </c>
      <c r="AV37" s="3" t="s">
        <v>328</v>
      </c>
      <c r="AW37" s="3" t="s">
        <v>329</v>
      </c>
      <c r="AX37" s="3" t="s">
        <v>329</v>
      </c>
      <c r="AY37" s="3" t="s">
        <v>330</v>
      </c>
      <c r="AZ37" s="3" t="s">
        <v>73</v>
      </c>
      <c r="BC37" s="3" t="s">
        <v>331</v>
      </c>
      <c r="BD37" s="3" t="s">
        <v>332</v>
      </c>
    </row>
    <row r="38" spans="1:56" ht="51" customHeight="1" x14ac:dyDescent="0.25">
      <c r="A38" s="7" t="s">
        <v>58</v>
      </c>
      <c r="B38" s="2" t="s">
        <v>333</v>
      </c>
      <c r="C38" s="2" t="s">
        <v>334</v>
      </c>
      <c r="D38" s="2" t="s">
        <v>335</v>
      </c>
      <c r="F38" s="3" t="s">
        <v>58</v>
      </c>
      <c r="G38" s="3" t="s">
        <v>59</v>
      </c>
      <c r="H38" s="3" t="s">
        <v>58</v>
      </c>
      <c r="I38" s="3" t="s">
        <v>58</v>
      </c>
      <c r="J38" s="3" t="s">
        <v>60</v>
      </c>
      <c r="L38" s="2" t="s">
        <v>336</v>
      </c>
      <c r="M38" s="3" t="s">
        <v>337</v>
      </c>
      <c r="N38" s="2" t="s">
        <v>338</v>
      </c>
      <c r="O38" s="3" t="s">
        <v>63</v>
      </c>
      <c r="P38" s="3" t="s">
        <v>214</v>
      </c>
      <c r="R38" s="3" t="s">
        <v>65</v>
      </c>
      <c r="S38" s="4">
        <v>4</v>
      </c>
      <c r="T38" s="4">
        <v>4</v>
      </c>
      <c r="U38" s="5" t="s">
        <v>339</v>
      </c>
      <c r="V38" s="5" t="s">
        <v>339</v>
      </c>
      <c r="W38" s="5" t="s">
        <v>340</v>
      </c>
      <c r="X38" s="5" t="s">
        <v>340</v>
      </c>
      <c r="Y38" s="4">
        <v>960</v>
      </c>
      <c r="Z38" s="4">
        <v>860</v>
      </c>
      <c r="AA38" s="4">
        <v>937</v>
      </c>
      <c r="AB38" s="4">
        <v>5</v>
      </c>
      <c r="AC38" s="4">
        <v>6</v>
      </c>
      <c r="AD38" s="4">
        <v>33</v>
      </c>
      <c r="AE38" s="4">
        <v>36</v>
      </c>
      <c r="AF38" s="4">
        <v>16</v>
      </c>
      <c r="AG38" s="4">
        <v>18</v>
      </c>
      <c r="AH38" s="4">
        <v>10</v>
      </c>
      <c r="AI38" s="4">
        <v>10</v>
      </c>
      <c r="AJ38" s="4">
        <v>11</v>
      </c>
      <c r="AK38" s="4">
        <v>13</v>
      </c>
      <c r="AL38" s="4">
        <v>4</v>
      </c>
      <c r="AM38" s="4">
        <v>5</v>
      </c>
      <c r="AN38" s="4">
        <v>0</v>
      </c>
      <c r="AO38" s="4">
        <v>0</v>
      </c>
      <c r="AP38" s="3" t="s">
        <v>58</v>
      </c>
      <c r="AQ38" s="3" t="s">
        <v>58</v>
      </c>
      <c r="AS38" s="6" t="str">
        <f>HYPERLINK("https://creighton-primo.hosted.exlibrisgroup.com/primo-explore/search?tab=default_tab&amp;search_scope=EVERYTHING&amp;vid=01CRU&amp;lang=en_US&amp;offset=0&amp;query=any,contains,991003922109702656","Catalog Record")</f>
        <v>Catalog Record</v>
      </c>
      <c r="AT38" s="6" t="str">
        <f>HYPERLINK("http://www.worldcat.org/oclc/49226067","WorldCat Record")</f>
        <v>WorldCat Record</v>
      </c>
      <c r="AU38" s="3" t="s">
        <v>341</v>
      </c>
      <c r="AV38" s="3" t="s">
        <v>342</v>
      </c>
      <c r="AW38" s="3" t="s">
        <v>343</v>
      </c>
      <c r="AX38" s="3" t="s">
        <v>343</v>
      </c>
      <c r="AY38" s="3" t="s">
        <v>344</v>
      </c>
      <c r="AZ38" s="3" t="s">
        <v>73</v>
      </c>
      <c r="BB38" s="3" t="s">
        <v>345</v>
      </c>
      <c r="BC38" s="3" t="s">
        <v>346</v>
      </c>
      <c r="BD38" s="3" t="s">
        <v>347</v>
      </c>
    </row>
    <row r="39" spans="1:56" ht="51" customHeight="1" x14ac:dyDescent="0.25">
      <c r="A39" s="7" t="s">
        <v>58</v>
      </c>
      <c r="B39" s="2" t="s">
        <v>348</v>
      </c>
      <c r="C39" s="2" t="s">
        <v>349</v>
      </c>
      <c r="D39" s="2" t="s">
        <v>350</v>
      </c>
      <c r="F39" s="3" t="s">
        <v>58</v>
      </c>
      <c r="G39" s="3" t="s">
        <v>59</v>
      </c>
      <c r="H39" s="3" t="s">
        <v>58</v>
      </c>
      <c r="I39" s="3" t="s">
        <v>58</v>
      </c>
      <c r="J39" s="3" t="s">
        <v>60</v>
      </c>
      <c r="K39" s="2" t="s">
        <v>351</v>
      </c>
      <c r="L39" s="2" t="s">
        <v>352</v>
      </c>
      <c r="M39" s="3" t="s">
        <v>353</v>
      </c>
      <c r="O39" s="3" t="s">
        <v>63</v>
      </c>
      <c r="P39" s="3" t="s">
        <v>354</v>
      </c>
      <c r="R39" s="3" t="s">
        <v>65</v>
      </c>
      <c r="S39" s="4">
        <v>2</v>
      </c>
      <c r="T39" s="4">
        <v>2</v>
      </c>
      <c r="U39" s="5" t="s">
        <v>355</v>
      </c>
      <c r="V39" s="5" t="s">
        <v>355</v>
      </c>
      <c r="W39" s="5" t="s">
        <v>112</v>
      </c>
      <c r="X39" s="5" t="s">
        <v>112</v>
      </c>
      <c r="Y39" s="4">
        <v>286</v>
      </c>
      <c r="Z39" s="4">
        <v>237</v>
      </c>
      <c r="AA39" s="4">
        <v>239</v>
      </c>
      <c r="AB39" s="4">
        <v>2</v>
      </c>
      <c r="AC39" s="4">
        <v>2</v>
      </c>
      <c r="AD39" s="4">
        <v>11</v>
      </c>
      <c r="AE39" s="4">
        <v>11</v>
      </c>
      <c r="AF39" s="4">
        <v>4</v>
      </c>
      <c r="AG39" s="4">
        <v>4</v>
      </c>
      <c r="AH39" s="4">
        <v>6</v>
      </c>
      <c r="AI39" s="4">
        <v>6</v>
      </c>
      <c r="AJ39" s="4">
        <v>5</v>
      </c>
      <c r="AK39" s="4">
        <v>5</v>
      </c>
      <c r="AL39" s="4">
        <v>1</v>
      </c>
      <c r="AM39" s="4">
        <v>1</v>
      </c>
      <c r="AN39" s="4">
        <v>0</v>
      </c>
      <c r="AO39" s="4">
        <v>0</v>
      </c>
      <c r="AP39" s="3" t="s">
        <v>58</v>
      </c>
      <c r="AQ39" s="3" t="s">
        <v>68</v>
      </c>
      <c r="AR39" s="6" t="str">
        <f>HYPERLINK("http://catalog.hathitrust.org/Record/000869095","HathiTrust Record")</f>
        <v>HathiTrust Record</v>
      </c>
      <c r="AS39" s="6" t="str">
        <f>HYPERLINK("https://creighton-primo.hosted.exlibrisgroup.com/primo-explore/search?tab=default_tab&amp;search_scope=EVERYTHING&amp;vid=01CRU&amp;lang=en_US&amp;offset=0&amp;query=any,contains,991001026249702656","Catalog Record")</f>
        <v>Catalog Record</v>
      </c>
      <c r="AT39" s="6" t="str">
        <f>HYPERLINK("http://www.worldcat.org/oclc/15485690","WorldCat Record")</f>
        <v>WorldCat Record</v>
      </c>
      <c r="AU39" s="3" t="s">
        <v>356</v>
      </c>
      <c r="AV39" s="3" t="s">
        <v>357</v>
      </c>
      <c r="AW39" s="3" t="s">
        <v>358</v>
      </c>
      <c r="AX39" s="3" t="s">
        <v>358</v>
      </c>
      <c r="AY39" s="3" t="s">
        <v>359</v>
      </c>
      <c r="AZ39" s="3" t="s">
        <v>73</v>
      </c>
      <c r="BB39" s="3" t="s">
        <v>360</v>
      </c>
      <c r="BC39" s="3" t="s">
        <v>361</v>
      </c>
      <c r="BD39" s="3" t="s">
        <v>362</v>
      </c>
    </row>
    <row r="40" spans="1:56" ht="51" customHeight="1" x14ac:dyDescent="0.25">
      <c r="A40" s="7" t="s">
        <v>58</v>
      </c>
      <c r="B40" s="2" t="s">
        <v>363</v>
      </c>
      <c r="C40" s="2" t="s">
        <v>364</v>
      </c>
      <c r="D40" s="2" t="s">
        <v>365</v>
      </c>
      <c r="F40" s="3" t="s">
        <v>58</v>
      </c>
      <c r="G40" s="3" t="s">
        <v>59</v>
      </c>
      <c r="H40" s="3" t="s">
        <v>58</v>
      </c>
      <c r="I40" s="3" t="s">
        <v>58</v>
      </c>
      <c r="J40" s="3" t="s">
        <v>60</v>
      </c>
      <c r="K40" s="2" t="s">
        <v>366</v>
      </c>
      <c r="L40" s="2" t="s">
        <v>367</v>
      </c>
      <c r="M40" s="3" t="s">
        <v>368</v>
      </c>
      <c r="N40" s="2" t="s">
        <v>369</v>
      </c>
      <c r="O40" s="3" t="s">
        <v>63</v>
      </c>
      <c r="P40" s="3" t="s">
        <v>84</v>
      </c>
      <c r="R40" s="3" t="s">
        <v>65</v>
      </c>
      <c r="S40" s="4">
        <v>1</v>
      </c>
      <c r="T40" s="4">
        <v>1</v>
      </c>
      <c r="U40" s="5" t="s">
        <v>370</v>
      </c>
      <c r="V40" s="5" t="s">
        <v>370</v>
      </c>
      <c r="W40" s="5" t="s">
        <v>112</v>
      </c>
      <c r="X40" s="5" t="s">
        <v>112</v>
      </c>
      <c r="Y40" s="4">
        <v>19</v>
      </c>
      <c r="Z40" s="4">
        <v>15</v>
      </c>
      <c r="AA40" s="4">
        <v>192</v>
      </c>
      <c r="AB40" s="4">
        <v>1</v>
      </c>
      <c r="AC40" s="4">
        <v>2</v>
      </c>
      <c r="AD40" s="4">
        <v>0</v>
      </c>
      <c r="AE40" s="4">
        <v>13</v>
      </c>
      <c r="AF40" s="4">
        <v>0</v>
      </c>
      <c r="AG40" s="4">
        <v>4</v>
      </c>
      <c r="AH40" s="4">
        <v>0</v>
      </c>
      <c r="AI40" s="4">
        <v>5</v>
      </c>
      <c r="AJ40" s="4">
        <v>0</v>
      </c>
      <c r="AK40" s="4">
        <v>8</v>
      </c>
      <c r="AL40" s="4">
        <v>0</v>
      </c>
      <c r="AM40" s="4">
        <v>0</v>
      </c>
      <c r="AN40" s="4">
        <v>0</v>
      </c>
      <c r="AO40" s="4">
        <v>0</v>
      </c>
      <c r="AP40" s="3" t="s">
        <v>58</v>
      </c>
      <c r="AQ40" s="3" t="s">
        <v>58</v>
      </c>
      <c r="AS40" s="6" t="str">
        <f>HYPERLINK("https://creighton-primo.hosted.exlibrisgroup.com/primo-explore/search?tab=default_tab&amp;search_scope=EVERYTHING&amp;vid=01CRU&amp;lang=en_US&amp;offset=0&amp;query=any,contains,991004432929702656","Catalog Record")</f>
        <v>Catalog Record</v>
      </c>
      <c r="AT40" s="6" t="str">
        <f>HYPERLINK("http://www.worldcat.org/oclc/3432577","WorldCat Record")</f>
        <v>WorldCat Record</v>
      </c>
      <c r="AU40" s="3" t="s">
        <v>371</v>
      </c>
      <c r="AV40" s="3" t="s">
        <v>372</v>
      </c>
      <c r="AW40" s="3" t="s">
        <v>373</v>
      </c>
      <c r="AX40" s="3" t="s">
        <v>373</v>
      </c>
      <c r="AY40" s="3" t="s">
        <v>374</v>
      </c>
      <c r="AZ40" s="3" t="s">
        <v>73</v>
      </c>
      <c r="BC40" s="3" t="s">
        <v>375</v>
      </c>
      <c r="BD40" s="3" t="s">
        <v>376</v>
      </c>
    </row>
    <row r="41" spans="1:56" ht="51" customHeight="1" x14ac:dyDescent="0.25">
      <c r="A41" s="7" t="s">
        <v>58</v>
      </c>
      <c r="B41" s="2" t="s">
        <v>377</v>
      </c>
      <c r="C41" s="2" t="s">
        <v>378</v>
      </c>
      <c r="D41" s="2" t="s">
        <v>379</v>
      </c>
      <c r="F41" s="3" t="s">
        <v>58</v>
      </c>
      <c r="G41" s="3" t="s">
        <v>59</v>
      </c>
      <c r="H41" s="3" t="s">
        <v>58</v>
      </c>
      <c r="I41" s="3" t="s">
        <v>58</v>
      </c>
      <c r="J41" s="3" t="s">
        <v>60</v>
      </c>
      <c r="K41" s="2" t="s">
        <v>380</v>
      </c>
      <c r="L41" s="2" t="s">
        <v>381</v>
      </c>
      <c r="M41" s="3" t="s">
        <v>382</v>
      </c>
      <c r="O41" s="3" t="s">
        <v>63</v>
      </c>
      <c r="P41" s="3" t="s">
        <v>197</v>
      </c>
      <c r="R41" s="3" t="s">
        <v>65</v>
      </c>
      <c r="S41" s="4">
        <v>6</v>
      </c>
      <c r="T41" s="4">
        <v>6</v>
      </c>
      <c r="U41" s="5" t="s">
        <v>383</v>
      </c>
      <c r="V41" s="5" t="s">
        <v>383</v>
      </c>
      <c r="W41" s="5" t="s">
        <v>384</v>
      </c>
      <c r="X41" s="5" t="s">
        <v>384</v>
      </c>
      <c r="Y41" s="4">
        <v>124</v>
      </c>
      <c r="Z41" s="4">
        <v>110</v>
      </c>
      <c r="AA41" s="4">
        <v>110</v>
      </c>
      <c r="AB41" s="4">
        <v>2</v>
      </c>
      <c r="AC41" s="4">
        <v>2</v>
      </c>
      <c r="AD41" s="4">
        <v>10</v>
      </c>
      <c r="AE41" s="4">
        <v>10</v>
      </c>
      <c r="AF41" s="4">
        <v>3</v>
      </c>
      <c r="AG41" s="4">
        <v>3</v>
      </c>
      <c r="AH41" s="4">
        <v>2</v>
      </c>
      <c r="AI41" s="4">
        <v>2</v>
      </c>
      <c r="AJ41" s="4">
        <v>6</v>
      </c>
      <c r="AK41" s="4">
        <v>6</v>
      </c>
      <c r="AL41" s="4">
        <v>0</v>
      </c>
      <c r="AM41" s="4">
        <v>0</v>
      </c>
      <c r="AN41" s="4">
        <v>0</v>
      </c>
      <c r="AO41" s="4">
        <v>0</v>
      </c>
      <c r="AP41" s="3" t="s">
        <v>58</v>
      </c>
      <c r="AQ41" s="3" t="s">
        <v>58</v>
      </c>
      <c r="AS41" s="6" t="str">
        <f>HYPERLINK("https://creighton-primo.hosted.exlibrisgroup.com/primo-explore/search?tab=default_tab&amp;search_scope=EVERYTHING&amp;vid=01CRU&amp;lang=en_US&amp;offset=0&amp;query=any,contains,991002963749702656","Catalog Record")</f>
        <v>Catalog Record</v>
      </c>
      <c r="AT41" s="6" t="str">
        <f>HYPERLINK("http://www.worldcat.org/oclc/39655275","WorldCat Record")</f>
        <v>WorldCat Record</v>
      </c>
      <c r="AU41" s="3" t="s">
        <v>385</v>
      </c>
      <c r="AV41" s="3" t="s">
        <v>386</v>
      </c>
      <c r="AW41" s="3" t="s">
        <v>387</v>
      </c>
      <c r="AX41" s="3" t="s">
        <v>387</v>
      </c>
      <c r="AY41" s="3" t="s">
        <v>388</v>
      </c>
      <c r="AZ41" s="3" t="s">
        <v>73</v>
      </c>
      <c r="BB41" s="3" t="s">
        <v>389</v>
      </c>
      <c r="BC41" s="3" t="s">
        <v>390</v>
      </c>
      <c r="BD41" s="3" t="s">
        <v>391</v>
      </c>
    </row>
    <row r="42" spans="1:56" ht="51" customHeight="1" x14ac:dyDescent="0.25">
      <c r="A42" s="7" t="s">
        <v>58</v>
      </c>
      <c r="B42" s="2" t="s">
        <v>392</v>
      </c>
      <c r="C42" s="2" t="s">
        <v>393</v>
      </c>
      <c r="D42" s="2" t="s">
        <v>394</v>
      </c>
      <c r="F42" s="3" t="s">
        <v>58</v>
      </c>
      <c r="G42" s="3" t="s">
        <v>59</v>
      </c>
      <c r="H42" s="3" t="s">
        <v>58</v>
      </c>
      <c r="I42" s="3" t="s">
        <v>58</v>
      </c>
      <c r="J42" s="3" t="s">
        <v>60</v>
      </c>
      <c r="K42" s="2" t="s">
        <v>395</v>
      </c>
      <c r="L42" s="2" t="s">
        <v>396</v>
      </c>
      <c r="M42" s="3" t="s">
        <v>397</v>
      </c>
      <c r="O42" s="3" t="s">
        <v>63</v>
      </c>
      <c r="P42" s="3" t="s">
        <v>214</v>
      </c>
      <c r="R42" s="3" t="s">
        <v>65</v>
      </c>
      <c r="S42" s="4">
        <v>4</v>
      </c>
      <c r="T42" s="4">
        <v>4</v>
      </c>
      <c r="U42" s="5" t="s">
        <v>398</v>
      </c>
      <c r="V42" s="5" t="s">
        <v>398</v>
      </c>
      <c r="W42" s="5" t="s">
        <v>112</v>
      </c>
      <c r="X42" s="5" t="s">
        <v>112</v>
      </c>
      <c r="Y42" s="4">
        <v>109</v>
      </c>
      <c r="Z42" s="4">
        <v>92</v>
      </c>
      <c r="AA42" s="4">
        <v>93</v>
      </c>
      <c r="AB42" s="4">
        <v>1</v>
      </c>
      <c r="AC42" s="4">
        <v>1</v>
      </c>
      <c r="AD42" s="4">
        <v>7</v>
      </c>
      <c r="AE42" s="4">
        <v>7</v>
      </c>
      <c r="AF42" s="4">
        <v>3</v>
      </c>
      <c r="AG42" s="4">
        <v>3</v>
      </c>
      <c r="AH42" s="4">
        <v>2</v>
      </c>
      <c r="AI42" s="4">
        <v>2</v>
      </c>
      <c r="AJ42" s="4">
        <v>3</v>
      </c>
      <c r="AK42" s="4">
        <v>3</v>
      </c>
      <c r="AL42" s="4">
        <v>0</v>
      </c>
      <c r="AM42" s="4">
        <v>0</v>
      </c>
      <c r="AN42" s="4">
        <v>0</v>
      </c>
      <c r="AO42" s="4">
        <v>0</v>
      </c>
      <c r="AP42" s="3" t="s">
        <v>58</v>
      </c>
      <c r="AQ42" s="3" t="s">
        <v>68</v>
      </c>
      <c r="AR42" s="6" t="str">
        <f>HYPERLINK("http://catalog.hathitrust.org/Record/000822591","HathiTrust Record")</f>
        <v>HathiTrust Record</v>
      </c>
      <c r="AS42" s="6" t="str">
        <f>HYPERLINK("https://creighton-primo.hosted.exlibrisgroup.com/primo-explore/search?tab=default_tab&amp;search_scope=EVERYTHING&amp;vid=01CRU&amp;lang=en_US&amp;offset=0&amp;query=any,contains,991000683669702656","Catalog Record")</f>
        <v>Catalog Record</v>
      </c>
      <c r="AT42" s="6" t="str">
        <f>HYPERLINK("http://www.worldcat.org/oclc/12419368","WorldCat Record")</f>
        <v>WorldCat Record</v>
      </c>
      <c r="AU42" s="3" t="s">
        <v>399</v>
      </c>
      <c r="AV42" s="3" t="s">
        <v>400</v>
      </c>
      <c r="AW42" s="3" t="s">
        <v>401</v>
      </c>
      <c r="AX42" s="3" t="s">
        <v>401</v>
      </c>
      <c r="AY42" s="3" t="s">
        <v>402</v>
      </c>
      <c r="AZ42" s="3" t="s">
        <v>73</v>
      </c>
      <c r="BB42" s="3" t="s">
        <v>403</v>
      </c>
      <c r="BC42" s="3" t="s">
        <v>404</v>
      </c>
      <c r="BD42" s="3" t="s">
        <v>405</v>
      </c>
    </row>
    <row r="43" spans="1:56" ht="51" customHeight="1" x14ac:dyDescent="0.25">
      <c r="A43" s="7" t="s">
        <v>58</v>
      </c>
      <c r="B43" s="2" t="s">
        <v>406</v>
      </c>
      <c r="C43" s="2" t="s">
        <v>407</v>
      </c>
      <c r="D43" s="2" t="s">
        <v>408</v>
      </c>
      <c r="F43" s="3" t="s">
        <v>58</v>
      </c>
      <c r="G43" s="3" t="s">
        <v>59</v>
      </c>
      <c r="H43" s="3" t="s">
        <v>58</v>
      </c>
      <c r="I43" s="3" t="s">
        <v>68</v>
      </c>
      <c r="J43" s="3" t="s">
        <v>60</v>
      </c>
      <c r="K43" s="2" t="s">
        <v>409</v>
      </c>
      <c r="L43" s="2" t="s">
        <v>410</v>
      </c>
      <c r="M43" s="3" t="s">
        <v>353</v>
      </c>
      <c r="O43" s="3" t="s">
        <v>63</v>
      </c>
      <c r="P43" s="3" t="s">
        <v>411</v>
      </c>
      <c r="R43" s="3" t="s">
        <v>65</v>
      </c>
      <c r="S43" s="4">
        <v>5</v>
      </c>
      <c r="T43" s="4">
        <v>5</v>
      </c>
      <c r="U43" s="5" t="s">
        <v>412</v>
      </c>
      <c r="V43" s="5" t="s">
        <v>412</v>
      </c>
      <c r="W43" s="5" t="s">
        <v>112</v>
      </c>
      <c r="X43" s="5" t="s">
        <v>112</v>
      </c>
      <c r="Y43" s="4">
        <v>342</v>
      </c>
      <c r="Z43" s="4">
        <v>320</v>
      </c>
      <c r="AA43" s="4">
        <v>451</v>
      </c>
      <c r="AB43" s="4">
        <v>4</v>
      </c>
      <c r="AC43" s="4">
        <v>4</v>
      </c>
      <c r="AD43" s="4">
        <v>16</v>
      </c>
      <c r="AE43" s="4">
        <v>23</v>
      </c>
      <c r="AF43" s="4">
        <v>4</v>
      </c>
      <c r="AG43" s="4">
        <v>8</v>
      </c>
      <c r="AH43" s="4">
        <v>3</v>
      </c>
      <c r="AI43" s="4">
        <v>4</v>
      </c>
      <c r="AJ43" s="4">
        <v>13</v>
      </c>
      <c r="AK43" s="4">
        <v>17</v>
      </c>
      <c r="AL43" s="4">
        <v>1</v>
      </c>
      <c r="AM43" s="4">
        <v>1</v>
      </c>
      <c r="AN43" s="4">
        <v>0</v>
      </c>
      <c r="AO43" s="4">
        <v>0</v>
      </c>
      <c r="AP43" s="3" t="s">
        <v>58</v>
      </c>
      <c r="AQ43" s="3" t="s">
        <v>68</v>
      </c>
      <c r="AR43" s="6" t="str">
        <f>HYPERLINK("http://catalog.hathitrust.org/Record/000840048","HathiTrust Record")</f>
        <v>HathiTrust Record</v>
      </c>
      <c r="AS43" s="6" t="str">
        <f>HYPERLINK("https://creighton-primo.hosted.exlibrisgroup.com/primo-explore/search?tab=default_tab&amp;search_scope=EVERYTHING&amp;vid=01CRU&amp;lang=en_US&amp;offset=0&amp;query=any,contains,991001031819702656","Catalog Record")</f>
        <v>Catalog Record</v>
      </c>
      <c r="AT43" s="6" t="str">
        <f>HYPERLINK("http://www.worldcat.org/oclc/15519303","WorldCat Record")</f>
        <v>WorldCat Record</v>
      </c>
      <c r="AU43" s="3" t="s">
        <v>413</v>
      </c>
      <c r="AV43" s="3" t="s">
        <v>414</v>
      </c>
      <c r="AW43" s="3" t="s">
        <v>415</v>
      </c>
      <c r="AX43" s="3" t="s">
        <v>415</v>
      </c>
      <c r="AY43" s="3" t="s">
        <v>416</v>
      </c>
      <c r="AZ43" s="3" t="s">
        <v>73</v>
      </c>
      <c r="BB43" s="3" t="s">
        <v>417</v>
      </c>
      <c r="BC43" s="3" t="s">
        <v>418</v>
      </c>
      <c r="BD43" s="3" t="s">
        <v>419</v>
      </c>
    </row>
    <row r="44" spans="1:56" ht="51" customHeight="1" x14ac:dyDescent="0.25">
      <c r="A44" s="7" t="s">
        <v>58</v>
      </c>
      <c r="B44" s="2" t="s">
        <v>420</v>
      </c>
      <c r="C44" s="2" t="s">
        <v>421</v>
      </c>
      <c r="D44" s="2" t="s">
        <v>408</v>
      </c>
      <c r="F44" s="3" t="s">
        <v>58</v>
      </c>
      <c r="G44" s="3" t="s">
        <v>59</v>
      </c>
      <c r="H44" s="3" t="s">
        <v>58</v>
      </c>
      <c r="I44" s="3" t="s">
        <v>68</v>
      </c>
      <c r="J44" s="3" t="s">
        <v>60</v>
      </c>
      <c r="K44" s="2" t="s">
        <v>409</v>
      </c>
      <c r="L44" s="2" t="s">
        <v>422</v>
      </c>
      <c r="M44" s="3" t="s">
        <v>423</v>
      </c>
      <c r="N44" s="2" t="s">
        <v>424</v>
      </c>
      <c r="O44" s="3" t="s">
        <v>63</v>
      </c>
      <c r="P44" s="3" t="s">
        <v>411</v>
      </c>
      <c r="R44" s="3" t="s">
        <v>65</v>
      </c>
      <c r="S44" s="4">
        <v>2</v>
      </c>
      <c r="T44" s="4">
        <v>2</v>
      </c>
      <c r="U44" s="5" t="s">
        <v>412</v>
      </c>
      <c r="V44" s="5" t="s">
        <v>412</v>
      </c>
      <c r="W44" s="5" t="s">
        <v>425</v>
      </c>
      <c r="X44" s="5" t="s">
        <v>425</v>
      </c>
      <c r="Y44" s="4">
        <v>197</v>
      </c>
      <c r="Z44" s="4">
        <v>179</v>
      </c>
      <c r="AA44" s="4">
        <v>451</v>
      </c>
      <c r="AB44" s="4">
        <v>1</v>
      </c>
      <c r="AC44" s="4">
        <v>4</v>
      </c>
      <c r="AD44" s="4">
        <v>12</v>
      </c>
      <c r="AE44" s="4">
        <v>23</v>
      </c>
      <c r="AF44" s="4">
        <v>5</v>
      </c>
      <c r="AG44" s="4">
        <v>8</v>
      </c>
      <c r="AH44" s="4">
        <v>2</v>
      </c>
      <c r="AI44" s="4">
        <v>4</v>
      </c>
      <c r="AJ44" s="4">
        <v>8</v>
      </c>
      <c r="AK44" s="4">
        <v>17</v>
      </c>
      <c r="AL44" s="4">
        <v>0</v>
      </c>
      <c r="AM44" s="4">
        <v>1</v>
      </c>
      <c r="AN44" s="4">
        <v>0</v>
      </c>
      <c r="AO44" s="4">
        <v>0</v>
      </c>
      <c r="AP44" s="3" t="s">
        <v>58</v>
      </c>
      <c r="AQ44" s="3" t="s">
        <v>58</v>
      </c>
      <c r="AS44" s="6" t="str">
        <f>HYPERLINK("https://creighton-primo.hosted.exlibrisgroup.com/primo-explore/search?tab=default_tab&amp;search_scope=EVERYTHING&amp;vid=01CRU&amp;lang=en_US&amp;offset=0&amp;query=any,contains,991003592579702656","Catalog Record")</f>
        <v>Catalog Record</v>
      </c>
      <c r="AT44" s="6" t="str">
        <f>HYPERLINK("http://www.worldcat.org/oclc/38130547","WorldCat Record")</f>
        <v>WorldCat Record</v>
      </c>
      <c r="AU44" s="3" t="s">
        <v>413</v>
      </c>
      <c r="AV44" s="3" t="s">
        <v>426</v>
      </c>
      <c r="AW44" s="3" t="s">
        <v>427</v>
      </c>
      <c r="AX44" s="3" t="s">
        <v>427</v>
      </c>
      <c r="AY44" s="3" t="s">
        <v>428</v>
      </c>
      <c r="AZ44" s="3" t="s">
        <v>73</v>
      </c>
      <c r="BB44" s="3" t="s">
        <v>429</v>
      </c>
      <c r="BC44" s="3" t="s">
        <v>430</v>
      </c>
      <c r="BD44" s="3" t="s">
        <v>431</v>
      </c>
    </row>
    <row r="45" spans="1:56" ht="51" customHeight="1" x14ac:dyDescent="0.25">
      <c r="A45" s="7" t="s">
        <v>58</v>
      </c>
      <c r="B45" s="2" t="s">
        <v>432</v>
      </c>
      <c r="C45" s="2" t="s">
        <v>433</v>
      </c>
      <c r="D45" s="2" t="s">
        <v>434</v>
      </c>
      <c r="F45" s="3" t="s">
        <v>58</v>
      </c>
      <c r="G45" s="3" t="s">
        <v>59</v>
      </c>
      <c r="H45" s="3" t="s">
        <v>58</v>
      </c>
      <c r="I45" s="3" t="s">
        <v>58</v>
      </c>
      <c r="J45" s="3" t="s">
        <v>60</v>
      </c>
      <c r="K45" s="2" t="s">
        <v>435</v>
      </c>
      <c r="L45" s="2" t="s">
        <v>436</v>
      </c>
      <c r="M45" s="3" t="s">
        <v>138</v>
      </c>
      <c r="O45" s="3" t="s">
        <v>63</v>
      </c>
      <c r="P45" s="3" t="s">
        <v>437</v>
      </c>
      <c r="R45" s="3" t="s">
        <v>65</v>
      </c>
      <c r="S45" s="4">
        <v>8</v>
      </c>
      <c r="T45" s="4">
        <v>8</v>
      </c>
      <c r="U45" s="5" t="s">
        <v>398</v>
      </c>
      <c r="V45" s="5" t="s">
        <v>398</v>
      </c>
      <c r="W45" s="5" t="s">
        <v>438</v>
      </c>
      <c r="X45" s="5" t="s">
        <v>438</v>
      </c>
      <c r="Y45" s="4">
        <v>467</v>
      </c>
      <c r="Z45" s="4">
        <v>435</v>
      </c>
      <c r="AA45" s="4">
        <v>437</v>
      </c>
      <c r="AB45" s="4">
        <v>2</v>
      </c>
      <c r="AC45" s="4">
        <v>2</v>
      </c>
      <c r="AD45" s="4">
        <v>13</v>
      </c>
      <c r="AE45" s="4">
        <v>13</v>
      </c>
      <c r="AF45" s="4">
        <v>8</v>
      </c>
      <c r="AG45" s="4">
        <v>8</v>
      </c>
      <c r="AH45" s="4">
        <v>3</v>
      </c>
      <c r="AI45" s="4">
        <v>3</v>
      </c>
      <c r="AJ45" s="4">
        <v>6</v>
      </c>
      <c r="AK45" s="4">
        <v>6</v>
      </c>
      <c r="AL45" s="4">
        <v>1</v>
      </c>
      <c r="AM45" s="4">
        <v>1</v>
      </c>
      <c r="AN45" s="4">
        <v>0</v>
      </c>
      <c r="AO45" s="4">
        <v>0</v>
      </c>
      <c r="AP45" s="3" t="s">
        <v>58</v>
      </c>
      <c r="AQ45" s="3" t="s">
        <v>68</v>
      </c>
      <c r="AR45" s="6" t="str">
        <f>HYPERLINK("http://catalog.hathitrust.org/Record/000771239","HathiTrust Record")</f>
        <v>HathiTrust Record</v>
      </c>
      <c r="AS45" s="6" t="str">
        <f>HYPERLINK("https://creighton-primo.hosted.exlibrisgroup.com/primo-explore/search?tab=default_tab&amp;search_scope=EVERYTHING&amp;vid=01CRU&amp;lang=en_US&amp;offset=0&amp;query=any,contains,991000071979702656","Catalog Record")</f>
        <v>Catalog Record</v>
      </c>
      <c r="AT45" s="6" t="str">
        <f>HYPERLINK("http://www.worldcat.org/oclc/8785650","WorldCat Record")</f>
        <v>WorldCat Record</v>
      </c>
      <c r="AU45" s="3" t="s">
        <v>439</v>
      </c>
      <c r="AV45" s="3" t="s">
        <v>440</v>
      </c>
      <c r="AW45" s="3" t="s">
        <v>441</v>
      </c>
      <c r="AX45" s="3" t="s">
        <v>441</v>
      </c>
      <c r="AY45" s="3" t="s">
        <v>442</v>
      </c>
      <c r="AZ45" s="3" t="s">
        <v>73</v>
      </c>
      <c r="BB45" s="3" t="s">
        <v>443</v>
      </c>
      <c r="BC45" s="3" t="s">
        <v>444</v>
      </c>
      <c r="BD45" s="3" t="s">
        <v>445</v>
      </c>
    </row>
    <row r="46" spans="1:56" ht="51" customHeight="1" x14ac:dyDescent="0.25">
      <c r="A46" s="7" t="s">
        <v>58</v>
      </c>
      <c r="B46" s="2" t="s">
        <v>446</v>
      </c>
      <c r="C46" s="2" t="s">
        <v>447</v>
      </c>
      <c r="D46" s="2" t="s">
        <v>448</v>
      </c>
      <c r="F46" s="3" t="s">
        <v>58</v>
      </c>
      <c r="G46" s="3" t="s">
        <v>59</v>
      </c>
      <c r="H46" s="3" t="s">
        <v>58</v>
      </c>
      <c r="I46" s="3" t="s">
        <v>58</v>
      </c>
      <c r="J46" s="3" t="s">
        <v>60</v>
      </c>
      <c r="K46" s="2" t="s">
        <v>449</v>
      </c>
      <c r="L46" s="2" t="s">
        <v>450</v>
      </c>
      <c r="M46" s="3" t="s">
        <v>196</v>
      </c>
      <c r="O46" s="3" t="s">
        <v>63</v>
      </c>
      <c r="P46" s="3" t="s">
        <v>451</v>
      </c>
      <c r="Q46" s="2" t="s">
        <v>452</v>
      </c>
      <c r="R46" s="3" t="s">
        <v>65</v>
      </c>
      <c r="S46" s="4">
        <v>14</v>
      </c>
      <c r="T46" s="4">
        <v>14</v>
      </c>
      <c r="U46" s="5" t="s">
        <v>453</v>
      </c>
      <c r="V46" s="5" t="s">
        <v>453</v>
      </c>
      <c r="W46" s="5" t="s">
        <v>454</v>
      </c>
      <c r="X46" s="5" t="s">
        <v>454</v>
      </c>
      <c r="Y46" s="4">
        <v>166</v>
      </c>
      <c r="Z46" s="4">
        <v>139</v>
      </c>
      <c r="AA46" s="4">
        <v>605</v>
      </c>
      <c r="AB46" s="4">
        <v>1</v>
      </c>
      <c r="AC46" s="4">
        <v>4</v>
      </c>
      <c r="AD46" s="4">
        <v>10</v>
      </c>
      <c r="AE46" s="4">
        <v>19</v>
      </c>
      <c r="AF46" s="4">
        <v>4</v>
      </c>
      <c r="AG46" s="4">
        <v>9</v>
      </c>
      <c r="AH46" s="4">
        <v>2</v>
      </c>
      <c r="AI46" s="4">
        <v>3</v>
      </c>
      <c r="AJ46" s="4">
        <v>6</v>
      </c>
      <c r="AK46" s="4">
        <v>8</v>
      </c>
      <c r="AL46" s="4">
        <v>0</v>
      </c>
      <c r="AM46" s="4">
        <v>3</v>
      </c>
      <c r="AN46" s="4">
        <v>0</v>
      </c>
      <c r="AO46" s="4">
        <v>0</v>
      </c>
      <c r="AP46" s="3" t="s">
        <v>58</v>
      </c>
      <c r="AQ46" s="3" t="s">
        <v>68</v>
      </c>
      <c r="AR46" s="6" t="str">
        <f>HYPERLINK("http://catalog.hathitrust.org/Record/003057555","HathiTrust Record")</f>
        <v>HathiTrust Record</v>
      </c>
      <c r="AS46" s="6" t="str">
        <f>HYPERLINK("https://creighton-primo.hosted.exlibrisgroup.com/primo-explore/search?tab=default_tab&amp;search_scope=EVERYTHING&amp;vid=01CRU&amp;lang=en_US&amp;offset=0&amp;query=any,contains,991002643729702656","Catalog Record")</f>
        <v>Catalog Record</v>
      </c>
      <c r="AT46" s="6" t="str">
        <f>HYPERLINK("http://www.worldcat.org/oclc/34598647","WorldCat Record")</f>
        <v>WorldCat Record</v>
      </c>
      <c r="AU46" s="3" t="s">
        <v>455</v>
      </c>
      <c r="AV46" s="3" t="s">
        <v>456</v>
      </c>
      <c r="AW46" s="3" t="s">
        <v>457</v>
      </c>
      <c r="AX46" s="3" t="s">
        <v>457</v>
      </c>
      <c r="AY46" s="3" t="s">
        <v>458</v>
      </c>
      <c r="AZ46" s="3" t="s">
        <v>73</v>
      </c>
      <c r="BB46" s="3" t="s">
        <v>459</v>
      </c>
      <c r="BC46" s="3" t="s">
        <v>460</v>
      </c>
      <c r="BD46" s="3" t="s">
        <v>461</v>
      </c>
    </row>
    <row r="47" spans="1:56" ht="51" customHeight="1" x14ac:dyDescent="0.25">
      <c r="A47" s="7" t="s">
        <v>58</v>
      </c>
      <c r="B47" s="2" t="s">
        <v>462</v>
      </c>
      <c r="C47" s="2" t="s">
        <v>463</v>
      </c>
      <c r="D47" s="2" t="s">
        <v>464</v>
      </c>
      <c r="E47" s="3" t="s">
        <v>309</v>
      </c>
      <c r="F47" s="3" t="s">
        <v>58</v>
      </c>
      <c r="G47" s="3" t="s">
        <v>59</v>
      </c>
      <c r="H47" s="3" t="s">
        <v>58</v>
      </c>
      <c r="I47" s="3" t="s">
        <v>58</v>
      </c>
      <c r="J47" s="3" t="s">
        <v>60</v>
      </c>
      <c r="K47" s="2" t="s">
        <v>465</v>
      </c>
      <c r="L47" s="2" t="s">
        <v>466</v>
      </c>
      <c r="M47" s="3" t="s">
        <v>368</v>
      </c>
      <c r="O47" s="3" t="s">
        <v>63</v>
      </c>
      <c r="P47" s="3" t="s">
        <v>84</v>
      </c>
      <c r="Q47" s="2" t="s">
        <v>467</v>
      </c>
      <c r="R47" s="3" t="s">
        <v>65</v>
      </c>
      <c r="S47" s="4">
        <v>1</v>
      </c>
      <c r="T47" s="4">
        <v>1</v>
      </c>
      <c r="U47" s="5" t="s">
        <v>468</v>
      </c>
      <c r="V47" s="5" t="s">
        <v>468</v>
      </c>
      <c r="W47" s="5" t="s">
        <v>112</v>
      </c>
      <c r="X47" s="5" t="s">
        <v>112</v>
      </c>
      <c r="Y47" s="4">
        <v>250</v>
      </c>
      <c r="Z47" s="4">
        <v>183</v>
      </c>
      <c r="AA47" s="4">
        <v>186</v>
      </c>
      <c r="AB47" s="4">
        <v>1</v>
      </c>
      <c r="AC47" s="4">
        <v>1</v>
      </c>
      <c r="AD47" s="4">
        <v>4</v>
      </c>
      <c r="AE47" s="4">
        <v>4</v>
      </c>
      <c r="AF47" s="4">
        <v>3</v>
      </c>
      <c r="AG47" s="4">
        <v>3</v>
      </c>
      <c r="AH47" s="4">
        <v>0</v>
      </c>
      <c r="AI47" s="4">
        <v>0</v>
      </c>
      <c r="AJ47" s="4">
        <v>3</v>
      </c>
      <c r="AK47" s="4">
        <v>3</v>
      </c>
      <c r="AL47" s="4">
        <v>0</v>
      </c>
      <c r="AM47" s="4">
        <v>0</v>
      </c>
      <c r="AN47" s="4">
        <v>0</v>
      </c>
      <c r="AO47" s="4">
        <v>0</v>
      </c>
      <c r="AP47" s="3" t="s">
        <v>58</v>
      </c>
      <c r="AQ47" s="3" t="s">
        <v>68</v>
      </c>
      <c r="AR47" s="6" t="str">
        <f>HYPERLINK("http://catalog.hathitrust.org/Record/000176347","HathiTrust Record")</f>
        <v>HathiTrust Record</v>
      </c>
      <c r="AS47" s="6" t="str">
        <f>HYPERLINK("https://creighton-primo.hosted.exlibrisgroup.com/primo-explore/search?tab=default_tab&amp;search_scope=EVERYTHING&amp;vid=01CRU&amp;lang=en_US&amp;offset=0&amp;query=any,contains,991004561539702656","Catalog Record")</f>
        <v>Catalog Record</v>
      </c>
      <c r="AT47" s="6" t="str">
        <f>HYPERLINK("http://www.worldcat.org/oclc/4002993","WorldCat Record")</f>
        <v>WorldCat Record</v>
      </c>
      <c r="AU47" s="3" t="s">
        <v>469</v>
      </c>
      <c r="AV47" s="3" t="s">
        <v>470</v>
      </c>
      <c r="AW47" s="3" t="s">
        <v>471</v>
      </c>
      <c r="AX47" s="3" t="s">
        <v>471</v>
      </c>
      <c r="AY47" s="3" t="s">
        <v>472</v>
      </c>
      <c r="AZ47" s="3" t="s">
        <v>73</v>
      </c>
      <c r="BC47" s="3" t="s">
        <v>473</v>
      </c>
      <c r="BD47" s="3" t="s">
        <v>474</v>
      </c>
    </row>
    <row r="48" spans="1:56" ht="51" customHeight="1" x14ac:dyDescent="0.25">
      <c r="A48" s="7" t="s">
        <v>58</v>
      </c>
      <c r="B48" s="2" t="s">
        <v>475</v>
      </c>
      <c r="C48" s="2" t="s">
        <v>476</v>
      </c>
      <c r="D48" s="2" t="s">
        <v>477</v>
      </c>
      <c r="F48" s="3" t="s">
        <v>58</v>
      </c>
      <c r="G48" s="3" t="s">
        <v>59</v>
      </c>
      <c r="H48" s="3" t="s">
        <v>58</v>
      </c>
      <c r="I48" s="3" t="s">
        <v>58</v>
      </c>
      <c r="J48" s="3" t="s">
        <v>60</v>
      </c>
      <c r="L48" s="2" t="s">
        <v>478</v>
      </c>
      <c r="M48" s="3" t="s">
        <v>479</v>
      </c>
      <c r="O48" s="3" t="s">
        <v>63</v>
      </c>
      <c r="P48" s="3" t="s">
        <v>84</v>
      </c>
      <c r="Q48" s="2" t="s">
        <v>480</v>
      </c>
      <c r="R48" s="3" t="s">
        <v>65</v>
      </c>
      <c r="S48" s="4">
        <v>3</v>
      </c>
      <c r="T48" s="4">
        <v>3</v>
      </c>
      <c r="U48" s="5" t="s">
        <v>481</v>
      </c>
      <c r="V48" s="5" t="s">
        <v>481</v>
      </c>
      <c r="W48" s="5" t="s">
        <v>482</v>
      </c>
      <c r="X48" s="5" t="s">
        <v>482</v>
      </c>
      <c r="Y48" s="4">
        <v>117</v>
      </c>
      <c r="Z48" s="4">
        <v>84</v>
      </c>
      <c r="AA48" s="4">
        <v>108</v>
      </c>
      <c r="AB48" s="4">
        <v>1</v>
      </c>
      <c r="AC48" s="4">
        <v>1</v>
      </c>
      <c r="AD48" s="4">
        <v>6</v>
      </c>
      <c r="AE48" s="4">
        <v>7</v>
      </c>
      <c r="AF48" s="4">
        <v>2</v>
      </c>
      <c r="AG48" s="4">
        <v>2</v>
      </c>
      <c r="AH48" s="4">
        <v>3</v>
      </c>
      <c r="AI48" s="4">
        <v>3</v>
      </c>
      <c r="AJ48" s="4">
        <v>3</v>
      </c>
      <c r="AK48" s="4">
        <v>4</v>
      </c>
      <c r="AL48" s="4">
        <v>0</v>
      </c>
      <c r="AM48" s="4">
        <v>0</v>
      </c>
      <c r="AN48" s="4">
        <v>0</v>
      </c>
      <c r="AO48" s="4">
        <v>0</v>
      </c>
      <c r="AP48" s="3" t="s">
        <v>58</v>
      </c>
      <c r="AQ48" s="3" t="s">
        <v>68</v>
      </c>
      <c r="AR48" s="6" t="str">
        <f>HYPERLINK("http://catalog.hathitrust.org/Record/002887598","HathiTrust Record")</f>
        <v>HathiTrust Record</v>
      </c>
      <c r="AS48" s="6" t="str">
        <f>HYPERLINK("https://creighton-primo.hosted.exlibrisgroup.com/primo-explore/search?tab=default_tab&amp;search_scope=EVERYTHING&amp;vid=01CRU&amp;lang=en_US&amp;offset=0&amp;query=any,contains,991002359299702656","Catalog Record")</f>
        <v>Catalog Record</v>
      </c>
      <c r="AT48" s="6" t="str">
        <f>HYPERLINK("http://www.worldcat.org/oclc/35015373","WorldCat Record")</f>
        <v>WorldCat Record</v>
      </c>
      <c r="AU48" s="3" t="s">
        <v>483</v>
      </c>
      <c r="AV48" s="3" t="s">
        <v>484</v>
      </c>
      <c r="AW48" s="3" t="s">
        <v>485</v>
      </c>
      <c r="AX48" s="3" t="s">
        <v>485</v>
      </c>
      <c r="AY48" s="3" t="s">
        <v>486</v>
      </c>
      <c r="AZ48" s="3" t="s">
        <v>73</v>
      </c>
      <c r="BB48" s="3" t="s">
        <v>487</v>
      </c>
      <c r="BC48" s="3" t="s">
        <v>488</v>
      </c>
      <c r="BD48" s="3" t="s">
        <v>489</v>
      </c>
    </row>
    <row r="49" spans="1:56" ht="51" customHeight="1" x14ac:dyDescent="0.25">
      <c r="A49" s="7" t="s">
        <v>58</v>
      </c>
      <c r="B49" s="2" t="s">
        <v>490</v>
      </c>
      <c r="C49" s="2" t="s">
        <v>491</v>
      </c>
      <c r="D49" s="2" t="s">
        <v>492</v>
      </c>
      <c r="F49" s="3" t="s">
        <v>58</v>
      </c>
      <c r="G49" s="3" t="s">
        <v>59</v>
      </c>
      <c r="H49" s="3" t="s">
        <v>58</v>
      </c>
      <c r="I49" s="3" t="s">
        <v>58</v>
      </c>
      <c r="J49" s="3" t="s">
        <v>60</v>
      </c>
      <c r="K49" s="2" t="s">
        <v>493</v>
      </c>
      <c r="L49" s="2" t="s">
        <v>494</v>
      </c>
      <c r="M49" s="3" t="s">
        <v>353</v>
      </c>
      <c r="O49" s="3" t="s">
        <v>63</v>
      </c>
      <c r="P49" s="3" t="s">
        <v>495</v>
      </c>
      <c r="R49" s="3" t="s">
        <v>65</v>
      </c>
      <c r="S49" s="4">
        <v>5</v>
      </c>
      <c r="T49" s="4">
        <v>5</v>
      </c>
      <c r="U49" s="5" t="s">
        <v>496</v>
      </c>
      <c r="V49" s="5" t="s">
        <v>496</v>
      </c>
      <c r="W49" s="5" t="s">
        <v>112</v>
      </c>
      <c r="X49" s="5" t="s">
        <v>112</v>
      </c>
      <c r="Y49" s="4">
        <v>315</v>
      </c>
      <c r="Z49" s="4">
        <v>272</v>
      </c>
      <c r="AA49" s="4">
        <v>279</v>
      </c>
      <c r="AB49" s="4">
        <v>2</v>
      </c>
      <c r="AC49" s="4">
        <v>2</v>
      </c>
      <c r="AD49" s="4">
        <v>19</v>
      </c>
      <c r="AE49" s="4">
        <v>19</v>
      </c>
      <c r="AF49" s="4">
        <v>8</v>
      </c>
      <c r="AG49" s="4">
        <v>8</v>
      </c>
      <c r="AH49" s="4">
        <v>6</v>
      </c>
      <c r="AI49" s="4">
        <v>6</v>
      </c>
      <c r="AJ49" s="4">
        <v>10</v>
      </c>
      <c r="AK49" s="4">
        <v>10</v>
      </c>
      <c r="AL49" s="4">
        <v>0</v>
      </c>
      <c r="AM49" s="4">
        <v>0</v>
      </c>
      <c r="AN49" s="4">
        <v>0</v>
      </c>
      <c r="AO49" s="4">
        <v>0</v>
      </c>
      <c r="AP49" s="3" t="s">
        <v>58</v>
      </c>
      <c r="AQ49" s="3" t="s">
        <v>68</v>
      </c>
      <c r="AR49" s="6" t="str">
        <f>HYPERLINK("http://catalog.hathitrust.org/Record/000813580","HathiTrust Record")</f>
        <v>HathiTrust Record</v>
      </c>
      <c r="AS49" s="6" t="str">
        <f>HYPERLINK("https://creighton-primo.hosted.exlibrisgroup.com/primo-explore/search?tab=default_tab&amp;search_scope=EVERYTHING&amp;vid=01CRU&amp;lang=en_US&amp;offset=0&amp;query=any,contains,991000853889702656","Catalog Record")</f>
        <v>Catalog Record</v>
      </c>
      <c r="AT49" s="6" t="str">
        <f>HYPERLINK("http://www.worldcat.org/oclc/13642660","WorldCat Record")</f>
        <v>WorldCat Record</v>
      </c>
      <c r="AU49" s="3" t="s">
        <v>497</v>
      </c>
      <c r="AV49" s="3" t="s">
        <v>498</v>
      </c>
      <c r="AW49" s="3" t="s">
        <v>499</v>
      </c>
      <c r="AX49" s="3" t="s">
        <v>499</v>
      </c>
      <c r="AY49" s="3" t="s">
        <v>500</v>
      </c>
      <c r="AZ49" s="3" t="s">
        <v>73</v>
      </c>
      <c r="BB49" s="3" t="s">
        <v>501</v>
      </c>
      <c r="BC49" s="3" t="s">
        <v>502</v>
      </c>
      <c r="BD49" s="3" t="s">
        <v>503</v>
      </c>
    </row>
    <row r="50" spans="1:56" ht="51" customHeight="1" x14ac:dyDescent="0.25">
      <c r="A50" s="7" t="s">
        <v>58</v>
      </c>
      <c r="B50" s="2" t="s">
        <v>504</v>
      </c>
      <c r="C50" s="2" t="s">
        <v>505</v>
      </c>
      <c r="D50" s="2" t="s">
        <v>506</v>
      </c>
      <c r="F50" s="3" t="s">
        <v>58</v>
      </c>
      <c r="G50" s="3" t="s">
        <v>59</v>
      </c>
      <c r="H50" s="3" t="s">
        <v>58</v>
      </c>
      <c r="I50" s="3" t="s">
        <v>58</v>
      </c>
      <c r="J50" s="3" t="s">
        <v>60</v>
      </c>
      <c r="K50" s="2" t="s">
        <v>507</v>
      </c>
      <c r="L50" s="2" t="s">
        <v>508</v>
      </c>
      <c r="M50" s="3" t="s">
        <v>509</v>
      </c>
      <c r="O50" s="3" t="s">
        <v>63</v>
      </c>
      <c r="P50" s="3" t="s">
        <v>510</v>
      </c>
      <c r="R50" s="3" t="s">
        <v>65</v>
      </c>
      <c r="S50" s="4">
        <v>2</v>
      </c>
      <c r="T50" s="4">
        <v>2</v>
      </c>
      <c r="U50" s="5" t="s">
        <v>511</v>
      </c>
      <c r="V50" s="5" t="s">
        <v>511</v>
      </c>
      <c r="W50" s="5" t="s">
        <v>512</v>
      </c>
      <c r="X50" s="5" t="s">
        <v>512</v>
      </c>
      <c r="Y50" s="4">
        <v>480</v>
      </c>
      <c r="Z50" s="4">
        <v>453</v>
      </c>
      <c r="AA50" s="4">
        <v>588</v>
      </c>
      <c r="AB50" s="4">
        <v>3</v>
      </c>
      <c r="AC50" s="4">
        <v>3</v>
      </c>
      <c r="AD50" s="4">
        <v>31</v>
      </c>
      <c r="AE50" s="4">
        <v>33</v>
      </c>
      <c r="AF50" s="4">
        <v>11</v>
      </c>
      <c r="AG50" s="4">
        <v>12</v>
      </c>
      <c r="AH50" s="4">
        <v>6</v>
      </c>
      <c r="AI50" s="4">
        <v>7</v>
      </c>
      <c r="AJ50" s="4">
        <v>21</v>
      </c>
      <c r="AK50" s="4">
        <v>21</v>
      </c>
      <c r="AL50" s="4">
        <v>1</v>
      </c>
      <c r="AM50" s="4">
        <v>1</v>
      </c>
      <c r="AN50" s="4">
        <v>0</v>
      </c>
      <c r="AO50" s="4">
        <v>0</v>
      </c>
      <c r="AP50" s="3" t="s">
        <v>58</v>
      </c>
      <c r="AQ50" s="3" t="s">
        <v>68</v>
      </c>
      <c r="AR50" s="6" t="str">
        <f>HYPERLINK("http://catalog.hathitrust.org/Record/001242052","HathiTrust Record")</f>
        <v>HathiTrust Record</v>
      </c>
      <c r="AS50" s="6" t="str">
        <f>HYPERLINK("https://creighton-primo.hosted.exlibrisgroup.com/primo-explore/search?tab=default_tab&amp;search_scope=EVERYTHING&amp;vid=01CRU&amp;lang=en_US&amp;offset=0&amp;query=any,contains,991005358899702656","Catalog Record")</f>
        <v>Catalog Record</v>
      </c>
      <c r="AT50" s="6" t="str">
        <f>HYPERLINK("http://www.worldcat.org/oclc/1356764","WorldCat Record")</f>
        <v>WorldCat Record</v>
      </c>
      <c r="AU50" s="3" t="s">
        <v>513</v>
      </c>
      <c r="AV50" s="3" t="s">
        <v>514</v>
      </c>
      <c r="AW50" s="3" t="s">
        <v>515</v>
      </c>
      <c r="AX50" s="3" t="s">
        <v>515</v>
      </c>
      <c r="AY50" s="3" t="s">
        <v>516</v>
      </c>
      <c r="AZ50" s="3" t="s">
        <v>73</v>
      </c>
      <c r="BC50" s="3" t="s">
        <v>517</v>
      </c>
      <c r="BD50" s="3" t="s">
        <v>518</v>
      </c>
    </row>
    <row r="51" spans="1:56" ht="51" customHeight="1" x14ac:dyDescent="0.25">
      <c r="A51" s="7" t="s">
        <v>58</v>
      </c>
      <c r="B51" s="2" t="s">
        <v>519</v>
      </c>
      <c r="C51" s="2" t="s">
        <v>520</v>
      </c>
      <c r="D51" s="2" t="s">
        <v>521</v>
      </c>
      <c r="F51" s="3" t="s">
        <v>58</v>
      </c>
      <c r="G51" s="3" t="s">
        <v>59</v>
      </c>
      <c r="H51" s="3" t="s">
        <v>58</v>
      </c>
      <c r="I51" s="3" t="s">
        <v>58</v>
      </c>
      <c r="J51" s="3" t="s">
        <v>60</v>
      </c>
      <c r="K51" s="2" t="s">
        <v>522</v>
      </c>
      <c r="L51" s="2" t="s">
        <v>523</v>
      </c>
      <c r="M51" s="3" t="s">
        <v>524</v>
      </c>
      <c r="N51" s="2" t="s">
        <v>424</v>
      </c>
      <c r="O51" s="3" t="s">
        <v>63</v>
      </c>
      <c r="P51" s="3" t="s">
        <v>214</v>
      </c>
      <c r="R51" s="3" t="s">
        <v>65</v>
      </c>
      <c r="S51" s="4">
        <v>1</v>
      </c>
      <c r="T51" s="4">
        <v>1</v>
      </c>
      <c r="U51" s="5" t="s">
        <v>525</v>
      </c>
      <c r="V51" s="5" t="s">
        <v>525</v>
      </c>
      <c r="W51" s="5" t="s">
        <v>525</v>
      </c>
      <c r="X51" s="5" t="s">
        <v>525</v>
      </c>
      <c r="Y51" s="4">
        <v>300</v>
      </c>
      <c r="Z51" s="4">
        <v>275</v>
      </c>
      <c r="AA51" s="4">
        <v>383</v>
      </c>
      <c r="AB51" s="4">
        <v>3</v>
      </c>
      <c r="AC51" s="4">
        <v>3</v>
      </c>
      <c r="AD51" s="4">
        <v>20</v>
      </c>
      <c r="AE51" s="4">
        <v>26</v>
      </c>
      <c r="AF51" s="4">
        <v>6</v>
      </c>
      <c r="AG51" s="4">
        <v>11</v>
      </c>
      <c r="AH51" s="4">
        <v>6</v>
      </c>
      <c r="AI51" s="4">
        <v>8</v>
      </c>
      <c r="AJ51" s="4">
        <v>11</v>
      </c>
      <c r="AK51" s="4">
        <v>12</v>
      </c>
      <c r="AL51" s="4">
        <v>2</v>
      </c>
      <c r="AM51" s="4">
        <v>2</v>
      </c>
      <c r="AN51" s="4">
        <v>0</v>
      </c>
      <c r="AO51" s="4">
        <v>0</v>
      </c>
      <c r="AP51" s="3" t="s">
        <v>58</v>
      </c>
      <c r="AQ51" s="3" t="s">
        <v>68</v>
      </c>
      <c r="AR51" s="6" t="str">
        <f>HYPERLINK("http://catalog.hathitrust.org/Record/000821066","HathiTrust Record")</f>
        <v>HathiTrust Record</v>
      </c>
      <c r="AS51" s="6" t="str">
        <f>HYPERLINK("https://creighton-primo.hosted.exlibrisgroup.com/primo-explore/search?tab=default_tab&amp;search_scope=EVERYTHING&amp;vid=01CRU&amp;lang=en_US&amp;offset=0&amp;query=any,contains,991005350599702656","Catalog Record")</f>
        <v>Catalog Record</v>
      </c>
      <c r="AT51" s="6" t="str">
        <f>HYPERLINK("http://www.worldcat.org/oclc/14931178","WorldCat Record")</f>
        <v>WorldCat Record</v>
      </c>
      <c r="AU51" s="3" t="s">
        <v>526</v>
      </c>
      <c r="AV51" s="3" t="s">
        <v>527</v>
      </c>
      <c r="AW51" s="3" t="s">
        <v>528</v>
      </c>
      <c r="AX51" s="3" t="s">
        <v>528</v>
      </c>
      <c r="AY51" s="3" t="s">
        <v>529</v>
      </c>
      <c r="AZ51" s="3" t="s">
        <v>73</v>
      </c>
      <c r="BB51" s="3" t="s">
        <v>530</v>
      </c>
      <c r="BC51" s="3" t="s">
        <v>531</v>
      </c>
      <c r="BD51" s="3" t="s">
        <v>532</v>
      </c>
    </row>
    <row r="52" spans="1:56" ht="51" customHeight="1" x14ac:dyDescent="0.25">
      <c r="A52" s="7" t="s">
        <v>58</v>
      </c>
      <c r="B52" s="2" t="s">
        <v>533</v>
      </c>
      <c r="C52" s="2" t="s">
        <v>534</v>
      </c>
      <c r="D52" s="2" t="s">
        <v>535</v>
      </c>
      <c r="F52" s="3" t="s">
        <v>58</v>
      </c>
      <c r="G52" s="3" t="s">
        <v>59</v>
      </c>
      <c r="H52" s="3" t="s">
        <v>58</v>
      </c>
      <c r="I52" s="3" t="s">
        <v>58</v>
      </c>
      <c r="J52" s="3" t="s">
        <v>60</v>
      </c>
      <c r="K52" s="2" t="s">
        <v>536</v>
      </c>
      <c r="L52" s="2" t="s">
        <v>537</v>
      </c>
      <c r="M52" s="3" t="s">
        <v>538</v>
      </c>
      <c r="O52" s="3" t="s">
        <v>63</v>
      </c>
      <c r="P52" s="3" t="s">
        <v>214</v>
      </c>
      <c r="R52" s="3" t="s">
        <v>65</v>
      </c>
      <c r="S52" s="4">
        <v>1</v>
      </c>
      <c r="T52" s="4">
        <v>1</v>
      </c>
      <c r="U52" s="5" t="s">
        <v>539</v>
      </c>
      <c r="V52" s="5" t="s">
        <v>539</v>
      </c>
      <c r="W52" s="5" t="s">
        <v>540</v>
      </c>
      <c r="X52" s="5" t="s">
        <v>540</v>
      </c>
      <c r="Y52" s="4">
        <v>613</v>
      </c>
      <c r="Z52" s="4">
        <v>585</v>
      </c>
      <c r="AA52" s="4">
        <v>619</v>
      </c>
      <c r="AB52" s="4">
        <v>6</v>
      </c>
      <c r="AC52" s="4">
        <v>6</v>
      </c>
      <c r="AD52" s="4">
        <v>21</v>
      </c>
      <c r="AE52" s="4">
        <v>22</v>
      </c>
      <c r="AF52" s="4">
        <v>11</v>
      </c>
      <c r="AG52" s="4">
        <v>12</v>
      </c>
      <c r="AH52" s="4">
        <v>5</v>
      </c>
      <c r="AI52" s="4">
        <v>5</v>
      </c>
      <c r="AJ52" s="4">
        <v>10</v>
      </c>
      <c r="AK52" s="4">
        <v>10</v>
      </c>
      <c r="AL52" s="4">
        <v>2</v>
      </c>
      <c r="AM52" s="4">
        <v>2</v>
      </c>
      <c r="AN52" s="4">
        <v>0</v>
      </c>
      <c r="AO52" s="4">
        <v>0</v>
      </c>
      <c r="AP52" s="3" t="s">
        <v>58</v>
      </c>
      <c r="AQ52" s="3" t="s">
        <v>68</v>
      </c>
      <c r="AR52" s="6" t="str">
        <f>HYPERLINK("http://catalog.hathitrust.org/Record/001242127","HathiTrust Record")</f>
        <v>HathiTrust Record</v>
      </c>
      <c r="AS52" s="6" t="str">
        <f>HYPERLINK("https://creighton-primo.hosted.exlibrisgroup.com/primo-explore/search?tab=default_tab&amp;search_scope=EVERYTHING&amp;vid=01CRU&amp;lang=en_US&amp;offset=0&amp;query=any,contains,991000060329702656","Catalog Record")</f>
        <v>Catalog Record</v>
      </c>
      <c r="AT52" s="6" t="str">
        <f>HYPERLINK("http://www.worldcat.org/oclc/24444","WorldCat Record")</f>
        <v>WorldCat Record</v>
      </c>
      <c r="AU52" s="3" t="s">
        <v>541</v>
      </c>
      <c r="AV52" s="3" t="s">
        <v>542</v>
      </c>
      <c r="AW52" s="3" t="s">
        <v>543</v>
      </c>
      <c r="AX52" s="3" t="s">
        <v>543</v>
      </c>
      <c r="AY52" s="3" t="s">
        <v>544</v>
      </c>
      <c r="AZ52" s="3" t="s">
        <v>73</v>
      </c>
      <c r="BC52" s="3" t="s">
        <v>545</v>
      </c>
      <c r="BD52" s="3" t="s">
        <v>546</v>
      </c>
    </row>
    <row r="53" spans="1:56" ht="51" customHeight="1" x14ac:dyDescent="0.25">
      <c r="A53" s="7" t="s">
        <v>58</v>
      </c>
      <c r="B53" s="2" t="s">
        <v>547</v>
      </c>
      <c r="C53" s="2" t="s">
        <v>548</v>
      </c>
      <c r="D53" s="2" t="s">
        <v>549</v>
      </c>
      <c r="F53" s="3" t="s">
        <v>58</v>
      </c>
      <c r="G53" s="3" t="s">
        <v>59</v>
      </c>
      <c r="H53" s="3" t="s">
        <v>58</v>
      </c>
      <c r="I53" s="3" t="s">
        <v>58</v>
      </c>
      <c r="J53" s="3" t="s">
        <v>60</v>
      </c>
      <c r="K53" s="2" t="s">
        <v>550</v>
      </c>
      <c r="L53" s="2" t="s">
        <v>551</v>
      </c>
      <c r="M53" s="3" t="s">
        <v>552</v>
      </c>
      <c r="N53" s="2" t="s">
        <v>553</v>
      </c>
      <c r="O53" s="3" t="s">
        <v>554</v>
      </c>
      <c r="P53" s="3" t="s">
        <v>555</v>
      </c>
      <c r="R53" s="3" t="s">
        <v>65</v>
      </c>
      <c r="S53" s="4">
        <v>3</v>
      </c>
      <c r="T53" s="4">
        <v>3</v>
      </c>
      <c r="U53" s="5" t="s">
        <v>556</v>
      </c>
      <c r="V53" s="5" t="s">
        <v>556</v>
      </c>
      <c r="W53" s="5" t="s">
        <v>557</v>
      </c>
      <c r="X53" s="5" t="s">
        <v>557</v>
      </c>
      <c r="Y53" s="4">
        <v>14</v>
      </c>
      <c r="Z53" s="4">
        <v>2</v>
      </c>
      <c r="AA53" s="4">
        <v>15</v>
      </c>
      <c r="AB53" s="4">
        <v>1</v>
      </c>
      <c r="AC53" s="4">
        <v>1</v>
      </c>
      <c r="AD53" s="4">
        <v>0</v>
      </c>
      <c r="AE53" s="4">
        <v>0</v>
      </c>
      <c r="AF53" s="4">
        <v>0</v>
      </c>
      <c r="AG53" s="4">
        <v>0</v>
      </c>
      <c r="AH53" s="4">
        <v>0</v>
      </c>
      <c r="AI53" s="4">
        <v>0</v>
      </c>
      <c r="AJ53" s="4">
        <v>0</v>
      </c>
      <c r="AK53" s="4">
        <v>0</v>
      </c>
      <c r="AL53" s="4">
        <v>0</v>
      </c>
      <c r="AM53" s="4">
        <v>0</v>
      </c>
      <c r="AN53" s="4">
        <v>0</v>
      </c>
      <c r="AO53" s="4">
        <v>0</v>
      </c>
      <c r="AP53" s="3" t="s">
        <v>58</v>
      </c>
      <c r="AQ53" s="3" t="s">
        <v>58</v>
      </c>
      <c r="AS53" s="6" t="str">
        <f>HYPERLINK("https://creighton-primo.hosted.exlibrisgroup.com/primo-explore/search?tab=default_tab&amp;search_scope=EVERYTHING&amp;vid=01CRU&amp;lang=en_US&amp;offset=0&amp;query=any,contains,991003292389702656","Catalog Record")</f>
        <v>Catalog Record</v>
      </c>
      <c r="AT53" s="6" t="str">
        <f>HYPERLINK("http://www.worldcat.org/oclc/28812923","WorldCat Record")</f>
        <v>WorldCat Record</v>
      </c>
      <c r="AU53" s="3" t="s">
        <v>558</v>
      </c>
      <c r="AV53" s="3" t="s">
        <v>559</v>
      </c>
      <c r="AW53" s="3" t="s">
        <v>560</v>
      </c>
      <c r="AX53" s="3" t="s">
        <v>560</v>
      </c>
      <c r="AY53" s="3" t="s">
        <v>561</v>
      </c>
      <c r="AZ53" s="3" t="s">
        <v>73</v>
      </c>
      <c r="BB53" s="3" t="s">
        <v>562</v>
      </c>
      <c r="BC53" s="3" t="s">
        <v>563</v>
      </c>
      <c r="BD53" s="3" t="s">
        <v>564</v>
      </c>
    </row>
    <row r="54" spans="1:56" ht="51" customHeight="1" x14ac:dyDescent="0.25">
      <c r="A54" s="7" t="s">
        <v>58</v>
      </c>
      <c r="B54" s="2" t="s">
        <v>565</v>
      </c>
      <c r="C54" s="2" t="s">
        <v>566</v>
      </c>
      <c r="D54" s="2" t="s">
        <v>567</v>
      </c>
      <c r="F54" s="3" t="s">
        <v>58</v>
      </c>
      <c r="G54" s="3" t="s">
        <v>59</v>
      </c>
      <c r="H54" s="3" t="s">
        <v>58</v>
      </c>
      <c r="I54" s="3" t="s">
        <v>58</v>
      </c>
      <c r="J54" s="3" t="s">
        <v>60</v>
      </c>
      <c r="K54" s="2" t="s">
        <v>568</v>
      </c>
      <c r="L54" s="2" t="s">
        <v>569</v>
      </c>
      <c r="M54" s="3" t="s">
        <v>570</v>
      </c>
      <c r="O54" s="3" t="s">
        <v>63</v>
      </c>
      <c r="P54" s="3" t="s">
        <v>571</v>
      </c>
      <c r="R54" s="3" t="s">
        <v>65</v>
      </c>
      <c r="S54" s="4">
        <v>1</v>
      </c>
      <c r="T54" s="4">
        <v>1</v>
      </c>
      <c r="U54" s="5" t="s">
        <v>572</v>
      </c>
      <c r="V54" s="5" t="s">
        <v>572</v>
      </c>
      <c r="W54" s="5" t="s">
        <v>235</v>
      </c>
      <c r="X54" s="5" t="s">
        <v>235</v>
      </c>
      <c r="Y54" s="4">
        <v>165</v>
      </c>
      <c r="Z54" s="4">
        <v>156</v>
      </c>
      <c r="AA54" s="4">
        <v>184</v>
      </c>
      <c r="AB54" s="4">
        <v>1</v>
      </c>
      <c r="AC54" s="4">
        <v>1</v>
      </c>
      <c r="AD54" s="4">
        <v>9</v>
      </c>
      <c r="AE54" s="4">
        <v>10</v>
      </c>
      <c r="AF54" s="4">
        <v>3</v>
      </c>
      <c r="AG54" s="4">
        <v>3</v>
      </c>
      <c r="AH54" s="4">
        <v>3</v>
      </c>
      <c r="AI54" s="4">
        <v>4</v>
      </c>
      <c r="AJ54" s="4">
        <v>6</v>
      </c>
      <c r="AK54" s="4">
        <v>7</v>
      </c>
      <c r="AL54" s="4">
        <v>0</v>
      </c>
      <c r="AM54" s="4">
        <v>0</v>
      </c>
      <c r="AN54" s="4">
        <v>0</v>
      </c>
      <c r="AO54" s="4">
        <v>0</v>
      </c>
      <c r="AP54" s="3" t="s">
        <v>68</v>
      </c>
      <c r="AQ54" s="3" t="s">
        <v>58</v>
      </c>
      <c r="AR54" s="6" t="str">
        <f>HYPERLINK("http://catalog.hathitrust.org/Record/006600163","HathiTrust Record")</f>
        <v>HathiTrust Record</v>
      </c>
      <c r="AS54" s="6" t="str">
        <f>HYPERLINK("https://creighton-primo.hosted.exlibrisgroup.com/primo-explore/search?tab=default_tab&amp;search_scope=EVERYTHING&amp;vid=01CRU&amp;lang=en_US&amp;offset=0&amp;query=any,contains,991003514279702656","Catalog Record")</f>
        <v>Catalog Record</v>
      </c>
      <c r="AT54" s="6" t="str">
        <f>HYPERLINK("http://www.worldcat.org/oclc/1070826","WorldCat Record")</f>
        <v>WorldCat Record</v>
      </c>
      <c r="AU54" s="3" t="s">
        <v>573</v>
      </c>
      <c r="AV54" s="3" t="s">
        <v>574</v>
      </c>
      <c r="AW54" s="3" t="s">
        <v>575</v>
      </c>
      <c r="AX54" s="3" t="s">
        <v>575</v>
      </c>
      <c r="AY54" s="3" t="s">
        <v>576</v>
      </c>
      <c r="AZ54" s="3" t="s">
        <v>73</v>
      </c>
      <c r="BC54" s="3" t="s">
        <v>577</v>
      </c>
      <c r="BD54" s="3" t="s">
        <v>578</v>
      </c>
    </row>
    <row r="55" spans="1:56" ht="51" customHeight="1" x14ac:dyDescent="0.25">
      <c r="A55" s="7" t="s">
        <v>58</v>
      </c>
      <c r="B55" s="2" t="s">
        <v>579</v>
      </c>
      <c r="C55" s="2" t="s">
        <v>580</v>
      </c>
      <c r="D55" s="2" t="s">
        <v>581</v>
      </c>
      <c r="F55" s="3" t="s">
        <v>58</v>
      </c>
      <c r="G55" s="3" t="s">
        <v>59</v>
      </c>
      <c r="H55" s="3" t="s">
        <v>58</v>
      </c>
      <c r="I55" s="3" t="s">
        <v>58</v>
      </c>
      <c r="J55" s="3" t="s">
        <v>60</v>
      </c>
      <c r="K55" s="2" t="s">
        <v>582</v>
      </c>
      <c r="L55" s="2" t="s">
        <v>583</v>
      </c>
      <c r="M55" s="3" t="s">
        <v>138</v>
      </c>
      <c r="O55" s="3" t="s">
        <v>63</v>
      </c>
      <c r="P55" s="3" t="s">
        <v>584</v>
      </c>
      <c r="R55" s="3" t="s">
        <v>65</v>
      </c>
      <c r="S55" s="4">
        <v>3</v>
      </c>
      <c r="T55" s="4">
        <v>3</v>
      </c>
      <c r="U55" s="5" t="s">
        <v>412</v>
      </c>
      <c r="V55" s="5" t="s">
        <v>412</v>
      </c>
      <c r="W55" s="5" t="s">
        <v>585</v>
      </c>
      <c r="X55" s="5" t="s">
        <v>585</v>
      </c>
      <c r="Y55" s="4">
        <v>335</v>
      </c>
      <c r="Z55" s="4">
        <v>315</v>
      </c>
      <c r="AA55" s="4">
        <v>340</v>
      </c>
      <c r="AB55" s="4">
        <v>2</v>
      </c>
      <c r="AC55" s="4">
        <v>2</v>
      </c>
      <c r="AD55" s="4">
        <v>10</v>
      </c>
      <c r="AE55" s="4">
        <v>10</v>
      </c>
      <c r="AF55" s="4">
        <v>3</v>
      </c>
      <c r="AG55" s="4">
        <v>3</v>
      </c>
      <c r="AH55" s="4">
        <v>3</v>
      </c>
      <c r="AI55" s="4">
        <v>3</v>
      </c>
      <c r="AJ55" s="4">
        <v>8</v>
      </c>
      <c r="AK55" s="4">
        <v>8</v>
      </c>
      <c r="AL55" s="4">
        <v>1</v>
      </c>
      <c r="AM55" s="4">
        <v>1</v>
      </c>
      <c r="AN55" s="4">
        <v>0</v>
      </c>
      <c r="AO55" s="4">
        <v>0</v>
      </c>
      <c r="AP55" s="3" t="s">
        <v>58</v>
      </c>
      <c r="AQ55" s="3" t="s">
        <v>58</v>
      </c>
      <c r="AS55" s="6" t="str">
        <f>HYPERLINK("https://creighton-primo.hosted.exlibrisgroup.com/primo-explore/search?tab=default_tab&amp;search_scope=EVERYTHING&amp;vid=01CRU&amp;lang=en_US&amp;offset=0&amp;query=any,contains,991005171849702656","Catalog Record")</f>
        <v>Catalog Record</v>
      </c>
      <c r="AT55" s="6" t="str">
        <f>HYPERLINK("http://www.worldcat.org/oclc/7875583","WorldCat Record")</f>
        <v>WorldCat Record</v>
      </c>
      <c r="AU55" s="3" t="s">
        <v>586</v>
      </c>
      <c r="AV55" s="3" t="s">
        <v>587</v>
      </c>
      <c r="AW55" s="3" t="s">
        <v>588</v>
      </c>
      <c r="AX55" s="3" t="s">
        <v>588</v>
      </c>
      <c r="AY55" s="3" t="s">
        <v>589</v>
      </c>
      <c r="AZ55" s="3" t="s">
        <v>73</v>
      </c>
      <c r="BB55" s="3" t="s">
        <v>590</v>
      </c>
      <c r="BC55" s="3" t="s">
        <v>591</v>
      </c>
      <c r="BD55" s="3" t="s">
        <v>592</v>
      </c>
    </row>
    <row r="56" spans="1:56" ht="51" customHeight="1" x14ac:dyDescent="0.25">
      <c r="A56" s="7" t="s">
        <v>58</v>
      </c>
      <c r="B56" s="2" t="s">
        <v>593</v>
      </c>
      <c r="C56" s="2" t="s">
        <v>594</v>
      </c>
      <c r="D56" s="2" t="s">
        <v>595</v>
      </c>
      <c r="F56" s="3" t="s">
        <v>58</v>
      </c>
      <c r="G56" s="3" t="s">
        <v>59</v>
      </c>
      <c r="H56" s="3" t="s">
        <v>58</v>
      </c>
      <c r="I56" s="3" t="s">
        <v>58</v>
      </c>
      <c r="J56" s="3" t="s">
        <v>60</v>
      </c>
      <c r="K56" s="2" t="s">
        <v>596</v>
      </c>
      <c r="L56" s="2" t="s">
        <v>597</v>
      </c>
      <c r="M56" s="3" t="s">
        <v>598</v>
      </c>
      <c r="O56" s="3" t="s">
        <v>63</v>
      </c>
      <c r="P56" s="3" t="s">
        <v>571</v>
      </c>
      <c r="R56" s="3" t="s">
        <v>65</v>
      </c>
      <c r="S56" s="4">
        <v>1</v>
      </c>
      <c r="T56" s="4">
        <v>1</v>
      </c>
      <c r="U56" s="5" t="s">
        <v>599</v>
      </c>
      <c r="V56" s="5" t="s">
        <v>599</v>
      </c>
      <c r="W56" s="5" t="s">
        <v>600</v>
      </c>
      <c r="X56" s="5" t="s">
        <v>600</v>
      </c>
      <c r="Y56" s="4">
        <v>300</v>
      </c>
      <c r="Z56" s="4">
        <v>279</v>
      </c>
      <c r="AA56" s="4">
        <v>329</v>
      </c>
      <c r="AB56" s="4">
        <v>3</v>
      </c>
      <c r="AC56" s="4">
        <v>5</v>
      </c>
      <c r="AD56" s="4">
        <v>20</v>
      </c>
      <c r="AE56" s="4">
        <v>26</v>
      </c>
      <c r="AF56" s="4">
        <v>7</v>
      </c>
      <c r="AG56" s="4">
        <v>9</v>
      </c>
      <c r="AH56" s="4">
        <v>4</v>
      </c>
      <c r="AI56" s="4">
        <v>4</v>
      </c>
      <c r="AJ56" s="4">
        <v>16</v>
      </c>
      <c r="AK56" s="4">
        <v>20</v>
      </c>
      <c r="AL56" s="4">
        <v>0</v>
      </c>
      <c r="AM56" s="4">
        <v>1</v>
      </c>
      <c r="AN56" s="4">
        <v>0</v>
      </c>
      <c r="AO56" s="4">
        <v>0</v>
      </c>
      <c r="AP56" s="3" t="s">
        <v>58</v>
      </c>
      <c r="AQ56" s="3" t="s">
        <v>58</v>
      </c>
      <c r="AR56" s="6" t="str">
        <f>HYPERLINK("http://catalog.hathitrust.org/Record/102106843","HathiTrust Record")</f>
        <v>HathiTrust Record</v>
      </c>
      <c r="AS56" s="6" t="str">
        <f>HYPERLINK("https://creighton-primo.hosted.exlibrisgroup.com/primo-explore/search?tab=default_tab&amp;search_scope=EVERYTHING&amp;vid=01CRU&amp;lang=en_US&amp;offset=0&amp;query=any,contains,991005356669702656","Catalog Record")</f>
        <v>Catalog Record</v>
      </c>
      <c r="AT56" s="6" t="str">
        <f>HYPERLINK("http://www.worldcat.org/oclc/736333","WorldCat Record")</f>
        <v>WorldCat Record</v>
      </c>
      <c r="AU56" s="3" t="s">
        <v>601</v>
      </c>
      <c r="AV56" s="3" t="s">
        <v>602</v>
      </c>
      <c r="AW56" s="3" t="s">
        <v>603</v>
      </c>
      <c r="AX56" s="3" t="s">
        <v>603</v>
      </c>
      <c r="AY56" s="3" t="s">
        <v>604</v>
      </c>
      <c r="AZ56" s="3" t="s">
        <v>73</v>
      </c>
      <c r="BC56" s="3" t="s">
        <v>605</v>
      </c>
      <c r="BD56" s="3" t="s">
        <v>606</v>
      </c>
    </row>
    <row r="57" spans="1:56" ht="51" customHeight="1" x14ac:dyDescent="0.25">
      <c r="A57" s="7" t="s">
        <v>58</v>
      </c>
      <c r="B57" s="2" t="s">
        <v>607</v>
      </c>
      <c r="C57" s="2" t="s">
        <v>608</v>
      </c>
      <c r="D57" s="2" t="s">
        <v>609</v>
      </c>
      <c r="F57" s="3" t="s">
        <v>58</v>
      </c>
      <c r="G57" s="3" t="s">
        <v>59</v>
      </c>
      <c r="H57" s="3" t="s">
        <v>58</v>
      </c>
      <c r="I57" s="3" t="s">
        <v>58</v>
      </c>
      <c r="J57" s="3" t="s">
        <v>60</v>
      </c>
      <c r="K57" s="2" t="s">
        <v>610</v>
      </c>
      <c r="L57" s="2" t="s">
        <v>611</v>
      </c>
      <c r="M57" s="3" t="s">
        <v>612</v>
      </c>
      <c r="O57" s="3" t="s">
        <v>63</v>
      </c>
      <c r="P57" s="3" t="s">
        <v>584</v>
      </c>
      <c r="Q57" s="2" t="s">
        <v>613</v>
      </c>
      <c r="R57" s="3" t="s">
        <v>65</v>
      </c>
      <c r="S57" s="4">
        <v>3</v>
      </c>
      <c r="T57" s="4">
        <v>3</v>
      </c>
      <c r="U57" s="5" t="s">
        <v>614</v>
      </c>
      <c r="V57" s="5" t="s">
        <v>614</v>
      </c>
      <c r="W57" s="5" t="s">
        <v>235</v>
      </c>
      <c r="X57" s="5" t="s">
        <v>235</v>
      </c>
      <c r="Y57" s="4">
        <v>506</v>
      </c>
      <c r="Z57" s="4">
        <v>373</v>
      </c>
      <c r="AA57" s="4">
        <v>1061</v>
      </c>
      <c r="AB57" s="4">
        <v>2</v>
      </c>
      <c r="AC57" s="4">
        <v>8</v>
      </c>
      <c r="AD57" s="4">
        <v>12</v>
      </c>
      <c r="AE57" s="4">
        <v>50</v>
      </c>
      <c r="AF57" s="4">
        <v>5</v>
      </c>
      <c r="AG57" s="4">
        <v>22</v>
      </c>
      <c r="AH57" s="4">
        <v>3</v>
      </c>
      <c r="AI57" s="4">
        <v>10</v>
      </c>
      <c r="AJ57" s="4">
        <v>7</v>
      </c>
      <c r="AK57" s="4">
        <v>26</v>
      </c>
      <c r="AL57" s="4">
        <v>0</v>
      </c>
      <c r="AM57" s="4">
        <v>5</v>
      </c>
      <c r="AN57" s="4">
        <v>0</v>
      </c>
      <c r="AO57" s="4">
        <v>0</v>
      </c>
      <c r="AP57" s="3" t="s">
        <v>58</v>
      </c>
      <c r="AQ57" s="3" t="s">
        <v>68</v>
      </c>
      <c r="AR57" s="6" t="str">
        <f>HYPERLINK("http://catalog.hathitrust.org/Record/001242157","HathiTrust Record")</f>
        <v>HathiTrust Record</v>
      </c>
      <c r="AS57" s="6" t="str">
        <f>HYPERLINK("https://creighton-primo.hosted.exlibrisgroup.com/primo-explore/search?tab=default_tab&amp;search_scope=EVERYTHING&amp;vid=01CRU&amp;lang=en_US&amp;offset=0&amp;query=any,contains,991003323039702656","Catalog Record")</f>
        <v>Catalog Record</v>
      </c>
      <c r="AT57" s="6" t="str">
        <f>HYPERLINK("http://www.worldcat.org/oclc/851400","WorldCat Record")</f>
        <v>WorldCat Record</v>
      </c>
      <c r="AU57" s="3" t="s">
        <v>615</v>
      </c>
      <c r="AV57" s="3" t="s">
        <v>616</v>
      </c>
      <c r="AW57" s="3" t="s">
        <v>617</v>
      </c>
      <c r="AX57" s="3" t="s">
        <v>617</v>
      </c>
      <c r="AY57" s="3" t="s">
        <v>618</v>
      </c>
      <c r="AZ57" s="3" t="s">
        <v>73</v>
      </c>
      <c r="BC57" s="3" t="s">
        <v>619</v>
      </c>
      <c r="BD57" s="3" t="s">
        <v>620</v>
      </c>
    </row>
    <row r="58" spans="1:56" ht="51" customHeight="1" x14ac:dyDescent="0.25">
      <c r="A58" s="7" t="s">
        <v>58</v>
      </c>
      <c r="B58" s="2" t="s">
        <v>621</v>
      </c>
      <c r="C58" s="2" t="s">
        <v>622</v>
      </c>
      <c r="D58" s="2" t="s">
        <v>623</v>
      </c>
      <c r="F58" s="3" t="s">
        <v>58</v>
      </c>
      <c r="G58" s="3" t="s">
        <v>59</v>
      </c>
      <c r="H58" s="3" t="s">
        <v>58</v>
      </c>
      <c r="I58" s="3" t="s">
        <v>58</v>
      </c>
      <c r="J58" s="3" t="s">
        <v>60</v>
      </c>
      <c r="K58" s="2" t="s">
        <v>624</v>
      </c>
      <c r="L58" s="2" t="s">
        <v>625</v>
      </c>
      <c r="M58" s="3" t="s">
        <v>626</v>
      </c>
      <c r="O58" s="3" t="s">
        <v>63</v>
      </c>
      <c r="P58" s="3" t="s">
        <v>627</v>
      </c>
      <c r="R58" s="3" t="s">
        <v>65</v>
      </c>
      <c r="S58" s="4">
        <v>5</v>
      </c>
      <c r="T58" s="4">
        <v>5</v>
      </c>
      <c r="U58" s="5" t="s">
        <v>412</v>
      </c>
      <c r="V58" s="5" t="s">
        <v>412</v>
      </c>
      <c r="W58" s="5" t="s">
        <v>585</v>
      </c>
      <c r="X58" s="5" t="s">
        <v>585</v>
      </c>
      <c r="Y58" s="4">
        <v>297</v>
      </c>
      <c r="Z58" s="4">
        <v>276</v>
      </c>
      <c r="AA58" s="4">
        <v>283</v>
      </c>
      <c r="AB58" s="4">
        <v>1</v>
      </c>
      <c r="AC58" s="4">
        <v>1</v>
      </c>
      <c r="AD58" s="4">
        <v>5</v>
      </c>
      <c r="AE58" s="4">
        <v>5</v>
      </c>
      <c r="AF58" s="4">
        <v>2</v>
      </c>
      <c r="AG58" s="4">
        <v>2</v>
      </c>
      <c r="AH58" s="4">
        <v>1</v>
      </c>
      <c r="AI58" s="4">
        <v>1</v>
      </c>
      <c r="AJ58" s="4">
        <v>2</v>
      </c>
      <c r="AK58" s="4">
        <v>2</v>
      </c>
      <c r="AL58" s="4">
        <v>0</v>
      </c>
      <c r="AM58" s="4">
        <v>0</v>
      </c>
      <c r="AN58" s="4">
        <v>0</v>
      </c>
      <c r="AO58" s="4">
        <v>0</v>
      </c>
      <c r="AP58" s="3" t="s">
        <v>58</v>
      </c>
      <c r="AQ58" s="3" t="s">
        <v>58</v>
      </c>
      <c r="AS58" s="6" t="str">
        <f>HYPERLINK("https://creighton-primo.hosted.exlibrisgroup.com/primo-explore/search?tab=default_tab&amp;search_scope=EVERYTHING&amp;vid=01CRU&amp;lang=en_US&amp;offset=0&amp;query=any,contains,991000409539702656","Catalog Record")</f>
        <v>Catalog Record</v>
      </c>
      <c r="AT58" s="6" t="str">
        <f>HYPERLINK("http://www.worldcat.org/oclc/10697135","WorldCat Record")</f>
        <v>WorldCat Record</v>
      </c>
      <c r="AU58" s="3" t="s">
        <v>628</v>
      </c>
      <c r="AV58" s="3" t="s">
        <v>629</v>
      </c>
      <c r="AW58" s="3" t="s">
        <v>630</v>
      </c>
      <c r="AX58" s="3" t="s">
        <v>630</v>
      </c>
      <c r="AY58" s="3" t="s">
        <v>631</v>
      </c>
      <c r="AZ58" s="3" t="s">
        <v>73</v>
      </c>
      <c r="BB58" s="3" t="s">
        <v>632</v>
      </c>
      <c r="BC58" s="3" t="s">
        <v>633</v>
      </c>
      <c r="BD58" s="3" t="s">
        <v>634</v>
      </c>
    </row>
    <row r="59" spans="1:56" ht="51" customHeight="1" x14ac:dyDescent="0.25">
      <c r="A59" s="7" t="s">
        <v>58</v>
      </c>
      <c r="B59" s="2" t="s">
        <v>635</v>
      </c>
      <c r="C59" s="2" t="s">
        <v>636</v>
      </c>
      <c r="D59" s="2" t="s">
        <v>637</v>
      </c>
      <c r="F59" s="3" t="s">
        <v>58</v>
      </c>
      <c r="G59" s="3" t="s">
        <v>59</v>
      </c>
      <c r="H59" s="3" t="s">
        <v>58</v>
      </c>
      <c r="I59" s="3" t="s">
        <v>58</v>
      </c>
      <c r="J59" s="3" t="s">
        <v>60</v>
      </c>
      <c r="L59" s="2" t="s">
        <v>638</v>
      </c>
      <c r="M59" s="3" t="s">
        <v>552</v>
      </c>
      <c r="O59" s="3" t="s">
        <v>63</v>
      </c>
      <c r="P59" s="3" t="s">
        <v>510</v>
      </c>
      <c r="R59" s="3" t="s">
        <v>65</v>
      </c>
      <c r="S59" s="4">
        <v>2</v>
      </c>
      <c r="T59" s="4">
        <v>2</v>
      </c>
      <c r="U59" s="5" t="s">
        <v>639</v>
      </c>
      <c r="V59" s="5" t="s">
        <v>639</v>
      </c>
      <c r="W59" s="5" t="s">
        <v>640</v>
      </c>
      <c r="X59" s="5" t="s">
        <v>640</v>
      </c>
      <c r="Y59" s="4">
        <v>679</v>
      </c>
      <c r="Z59" s="4">
        <v>579</v>
      </c>
      <c r="AA59" s="4">
        <v>593</v>
      </c>
      <c r="AB59" s="4">
        <v>8</v>
      </c>
      <c r="AC59" s="4">
        <v>8</v>
      </c>
      <c r="AD59" s="4">
        <v>29</v>
      </c>
      <c r="AE59" s="4">
        <v>29</v>
      </c>
      <c r="AF59" s="4">
        <v>12</v>
      </c>
      <c r="AG59" s="4">
        <v>12</v>
      </c>
      <c r="AH59" s="4">
        <v>7</v>
      </c>
      <c r="AI59" s="4">
        <v>7</v>
      </c>
      <c r="AJ59" s="4">
        <v>11</v>
      </c>
      <c r="AK59" s="4">
        <v>11</v>
      </c>
      <c r="AL59" s="4">
        <v>7</v>
      </c>
      <c r="AM59" s="4">
        <v>7</v>
      </c>
      <c r="AN59" s="4">
        <v>0</v>
      </c>
      <c r="AO59" s="4">
        <v>0</v>
      </c>
      <c r="AP59" s="3" t="s">
        <v>58</v>
      </c>
      <c r="AQ59" s="3" t="s">
        <v>58</v>
      </c>
      <c r="AS59" s="6" t="str">
        <f>HYPERLINK("https://creighton-primo.hosted.exlibrisgroup.com/primo-explore/search?tab=default_tab&amp;search_scope=EVERYTHING&amp;vid=01CRU&amp;lang=en_US&amp;offset=0&amp;query=any,contains,991001714109702656","Catalog Record")</f>
        <v>Catalog Record</v>
      </c>
      <c r="AT59" s="6" t="str">
        <f>HYPERLINK("http://www.worldcat.org/oclc/21287153","WorldCat Record")</f>
        <v>WorldCat Record</v>
      </c>
      <c r="AU59" s="3" t="s">
        <v>641</v>
      </c>
      <c r="AV59" s="3" t="s">
        <v>642</v>
      </c>
      <c r="AW59" s="3" t="s">
        <v>643</v>
      </c>
      <c r="AX59" s="3" t="s">
        <v>643</v>
      </c>
      <c r="AY59" s="3" t="s">
        <v>644</v>
      </c>
      <c r="AZ59" s="3" t="s">
        <v>73</v>
      </c>
      <c r="BB59" s="3" t="s">
        <v>645</v>
      </c>
      <c r="BC59" s="3" t="s">
        <v>646</v>
      </c>
      <c r="BD59" s="3" t="s">
        <v>647</v>
      </c>
    </row>
    <row r="60" spans="1:56" ht="51" customHeight="1" x14ac:dyDescent="0.25">
      <c r="A60" s="7" t="s">
        <v>58</v>
      </c>
      <c r="B60" s="2" t="s">
        <v>648</v>
      </c>
      <c r="C60" s="2" t="s">
        <v>649</v>
      </c>
      <c r="D60" s="2" t="s">
        <v>650</v>
      </c>
      <c r="F60" s="3" t="s">
        <v>58</v>
      </c>
      <c r="G60" s="3" t="s">
        <v>59</v>
      </c>
      <c r="H60" s="3" t="s">
        <v>58</v>
      </c>
      <c r="I60" s="3" t="s">
        <v>58</v>
      </c>
      <c r="J60" s="3" t="s">
        <v>60</v>
      </c>
      <c r="K60" s="2" t="s">
        <v>651</v>
      </c>
      <c r="L60" s="2" t="s">
        <v>652</v>
      </c>
      <c r="M60" s="3" t="s">
        <v>653</v>
      </c>
      <c r="O60" s="3" t="s">
        <v>63</v>
      </c>
      <c r="P60" s="3" t="s">
        <v>654</v>
      </c>
      <c r="R60" s="3" t="s">
        <v>65</v>
      </c>
      <c r="S60" s="4">
        <v>9</v>
      </c>
      <c r="T60" s="4">
        <v>9</v>
      </c>
      <c r="U60" s="5" t="s">
        <v>655</v>
      </c>
      <c r="V60" s="5" t="s">
        <v>655</v>
      </c>
      <c r="W60" s="5" t="s">
        <v>656</v>
      </c>
      <c r="X60" s="5" t="s">
        <v>656</v>
      </c>
      <c r="Y60" s="4">
        <v>21</v>
      </c>
      <c r="Z60" s="4">
        <v>21</v>
      </c>
      <c r="AA60" s="4">
        <v>21</v>
      </c>
      <c r="AB60" s="4">
        <v>1</v>
      </c>
      <c r="AC60" s="4">
        <v>1</v>
      </c>
      <c r="AD60" s="4">
        <v>0</v>
      </c>
      <c r="AE60" s="4">
        <v>0</v>
      </c>
      <c r="AF60" s="4">
        <v>0</v>
      </c>
      <c r="AG60" s="4">
        <v>0</v>
      </c>
      <c r="AH60" s="4">
        <v>0</v>
      </c>
      <c r="AI60" s="4">
        <v>0</v>
      </c>
      <c r="AJ60" s="4">
        <v>0</v>
      </c>
      <c r="AK60" s="4">
        <v>0</v>
      </c>
      <c r="AL60" s="4">
        <v>0</v>
      </c>
      <c r="AM60" s="4">
        <v>0</v>
      </c>
      <c r="AN60" s="4">
        <v>0</v>
      </c>
      <c r="AO60" s="4">
        <v>0</v>
      </c>
      <c r="AP60" s="3" t="s">
        <v>58</v>
      </c>
      <c r="AQ60" s="3" t="s">
        <v>58</v>
      </c>
      <c r="AS60" s="6" t="str">
        <f>HYPERLINK("https://creighton-primo.hosted.exlibrisgroup.com/primo-explore/search?tab=default_tab&amp;search_scope=EVERYTHING&amp;vid=01CRU&amp;lang=en_US&amp;offset=0&amp;query=any,contains,991001853979702656","Catalog Record")</f>
        <v>Catalog Record</v>
      </c>
      <c r="AT60" s="6" t="str">
        <f>HYPERLINK("http://www.worldcat.org/oclc/23254526","WorldCat Record")</f>
        <v>WorldCat Record</v>
      </c>
      <c r="AU60" s="3" t="s">
        <v>657</v>
      </c>
      <c r="AV60" s="3" t="s">
        <v>658</v>
      </c>
      <c r="AW60" s="3" t="s">
        <v>659</v>
      </c>
      <c r="AX60" s="3" t="s">
        <v>659</v>
      </c>
      <c r="AY60" s="3" t="s">
        <v>660</v>
      </c>
      <c r="AZ60" s="3" t="s">
        <v>73</v>
      </c>
      <c r="BB60" s="3" t="s">
        <v>661</v>
      </c>
      <c r="BC60" s="3" t="s">
        <v>662</v>
      </c>
      <c r="BD60" s="3" t="s">
        <v>663</v>
      </c>
    </row>
    <row r="61" spans="1:56" ht="51" customHeight="1" x14ac:dyDescent="0.25">
      <c r="A61" s="7" t="s">
        <v>58</v>
      </c>
      <c r="B61" s="2" t="s">
        <v>664</v>
      </c>
      <c r="C61" s="2" t="s">
        <v>665</v>
      </c>
      <c r="D61" s="2" t="s">
        <v>666</v>
      </c>
      <c r="F61" s="3" t="s">
        <v>58</v>
      </c>
      <c r="G61" s="3" t="s">
        <v>59</v>
      </c>
      <c r="H61" s="3" t="s">
        <v>58</v>
      </c>
      <c r="I61" s="3" t="s">
        <v>58</v>
      </c>
      <c r="J61" s="3" t="s">
        <v>60</v>
      </c>
      <c r="L61" s="2" t="s">
        <v>667</v>
      </c>
      <c r="M61" s="3" t="s">
        <v>479</v>
      </c>
      <c r="O61" s="3" t="s">
        <v>63</v>
      </c>
      <c r="P61" s="3" t="s">
        <v>84</v>
      </c>
      <c r="R61" s="3" t="s">
        <v>65</v>
      </c>
      <c r="S61" s="4">
        <v>13</v>
      </c>
      <c r="T61" s="4">
        <v>13</v>
      </c>
      <c r="U61" s="5" t="s">
        <v>119</v>
      </c>
      <c r="V61" s="5" t="s">
        <v>119</v>
      </c>
      <c r="W61" s="5" t="s">
        <v>263</v>
      </c>
      <c r="X61" s="5" t="s">
        <v>263</v>
      </c>
      <c r="Y61" s="4">
        <v>329</v>
      </c>
      <c r="Z61" s="4">
        <v>258</v>
      </c>
      <c r="AA61" s="4">
        <v>295</v>
      </c>
      <c r="AB61" s="4">
        <v>3</v>
      </c>
      <c r="AC61" s="4">
        <v>3</v>
      </c>
      <c r="AD61" s="4">
        <v>16</v>
      </c>
      <c r="AE61" s="4">
        <v>17</v>
      </c>
      <c r="AF61" s="4">
        <v>5</v>
      </c>
      <c r="AG61" s="4">
        <v>6</v>
      </c>
      <c r="AH61" s="4">
        <v>4</v>
      </c>
      <c r="AI61" s="4">
        <v>4</v>
      </c>
      <c r="AJ61" s="4">
        <v>9</v>
      </c>
      <c r="AK61" s="4">
        <v>9</v>
      </c>
      <c r="AL61" s="4">
        <v>1</v>
      </c>
      <c r="AM61" s="4">
        <v>1</v>
      </c>
      <c r="AN61" s="4">
        <v>0</v>
      </c>
      <c r="AO61" s="4">
        <v>0</v>
      </c>
      <c r="AP61" s="3" t="s">
        <v>58</v>
      </c>
      <c r="AQ61" s="3" t="s">
        <v>68</v>
      </c>
      <c r="AR61" s="6" t="str">
        <f>HYPERLINK("http://catalog.hathitrust.org/Record/002881117","HathiTrust Record")</f>
        <v>HathiTrust Record</v>
      </c>
      <c r="AS61" s="6" t="str">
        <f>HYPERLINK("https://creighton-primo.hosted.exlibrisgroup.com/primo-explore/search?tab=default_tab&amp;search_scope=EVERYTHING&amp;vid=01CRU&amp;lang=en_US&amp;offset=0&amp;query=any,contains,991002412469702656","Catalog Record")</f>
        <v>Catalog Record</v>
      </c>
      <c r="AT61" s="6" t="str">
        <f>HYPERLINK("http://www.worldcat.org/oclc/31408640","WorldCat Record")</f>
        <v>WorldCat Record</v>
      </c>
      <c r="AU61" s="3" t="s">
        <v>668</v>
      </c>
      <c r="AV61" s="3" t="s">
        <v>669</v>
      </c>
      <c r="AW61" s="3" t="s">
        <v>670</v>
      </c>
      <c r="AX61" s="3" t="s">
        <v>670</v>
      </c>
      <c r="AY61" s="3" t="s">
        <v>671</v>
      </c>
      <c r="AZ61" s="3" t="s">
        <v>73</v>
      </c>
      <c r="BB61" s="3" t="s">
        <v>672</v>
      </c>
      <c r="BC61" s="3" t="s">
        <v>673</v>
      </c>
      <c r="BD61" s="3" t="s">
        <v>674</v>
      </c>
    </row>
    <row r="62" spans="1:56" ht="51" customHeight="1" x14ac:dyDescent="0.25">
      <c r="A62" s="7" t="s">
        <v>58</v>
      </c>
      <c r="B62" s="2" t="s">
        <v>675</v>
      </c>
      <c r="C62" s="2" t="s">
        <v>676</v>
      </c>
      <c r="D62" s="2" t="s">
        <v>677</v>
      </c>
      <c r="F62" s="3" t="s">
        <v>58</v>
      </c>
      <c r="G62" s="3" t="s">
        <v>59</v>
      </c>
      <c r="H62" s="3" t="s">
        <v>58</v>
      </c>
      <c r="I62" s="3" t="s">
        <v>58</v>
      </c>
      <c r="J62" s="3" t="s">
        <v>60</v>
      </c>
      <c r="K62" s="2" t="s">
        <v>678</v>
      </c>
      <c r="L62" s="2" t="s">
        <v>679</v>
      </c>
      <c r="M62" s="3" t="s">
        <v>626</v>
      </c>
      <c r="O62" s="3" t="s">
        <v>63</v>
      </c>
      <c r="P62" s="3" t="s">
        <v>627</v>
      </c>
      <c r="R62" s="3" t="s">
        <v>65</v>
      </c>
      <c r="S62" s="4">
        <v>14</v>
      </c>
      <c r="T62" s="4">
        <v>14</v>
      </c>
      <c r="U62" s="5" t="s">
        <v>680</v>
      </c>
      <c r="V62" s="5" t="s">
        <v>680</v>
      </c>
      <c r="W62" s="5" t="s">
        <v>112</v>
      </c>
      <c r="X62" s="5" t="s">
        <v>112</v>
      </c>
      <c r="Y62" s="4">
        <v>432</v>
      </c>
      <c r="Z62" s="4">
        <v>375</v>
      </c>
      <c r="AA62" s="4">
        <v>380</v>
      </c>
      <c r="AB62" s="4">
        <v>3</v>
      </c>
      <c r="AC62" s="4">
        <v>3</v>
      </c>
      <c r="AD62" s="4">
        <v>16</v>
      </c>
      <c r="AE62" s="4">
        <v>16</v>
      </c>
      <c r="AF62" s="4">
        <v>4</v>
      </c>
      <c r="AG62" s="4">
        <v>4</v>
      </c>
      <c r="AH62" s="4">
        <v>5</v>
      </c>
      <c r="AI62" s="4">
        <v>5</v>
      </c>
      <c r="AJ62" s="4">
        <v>10</v>
      </c>
      <c r="AK62" s="4">
        <v>10</v>
      </c>
      <c r="AL62" s="4">
        <v>1</v>
      </c>
      <c r="AM62" s="4">
        <v>1</v>
      </c>
      <c r="AN62" s="4">
        <v>0</v>
      </c>
      <c r="AO62" s="4">
        <v>0</v>
      </c>
      <c r="AP62" s="3" t="s">
        <v>58</v>
      </c>
      <c r="AQ62" s="3" t="s">
        <v>68</v>
      </c>
      <c r="AR62" s="6" t="str">
        <f>HYPERLINK("http://catalog.hathitrust.org/Record/000203044","HathiTrust Record")</f>
        <v>HathiTrust Record</v>
      </c>
      <c r="AS62" s="6" t="str">
        <f>HYPERLINK("https://creighton-primo.hosted.exlibrisgroup.com/primo-explore/search?tab=default_tab&amp;search_scope=EVERYTHING&amp;vid=01CRU&amp;lang=en_US&amp;offset=0&amp;query=any,contains,991000264969702656","Catalog Record")</f>
        <v>Catalog Record</v>
      </c>
      <c r="AT62" s="6" t="str">
        <f>HYPERLINK("http://www.worldcat.org/oclc/9828514","WorldCat Record")</f>
        <v>WorldCat Record</v>
      </c>
      <c r="AU62" s="3" t="s">
        <v>681</v>
      </c>
      <c r="AV62" s="3" t="s">
        <v>682</v>
      </c>
      <c r="AW62" s="3" t="s">
        <v>683</v>
      </c>
      <c r="AX62" s="3" t="s">
        <v>683</v>
      </c>
      <c r="AY62" s="3" t="s">
        <v>684</v>
      </c>
      <c r="AZ62" s="3" t="s">
        <v>73</v>
      </c>
      <c r="BB62" s="3" t="s">
        <v>685</v>
      </c>
      <c r="BC62" s="3" t="s">
        <v>686</v>
      </c>
      <c r="BD62" s="3" t="s">
        <v>687</v>
      </c>
    </row>
    <row r="63" spans="1:56" ht="51" customHeight="1" x14ac:dyDescent="0.25">
      <c r="A63" s="7" t="s">
        <v>58</v>
      </c>
      <c r="B63" s="2" t="s">
        <v>688</v>
      </c>
      <c r="C63" s="2" t="s">
        <v>689</v>
      </c>
      <c r="D63" s="2" t="s">
        <v>690</v>
      </c>
      <c r="E63" s="3" t="s">
        <v>691</v>
      </c>
      <c r="F63" s="3" t="s">
        <v>58</v>
      </c>
      <c r="G63" s="3" t="s">
        <v>59</v>
      </c>
      <c r="H63" s="3" t="s">
        <v>58</v>
      </c>
      <c r="I63" s="3" t="s">
        <v>58</v>
      </c>
      <c r="J63" s="3" t="s">
        <v>60</v>
      </c>
      <c r="K63" s="2" t="s">
        <v>692</v>
      </c>
      <c r="L63" s="2" t="s">
        <v>693</v>
      </c>
      <c r="M63" s="3" t="s">
        <v>196</v>
      </c>
      <c r="O63" s="3" t="s">
        <v>63</v>
      </c>
      <c r="P63" s="3" t="s">
        <v>437</v>
      </c>
      <c r="Q63" s="2" t="s">
        <v>694</v>
      </c>
      <c r="R63" s="3" t="s">
        <v>65</v>
      </c>
      <c r="S63" s="4">
        <v>6</v>
      </c>
      <c r="T63" s="4">
        <v>6</v>
      </c>
      <c r="U63" s="5" t="s">
        <v>680</v>
      </c>
      <c r="V63" s="5" t="s">
        <v>680</v>
      </c>
      <c r="W63" s="5" t="s">
        <v>695</v>
      </c>
      <c r="X63" s="5" t="s">
        <v>695</v>
      </c>
      <c r="Y63" s="4">
        <v>128</v>
      </c>
      <c r="Z63" s="4">
        <v>115</v>
      </c>
      <c r="AA63" s="4">
        <v>227</v>
      </c>
      <c r="AB63" s="4">
        <v>1</v>
      </c>
      <c r="AC63" s="4">
        <v>2</v>
      </c>
      <c r="AD63" s="4">
        <v>8</v>
      </c>
      <c r="AE63" s="4">
        <v>15</v>
      </c>
      <c r="AF63" s="4">
        <v>2</v>
      </c>
      <c r="AG63" s="4">
        <v>5</v>
      </c>
      <c r="AH63" s="4">
        <v>1</v>
      </c>
      <c r="AI63" s="4">
        <v>3</v>
      </c>
      <c r="AJ63" s="4">
        <v>6</v>
      </c>
      <c r="AK63" s="4">
        <v>9</v>
      </c>
      <c r="AL63" s="4">
        <v>0</v>
      </c>
      <c r="AM63" s="4">
        <v>1</v>
      </c>
      <c r="AN63" s="4">
        <v>0</v>
      </c>
      <c r="AO63" s="4">
        <v>0</v>
      </c>
      <c r="AP63" s="3" t="s">
        <v>58</v>
      </c>
      <c r="AQ63" s="3" t="s">
        <v>58</v>
      </c>
      <c r="AS63" s="6" t="str">
        <f>HYPERLINK("https://creighton-primo.hosted.exlibrisgroup.com/primo-explore/search?tab=default_tab&amp;search_scope=EVERYTHING&amp;vid=01CRU&amp;lang=en_US&amp;offset=0&amp;query=any,contains,991002732489702656","Catalog Record")</f>
        <v>Catalog Record</v>
      </c>
      <c r="AT63" s="6" t="str">
        <f>HYPERLINK("http://www.worldcat.org/oclc/35842717","WorldCat Record")</f>
        <v>WorldCat Record</v>
      </c>
      <c r="AU63" s="3" t="s">
        <v>696</v>
      </c>
      <c r="AV63" s="3" t="s">
        <v>697</v>
      </c>
      <c r="AW63" s="3" t="s">
        <v>698</v>
      </c>
      <c r="AX63" s="3" t="s">
        <v>698</v>
      </c>
      <c r="AY63" s="3" t="s">
        <v>699</v>
      </c>
      <c r="AZ63" s="3" t="s">
        <v>73</v>
      </c>
      <c r="BB63" s="3" t="s">
        <v>700</v>
      </c>
      <c r="BC63" s="3" t="s">
        <v>701</v>
      </c>
      <c r="BD63" s="3" t="s">
        <v>702</v>
      </c>
    </row>
    <row r="64" spans="1:56" ht="51" customHeight="1" x14ac:dyDescent="0.25">
      <c r="A64" s="7" t="s">
        <v>58</v>
      </c>
      <c r="B64" s="2" t="s">
        <v>703</v>
      </c>
      <c r="C64" s="2" t="s">
        <v>704</v>
      </c>
      <c r="D64" s="2" t="s">
        <v>705</v>
      </c>
      <c r="F64" s="3" t="s">
        <v>58</v>
      </c>
      <c r="G64" s="3" t="s">
        <v>59</v>
      </c>
      <c r="H64" s="3" t="s">
        <v>58</v>
      </c>
      <c r="I64" s="3" t="s">
        <v>58</v>
      </c>
      <c r="J64" s="3" t="s">
        <v>60</v>
      </c>
      <c r="K64" s="2" t="s">
        <v>706</v>
      </c>
      <c r="L64" s="2" t="s">
        <v>707</v>
      </c>
      <c r="M64" s="3" t="s">
        <v>353</v>
      </c>
      <c r="N64" s="2" t="s">
        <v>424</v>
      </c>
      <c r="O64" s="3" t="s">
        <v>63</v>
      </c>
      <c r="P64" s="3" t="s">
        <v>214</v>
      </c>
      <c r="R64" s="3" t="s">
        <v>65</v>
      </c>
      <c r="S64" s="4">
        <v>11</v>
      </c>
      <c r="T64" s="4">
        <v>11</v>
      </c>
      <c r="U64" s="5" t="s">
        <v>708</v>
      </c>
      <c r="V64" s="5" t="s">
        <v>708</v>
      </c>
      <c r="W64" s="5" t="s">
        <v>112</v>
      </c>
      <c r="X64" s="5" t="s">
        <v>112</v>
      </c>
      <c r="Y64" s="4">
        <v>70</v>
      </c>
      <c r="Z64" s="4">
        <v>62</v>
      </c>
      <c r="AA64" s="4">
        <v>85</v>
      </c>
      <c r="AB64" s="4">
        <v>1</v>
      </c>
      <c r="AC64" s="4">
        <v>1</v>
      </c>
      <c r="AD64" s="4">
        <v>2</v>
      </c>
      <c r="AE64" s="4">
        <v>2</v>
      </c>
      <c r="AF64" s="4">
        <v>1</v>
      </c>
      <c r="AG64" s="4">
        <v>1</v>
      </c>
      <c r="AH64" s="4">
        <v>1</v>
      </c>
      <c r="AI64" s="4">
        <v>1</v>
      </c>
      <c r="AJ64" s="4">
        <v>0</v>
      </c>
      <c r="AK64" s="4">
        <v>0</v>
      </c>
      <c r="AL64" s="4">
        <v>0</v>
      </c>
      <c r="AM64" s="4">
        <v>0</v>
      </c>
      <c r="AN64" s="4">
        <v>0</v>
      </c>
      <c r="AO64" s="4">
        <v>0</v>
      </c>
      <c r="AP64" s="3" t="s">
        <v>58</v>
      </c>
      <c r="AQ64" s="3" t="s">
        <v>58</v>
      </c>
      <c r="AS64" s="6" t="str">
        <f>HYPERLINK("https://creighton-primo.hosted.exlibrisgroup.com/primo-explore/search?tab=default_tab&amp;search_scope=EVERYTHING&amp;vid=01CRU&amp;lang=en_US&amp;offset=0&amp;query=any,contains,991001021449702656","Catalog Record")</f>
        <v>Catalog Record</v>
      </c>
      <c r="AT64" s="6" t="str">
        <f>HYPERLINK("http://www.worldcat.org/oclc/15367128","WorldCat Record")</f>
        <v>WorldCat Record</v>
      </c>
      <c r="AU64" s="3" t="s">
        <v>709</v>
      </c>
      <c r="AV64" s="3" t="s">
        <v>710</v>
      </c>
      <c r="AW64" s="3" t="s">
        <v>711</v>
      </c>
      <c r="AX64" s="3" t="s">
        <v>711</v>
      </c>
      <c r="AY64" s="3" t="s">
        <v>712</v>
      </c>
      <c r="AZ64" s="3" t="s">
        <v>73</v>
      </c>
      <c r="BB64" s="3" t="s">
        <v>713</v>
      </c>
      <c r="BC64" s="3" t="s">
        <v>714</v>
      </c>
      <c r="BD64" s="3" t="s">
        <v>715</v>
      </c>
    </row>
    <row r="65" spans="1:56" ht="51" customHeight="1" x14ac:dyDescent="0.25">
      <c r="A65" s="7" t="s">
        <v>58</v>
      </c>
      <c r="B65" s="2" t="s">
        <v>716</v>
      </c>
      <c r="C65" s="2" t="s">
        <v>717</v>
      </c>
      <c r="D65" s="2" t="s">
        <v>718</v>
      </c>
      <c r="F65" s="3" t="s">
        <v>58</v>
      </c>
      <c r="G65" s="3" t="s">
        <v>59</v>
      </c>
      <c r="H65" s="3" t="s">
        <v>58</v>
      </c>
      <c r="I65" s="3" t="s">
        <v>58</v>
      </c>
      <c r="J65" s="3" t="s">
        <v>60</v>
      </c>
      <c r="L65" s="2" t="s">
        <v>719</v>
      </c>
      <c r="M65" s="3" t="s">
        <v>261</v>
      </c>
      <c r="O65" s="3" t="s">
        <v>63</v>
      </c>
      <c r="P65" s="3" t="s">
        <v>84</v>
      </c>
      <c r="R65" s="3" t="s">
        <v>65</v>
      </c>
      <c r="S65" s="4">
        <v>4</v>
      </c>
      <c r="T65" s="4">
        <v>4</v>
      </c>
      <c r="U65" s="5" t="s">
        <v>119</v>
      </c>
      <c r="V65" s="5" t="s">
        <v>119</v>
      </c>
      <c r="W65" s="5" t="s">
        <v>235</v>
      </c>
      <c r="X65" s="5" t="s">
        <v>235</v>
      </c>
      <c r="Y65" s="4">
        <v>301</v>
      </c>
      <c r="Z65" s="4">
        <v>214</v>
      </c>
      <c r="AA65" s="4">
        <v>750</v>
      </c>
      <c r="AB65" s="4">
        <v>1</v>
      </c>
      <c r="AC65" s="4">
        <v>7</v>
      </c>
      <c r="AD65" s="4">
        <v>10</v>
      </c>
      <c r="AE65" s="4">
        <v>39</v>
      </c>
      <c r="AF65" s="4">
        <v>4</v>
      </c>
      <c r="AG65" s="4">
        <v>18</v>
      </c>
      <c r="AH65" s="4">
        <v>4</v>
      </c>
      <c r="AI65" s="4">
        <v>9</v>
      </c>
      <c r="AJ65" s="4">
        <v>6</v>
      </c>
      <c r="AK65" s="4">
        <v>16</v>
      </c>
      <c r="AL65" s="4">
        <v>0</v>
      </c>
      <c r="AM65" s="4">
        <v>5</v>
      </c>
      <c r="AN65" s="4">
        <v>0</v>
      </c>
      <c r="AO65" s="4">
        <v>0</v>
      </c>
      <c r="AP65" s="3" t="s">
        <v>58</v>
      </c>
      <c r="AQ65" s="3" t="s">
        <v>68</v>
      </c>
      <c r="AR65" s="6" t="str">
        <f>HYPERLINK("http://catalog.hathitrust.org/Record/000026199","HathiTrust Record")</f>
        <v>HathiTrust Record</v>
      </c>
      <c r="AS65" s="6" t="str">
        <f>HYPERLINK("https://creighton-primo.hosted.exlibrisgroup.com/primo-explore/search?tab=default_tab&amp;search_scope=EVERYTHING&amp;vid=01CRU&amp;lang=en_US&amp;offset=0&amp;query=any,contains,991003818619702656","Catalog Record")</f>
        <v>Catalog Record</v>
      </c>
      <c r="AT65" s="6" t="str">
        <f>HYPERLINK("http://www.worldcat.org/oclc/1551923","WorldCat Record")</f>
        <v>WorldCat Record</v>
      </c>
      <c r="AU65" s="3" t="s">
        <v>720</v>
      </c>
      <c r="AV65" s="3" t="s">
        <v>721</v>
      </c>
      <c r="AW65" s="3" t="s">
        <v>722</v>
      </c>
      <c r="AX65" s="3" t="s">
        <v>722</v>
      </c>
      <c r="AY65" s="3" t="s">
        <v>723</v>
      </c>
      <c r="AZ65" s="3" t="s">
        <v>73</v>
      </c>
      <c r="BC65" s="3" t="s">
        <v>724</v>
      </c>
      <c r="BD65" s="3" t="s">
        <v>725</v>
      </c>
    </row>
    <row r="66" spans="1:56" ht="51" customHeight="1" x14ac:dyDescent="0.25">
      <c r="A66" s="7" t="s">
        <v>58</v>
      </c>
      <c r="B66" s="2" t="s">
        <v>726</v>
      </c>
      <c r="C66" s="2" t="s">
        <v>727</v>
      </c>
      <c r="D66" s="2" t="s">
        <v>728</v>
      </c>
      <c r="F66" s="3" t="s">
        <v>58</v>
      </c>
      <c r="G66" s="3" t="s">
        <v>59</v>
      </c>
      <c r="H66" s="3" t="s">
        <v>58</v>
      </c>
      <c r="I66" s="3" t="s">
        <v>58</v>
      </c>
      <c r="J66" s="3" t="s">
        <v>60</v>
      </c>
      <c r="K66" s="2" t="s">
        <v>729</v>
      </c>
      <c r="L66" s="2" t="s">
        <v>730</v>
      </c>
      <c r="M66" s="3" t="s">
        <v>731</v>
      </c>
      <c r="O66" s="3" t="s">
        <v>63</v>
      </c>
      <c r="P66" s="3" t="s">
        <v>214</v>
      </c>
      <c r="Q66" s="2" t="s">
        <v>732</v>
      </c>
      <c r="R66" s="3" t="s">
        <v>65</v>
      </c>
      <c r="S66" s="4">
        <v>6</v>
      </c>
      <c r="T66" s="4">
        <v>6</v>
      </c>
      <c r="U66" s="5" t="s">
        <v>398</v>
      </c>
      <c r="V66" s="5" t="s">
        <v>398</v>
      </c>
      <c r="W66" s="5" t="s">
        <v>733</v>
      </c>
      <c r="X66" s="5" t="s">
        <v>733</v>
      </c>
      <c r="Y66" s="4">
        <v>99</v>
      </c>
      <c r="Z66" s="4">
        <v>90</v>
      </c>
      <c r="AA66" s="4">
        <v>602</v>
      </c>
      <c r="AB66" s="4">
        <v>2</v>
      </c>
      <c r="AC66" s="4">
        <v>2</v>
      </c>
      <c r="AD66" s="4">
        <v>5</v>
      </c>
      <c r="AE66" s="4">
        <v>24</v>
      </c>
      <c r="AF66" s="4">
        <v>1</v>
      </c>
      <c r="AG66" s="4">
        <v>9</v>
      </c>
      <c r="AH66" s="4">
        <v>1</v>
      </c>
      <c r="AI66" s="4">
        <v>4</v>
      </c>
      <c r="AJ66" s="4">
        <v>2</v>
      </c>
      <c r="AK66" s="4">
        <v>14</v>
      </c>
      <c r="AL66" s="4">
        <v>1</v>
      </c>
      <c r="AM66" s="4">
        <v>1</v>
      </c>
      <c r="AN66" s="4">
        <v>0</v>
      </c>
      <c r="AO66" s="4">
        <v>0</v>
      </c>
      <c r="AP66" s="3" t="s">
        <v>58</v>
      </c>
      <c r="AQ66" s="3" t="s">
        <v>58</v>
      </c>
      <c r="AS66" s="6" t="str">
        <f>HYPERLINK("https://creighton-primo.hosted.exlibrisgroup.com/primo-explore/search?tab=default_tab&amp;search_scope=EVERYTHING&amp;vid=01CRU&amp;lang=en_US&amp;offset=0&amp;query=any,contains,991004289589702656","Catalog Record")</f>
        <v>Catalog Record</v>
      </c>
      <c r="AT66" s="6" t="str">
        <f>HYPERLINK("http://www.worldcat.org/oclc/2938802","WorldCat Record")</f>
        <v>WorldCat Record</v>
      </c>
      <c r="AU66" s="3" t="s">
        <v>734</v>
      </c>
      <c r="AV66" s="3" t="s">
        <v>735</v>
      </c>
      <c r="AW66" s="3" t="s">
        <v>736</v>
      </c>
      <c r="AX66" s="3" t="s">
        <v>736</v>
      </c>
      <c r="AY66" s="3" t="s">
        <v>737</v>
      </c>
      <c r="AZ66" s="3" t="s">
        <v>73</v>
      </c>
      <c r="BC66" s="3" t="s">
        <v>738</v>
      </c>
      <c r="BD66" s="3" t="s">
        <v>739</v>
      </c>
    </row>
    <row r="67" spans="1:56" ht="51" customHeight="1" x14ac:dyDescent="0.25">
      <c r="A67" s="7" t="s">
        <v>58</v>
      </c>
      <c r="B67" s="2" t="s">
        <v>740</v>
      </c>
      <c r="C67" s="2" t="s">
        <v>741</v>
      </c>
      <c r="D67" s="2" t="s">
        <v>742</v>
      </c>
      <c r="F67" s="3" t="s">
        <v>58</v>
      </c>
      <c r="G67" s="3" t="s">
        <v>59</v>
      </c>
      <c r="H67" s="3" t="s">
        <v>58</v>
      </c>
      <c r="I67" s="3" t="s">
        <v>58</v>
      </c>
      <c r="J67" s="3" t="s">
        <v>60</v>
      </c>
      <c r="K67" s="2" t="s">
        <v>743</v>
      </c>
      <c r="L67" s="2" t="s">
        <v>744</v>
      </c>
      <c r="M67" s="3" t="s">
        <v>745</v>
      </c>
      <c r="O67" s="3" t="s">
        <v>63</v>
      </c>
      <c r="P67" s="3" t="s">
        <v>214</v>
      </c>
      <c r="Q67" s="2" t="s">
        <v>746</v>
      </c>
      <c r="R67" s="3" t="s">
        <v>65</v>
      </c>
      <c r="S67" s="4">
        <v>14</v>
      </c>
      <c r="T67" s="4">
        <v>14</v>
      </c>
      <c r="U67" s="5" t="s">
        <v>747</v>
      </c>
      <c r="V67" s="5" t="s">
        <v>747</v>
      </c>
      <c r="W67" s="5" t="s">
        <v>235</v>
      </c>
      <c r="X67" s="5" t="s">
        <v>235</v>
      </c>
      <c r="Y67" s="4">
        <v>804</v>
      </c>
      <c r="Z67" s="4">
        <v>771</v>
      </c>
      <c r="AA67" s="4">
        <v>839</v>
      </c>
      <c r="AB67" s="4">
        <v>5</v>
      </c>
      <c r="AC67" s="4">
        <v>5</v>
      </c>
      <c r="AD67" s="4">
        <v>32</v>
      </c>
      <c r="AE67" s="4">
        <v>35</v>
      </c>
      <c r="AF67" s="4">
        <v>13</v>
      </c>
      <c r="AG67" s="4">
        <v>16</v>
      </c>
      <c r="AH67" s="4">
        <v>7</v>
      </c>
      <c r="AI67" s="4">
        <v>7</v>
      </c>
      <c r="AJ67" s="4">
        <v>15</v>
      </c>
      <c r="AK67" s="4">
        <v>17</v>
      </c>
      <c r="AL67" s="4">
        <v>4</v>
      </c>
      <c r="AM67" s="4">
        <v>4</v>
      </c>
      <c r="AN67" s="4">
        <v>0</v>
      </c>
      <c r="AO67" s="4">
        <v>0</v>
      </c>
      <c r="AP67" s="3" t="s">
        <v>58</v>
      </c>
      <c r="AQ67" s="3" t="s">
        <v>58</v>
      </c>
      <c r="AS67" s="6" t="str">
        <f>HYPERLINK("https://creighton-primo.hosted.exlibrisgroup.com/primo-explore/search?tab=default_tab&amp;search_scope=EVERYTHING&amp;vid=01CRU&amp;lang=en_US&amp;offset=0&amp;query=any,contains,991003595959702656","Catalog Record")</f>
        <v>Catalog Record</v>
      </c>
      <c r="AT67" s="6" t="str">
        <f>HYPERLINK("http://www.worldcat.org/oclc/1175670","WorldCat Record")</f>
        <v>WorldCat Record</v>
      </c>
      <c r="AU67" s="3" t="s">
        <v>748</v>
      </c>
      <c r="AV67" s="3" t="s">
        <v>749</v>
      </c>
      <c r="AW67" s="3" t="s">
        <v>750</v>
      </c>
      <c r="AX67" s="3" t="s">
        <v>750</v>
      </c>
      <c r="AY67" s="3" t="s">
        <v>751</v>
      </c>
      <c r="AZ67" s="3" t="s">
        <v>73</v>
      </c>
      <c r="BC67" s="3" t="s">
        <v>752</v>
      </c>
      <c r="BD67" s="3" t="s">
        <v>753</v>
      </c>
    </row>
    <row r="68" spans="1:56" ht="51" customHeight="1" x14ac:dyDescent="0.25">
      <c r="A68" s="7" t="s">
        <v>58</v>
      </c>
      <c r="B68" s="2" t="s">
        <v>754</v>
      </c>
      <c r="C68" s="2" t="s">
        <v>755</v>
      </c>
      <c r="D68" s="2" t="s">
        <v>756</v>
      </c>
      <c r="F68" s="3" t="s">
        <v>58</v>
      </c>
      <c r="G68" s="3" t="s">
        <v>59</v>
      </c>
      <c r="H68" s="3" t="s">
        <v>58</v>
      </c>
      <c r="I68" s="3" t="s">
        <v>58</v>
      </c>
      <c r="J68" s="3" t="s">
        <v>60</v>
      </c>
      <c r="K68" s="2" t="s">
        <v>757</v>
      </c>
      <c r="L68" s="2" t="s">
        <v>758</v>
      </c>
      <c r="M68" s="3" t="s">
        <v>759</v>
      </c>
      <c r="O68" s="3" t="s">
        <v>63</v>
      </c>
      <c r="P68" s="3" t="s">
        <v>760</v>
      </c>
      <c r="R68" s="3" t="s">
        <v>65</v>
      </c>
      <c r="S68" s="4">
        <v>4</v>
      </c>
      <c r="T68" s="4">
        <v>4</v>
      </c>
      <c r="U68" s="5" t="s">
        <v>761</v>
      </c>
      <c r="V68" s="5" t="s">
        <v>761</v>
      </c>
      <c r="W68" s="5" t="s">
        <v>112</v>
      </c>
      <c r="X68" s="5" t="s">
        <v>112</v>
      </c>
      <c r="Y68" s="4">
        <v>698</v>
      </c>
      <c r="Z68" s="4">
        <v>629</v>
      </c>
      <c r="AA68" s="4">
        <v>638</v>
      </c>
      <c r="AB68" s="4">
        <v>4</v>
      </c>
      <c r="AC68" s="4">
        <v>4</v>
      </c>
      <c r="AD68" s="4">
        <v>33</v>
      </c>
      <c r="AE68" s="4">
        <v>33</v>
      </c>
      <c r="AF68" s="4">
        <v>14</v>
      </c>
      <c r="AG68" s="4">
        <v>14</v>
      </c>
      <c r="AH68" s="4">
        <v>9</v>
      </c>
      <c r="AI68" s="4">
        <v>9</v>
      </c>
      <c r="AJ68" s="4">
        <v>21</v>
      </c>
      <c r="AK68" s="4">
        <v>21</v>
      </c>
      <c r="AL68" s="4">
        <v>0</v>
      </c>
      <c r="AM68" s="4">
        <v>0</v>
      </c>
      <c r="AN68" s="4">
        <v>0</v>
      </c>
      <c r="AO68" s="4">
        <v>0</v>
      </c>
      <c r="AP68" s="3" t="s">
        <v>58</v>
      </c>
      <c r="AQ68" s="3" t="s">
        <v>68</v>
      </c>
      <c r="AR68" s="6" t="str">
        <f>HYPERLINK("http://catalog.hathitrust.org/Record/000139035","HathiTrust Record")</f>
        <v>HathiTrust Record</v>
      </c>
      <c r="AS68" s="6" t="str">
        <f>HYPERLINK("https://creighton-primo.hosted.exlibrisgroup.com/primo-explore/search?tab=default_tab&amp;search_scope=EVERYTHING&amp;vid=01CRU&amp;lang=en_US&amp;offset=0&amp;query=any,contains,991004884839702656","Catalog Record")</f>
        <v>Catalog Record</v>
      </c>
      <c r="AT68" s="6" t="str">
        <f>HYPERLINK("http://www.worldcat.org/oclc/5831287","WorldCat Record")</f>
        <v>WorldCat Record</v>
      </c>
      <c r="AU68" s="3" t="s">
        <v>762</v>
      </c>
      <c r="AV68" s="3" t="s">
        <v>763</v>
      </c>
      <c r="AW68" s="3" t="s">
        <v>764</v>
      </c>
      <c r="AX68" s="3" t="s">
        <v>764</v>
      </c>
      <c r="AY68" s="3" t="s">
        <v>765</v>
      </c>
      <c r="AZ68" s="3" t="s">
        <v>73</v>
      </c>
      <c r="BB68" s="3" t="s">
        <v>766</v>
      </c>
      <c r="BC68" s="3" t="s">
        <v>767</v>
      </c>
      <c r="BD68" s="3" t="s">
        <v>768</v>
      </c>
    </row>
    <row r="69" spans="1:56" ht="51" customHeight="1" x14ac:dyDescent="0.25">
      <c r="A69" s="7" t="s">
        <v>58</v>
      </c>
      <c r="B69" s="2" t="s">
        <v>769</v>
      </c>
      <c r="C69" s="2" t="s">
        <v>770</v>
      </c>
      <c r="D69" s="2" t="s">
        <v>771</v>
      </c>
      <c r="F69" s="3" t="s">
        <v>58</v>
      </c>
      <c r="G69" s="3" t="s">
        <v>59</v>
      </c>
      <c r="H69" s="3" t="s">
        <v>58</v>
      </c>
      <c r="I69" s="3" t="s">
        <v>58</v>
      </c>
      <c r="J69" s="3" t="s">
        <v>60</v>
      </c>
      <c r="K69" s="2" t="s">
        <v>772</v>
      </c>
      <c r="L69" s="2" t="s">
        <v>773</v>
      </c>
      <c r="M69" s="3" t="s">
        <v>62</v>
      </c>
      <c r="O69" s="3" t="s">
        <v>63</v>
      </c>
      <c r="P69" s="3" t="s">
        <v>84</v>
      </c>
      <c r="R69" s="3" t="s">
        <v>65</v>
      </c>
      <c r="S69" s="4">
        <v>2</v>
      </c>
      <c r="T69" s="4">
        <v>2</v>
      </c>
      <c r="U69" s="5" t="s">
        <v>774</v>
      </c>
      <c r="V69" s="5" t="s">
        <v>774</v>
      </c>
      <c r="W69" s="5" t="s">
        <v>235</v>
      </c>
      <c r="X69" s="5" t="s">
        <v>235</v>
      </c>
      <c r="Y69" s="4">
        <v>150</v>
      </c>
      <c r="Z69" s="4">
        <v>108</v>
      </c>
      <c r="AA69" s="4">
        <v>110</v>
      </c>
      <c r="AB69" s="4">
        <v>1</v>
      </c>
      <c r="AC69" s="4">
        <v>1</v>
      </c>
      <c r="AD69" s="4">
        <v>3</v>
      </c>
      <c r="AE69" s="4">
        <v>3</v>
      </c>
      <c r="AF69" s="4">
        <v>1</v>
      </c>
      <c r="AG69" s="4">
        <v>1</v>
      </c>
      <c r="AH69" s="4">
        <v>0</v>
      </c>
      <c r="AI69" s="4">
        <v>0</v>
      </c>
      <c r="AJ69" s="4">
        <v>2</v>
      </c>
      <c r="AK69" s="4">
        <v>2</v>
      </c>
      <c r="AL69" s="4">
        <v>0</v>
      </c>
      <c r="AM69" s="4">
        <v>0</v>
      </c>
      <c r="AN69" s="4">
        <v>0</v>
      </c>
      <c r="AO69" s="4">
        <v>0</v>
      </c>
      <c r="AP69" s="3" t="s">
        <v>58</v>
      </c>
      <c r="AQ69" s="3" t="s">
        <v>68</v>
      </c>
      <c r="AR69" s="6" t="str">
        <f>HYPERLINK("http://catalog.hathitrust.org/Record/001242193","HathiTrust Record")</f>
        <v>HathiTrust Record</v>
      </c>
      <c r="AS69" s="6" t="str">
        <f>HYPERLINK("https://creighton-primo.hosted.exlibrisgroup.com/primo-explore/search?tab=default_tab&amp;search_scope=EVERYTHING&amp;vid=01CRU&amp;lang=en_US&amp;offset=0&amp;query=any,contains,991003064609702656","Catalog Record")</f>
        <v>Catalog Record</v>
      </c>
      <c r="AT69" s="6" t="str">
        <f>HYPERLINK("http://www.worldcat.org/oclc/621243","WorldCat Record")</f>
        <v>WorldCat Record</v>
      </c>
      <c r="AU69" s="3" t="s">
        <v>775</v>
      </c>
      <c r="AV69" s="3" t="s">
        <v>776</v>
      </c>
      <c r="AW69" s="3" t="s">
        <v>777</v>
      </c>
      <c r="AX69" s="3" t="s">
        <v>777</v>
      </c>
      <c r="AY69" s="3" t="s">
        <v>778</v>
      </c>
      <c r="AZ69" s="3" t="s">
        <v>73</v>
      </c>
      <c r="BC69" s="3" t="s">
        <v>779</v>
      </c>
      <c r="BD69" s="3" t="s">
        <v>780</v>
      </c>
    </row>
    <row r="70" spans="1:56" ht="51" customHeight="1" x14ac:dyDescent="0.25">
      <c r="A70" s="7" t="s">
        <v>58</v>
      </c>
      <c r="B70" s="2" t="s">
        <v>781</v>
      </c>
      <c r="C70" s="2" t="s">
        <v>782</v>
      </c>
      <c r="D70" s="2" t="s">
        <v>783</v>
      </c>
      <c r="F70" s="3" t="s">
        <v>58</v>
      </c>
      <c r="G70" s="3" t="s">
        <v>59</v>
      </c>
      <c r="H70" s="3" t="s">
        <v>58</v>
      </c>
      <c r="I70" s="3" t="s">
        <v>58</v>
      </c>
      <c r="J70" s="3" t="s">
        <v>60</v>
      </c>
      <c r="K70" s="2" t="s">
        <v>784</v>
      </c>
      <c r="L70" s="2" t="s">
        <v>785</v>
      </c>
      <c r="M70" s="3" t="s">
        <v>368</v>
      </c>
      <c r="O70" s="3" t="s">
        <v>63</v>
      </c>
      <c r="P70" s="3" t="s">
        <v>786</v>
      </c>
      <c r="Q70" s="2" t="s">
        <v>787</v>
      </c>
      <c r="R70" s="3" t="s">
        <v>65</v>
      </c>
      <c r="S70" s="4">
        <v>1</v>
      </c>
      <c r="T70" s="4">
        <v>1</v>
      </c>
      <c r="U70" s="5" t="s">
        <v>788</v>
      </c>
      <c r="V70" s="5" t="s">
        <v>788</v>
      </c>
      <c r="W70" s="5" t="s">
        <v>788</v>
      </c>
      <c r="X70" s="5" t="s">
        <v>788</v>
      </c>
      <c r="Y70" s="4">
        <v>1082</v>
      </c>
      <c r="Z70" s="4">
        <v>953</v>
      </c>
      <c r="AA70" s="4">
        <v>1235</v>
      </c>
      <c r="AB70" s="4">
        <v>7</v>
      </c>
      <c r="AC70" s="4">
        <v>8</v>
      </c>
      <c r="AD70" s="4">
        <v>12</v>
      </c>
      <c r="AE70" s="4">
        <v>20</v>
      </c>
      <c r="AF70" s="4">
        <v>5</v>
      </c>
      <c r="AG70" s="4">
        <v>7</v>
      </c>
      <c r="AH70" s="4">
        <v>0</v>
      </c>
      <c r="AI70" s="4">
        <v>3</v>
      </c>
      <c r="AJ70" s="4">
        <v>6</v>
      </c>
      <c r="AK70" s="4">
        <v>10</v>
      </c>
      <c r="AL70" s="4">
        <v>3</v>
      </c>
      <c r="AM70" s="4">
        <v>4</v>
      </c>
      <c r="AN70" s="4">
        <v>0</v>
      </c>
      <c r="AO70" s="4">
        <v>0</v>
      </c>
      <c r="AP70" s="3" t="s">
        <v>58</v>
      </c>
      <c r="AQ70" s="3" t="s">
        <v>68</v>
      </c>
      <c r="AR70" s="6" t="str">
        <f>HYPERLINK("http://catalog.hathitrust.org/Record/101737686","HathiTrust Record")</f>
        <v>HathiTrust Record</v>
      </c>
      <c r="AS70" s="6" t="str">
        <f>HYPERLINK("https://creighton-primo.hosted.exlibrisgroup.com/primo-explore/search?tab=default_tab&amp;search_scope=EVERYTHING&amp;vid=01CRU&amp;lang=en_US&amp;offset=0&amp;query=any,contains,991005233969702656","Catalog Record")</f>
        <v>Catalog Record</v>
      </c>
      <c r="AT70" s="6" t="str">
        <f>HYPERLINK("http://www.worldcat.org/oclc/2295439","WorldCat Record")</f>
        <v>WorldCat Record</v>
      </c>
      <c r="AU70" s="3" t="s">
        <v>789</v>
      </c>
      <c r="AV70" s="3" t="s">
        <v>790</v>
      </c>
      <c r="AW70" s="3" t="s">
        <v>791</v>
      </c>
      <c r="AX70" s="3" t="s">
        <v>791</v>
      </c>
      <c r="AY70" s="3" t="s">
        <v>792</v>
      </c>
      <c r="AZ70" s="3" t="s">
        <v>73</v>
      </c>
      <c r="BC70" s="3" t="s">
        <v>793</v>
      </c>
      <c r="BD70" s="3" t="s">
        <v>794</v>
      </c>
    </row>
    <row r="71" spans="1:56" ht="51" customHeight="1" x14ac:dyDescent="0.25">
      <c r="A71" s="7" t="s">
        <v>58</v>
      </c>
      <c r="B71" s="2" t="s">
        <v>795</v>
      </c>
      <c r="C71" s="2" t="s">
        <v>796</v>
      </c>
      <c r="D71" s="2" t="s">
        <v>797</v>
      </c>
      <c r="F71" s="3" t="s">
        <v>58</v>
      </c>
      <c r="G71" s="3" t="s">
        <v>59</v>
      </c>
      <c r="H71" s="3" t="s">
        <v>58</v>
      </c>
      <c r="I71" s="3" t="s">
        <v>58</v>
      </c>
      <c r="J71" s="3" t="s">
        <v>60</v>
      </c>
      <c r="K71" s="2" t="s">
        <v>798</v>
      </c>
      <c r="L71" s="2" t="s">
        <v>799</v>
      </c>
      <c r="M71" s="3" t="s">
        <v>800</v>
      </c>
      <c r="O71" s="3" t="s">
        <v>63</v>
      </c>
      <c r="P71" s="3" t="s">
        <v>214</v>
      </c>
      <c r="Q71" s="2" t="s">
        <v>801</v>
      </c>
      <c r="R71" s="3" t="s">
        <v>65</v>
      </c>
      <c r="S71" s="4">
        <v>2</v>
      </c>
      <c r="T71" s="4">
        <v>2</v>
      </c>
      <c r="U71" s="5" t="s">
        <v>802</v>
      </c>
      <c r="V71" s="5" t="s">
        <v>802</v>
      </c>
      <c r="W71" s="5" t="s">
        <v>802</v>
      </c>
      <c r="X71" s="5" t="s">
        <v>802</v>
      </c>
      <c r="Y71" s="4">
        <v>159</v>
      </c>
      <c r="Z71" s="4">
        <v>140</v>
      </c>
      <c r="AA71" s="4">
        <v>146</v>
      </c>
      <c r="AB71" s="4">
        <v>1</v>
      </c>
      <c r="AC71" s="4">
        <v>1</v>
      </c>
      <c r="AD71" s="4">
        <v>7</v>
      </c>
      <c r="AE71" s="4">
        <v>7</v>
      </c>
      <c r="AF71" s="4">
        <v>2</v>
      </c>
      <c r="AG71" s="4">
        <v>2</v>
      </c>
      <c r="AH71" s="4">
        <v>2</v>
      </c>
      <c r="AI71" s="4">
        <v>2</v>
      </c>
      <c r="AJ71" s="4">
        <v>5</v>
      </c>
      <c r="AK71" s="4">
        <v>5</v>
      </c>
      <c r="AL71" s="4">
        <v>0</v>
      </c>
      <c r="AM71" s="4">
        <v>0</v>
      </c>
      <c r="AN71" s="4">
        <v>0</v>
      </c>
      <c r="AO71" s="4">
        <v>0</v>
      </c>
      <c r="AP71" s="3" t="s">
        <v>58</v>
      </c>
      <c r="AQ71" s="3" t="s">
        <v>68</v>
      </c>
      <c r="AR71" s="6" t="str">
        <f>HYPERLINK("http://catalog.hathitrust.org/Record/012268636","HathiTrust Record")</f>
        <v>HathiTrust Record</v>
      </c>
      <c r="AS71" s="6" t="str">
        <f>HYPERLINK("https://creighton-primo.hosted.exlibrisgroup.com/primo-explore/search?tab=default_tab&amp;search_scope=EVERYTHING&amp;vid=01CRU&amp;lang=en_US&amp;offset=0&amp;query=any,contains,991000393669702656","Catalog Record")</f>
        <v>Catalog Record</v>
      </c>
      <c r="AT71" s="6" t="str">
        <f>HYPERLINK("http://www.worldcat.org/oclc/32664949","WorldCat Record")</f>
        <v>WorldCat Record</v>
      </c>
      <c r="AU71" s="3" t="s">
        <v>803</v>
      </c>
      <c r="AV71" s="3" t="s">
        <v>804</v>
      </c>
      <c r="AW71" s="3" t="s">
        <v>805</v>
      </c>
      <c r="AX71" s="3" t="s">
        <v>805</v>
      </c>
      <c r="AY71" s="3" t="s">
        <v>806</v>
      </c>
      <c r="AZ71" s="3" t="s">
        <v>73</v>
      </c>
      <c r="BB71" s="3" t="s">
        <v>807</v>
      </c>
      <c r="BC71" s="3" t="s">
        <v>808</v>
      </c>
      <c r="BD71" s="3" t="s">
        <v>809</v>
      </c>
    </row>
    <row r="72" spans="1:56" ht="51" customHeight="1" x14ac:dyDescent="0.25">
      <c r="A72" s="7" t="s">
        <v>58</v>
      </c>
      <c r="B72" s="2" t="s">
        <v>810</v>
      </c>
      <c r="C72" s="2" t="s">
        <v>811</v>
      </c>
      <c r="D72" s="2" t="s">
        <v>812</v>
      </c>
      <c r="F72" s="3" t="s">
        <v>58</v>
      </c>
      <c r="G72" s="3" t="s">
        <v>59</v>
      </c>
      <c r="H72" s="3" t="s">
        <v>58</v>
      </c>
      <c r="I72" s="3" t="s">
        <v>58</v>
      </c>
      <c r="J72" s="3" t="s">
        <v>60</v>
      </c>
      <c r="K72" s="2" t="s">
        <v>813</v>
      </c>
      <c r="L72" s="2" t="s">
        <v>814</v>
      </c>
      <c r="M72" s="3" t="s">
        <v>815</v>
      </c>
      <c r="O72" s="3" t="s">
        <v>63</v>
      </c>
      <c r="P72" s="3" t="s">
        <v>816</v>
      </c>
      <c r="R72" s="3" t="s">
        <v>65</v>
      </c>
      <c r="S72" s="4">
        <v>2</v>
      </c>
      <c r="T72" s="4">
        <v>2</v>
      </c>
      <c r="U72" s="5" t="s">
        <v>817</v>
      </c>
      <c r="V72" s="5" t="s">
        <v>817</v>
      </c>
      <c r="W72" s="5" t="s">
        <v>818</v>
      </c>
      <c r="X72" s="5" t="s">
        <v>818</v>
      </c>
      <c r="Y72" s="4">
        <v>857</v>
      </c>
      <c r="Z72" s="4">
        <v>744</v>
      </c>
      <c r="AA72" s="4">
        <v>1370</v>
      </c>
      <c r="AB72" s="4">
        <v>4</v>
      </c>
      <c r="AC72" s="4">
        <v>21</v>
      </c>
      <c r="AD72" s="4">
        <v>26</v>
      </c>
      <c r="AE72" s="4">
        <v>46</v>
      </c>
      <c r="AF72" s="4">
        <v>12</v>
      </c>
      <c r="AG72" s="4">
        <v>16</v>
      </c>
      <c r="AH72" s="4">
        <v>6</v>
      </c>
      <c r="AI72" s="4">
        <v>8</v>
      </c>
      <c r="AJ72" s="4">
        <v>10</v>
      </c>
      <c r="AK72" s="4">
        <v>15</v>
      </c>
      <c r="AL72" s="4">
        <v>2</v>
      </c>
      <c r="AM72" s="4">
        <v>13</v>
      </c>
      <c r="AN72" s="4">
        <v>0</v>
      </c>
      <c r="AO72" s="4">
        <v>1</v>
      </c>
      <c r="AP72" s="3" t="s">
        <v>58</v>
      </c>
      <c r="AQ72" s="3" t="s">
        <v>68</v>
      </c>
      <c r="AR72" s="6" t="str">
        <f>HYPERLINK("http://catalog.hathitrust.org/Record/005688932","HathiTrust Record")</f>
        <v>HathiTrust Record</v>
      </c>
      <c r="AS72" s="6" t="str">
        <f>HYPERLINK("https://creighton-primo.hosted.exlibrisgroup.com/primo-explore/search?tab=default_tab&amp;search_scope=EVERYTHING&amp;vid=01CRU&amp;lang=en_US&amp;offset=0&amp;query=any,contains,991005311169702656","Catalog Record")</f>
        <v>Catalog Record</v>
      </c>
      <c r="AT72" s="6" t="str">
        <f>HYPERLINK("http://www.worldcat.org/oclc/179801166","WorldCat Record")</f>
        <v>WorldCat Record</v>
      </c>
      <c r="AU72" s="3" t="s">
        <v>819</v>
      </c>
      <c r="AV72" s="3" t="s">
        <v>820</v>
      </c>
      <c r="AW72" s="3" t="s">
        <v>821</v>
      </c>
      <c r="AX72" s="3" t="s">
        <v>821</v>
      </c>
      <c r="AY72" s="3" t="s">
        <v>822</v>
      </c>
      <c r="AZ72" s="3" t="s">
        <v>73</v>
      </c>
      <c r="BB72" s="3" t="s">
        <v>823</v>
      </c>
      <c r="BC72" s="3" t="s">
        <v>824</v>
      </c>
      <c r="BD72" s="3" t="s">
        <v>825</v>
      </c>
    </row>
    <row r="73" spans="1:56" ht="51" customHeight="1" x14ac:dyDescent="0.25">
      <c r="A73" s="7" t="s">
        <v>58</v>
      </c>
      <c r="B73" s="2" t="s">
        <v>826</v>
      </c>
      <c r="C73" s="2" t="s">
        <v>827</v>
      </c>
      <c r="D73" s="2" t="s">
        <v>828</v>
      </c>
      <c r="F73" s="3" t="s">
        <v>58</v>
      </c>
      <c r="G73" s="3" t="s">
        <v>59</v>
      </c>
      <c r="H73" s="3" t="s">
        <v>58</v>
      </c>
      <c r="I73" s="3" t="s">
        <v>58</v>
      </c>
      <c r="J73" s="3" t="s">
        <v>60</v>
      </c>
      <c r="K73" s="2" t="s">
        <v>465</v>
      </c>
      <c r="L73" s="2" t="s">
        <v>829</v>
      </c>
      <c r="M73" s="3" t="s">
        <v>368</v>
      </c>
      <c r="O73" s="3" t="s">
        <v>63</v>
      </c>
      <c r="P73" s="3" t="s">
        <v>214</v>
      </c>
      <c r="R73" s="3" t="s">
        <v>65</v>
      </c>
      <c r="S73" s="4">
        <v>2</v>
      </c>
      <c r="T73" s="4">
        <v>2</v>
      </c>
      <c r="U73" s="5" t="s">
        <v>398</v>
      </c>
      <c r="V73" s="5" t="s">
        <v>398</v>
      </c>
      <c r="W73" s="5" t="s">
        <v>235</v>
      </c>
      <c r="X73" s="5" t="s">
        <v>235</v>
      </c>
      <c r="Y73" s="4">
        <v>363</v>
      </c>
      <c r="Z73" s="4">
        <v>332</v>
      </c>
      <c r="AA73" s="4">
        <v>348</v>
      </c>
      <c r="AB73" s="4">
        <v>2</v>
      </c>
      <c r="AC73" s="4">
        <v>3</v>
      </c>
      <c r="AD73" s="4">
        <v>11</v>
      </c>
      <c r="AE73" s="4">
        <v>13</v>
      </c>
      <c r="AF73" s="4">
        <v>4</v>
      </c>
      <c r="AG73" s="4">
        <v>5</v>
      </c>
      <c r="AH73" s="4">
        <v>3</v>
      </c>
      <c r="AI73" s="4">
        <v>3</v>
      </c>
      <c r="AJ73" s="4">
        <v>6</v>
      </c>
      <c r="AK73" s="4">
        <v>7</v>
      </c>
      <c r="AL73" s="4">
        <v>0</v>
      </c>
      <c r="AM73" s="4">
        <v>1</v>
      </c>
      <c r="AN73" s="4">
        <v>0</v>
      </c>
      <c r="AO73" s="4">
        <v>0</v>
      </c>
      <c r="AP73" s="3" t="s">
        <v>58</v>
      </c>
      <c r="AQ73" s="3" t="s">
        <v>68</v>
      </c>
      <c r="AR73" s="6" t="str">
        <f>HYPERLINK("http://catalog.hathitrust.org/Record/006041082","HathiTrust Record")</f>
        <v>HathiTrust Record</v>
      </c>
      <c r="AS73" s="6" t="str">
        <f>HYPERLINK("https://creighton-primo.hosted.exlibrisgroup.com/primo-explore/search?tab=default_tab&amp;search_scope=EVERYTHING&amp;vid=01CRU&amp;lang=en_US&amp;offset=0&amp;query=any,contains,991004005139702656","Catalog Record")</f>
        <v>Catalog Record</v>
      </c>
      <c r="AT73" s="6" t="str">
        <f>HYPERLINK("http://www.worldcat.org/oclc/2082704","WorldCat Record")</f>
        <v>WorldCat Record</v>
      </c>
      <c r="AU73" s="3" t="s">
        <v>830</v>
      </c>
      <c r="AV73" s="3" t="s">
        <v>831</v>
      </c>
      <c r="AW73" s="3" t="s">
        <v>832</v>
      </c>
      <c r="AX73" s="3" t="s">
        <v>832</v>
      </c>
      <c r="AY73" s="3" t="s">
        <v>833</v>
      </c>
      <c r="AZ73" s="3" t="s">
        <v>73</v>
      </c>
      <c r="BB73" s="3" t="s">
        <v>834</v>
      </c>
      <c r="BC73" s="3" t="s">
        <v>835</v>
      </c>
      <c r="BD73" s="3" t="s">
        <v>836</v>
      </c>
    </row>
    <row r="74" spans="1:56" ht="51" customHeight="1" x14ac:dyDescent="0.25">
      <c r="A74" s="7" t="s">
        <v>58</v>
      </c>
      <c r="B74" s="2" t="s">
        <v>837</v>
      </c>
      <c r="C74" s="2" t="s">
        <v>838</v>
      </c>
      <c r="D74" s="2" t="s">
        <v>839</v>
      </c>
      <c r="F74" s="3" t="s">
        <v>58</v>
      </c>
      <c r="G74" s="3" t="s">
        <v>59</v>
      </c>
      <c r="H74" s="3" t="s">
        <v>58</v>
      </c>
      <c r="I74" s="3" t="s">
        <v>58</v>
      </c>
      <c r="J74" s="3" t="s">
        <v>60</v>
      </c>
      <c r="K74" s="2" t="s">
        <v>840</v>
      </c>
      <c r="L74" s="2" t="s">
        <v>841</v>
      </c>
      <c r="M74" s="3" t="s">
        <v>842</v>
      </c>
      <c r="N74" s="2" t="s">
        <v>338</v>
      </c>
      <c r="O74" s="3" t="s">
        <v>63</v>
      </c>
      <c r="P74" s="3" t="s">
        <v>214</v>
      </c>
      <c r="R74" s="3" t="s">
        <v>65</v>
      </c>
      <c r="S74" s="4">
        <v>3</v>
      </c>
      <c r="T74" s="4">
        <v>3</v>
      </c>
      <c r="U74" s="5" t="s">
        <v>761</v>
      </c>
      <c r="V74" s="5" t="s">
        <v>761</v>
      </c>
      <c r="W74" s="5" t="s">
        <v>112</v>
      </c>
      <c r="X74" s="5" t="s">
        <v>112</v>
      </c>
      <c r="Y74" s="4">
        <v>604</v>
      </c>
      <c r="Z74" s="4">
        <v>574</v>
      </c>
      <c r="AA74" s="4">
        <v>593</v>
      </c>
      <c r="AB74" s="4">
        <v>6</v>
      </c>
      <c r="AC74" s="4">
        <v>6</v>
      </c>
      <c r="AD74" s="4">
        <v>14</v>
      </c>
      <c r="AE74" s="4">
        <v>15</v>
      </c>
      <c r="AF74" s="4">
        <v>8</v>
      </c>
      <c r="AG74" s="4">
        <v>8</v>
      </c>
      <c r="AH74" s="4">
        <v>4</v>
      </c>
      <c r="AI74" s="4">
        <v>5</v>
      </c>
      <c r="AJ74" s="4">
        <v>6</v>
      </c>
      <c r="AK74" s="4">
        <v>7</v>
      </c>
      <c r="AL74" s="4">
        <v>0</v>
      </c>
      <c r="AM74" s="4">
        <v>0</v>
      </c>
      <c r="AN74" s="4">
        <v>0</v>
      </c>
      <c r="AO74" s="4">
        <v>0</v>
      </c>
      <c r="AP74" s="3" t="s">
        <v>58</v>
      </c>
      <c r="AQ74" s="3" t="s">
        <v>68</v>
      </c>
      <c r="AR74" s="6" t="str">
        <f>HYPERLINK("http://catalog.hathitrust.org/Record/000141150","HathiTrust Record")</f>
        <v>HathiTrust Record</v>
      </c>
      <c r="AS74" s="6" t="str">
        <f>HYPERLINK("https://creighton-primo.hosted.exlibrisgroup.com/primo-explore/search?tab=default_tab&amp;search_scope=EVERYTHING&amp;vid=01CRU&amp;lang=en_US&amp;offset=0&amp;query=any,contains,991005048819702656","Catalog Record")</f>
        <v>Catalog Record</v>
      </c>
      <c r="AT74" s="6" t="str">
        <f>HYPERLINK("http://www.worldcat.org/oclc/6863077","WorldCat Record")</f>
        <v>WorldCat Record</v>
      </c>
      <c r="AU74" s="3" t="s">
        <v>843</v>
      </c>
      <c r="AV74" s="3" t="s">
        <v>844</v>
      </c>
      <c r="AW74" s="3" t="s">
        <v>845</v>
      </c>
      <c r="AX74" s="3" t="s">
        <v>845</v>
      </c>
      <c r="AY74" s="3" t="s">
        <v>846</v>
      </c>
      <c r="AZ74" s="3" t="s">
        <v>73</v>
      </c>
      <c r="BB74" s="3" t="s">
        <v>847</v>
      </c>
      <c r="BC74" s="3" t="s">
        <v>848</v>
      </c>
      <c r="BD74" s="3" t="s">
        <v>849</v>
      </c>
    </row>
    <row r="75" spans="1:56" ht="51" customHeight="1" x14ac:dyDescent="0.25">
      <c r="A75" s="7" t="s">
        <v>58</v>
      </c>
      <c r="B75" s="2" t="s">
        <v>850</v>
      </c>
      <c r="C75" s="2" t="s">
        <v>851</v>
      </c>
      <c r="D75" s="2" t="s">
        <v>852</v>
      </c>
      <c r="F75" s="3" t="s">
        <v>58</v>
      </c>
      <c r="G75" s="3" t="s">
        <v>59</v>
      </c>
      <c r="H75" s="3" t="s">
        <v>58</v>
      </c>
      <c r="I75" s="3" t="s">
        <v>58</v>
      </c>
      <c r="J75" s="3" t="s">
        <v>60</v>
      </c>
      <c r="K75" s="2" t="s">
        <v>853</v>
      </c>
      <c r="L75" s="2" t="s">
        <v>854</v>
      </c>
      <c r="M75" s="3" t="s">
        <v>855</v>
      </c>
      <c r="O75" s="3" t="s">
        <v>63</v>
      </c>
      <c r="P75" s="3" t="s">
        <v>84</v>
      </c>
      <c r="R75" s="3" t="s">
        <v>65</v>
      </c>
      <c r="S75" s="4">
        <v>1</v>
      </c>
      <c r="T75" s="4">
        <v>1</v>
      </c>
      <c r="U75" s="5" t="s">
        <v>856</v>
      </c>
      <c r="V75" s="5" t="s">
        <v>856</v>
      </c>
      <c r="W75" s="5" t="s">
        <v>857</v>
      </c>
      <c r="X75" s="5" t="s">
        <v>857</v>
      </c>
      <c r="Y75" s="4">
        <v>132</v>
      </c>
      <c r="Z75" s="4">
        <v>88</v>
      </c>
      <c r="AA75" s="4">
        <v>88</v>
      </c>
      <c r="AB75" s="4">
        <v>1</v>
      </c>
      <c r="AC75" s="4">
        <v>1</v>
      </c>
      <c r="AD75" s="4">
        <v>3</v>
      </c>
      <c r="AE75" s="4">
        <v>3</v>
      </c>
      <c r="AF75" s="4">
        <v>0</v>
      </c>
      <c r="AG75" s="4">
        <v>0</v>
      </c>
      <c r="AH75" s="4">
        <v>1</v>
      </c>
      <c r="AI75" s="4">
        <v>1</v>
      </c>
      <c r="AJ75" s="4">
        <v>3</v>
      </c>
      <c r="AK75" s="4">
        <v>3</v>
      </c>
      <c r="AL75" s="4">
        <v>0</v>
      </c>
      <c r="AM75" s="4">
        <v>0</v>
      </c>
      <c r="AN75" s="4">
        <v>0</v>
      </c>
      <c r="AO75" s="4">
        <v>0</v>
      </c>
      <c r="AP75" s="3" t="s">
        <v>58</v>
      </c>
      <c r="AQ75" s="3" t="s">
        <v>58</v>
      </c>
      <c r="AS75" s="6" t="str">
        <f>HYPERLINK("https://creighton-primo.hosted.exlibrisgroup.com/primo-explore/search?tab=default_tab&amp;search_scope=EVERYTHING&amp;vid=01CRU&amp;lang=en_US&amp;offset=0&amp;query=any,contains,991002235349702656","Catalog Record")</f>
        <v>Catalog Record</v>
      </c>
      <c r="AT75" s="6" t="str">
        <f>HYPERLINK("http://www.worldcat.org/oclc/28810281","WorldCat Record")</f>
        <v>WorldCat Record</v>
      </c>
      <c r="AU75" s="3" t="s">
        <v>858</v>
      </c>
      <c r="AV75" s="3" t="s">
        <v>859</v>
      </c>
      <c r="AW75" s="3" t="s">
        <v>860</v>
      </c>
      <c r="AX75" s="3" t="s">
        <v>860</v>
      </c>
      <c r="AY75" s="3" t="s">
        <v>861</v>
      </c>
      <c r="AZ75" s="3" t="s">
        <v>73</v>
      </c>
      <c r="BB75" s="3" t="s">
        <v>862</v>
      </c>
      <c r="BC75" s="3" t="s">
        <v>863</v>
      </c>
      <c r="BD75" s="3" t="s">
        <v>864</v>
      </c>
    </row>
    <row r="76" spans="1:56" ht="51" customHeight="1" x14ac:dyDescent="0.25">
      <c r="A76" s="7" t="s">
        <v>58</v>
      </c>
      <c r="B76" s="2" t="s">
        <v>865</v>
      </c>
      <c r="C76" s="2" t="s">
        <v>866</v>
      </c>
      <c r="D76" s="2" t="s">
        <v>867</v>
      </c>
      <c r="F76" s="3" t="s">
        <v>58</v>
      </c>
      <c r="G76" s="3" t="s">
        <v>59</v>
      </c>
      <c r="H76" s="3" t="s">
        <v>58</v>
      </c>
      <c r="I76" s="3" t="s">
        <v>58</v>
      </c>
      <c r="J76" s="3" t="s">
        <v>60</v>
      </c>
      <c r="K76" s="2" t="s">
        <v>868</v>
      </c>
      <c r="L76" s="2" t="s">
        <v>869</v>
      </c>
      <c r="M76" s="3" t="s">
        <v>397</v>
      </c>
      <c r="N76" s="2" t="s">
        <v>870</v>
      </c>
      <c r="O76" s="3" t="s">
        <v>63</v>
      </c>
      <c r="P76" s="3" t="s">
        <v>214</v>
      </c>
      <c r="R76" s="3" t="s">
        <v>65</v>
      </c>
      <c r="S76" s="4">
        <v>4</v>
      </c>
      <c r="T76" s="4">
        <v>4</v>
      </c>
      <c r="U76" s="5" t="s">
        <v>871</v>
      </c>
      <c r="V76" s="5" t="s">
        <v>871</v>
      </c>
      <c r="W76" s="5" t="s">
        <v>585</v>
      </c>
      <c r="X76" s="5" t="s">
        <v>585</v>
      </c>
      <c r="Y76" s="4">
        <v>552</v>
      </c>
      <c r="Z76" s="4">
        <v>501</v>
      </c>
      <c r="AA76" s="4">
        <v>524</v>
      </c>
      <c r="AB76" s="4">
        <v>1</v>
      </c>
      <c r="AC76" s="4">
        <v>1</v>
      </c>
      <c r="AD76" s="4">
        <v>10</v>
      </c>
      <c r="AE76" s="4">
        <v>11</v>
      </c>
      <c r="AF76" s="4">
        <v>3</v>
      </c>
      <c r="AG76" s="4">
        <v>4</v>
      </c>
      <c r="AH76" s="4">
        <v>4</v>
      </c>
      <c r="AI76" s="4">
        <v>4</v>
      </c>
      <c r="AJ76" s="4">
        <v>5</v>
      </c>
      <c r="AK76" s="4">
        <v>5</v>
      </c>
      <c r="AL76" s="4">
        <v>0</v>
      </c>
      <c r="AM76" s="4">
        <v>0</v>
      </c>
      <c r="AN76" s="4">
        <v>0</v>
      </c>
      <c r="AO76" s="4">
        <v>0</v>
      </c>
      <c r="AP76" s="3" t="s">
        <v>58</v>
      </c>
      <c r="AQ76" s="3" t="s">
        <v>68</v>
      </c>
      <c r="AR76" s="6" t="str">
        <f>HYPERLINK("http://catalog.hathitrust.org/Record/000653989","HathiTrust Record")</f>
        <v>HathiTrust Record</v>
      </c>
      <c r="AS76" s="6" t="str">
        <f>HYPERLINK("https://creighton-primo.hosted.exlibrisgroup.com/primo-explore/search?tab=default_tab&amp;search_scope=EVERYTHING&amp;vid=01CRU&amp;lang=en_US&amp;offset=0&amp;query=any,contains,991000570979702656","Catalog Record")</f>
        <v>Catalog Record</v>
      </c>
      <c r="AT76" s="6" t="str">
        <f>HYPERLINK("http://www.worldcat.org/oclc/11650373","WorldCat Record")</f>
        <v>WorldCat Record</v>
      </c>
      <c r="AU76" s="3" t="s">
        <v>872</v>
      </c>
      <c r="AV76" s="3" t="s">
        <v>873</v>
      </c>
      <c r="AW76" s="3" t="s">
        <v>874</v>
      </c>
      <c r="AX76" s="3" t="s">
        <v>874</v>
      </c>
      <c r="AY76" s="3" t="s">
        <v>875</v>
      </c>
      <c r="AZ76" s="3" t="s">
        <v>73</v>
      </c>
      <c r="BB76" s="3" t="s">
        <v>876</v>
      </c>
      <c r="BC76" s="3" t="s">
        <v>877</v>
      </c>
      <c r="BD76" s="3" t="s">
        <v>878</v>
      </c>
    </row>
    <row r="77" spans="1:56" ht="51" customHeight="1" x14ac:dyDescent="0.25">
      <c r="A77" s="7" t="s">
        <v>58</v>
      </c>
      <c r="B77" s="2" t="s">
        <v>879</v>
      </c>
      <c r="C77" s="2" t="s">
        <v>880</v>
      </c>
      <c r="D77" s="2" t="s">
        <v>881</v>
      </c>
      <c r="F77" s="3" t="s">
        <v>58</v>
      </c>
      <c r="G77" s="3" t="s">
        <v>59</v>
      </c>
      <c r="H77" s="3" t="s">
        <v>58</v>
      </c>
      <c r="I77" s="3" t="s">
        <v>58</v>
      </c>
      <c r="J77" s="3" t="s">
        <v>60</v>
      </c>
      <c r="K77" s="2" t="s">
        <v>882</v>
      </c>
      <c r="L77" s="2" t="s">
        <v>883</v>
      </c>
      <c r="M77" s="3" t="s">
        <v>884</v>
      </c>
      <c r="O77" s="3" t="s">
        <v>63</v>
      </c>
      <c r="P77" s="3" t="s">
        <v>214</v>
      </c>
      <c r="Q77" s="2" t="s">
        <v>885</v>
      </c>
      <c r="R77" s="3" t="s">
        <v>65</v>
      </c>
      <c r="S77" s="4">
        <v>4</v>
      </c>
      <c r="T77" s="4">
        <v>4</v>
      </c>
      <c r="U77" s="5" t="s">
        <v>871</v>
      </c>
      <c r="V77" s="5" t="s">
        <v>871</v>
      </c>
      <c r="W77" s="5" t="s">
        <v>886</v>
      </c>
      <c r="X77" s="5" t="s">
        <v>886</v>
      </c>
      <c r="Y77" s="4">
        <v>389</v>
      </c>
      <c r="Z77" s="4">
        <v>372</v>
      </c>
      <c r="AA77" s="4">
        <v>566</v>
      </c>
      <c r="AB77" s="4">
        <v>3</v>
      </c>
      <c r="AC77" s="4">
        <v>4</v>
      </c>
      <c r="AD77" s="4">
        <v>18</v>
      </c>
      <c r="AE77" s="4">
        <v>27</v>
      </c>
      <c r="AF77" s="4">
        <v>8</v>
      </c>
      <c r="AG77" s="4">
        <v>11</v>
      </c>
      <c r="AH77" s="4">
        <v>4</v>
      </c>
      <c r="AI77" s="4">
        <v>6</v>
      </c>
      <c r="AJ77" s="4">
        <v>11</v>
      </c>
      <c r="AK77" s="4">
        <v>17</v>
      </c>
      <c r="AL77" s="4">
        <v>1</v>
      </c>
      <c r="AM77" s="4">
        <v>2</v>
      </c>
      <c r="AN77" s="4">
        <v>0</v>
      </c>
      <c r="AO77" s="4">
        <v>0</v>
      </c>
      <c r="AP77" s="3" t="s">
        <v>58</v>
      </c>
      <c r="AQ77" s="3" t="s">
        <v>58</v>
      </c>
      <c r="AR77" s="6" t="str">
        <f>HYPERLINK("http://catalog.hathitrust.org/Record/001242228","HathiTrust Record")</f>
        <v>HathiTrust Record</v>
      </c>
      <c r="AS77" s="6" t="str">
        <f>HYPERLINK("https://creighton-primo.hosted.exlibrisgroup.com/primo-explore/search?tab=default_tab&amp;search_scope=EVERYTHING&amp;vid=01CRU&amp;lang=en_US&amp;offset=0&amp;query=any,contains,991003140419702656","Catalog Record")</f>
        <v>Catalog Record</v>
      </c>
      <c r="AT77" s="6" t="str">
        <f>HYPERLINK("http://www.worldcat.org/oclc/681991","WorldCat Record")</f>
        <v>WorldCat Record</v>
      </c>
      <c r="AU77" s="3" t="s">
        <v>887</v>
      </c>
      <c r="AV77" s="3" t="s">
        <v>888</v>
      </c>
      <c r="AW77" s="3" t="s">
        <v>889</v>
      </c>
      <c r="AX77" s="3" t="s">
        <v>889</v>
      </c>
      <c r="AY77" s="3" t="s">
        <v>890</v>
      </c>
      <c r="AZ77" s="3" t="s">
        <v>73</v>
      </c>
      <c r="BC77" s="3" t="s">
        <v>891</v>
      </c>
      <c r="BD77" s="3" t="s">
        <v>892</v>
      </c>
    </row>
    <row r="78" spans="1:56" ht="51" customHeight="1" x14ac:dyDescent="0.25">
      <c r="A78" s="7" t="s">
        <v>58</v>
      </c>
      <c r="B78" s="2" t="s">
        <v>893</v>
      </c>
      <c r="C78" s="2" t="s">
        <v>894</v>
      </c>
      <c r="D78" s="2" t="s">
        <v>895</v>
      </c>
      <c r="F78" s="3" t="s">
        <v>58</v>
      </c>
      <c r="G78" s="3" t="s">
        <v>59</v>
      </c>
      <c r="H78" s="3" t="s">
        <v>58</v>
      </c>
      <c r="I78" s="3" t="s">
        <v>58</v>
      </c>
      <c r="J78" s="3" t="s">
        <v>60</v>
      </c>
      <c r="K78" s="2" t="s">
        <v>896</v>
      </c>
      <c r="L78" s="2" t="s">
        <v>897</v>
      </c>
      <c r="M78" s="3" t="s">
        <v>898</v>
      </c>
      <c r="O78" s="3" t="s">
        <v>63</v>
      </c>
      <c r="P78" s="3" t="s">
        <v>816</v>
      </c>
      <c r="R78" s="3" t="s">
        <v>65</v>
      </c>
      <c r="S78" s="4">
        <v>2</v>
      </c>
      <c r="T78" s="4">
        <v>2</v>
      </c>
      <c r="U78" s="5" t="s">
        <v>871</v>
      </c>
      <c r="V78" s="5" t="s">
        <v>871</v>
      </c>
      <c r="W78" s="5" t="s">
        <v>899</v>
      </c>
      <c r="X78" s="5" t="s">
        <v>899</v>
      </c>
      <c r="Y78" s="4">
        <v>251</v>
      </c>
      <c r="Z78" s="4">
        <v>190</v>
      </c>
      <c r="AA78" s="4">
        <v>200</v>
      </c>
      <c r="AB78" s="4">
        <v>1</v>
      </c>
      <c r="AC78" s="4">
        <v>1</v>
      </c>
      <c r="AD78" s="4">
        <v>10</v>
      </c>
      <c r="AE78" s="4">
        <v>12</v>
      </c>
      <c r="AF78" s="4">
        <v>3</v>
      </c>
      <c r="AG78" s="4">
        <v>5</v>
      </c>
      <c r="AH78" s="4">
        <v>2</v>
      </c>
      <c r="AI78" s="4">
        <v>3</v>
      </c>
      <c r="AJ78" s="4">
        <v>5</v>
      </c>
      <c r="AK78" s="4">
        <v>5</v>
      </c>
      <c r="AL78" s="4">
        <v>0</v>
      </c>
      <c r="AM78" s="4">
        <v>0</v>
      </c>
      <c r="AN78" s="4">
        <v>0</v>
      </c>
      <c r="AO78" s="4">
        <v>0</v>
      </c>
      <c r="AP78" s="3" t="s">
        <v>58</v>
      </c>
      <c r="AQ78" s="3" t="s">
        <v>58</v>
      </c>
      <c r="AS78" s="6" t="str">
        <f>HYPERLINK("https://creighton-primo.hosted.exlibrisgroup.com/primo-explore/search?tab=default_tab&amp;search_scope=EVERYTHING&amp;vid=01CRU&amp;lang=en_US&amp;offset=0&amp;query=any,contains,991005070499702656","Catalog Record")</f>
        <v>Catalog Record</v>
      </c>
      <c r="AT78" s="6" t="str">
        <f>HYPERLINK("http://www.worldcat.org/oclc/68416829","WorldCat Record")</f>
        <v>WorldCat Record</v>
      </c>
      <c r="AU78" s="3" t="s">
        <v>900</v>
      </c>
      <c r="AV78" s="3" t="s">
        <v>901</v>
      </c>
      <c r="AW78" s="3" t="s">
        <v>902</v>
      </c>
      <c r="AX78" s="3" t="s">
        <v>902</v>
      </c>
      <c r="AY78" s="3" t="s">
        <v>903</v>
      </c>
      <c r="AZ78" s="3" t="s">
        <v>73</v>
      </c>
      <c r="BB78" s="3" t="s">
        <v>904</v>
      </c>
      <c r="BC78" s="3" t="s">
        <v>905</v>
      </c>
      <c r="BD78" s="3" t="s">
        <v>906</v>
      </c>
    </row>
    <row r="79" spans="1:56" ht="51" customHeight="1" x14ac:dyDescent="0.25">
      <c r="A79" s="7" t="s">
        <v>58</v>
      </c>
      <c r="B79" s="2" t="s">
        <v>907</v>
      </c>
      <c r="C79" s="2" t="s">
        <v>908</v>
      </c>
      <c r="D79" s="2" t="s">
        <v>909</v>
      </c>
      <c r="F79" s="3" t="s">
        <v>58</v>
      </c>
      <c r="G79" s="3" t="s">
        <v>59</v>
      </c>
      <c r="H79" s="3" t="s">
        <v>58</v>
      </c>
      <c r="I79" s="3" t="s">
        <v>58</v>
      </c>
      <c r="J79" s="3" t="s">
        <v>60</v>
      </c>
      <c r="L79" s="2" t="s">
        <v>910</v>
      </c>
      <c r="M79" s="3" t="s">
        <v>653</v>
      </c>
      <c r="O79" s="3" t="s">
        <v>63</v>
      </c>
      <c r="P79" s="3" t="s">
        <v>584</v>
      </c>
      <c r="Q79" s="2" t="s">
        <v>911</v>
      </c>
      <c r="R79" s="3" t="s">
        <v>65</v>
      </c>
      <c r="S79" s="4">
        <v>9</v>
      </c>
      <c r="T79" s="4">
        <v>9</v>
      </c>
      <c r="U79" s="5" t="s">
        <v>912</v>
      </c>
      <c r="V79" s="5" t="s">
        <v>912</v>
      </c>
      <c r="W79" s="5" t="s">
        <v>913</v>
      </c>
      <c r="X79" s="5" t="s">
        <v>913</v>
      </c>
      <c r="Y79" s="4">
        <v>244</v>
      </c>
      <c r="Z79" s="4">
        <v>160</v>
      </c>
      <c r="AA79" s="4">
        <v>165</v>
      </c>
      <c r="AB79" s="4">
        <v>1</v>
      </c>
      <c r="AC79" s="4">
        <v>1</v>
      </c>
      <c r="AD79" s="4">
        <v>7</v>
      </c>
      <c r="AE79" s="4">
        <v>7</v>
      </c>
      <c r="AF79" s="4">
        <v>1</v>
      </c>
      <c r="AG79" s="4">
        <v>1</v>
      </c>
      <c r="AH79" s="4">
        <v>1</v>
      </c>
      <c r="AI79" s="4">
        <v>1</v>
      </c>
      <c r="AJ79" s="4">
        <v>6</v>
      </c>
      <c r="AK79" s="4">
        <v>6</v>
      </c>
      <c r="AL79" s="4">
        <v>0</v>
      </c>
      <c r="AM79" s="4">
        <v>0</v>
      </c>
      <c r="AN79" s="4">
        <v>0</v>
      </c>
      <c r="AO79" s="4">
        <v>0</v>
      </c>
      <c r="AP79" s="3" t="s">
        <v>58</v>
      </c>
      <c r="AQ79" s="3" t="s">
        <v>68</v>
      </c>
      <c r="AR79" s="6" t="str">
        <f>HYPERLINK("http://catalog.hathitrust.org/Record/002478581","HathiTrust Record")</f>
        <v>HathiTrust Record</v>
      </c>
      <c r="AS79" s="6" t="str">
        <f>HYPERLINK("https://creighton-primo.hosted.exlibrisgroup.com/primo-explore/search?tab=default_tab&amp;search_scope=EVERYTHING&amp;vid=01CRU&amp;lang=en_US&amp;offset=0&amp;query=any,contains,991001805949702656","Catalog Record")</f>
        <v>Catalog Record</v>
      </c>
      <c r="AT79" s="6" t="str">
        <f>HYPERLINK("http://www.worldcat.org/oclc/22706797","WorldCat Record")</f>
        <v>WorldCat Record</v>
      </c>
      <c r="AU79" s="3" t="s">
        <v>914</v>
      </c>
      <c r="AV79" s="3" t="s">
        <v>915</v>
      </c>
      <c r="AW79" s="3" t="s">
        <v>916</v>
      </c>
      <c r="AX79" s="3" t="s">
        <v>916</v>
      </c>
      <c r="AY79" s="3" t="s">
        <v>917</v>
      </c>
      <c r="AZ79" s="3" t="s">
        <v>73</v>
      </c>
      <c r="BB79" s="3" t="s">
        <v>918</v>
      </c>
      <c r="BC79" s="3" t="s">
        <v>919</v>
      </c>
      <c r="BD79" s="3" t="s">
        <v>920</v>
      </c>
    </row>
    <row r="80" spans="1:56" ht="51" customHeight="1" x14ac:dyDescent="0.25">
      <c r="A80" s="7" t="s">
        <v>58</v>
      </c>
      <c r="B80" s="2" t="s">
        <v>921</v>
      </c>
      <c r="C80" s="2" t="s">
        <v>922</v>
      </c>
      <c r="D80" s="2" t="s">
        <v>923</v>
      </c>
      <c r="F80" s="3" t="s">
        <v>58</v>
      </c>
      <c r="G80" s="3" t="s">
        <v>59</v>
      </c>
      <c r="H80" s="3" t="s">
        <v>58</v>
      </c>
      <c r="I80" s="3" t="s">
        <v>58</v>
      </c>
      <c r="J80" s="3" t="s">
        <v>60</v>
      </c>
      <c r="K80" s="2" t="s">
        <v>924</v>
      </c>
      <c r="L80" s="2" t="s">
        <v>925</v>
      </c>
      <c r="M80" s="3" t="s">
        <v>382</v>
      </c>
      <c r="O80" s="3" t="s">
        <v>63</v>
      </c>
      <c r="P80" s="3" t="s">
        <v>584</v>
      </c>
      <c r="R80" s="3" t="s">
        <v>65</v>
      </c>
      <c r="S80" s="4">
        <v>1</v>
      </c>
      <c r="T80" s="4">
        <v>1</v>
      </c>
      <c r="U80" s="5" t="s">
        <v>926</v>
      </c>
      <c r="V80" s="5" t="s">
        <v>926</v>
      </c>
      <c r="W80" s="5" t="s">
        <v>926</v>
      </c>
      <c r="X80" s="5" t="s">
        <v>926</v>
      </c>
      <c r="Y80" s="4">
        <v>484</v>
      </c>
      <c r="Z80" s="4">
        <v>356</v>
      </c>
      <c r="AA80" s="4">
        <v>373</v>
      </c>
      <c r="AB80" s="4">
        <v>2</v>
      </c>
      <c r="AC80" s="4">
        <v>2</v>
      </c>
      <c r="AD80" s="4">
        <v>13</v>
      </c>
      <c r="AE80" s="4">
        <v>13</v>
      </c>
      <c r="AF80" s="4">
        <v>2</v>
      </c>
      <c r="AG80" s="4">
        <v>2</v>
      </c>
      <c r="AH80" s="4">
        <v>3</v>
      </c>
      <c r="AI80" s="4">
        <v>3</v>
      </c>
      <c r="AJ80" s="4">
        <v>10</v>
      </c>
      <c r="AK80" s="4">
        <v>10</v>
      </c>
      <c r="AL80" s="4">
        <v>1</v>
      </c>
      <c r="AM80" s="4">
        <v>1</v>
      </c>
      <c r="AN80" s="4">
        <v>0</v>
      </c>
      <c r="AO80" s="4">
        <v>0</v>
      </c>
      <c r="AP80" s="3" t="s">
        <v>58</v>
      </c>
      <c r="AQ80" s="3" t="s">
        <v>68</v>
      </c>
      <c r="AR80" s="6" t="str">
        <f>HYPERLINK("http://catalog.hathitrust.org/Record/004024571","HathiTrust Record")</f>
        <v>HathiTrust Record</v>
      </c>
      <c r="AS80" s="6" t="str">
        <f>HYPERLINK("https://creighton-primo.hosted.exlibrisgroup.com/primo-explore/search?tab=default_tab&amp;search_scope=EVERYTHING&amp;vid=01CRU&amp;lang=en_US&amp;offset=0&amp;query=any,contains,991005223539702656","Catalog Record")</f>
        <v>Catalog Record</v>
      </c>
      <c r="AT80" s="6" t="str">
        <f>HYPERLINK("http://www.worldcat.org/oclc/41244452","WorldCat Record")</f>
        <v>WorldCat Record</v>
      </c>
      <c r="AU80" s="3" t="s">
        <v>927</v>
      </c>
      <c r="AV80" s="3" t="s">
        <v>928</v>
      </c>
      <c r="AW80" s="3" t="s">
        <v>929</v>
      </c>
      <c r="AX80" s="3" t="s">
        <v>929</v>
      </c>
      <c r="AY80" s="3" t="s">
        <v>930</v>
      </c>
      <c r="AZ80" s="3" t="s">
        <v>73</v>
      </c>
      <c r="BB80" s="3" t="s">
        <v>931</v>
      </c>
      <c r="BC80" s="3" t="s">
        <v>932</v>
      </c>
      <c r="BD80" s="3" t="s">
        <v>933</v>
      </c>
    </row>
    <row r="81" spans="1:56" ht="51" customHeight="1" x14ac:dyDescent="0.25">
      <c r="A81" s="7" t="s">
        <v>58</v>
      </c>
      <c r="B81" s="2" t="s">
        <v>934</v>
      </c>
      <c r="C81" s="2" t="s">
        <v>935</v>
      </c>
      <c r="D81" s="2" t="s">
        <v>936</v>
      </c>
      <c r="F81" s="3" t="s">
        <v>58</v>
      </c>
      <c r="G81" s="3" t="s">
        <v>59</v>
      </c>
      <c r="H81" s="3" t="s">
        <v>58</v>
      </c>
      <c r="I81" s="3" t="s">
        <v>58</v>
      </c>
      <c r="J81" s="3" t="s">
        <v>60</v>
      </c>
      <c r="K81" s="2" t="s">
        <v>937</v>
      </c>
      <c r="L81" s="2" t="s">
        <v>938</v>
      </c>
      <c r="M81" s="3" t="s">
        <v>815</v>
      </c>
      <c r="O81" s="3" t="s">
        <v>63</v>
      </c>
      <c r="P81" s="3" t="s">
        <v>584</v>
      </c>
      <c r="R81" s="3" t="s">
        <v>65</v>
      </c>
      <c r="S81" s="4">
        <v>2</v>
      </c>
      <c r="T81" s="4">
        <v>2</v>
      </c>
      <c r="U81" s="5" t="s">
        <v>817</v>
      </c>
      <c r="V81" s="5" t="s">
        <v>817</v>
      </c>
      <c r="W81" s="5" t="s">
        <v>939</v>
      </c>
      <c r="X81" s="5" t="s">
        <v>939</v>
      </c>
      <c r="Y81" s="4">
        <v>368</v>
      </c>
      <c r="Z81" s="4">
        <v>328</v>
      </c>
      <c r="AA81" s="4">
        <v>701</v>
      </c>
      <c r="AB81" s="4">
        <v>5</v>
      </c>
      <c r="AC81" s="4">
        <v>8</v>
      </c>
      <c r="AD81" s="4">
        <v>17</v>
      </c>
      <c r="AE81" s="4">
        <v>31</v>
      </c>
      <c r="AF81" s="4">
        <v>6</v>
      </c>
      <c r="AG81" s="4">
        <v>10</v>
      </c>
      <c r="AH81" s="4">
        <v>5</v>
      </c>
      <c r="AI81" s="4">
        <v>8</v>
      </c>
      <c r="AJ81" s="4">
        <v>8</v>
      </c>
      <c r="AK81" s="4">
        <v>13</v>
      </c>
      <c r="AL81" s="4">
        <v>2</v>
      </c>
      <c r="AM81" s="4">
        <v>5</v>
      </c>
      <c r="AN81" s="4">
        <v>0</v>
      </c>
      <c r="AO81" s="4">
        <v>1</v>
      </c>
      <c r="AP81" s="3" t="s">
        <v>58</v>
      </c>
      <c r="AQ81" s="3" t="s">
        <v>68</v>
      </c>
      <c r="AR81" s="6" t="str">
        <f>HYPERLINK("http://catalog.hathitrust.org/Record/005660398","HathiTrust Record")</f>
        <v>HathiTrust Record</v>
      </c>
      <c r="AS81" s="6" t="str">
        <f>HYPERLINK("https://creighton-primo.hosted.exlibrisgroup.com/primo-explore/search?tab=default_tab&amp;search_scope=EVERYTHING&amp;vid=01CRU&amp;lang=en_US&amp;offset=0&amp;query=any,contains,991005268259702656","Catalog Record")</f>
        <v>Catalog Record</v>
      </c>
      <c r="AT81" s="6" t="str">
        <f>HYPERLINK("http://www.worldcat.org/oclc/167495331","WorldCat Record")</f>
        <v>WorldCat Record</v>
      </c>
      <c r="AU81" s="3" t="s">
        <v>940</v>
      </c>
      <c r="AV81" s="3" t="s">
        <v>941</v>
      </c>
      <c r="AW81" s="3" t="s">
        <v>942</v>
      </c>
      <c r="AX81" s="3" t="s">
        <v>942</v>
      </c>
      <c r="AY81" s="3" t="s">
        <v>943</v>
      </c>
      <c r="AZ81" s="3" t="s">
        <v>73</v>
      </c>
      <c r="BB81" s="3" t="s">
        <v>944</v>
      </c>
      <c r="BC81" s="3" t="s">
        <v>945</v>
      </c>
      <c r="BD81" s="3" t="s">
        <v>946</v>
      </c>
    </row>
    <row r="82" spans="1:56" ht="51" customHeight="1" x14ac:dyDescent="0.25">
      <c r="A82" s="7" t="s">
        <v>58</v>
      </c>
      <c r="B82" s="2" t="s">
        <v>947</v>
      </c>
      <c r="C82" s="2" t="s">
        <v>948</v>
      </c>
      <c r="D82" s="2" t="s">
        <v>949</v>
      </c>
      <c r="E82" s="3" t="s">
        <v>691</v>
      </c>
      <c r="F82" s="3" t="s">
        <v>58</v>
      </c>
      <c r="G82" s="3" t="s">
        <v>59</v>
      </c>
      <c r="H82" s="3" t="s">
        <v>58</v>
      </c>
      <c r="I82" s="3" t="s">
        <v>58</v>
      </c>
      <c r="J82" s="3" t="s">
        <v>60</v>
      </c>
      <c r="L82" s="2" t="s">
        <v>950</v>
      </c>
      <c r="M82" s="3" t="s">
        <v>951</v>
      </c>
      <c r="O82" s="3" t="s">
        <v>63</v>
      </c>
      <c r="P82" s="3" t="s">
        <v>84</v>
      </c>
      <c r="R82" s="3" t="s">
        <v>65</v>
      </c>
      <c r="S82" s="4">
        <v>4</v>
      </c>
      <c r="T82" s="4">
        <v>4</v>
      </c>
      <c r="U82" s="5" t="s">
        <v>952</v>
      </c>
      <c r="V82" s="5" t="s">
        <v>952</v>
      </c>
      <c r="W82" s="5" t="s">
        <v>953</v>
      </c>
      <c r="X82" s="5" t="s">
        <v>953</v>
      </c>
      <c r="Y82" s="4">
        <v>123</v>
      </c>
      <c r="Z82" s="4">
        <v>82</v>
      </c>
      <c r="AA82" s="4">
        <v>86</v>
      </c>
      <c r="AB82" s="4">
        <v>1</v>
      </c>
      <c r="AC82" s="4">
        <v>1</v>
      </c>
      <c r="AD82" s="4">
        <v>5</v>
      </c>
      <c r="AE82" s="4">
        <v>5</v>
      </c>
      <c r="AF82" s="4">
        <v>1</v>
      </c>
      <c r="AG82" s="4">
        <v>1</v>
      </c>
      <c r="AH82" s="4">
        <v>1</v>
      </c>
      <c r="AI82" s="4">
        <v>1</v>
      </c>
      <c r="AJ82" s="4">
        <v>5</v>
      </c>
      <c r="AK82" s="4">
        <v>5</v>
      </c>
      <c r="AL82" s="4">
        <v>0</v>
      </c>
      <c r="AM82" s="4">
        <v>0</v>
      </c>
      <c r="AN82" s="4">
        <v>0</v>
      </c>
      <c r="AO82" s="4">
        <v>0</v>
      </c>
      <c r="AP82" s="3" t="s">
        <v>58</v>
      </c>
      <c r="AQ82" s="3" t="s">
        <v>68</v>
      </c>
      <c r="AR82" s="6" t="str">
        <f>HYPERLINK("http://catalog.hathitrust.org/Record/004121973","HathiTrust Record")</f>
        <v>HathiTrust Record</v>
      </c>
      <c r="AS82" s="6" t="str">
        <f>HYPERLINK("https://creighton-primo.hosted.exlibrisgroup.com/primo-explore/search?tab=default_tab&amp;search_scope=EVERYTHING&amp;vid=01CRU&amp;lang=en_US&amp;offset=0&amp;query=any,contains,991003648829702656","Catalog Record")</f>
        <v>Catalog Record</v>
      </c>
      <c r="AT82" s="6" t="str">
        <f>HYPERLINK("http://www.worldcat.org/oclc/45346108","WorldCat Record")</f>
        <v>WorldCat Record</v>
      </c>
      <c r="AU82" s="3" t="s">
        <v>954</v>
      </c>
      <c r="AV82" s="3" t="s">
        <v>955</v>
      </c>
      <c r="AW82" s="3" t="s">
        <v>956</v>
      </c>
      <c r="AX82" s="3" t="s">
        <v>956</v>
      </c>
      <c r="AY82" s="3" t="s">
        <v>957</v>
      </c>
      <c r="AZ82" s="3" t="s">
        <v>73</v>
      </c>
      <c r="BB82" s="3" t="s">
        <v>958</v>
      </c>
      <c r="BC82" s="3" t="s">
        <v>959</v>
      </c>
      <c r="BD82" s="3" t="s">
        <v>960</v>
      </c>
    </row>
    <row r="83" spans="1:56" ht="51" customHeight="1" x14ac:dyDescent="0.25">
      <c r="A83" s="7" t="s">
        <v>58</v>
      </c>
      <c r="B83" s="2" t="s">
        <v>961</v>
      </c>
      <c r="C83" s="2" t="s">
        <v>962</v>
      </c>
      <c r="D83" s="2" t="s">
        <v>963</v>
      </c>
      <c r="F83" s="3" t="s">
        <v>58</v>
      </c>
      <c r="G83" s="3" t="s">
        <v>59</v>
      </c>
      <c r="H83" s="3" t="s">
        <v>58</v>
      </c>
      <c r="I83" s="3" t="s">
        <v>58</v>
      </c>
      <c r="J83" s="3" t="s">
        <v>60</v>
      </c>
      <c r="K83" s="2" t="s">
        <v>964</v>
      </c>
      <c r="L83" s="2" t="s">
        <v>965</v>
      </c>
      <c r="M83" s="3" t="s">
        <v>423</v>
      </c>
      <c r="O83" s="3" t="s">
        <v>63</v>
      </c>
      <c r="P83" s="3" t="s">
        <v>84</v>
      </c>
      <c r="Q83" s="2" t="s">
        <v>966</v>
      </c>
      <c r="R83" s="3" t="s">
        <v>65</v>
      </c>
      <c r="S83" s="4">
        <v>2</v>
      </c>
      <c r="T83" s="4">
        <v>2</v>
      </c>
      <c r="U83" s="5" t="s">
        <v>967</v>
      </c>
      <c r="V83" s="5" t="s">
        <v>967</v>
      </c>
      <c r="W83" s="5" t="s">
        <v>968</v>
      </c>
      <c r="X83" s="5" t="s">
        <v>968</v>
      </c>
      <c r="Y83" s="4">
        <v>48</v>
      </c>
      <c r="Z83" s="4">
        <v>31</v>
      </c>
      <c r="AA83" s="4">
        <v>82</v>
      </c>
      <c r="AB83" s="4">
        <v>1</v>
      </c>
      <c r="AC83" s="4">
        <v>2</v>
      </c>
      <c r="AD83" s="4">
        <v>0</v>
      </c>
      <c r="AE83" s="4">
        <v>6</v>
      </c>
      <c r="AF83" s="4">
        <v>0</v>
      </c>
      <c r="AG83" s="4">
        <v>4</v>
      </c>
      <c r="AH83" s="4">
        <v>0</v>
      </c>
      <c r="AI83" s="4">
        <v>1</v>
      </c>
      <c r="AJ83" s="4">
        <v>0</v>
      </c>
      <c r="AK83" s="4">
        <v>1</v>
      </c>
      <c r="AL83" s="4">
        <v>0</v>
      </c>
      <c r="AM83" s="4">
        <v>1</v>
      </c>
      <c r="AN83" s="4">
        <v>0</v>
      </c>
      <c r="AO83" s="4">
        <v>0</v>
      </c>
      <c r="AP83" s="3" t="s">
        <v>58</v>
      </c>
      <c r="AQ83" s="3" t="s">
        <v>58</v>
      </c>
      <c r="AS83" s="6" t="str">
        <f>HYPERLINK("https://creighton-primo.hosted.exlibrisgroup.com/primo-explore/search?tab=default_tab&amp;search_scope=EVERYTHING&amp;vid=01CRU&amp;lang=en_US&amp;offset=0&amp;query=any,contains,991003648799702656","Catalog Record")</f>
        <v>Catalog Record</v>
      </c>
      <c r="AT83" s="6" t="str">
        <f>HYPERLINK("http://www.worldcat.org/oclc/41454390","WorldCat Record")</f>
        <v>WorldCat Record</v>
      </c>
      <c r="AU83" s="3" t="s">
        <v>969</v>
      </c>
      <c r="AV83" s="3" t="s">
        <v>970</v>
      </c>
      <c r="AW83" s="3" t="s">
        <v>971</v>
      </c>
      <c r="AX83" s="3" t="s">
        <v>971</v>
      </c>
      <c r="AY83" s="3" t="s">
        <v>972</v>
      </c>
      <c r="AZ83" s="3" t="s">
        <v>73</v>
      </c>
      <c r="BB83" s="3" t="s">
        <v>973</v>
      </c>
      <c r="BC83" s="3" t="s">
        <v>974</v>
      </c>
      <c r="BD83" s="3" t="s">
        <v>975</v>
      </c>
    </row>
    <row r="84" spans="1:56" ht="51" customHeight="1" x14ac:dyDescent="0.25">
      <c r="A84" s="7" t="s">
        <v>58</v>
      </c>
      <c r="B84" s="2" t="s">
        <v>976</v>
      </c>
      <c r="C84" s="2" t="s">
        <v>977</v>
      </c>
      <c r="D84" s="2" t="s">
        <v>978</v>
      </c>
      <c r="F84" s="3" t="s">
        <v>58</v>
      </c>
      <c r="G84" s="3" t="s">
        <v>59</v>
      </c>
      <c r="H84" s="3" t="s">
        <v>58</v>
      </c>
      <c r="I84" s="3" t="s">
        <v>58</v>
      </c>
      <c r="J84" s="3" t="s">
        <v>60</v>
      </c>
      <c r="K84" s="2" t="s">
        <v>979</v>
      </c>
      <c r="L84" s="2" t="s">
        <v>980</v>
      </c>
      <c r="M84" s="3" t="s">
        <v>951</v>
      </c>
      <c r="O84" s="3" t="s">
        <v>63</v>
      </c>
      <c r="P84" s="3" t="s">
        <v>981</v>
      </c>
      <c r="R84" s="3" t="s">
        <v>65</v>
      </c>
      <c r="S84" s="4">
        <v>2</v>
      </c>
      <c r="T84" s="4">
        <v>2</v>
      </c>
      <c r="U84" s="5" t="s">
        <v>982</v>
      </c>
      <c r="V84" s="5" t="s">
        <v>982</v>
      </c>
      <c r="W84" s="5" t="s">
        <v>983</v>
      </c>
      <c r="X84" s="5" t="s">
        <v>983</v>
      </c>
      <c r="Y84" s="4">
        <v>230</v>
      </c>
      <c r="Z84" s="4">
        <v>206</v>
      </c>
      <c r="AA84" s="4">
        <v>296</v>
      </c>
      <c r="AB84" s="4">
        <v>1</v>
      </c>
      <c r="AC84" s="4">
        <v>1</v>
      </c>
      <c r="AD84" s="4">
        <v>6</v>
      </c>
      <c r="AE84" s="4">
        <v>7</v>
      </c>
      <c r="AF84" s="4">
        <v>0</v>
      </c>
      <c r="AG84" s="4">
        <v>0</v>
      </c>
      <c r="AH84" s="4">
        <v>2</v>
      </c>
      <c r="AI84" s="4">
        <v>3</v>
      </c>
      <c r="AJ84" s="4">
        <v>6</v>
      </c>
      <c r="AK84" s="4">
        <v>6</v>
      </c>
      <c r="AL84" s="4">
        <v>0</v>
      </c>
      <c r="AM84" s="4">
        <v>0</v>
      </c>
      <c r="AN84" s="4">
        <v>0</v>
      </c>
      <c r="AO84" s="4">
        <v>0</v>
      </c>
      <c r="AP84" s="3" t="s">
        <v>58</v>
      </c>
      <c r="AQ84" s="3" t="s">
        <v>68</v>
      </c>
      <c r="AR84" s="6" t="str">
        <f>HYPERLINK("http://catalog.hathitrust.org/Record/004120907","HathiTrust Record")</f>
        <v>HathiTrust Record</v>
      </c>
      <c r="AS84" s="6" t="str">
        <f>HYPERLINK("https://creighton-primo.hosted.exlibrisgroup.com/primo-explore/search?tab=default_tab&amp;search_scope=EVERYTHING&amp;vid=01CRU&amp;lang=en_US&amp;offset=0&amp;query=any,contains,991003320549702656","Catalog Record")</f>
        <v>Catalog Record</v>
      </c>
      <c r="AT84" s="6" t="str">
        <f>HYPERLINK("http://www.worldcat.org/oclc/43903686","WorldCat Record")</f>
        <v>WorldCat Record</v>
      </c>
      <c r="AU84" s="3" t="s">
        <v>984</v>
      </c>
      <c r="AV84" s="3" t="s">
        <v>985</v>
      </c>
      <c r="AW84" s="3" t="s">
        <v>986</v>
      </c>
      <c r="AX84" s="3" t="s">
        <v>986</v>
      </c>
      <c r="AY84" s="3" t="s">
        <v>987</v>
      </c>
      <c r="AZ84" s="3" t="s">
        <v>73</v>
      </c>
      <c r="BB84" s="3" t="s">
        <v>988</v>
      </c>
      <c r="BC84" s="3" t="s">
        <v>989</v>
      </c>
      <c r="BD84" s="3" t="s">
        <v>990</v>
      </c>
    </row>
    <row r="85" spans="1:56" ht="51" customHeight="1" x14ac:dyDescent="0.25">
      <c r="A85" s="7" t="s">
        <v>58</v>
      </c>
      <c r="B85" s="2" t="s">
        <v>991</v>
      </c>
      <c r="C85" s="2" t="s">
        <v>992</v>
      </c>
      <c r="D85" s="2" t="s">
        <v>993</v>
      </c>
      <c r="F85" s="3" t="s">
        <v>58</v>
      </c>
      <c r="G85" s="3" t="s">
        <v>59</v>
      </c>
      <c r="H85" s="3" t="s">
        <v>58</v>
      </c>
      <c r="I85" s="3" t="s">
        <v>58</v>
      </c>
      <c r="J85" s="3" t="s">
        <v>60</v>
      </c>
      <c r="K85" s="2" t="s">
        <v>994</v>
      </c>
      <c r="L85" s="2" t="s">
        <v>995</v>
      </c>
      <c r="M85" s="3" t="s">
        <v>996</v>
      </c>
      <c r="O85" s="3" t="s">
        <v>63</v>
      </c>
      <c r="P85" s="3" t="s">
        <v>584</v>
      </c>
      <c r="R85" s="3" t="s">
        <v>65</v>
      </c>
      <c r="S85" s="4">
        <v>7</v>
      </c>
      <c r="T85" s="4">
        <v>7</v>
      </c>
      <c r="U85" s="5" t="s">
        <v>997</v>
      </c>
      <c r="V85" s="5" t="s">
        <v>997</v>
      </c>
      <c r="W85" s="5" t="s">
        <v>235</v>
      </c>
      <c r="X85" s="5" t="s">
        <v>235</v>
      </c>
      <c r="Y85" s="4">
        <v>314</v>
      </c>
      <c r="Z85" s="4">
        <v>223</v>
      </c>
      <c r="AA85" s="4">
        <v>256</v>
      </c>
      <c r="AB85" s="4">
        <v>2</v>
      </c>
      <c r="AC85" s="4">
        <v>2</v>
      </c>
      <c r="AD85" s="4">
        <v>14</v>
      </c>
      <c r="AE85" s="4">
        <v>18</v>
      </c>
      <c r="AF85" s="4">
        <v>5</v>
      </c>
      <c r="AG85" s="4">
        <v>6</v>
      </c>
      <c r="AH85" s="4">
        <v>2</v>
      </c>
      <c r="AI85" s="4">
        <v>5</v>
      </c>
      <c r="AJ85" s="4">
        <v>9</v>
      </c>
      <c r="AK85" s="4">
        <v>11</v>
      </c>
      <c r="AL85" s="4">
        <v>1</v>
      </c>
      <c r="AM85" s="4">
        <v>1</v>
      </c>
      <c r="AN85" s="4">
        <v>0</v>
      </c>
      <c r="AO85" s="4">
        <v>0</v>
      </c>
      <c r="AP85" s="3" t="s">
        <v>58</v>
      </c>
      <c r="AQ85" s="3" t="s">
        <v>68</v>
      </c>
      <c r="AR85" s="6" t="str">
        <f>HYPERLINK("http://catalog.hathitrust.org/Record/003326350","HathiTrust Record")</f>
        <v>HathiTrust Record</v>
      </c>
      <c r="AS85" s="6" t="str">
        <f>HYPERLINK("https://creighton-primo.hosted.exlibrisgroup.com/primo-explore/search?tab=default_tab&amp;search_scope=EVERYTHING&amp;vid=01CRU&amp;lang=en_US&amp;offset=0&amp;query=any,contains,991002865799702656","Catalog Record")</f>
        <v>Catalog Record</v>
      </c>
      <c r="AT85" s="6" t="str">
        <f>HYPERLINK("http://www.worldcat.org/oclc/495634","WorldCat Record")</f>
        <v>WorldCat Record</v>
      </c>
      <c r="AU85" s="3" t="s">
        <v>998</v>
      </c>
      <c r="AV85" s="3" t="s">
        <v>999</v>
      </c>
      <c r="AW85" s="3" t="s">
        <v>1000</v>
      </c>
      <c r="AX85" s="3" t="s">
        <v>1000</v>
      </c>
      <c r="AY85" s="3" t="s">
        <v>1001</v>
      </c>
      <c r="AZ85" s="3" t="s">
        <v>73</v>
      </c>
      <c r="BB85" s="3" t="s">
        <v>1002</v>
      </c>
      <c r="BC85" s="3" t="s">
        <v>1003</v>
      </c>
      <c r="BD85" s="3" t="s">
        <v>1004</v>
      </c>
    </row>
    <row r="86" spans="1:56" ht="51" customHeight="1" x14ac:dyDescent="0.25">
      <c r="A86" s="7" t="s">
        <v>58</v>
      </c>
      <c r="B86" s="2" t="s">
        <v>1005</v>
      </c>
      <c r="C86" s="2" t="s">
        <v>1006</v>
      </c>
      <c r="D86" s="2" t="s">
        <v>1007</v>
      </c>
      <c r="F86" s="3" t="s">
        <v>58</v>
      </c>
      <c r="G86" s="3" t="s">
        <v>59</v>
      </c>
      <c r="H86" s="3" t="s">
        <v>58</v>
      </c>
      <c r="I86" s="3" t="s">
        <v>58</v>
      </c>
      <c r="J86" s="3" t="s">
        <v>60</v>
      </c>
      <c r="L86" s="2" t="s">
        <v>1008</v>
      </c>
      <c r="M86" s="3" t="s">
        <v>552</v>
      </c>
      <c r="N86" s="2" t="s">
        <v>1009</v>
      </c>
      <c r="O86" s="3" t="s">
        <v>63</v>
      </c>
      <c r="P86" s="3" t="s">
        <v>214</v>
      </c>
      <c r="R86" s="3" t="s">
        <v>65</v>
      </c>
      <c r="S86" s="4">
        <v>12</v>
      </c>
      <c r="T86" s="4">
        <v>12</v>
      </c>
      <c r="U86" s="5" t="s">
        <v>1010</v>
      </c>
      <c r="V86" s="5" t="s">
        <v>1010</v>
      </c>
      <c r="W86" s="5" t="s">
        <v>1011</v>
      </c>
      <c r="X86" s="5" t="s">
        <v>1011</v>
      </c>
      <c r="Y86" s="4">
        <v>245</v>
      </c>
      <c r="Z86" s="4">
        <v>215</v>
      </c>
      <c r="AA86" s="4">
        <v>421</v>
      </c>
      <c r="AB86" s="4">
        <v>1</v>
      </c>
      <c r="AC86" s="4">
        <v>4</v>
      </c>
      <c r="AD86" s="4">
        <v>8</v>
      </c>
      <c r="AE86" s="4">
        <v>17</v>
      </c>
      <c r="AF86" s="4">
        <v>4</v>
      </c>
      <c r="AG86" s="4">
        <v>7</v>
      </c>
      <c r="AH86" s="4">
        <v>3</v>
      </c>
      <c r="AI86" s="4">
        <v>4</v>
      </c>
      <c r="AJ86" s="4">
        <v>4</v>
      </c>
      <c r="AK86" s="4">
        <v>7</v>
      </c>
      <c r="AL86" s="4">
        <v>0</v>
      </c>
      <c r="AM86" s="4">
        <v>2</v>
      </c>
      <c r="AN86" s="4">
        <v>0</v>
      </c>
      <c r="AO86" s="4">
        <v>0</v>
      </c>
      <c r="AP86" s="3" t="s">
        <v>58</v>
      </c>
      <c r="AQ86" s="3" t="s">
        <v>68</v>
      </c>
      <c r="AR86" s="6" t="str">
        <f>HYPERLINK("http://catalog.hathitrust.org/Record/009492116","HathiTrust Record")</f>
        <v>HathiTrust Record</v>
      </c>
      <c r="AS86" s="6" t="str">
        <f>HYPERLINK("https://creighton-primo.hosted.exlibrisgroup.com/primo-explore/search?tab=default_tab&amp;search_scope=EVERYTHING&amp;vid=01CRU&amp;lang=en_US&amp;offset=0&amp;query=any,contains,991001519679702656","Catalog Record")</f>
        <v>Catalog Record</v>
      </c>
      <c r="AT86" s="6" t="str">
        <f>HYPERLINK("http://www.worldcat.org/oclc/19971463","WorldCat Record")</f>
        <v>WorldCat Record</v>
      </c>
      <c r="AU86" s="3" t="s">
        <v>1012</v>
      </c>
      <c r="AV86" s="3" t="s">
        <v>1013</v>
      </c>
      <c r="AW86" s="3" t="s">
        <v>1014</v>
      </c>
      <c r="AX86" s="3" t="s">
        <v>1014</v>
      </c>
      <c r="AY86" s="3" t="s">
        <v>1015</v>
      </c>
      <c r="AZ86" s="3" t="s">
        <v>73</v>
      </c>
      <c r="BB86" s="3" t="s">
        <v>1016</v>
      </c>
      <c r="BC86" s="3" t="s">
        <v>1017</v>
      </c>
      <c r="BD86" s="3" t="s">
        <v>1018</v>
      </c>
    </row>
    <row r="87" spans="1:56" ht="51" customHeight="1" x14ac:dyDescent="0.25">
      <c r="A87" s="7" t="s">
        <v>58</v>
      </c>
      <c r="B87" s="2" t="s">
        <v>1019</v>
      </c>
      <c r="C87" s="2" t="s">
        <v>1020</v>
      </c>
      <c r="D87" s="2" t="s">
        <v>1021</v>
      </c>
      <c r="F87" s="3" t="s">
        <v>58</v>
      </c>
      <c r="G87" s="3" t="s">
        <v>59</v>
      </c>
      <c r="H87" s="3" t="s">
        <v>58</v>
      </c>
      <c r="I87" s="3" t="s">
        <v>58</v>
      </c>
      <c r="J87" s="3" t="s">
        <v>60</v>
      </c>
      <c r="K87" s="2" t="s">
        <v>1022</v>
      </c>
      <c r="L87" s="2" t="s">
        <v>1023</v>
      </c>
      <c r="M87" s="3" t="s">
        <v>83</v>
      </c>
      <c r="O87" s="3" t="s">
        <v>63</v>
      </c>
      <c r="P87" s="3" t="s">
        <v>214</v>
      </c>
      <c r="R87" s="3" t="s">
        <v>65</v>
      </c>
      <c r="S87" s="4">
        <v>4</v>
      </c>
      <c r="T87" s="4">
        <v>4</v>
      </c>
      <c r="U87" s="5" t="s">
        <v>1024</v>
      </c>
      <c r="V87" s="5" t="s">
        <v>1024</v>
      </c>
      <c r="W87" s="5" t="s">
        <v>112</v>
      </c>
      <c r="X87" s="5" t="s">
        <v>112</v>
      </c>
      <c r="Y87" s="4">
        <v>1572</v>
      </c>
      <c r="Z87" s="4">
        <v>1473</v>
      </c>
      <c r="AA87" s="4">
        <v>1770</v>
      </c>
      <c r="AB87" s="4">
        <v>11</v>
      </c>
      <c r="AC87" s="4">
        <v>14</v>
      </c>
      <c r="AD87" s="4">
        <v>32</v>
      </c>
      <c r="AE87" s="4">
        <v>39</v>
      </c>
      <c r="AF87" s="4">
        <v>16</v>
      </c>
      <c r="AG87" s="4">
        <v>18</v>
      </c>
      <c r="AH87" s="4">
        <v>7</v>
      </c>
      <c r="AI87" s="4">
        <v>8</v>
      </c>
      <c r="AJ87" s="4">
        <v>10</v>
      </c>
      <c r="AK87" s="4">
        <v>14</v>
      </c>
      <c r="AL87" s="4">
        <v>6</v>
      </c>
      <c r="AM87" s="4">
        <v>8</v>
      </c>
      <c r="AN87" s="4">
        <v>0</v>
      </c>
      <c r="AO87" s="4">
        <v>0</v>
      </c>
      <c r="AP87" s="3" t="s">
        <v>58</v>
      </c>
      <c r="AQ87" s="3" t="s">
        <v>68</v>
      </c>
      <c r="AR87" s="6" t="str">
        <f>HYPERLINK("http://catalog.hathitrust.org/Record/000176469","HathiTrust Record")</f>
        <v>HathiTrust Record</v>
      </c>
      <c r="AS87" s="6" t="str">
        <f>HYPERLINK("https://creighton-primo.hosted.exlibrisgroup.com/primo-explore/search?tab=default_tab&amp;search_scope=EVERYTHING&amp;vid=01CRU&amp;lang=en_US&amp;offset=0&amp;query=any,contains,991004640779702656","Catalog Record")</f>
        <v>Catalog Record</v>
      </c>
      <c r="AT87" s="6" t="str">
        <f>HYPERLINK("http://www.worldcat.org/oclc/4003760","WorldCat Record")</f>
        <v>WorldCat Record</v>
      </c>
      <c r="AU87" s="3" t="s">
        <v>1025</v>
      </c>
      <c r="AV87" s="3" t="s">
        <v>1026</v>
      </c>
      <c r="AW87" s="3" t="s">
        <v>1027</v>
      </c>
      <c r="AX87" s="3" t="s">
        <v>1027</v>
      </c>
      <c r="AY87" s="3" t="s">
        <v>1028</v>
      </c>
      <c r="AZ87" s="3" t="s">
        <v>73</v>
      </c>
      <c r="BC87" s="3" t="s">
        <v>1029</v>
      </c>
      <c r="BD87" s="3" t="s">
        <v>1030</v>
      </c>
    </row>
    <row r="88" spans="1:56" ht="51" customHeight="1" x14ac:dyDescent="0.25">
      <c r="A88" s="7" t="s">
        <v>58</v>
      </c>
      <c r="B88" s="2" t="s">
        <v>1031</v>
      </c>
      <c r="C88" s="2" t="s">
        <v>1032</v>
      </c>
      <c r="D88" s="2" t="s">
        <v>1033</v>
      </c>
      <c r="F88" s="3" t="s">
        <v>58</v>
      </c>
      <c r="G88" s="3" t="s">
        <v>59</v>
      </c>
      <c r="H88" s="3" t="s">
        <v>58</v>
      </c>
      <c r="I88" s="3" t="s">
        <v>58</v>
      </c>
      <c r="J88" s="3" t="s">
        <v>60</v>
      </c>
      <c r="K88" s="2" t="s">
        <v>1034</v>
      </c>
      <c r="L88" s="2" t="s">
        <v>1035</v>
      </c>
      <c r="M88" s="3" t="s">
        <v>800</v>
      </c>
      <c r="N88" s="2" t="s">
        <v>338</v>
      </c>
      <c r="O88" s="3" t="s">
        <v>63</v>
      </c>
      <c r="P88" s="3" t="s">
        <v>214</v>
      </c>
      <c r="R88" s="3" t="s">
        <v>65</v>
      </c>
      <c r="S88" s="4">
        <v>16</v>
      </c>
      <c r="T88" s="4">
        <v>16</v>
      </c>
      <c r="U88" s="5" t="s">
        <v>952</v>
      </c>
      <c r="V88" s="5" t="s">
        <v>952</v>
      </c>
      <c r="W88" s="5" t="s">
        <v>1036</v>
      </c>
      <c r="X88" s="5" t="s">
        <v>1036</v>
      </c>
      <c r="Y88" s="4">
        <v>930</v>
      </c>
      <c r="Z88" s="4">
        <v>845</v>
      </c>
      <c r="AA88" s="4">
        <v>852</v>
      </c>
      <c r="AB88" s="4">
        <v>9</v>
      </c>
      <c r="AC88" s="4">
        <v>9</v>
      </c>
      <c r="AD88" s="4">
        <v>27</v>
      </c>
      <c r="AE88" s="4">
        <v>27</v>
      </c>
      <c r="AF88" s="4">
        <v>12</v>
      </c>
      <c r="AG88" s="4">
        <v>12</v>
      </c>
      <c r="AH88" s="4">
        <v>5</v>
      </c>
      <c r="AI88" s="4">
        <v>5</v>
      </c>
      <c r="AJ88" s="4">
        <v>10</v>
      </c>
      <c r="AK88" s="4">
        <v>10</v>
      </c>
      <c r="AL88" s="4">
        <v>6</v>
      </c>
      <c r="AM88" s="4">
        <v>6</v>
      </c>
      <c r="AN88" s="4">
        <v>0</v>
      </c>
      <c r="AO88" s="4">
        <v>0</v>
      </c>
      <c r="AP88" s="3" t="s">
        <v>58</v>
      </c>
      <c r="AQ88" s="3" t="s">
        <v>68</v>
      </c>
      <c r="AR88" s="6" t="str">
        <f>HYPERLINK("http://catalog.hathitrust.org/Record/003010459","HathiTrust Record")</f>
        <v>HathiTrust Record</v>
      </c>
      <c r="AS88" s="6" t="str">
        <f>HYPERLINK("https://creighton-primo.hosted.exlibrisgroup.com/primo-explore/search?tab=default_tab&amp;search_scope=EVERYTHING&amp;vid=01CRU&amp;lang=en_US&amp;offset=0&amp;query=any,contains,991002519409702656","Catalog Record")</f>
        <v>Catalog Record</v>
      </c>
      <c r="AT88" s="6" t="str">
        <f>HYPERLINK("http://www.worldcat.org/oclc/32778599","WorldCat Record")</f>
        <v>WorldCat Record</v>
      </c>
      <c r="AU88" s="3" t="s">
        <v>1037</v>
      </c>
      <c r="AV88" s="3" t="s">
        <v>1038</v>
      </c>
      <c r="AW88" s="3" t="s">
        <v>1039</v>
      </c>
      <c r="AX88" s="3" t="s">
        <v>1039</v>
      </c>
      <c r="AY88" s="3" t="s">
        <v>1040</v>
      </c>
      <c r="AZ88" s="3" t="s">
        <v>73</v>
      </c>
      <c r="BB88" s="3" t="s">
        <v>1041</v>
      </c>
      <c r="BC88" s="3" t="s">
        <v>1042</v>
      </c>
      <c r="BD88" s="3" t="s">
        <v>1043</v>
      </c>
    </row>
    <row r="89" spans="1:56" ht="51" customHeight="1" x14ac:dyDescent="0.25">
      <c r="A89" s="7" t="s">
        <v>58</v>
      </c>
      <c r="B89" s="2" t="s">
        <v>1044</v>
      </c>
      <c r="C89" s="2" t="s">
        <v>1045</v>
      </c>
      <c r="D89" s="2" t="s">
        <v>1046</v>
      </c>
      <c r="F89" s="3" t="s">
        <v>58</v>
      </c>
      <c r="G89" s="3" t="s">
        <v>59</v>
      </c>
      <c r="H89" s="3" t="s">
        <v>58</v>
      </c>
      <c r="I89" s="3" t="s">
        <v>58</v>
      </c>
      <c r="J89" s="3" t="s">
        <v>60</v>
      </c>
      <c r="K89" s="2" t="s">
        <v>1047</v>
      </c>
      <c r="L89" s="2" t="s">
        <v>1048</v>
      </c>
      <c r="M89" s="3" t="s">
        <v>538</v>
      </c>
      <c r="O89" s="3" t="s">
        <v>63</v>
      </c>
      <c r="P89" s="3" t="s">
        <v>495</v>
      </c>
      <c r="R89" s="3" t="s">
        <v>65</v>
      </c>
      <c r="S89" s="4">
        <v>13</v>
      </c>
      <c r="T89" s="4">
        <v>13</v>
      </c>
      <c r="U89" s="5" t="s">
        <v>1049</v>
      </c>
      <c r="V89" s="5" t="s">
        <v>1049</v>
      </c>
      <c r="W89" s="5" t="s">
        <v>1050</v>
      </c>
      <c r="X89" s="5" t="s">
        <v>1050</v>
      </c>
      <c r="Y89" s="4">
        <v>757</v>
      </c>
      <c r="Z89" s="4">
        <v>716</v>
      </c>
      <c r="AA89" s="4">
        <v>857</v>
      </c>
      <c r="AB89" s="4">
        <v>8</v>
      </c>
      <c r="AC89" s="4">
        <v>8</v>
      </c>
      <c r="AD89" s="4">
        <v>48</v>
      </c>
      <c r="AE89" s="4">
        <v>53</v>
      </c>
      <c r="AF89" s="4">
        <v>23</v>
      </c>
      <c r="AG89" s="4">
        <v>23</v>
      </c>
      <c r="AH89" s="4">
        <v>10</v>
      </c>
      <c r="AI89" s="4">
        <v>11</v>
      </c>
      <c r="AJ89" s="4">
        <v>22</v>
      </c>
      <c r="AK89" s="4">
        <v>26</v>
      </c>
      <c r="AL89" s="4">
        <v>7</v>
      </c>
      <c r="AM89" s="4">
        <v>7</v>
      </c>
      <c r="AN89" s="4">
        <v>0</v>
      </c>
      <c r="AO89" s="4">
        <v>0</v>
      </c>
      <c r="AP89" s="3" t="s">
        <v>58</v>
      </c>
      <c r="AQ89" s="3" t="s">
        <v>58</v>
      </c>
      <c r="AS89" s="6" t="str">
        <f>HYPERLINK("https://creighton-primo.hosted.exlibrisgroup.com/primo-explore/search?tab=default_tab&amp;search_scope=EVERYTHING&amp;vid=01CRU&amp;lang=en_US&amp;offset=0&amp;query=any,contains,991000082969702656","Catalog Record")</f>
        <v>Catalog Record</v>
      </c>
      <c r="AT89" s="6" t="str">
        <f>HYPERLINK("http://www.worldcat.org/oclc/32436","WorldCat Record")</f>
        <v>WorldCat Record</v>
      </c>
      <c r="AU89" s="3" t="s">
        <v>1051</v>
      </c>
      <c r="AV89" s="3" t="s">
        <v>1052</v>
      </c>
      <c r="AW89" s="3" t="s">
        <v>1053</v>
      </c>
      <c r="AX89" s="3" t="s">
        <v>1053</v>
      </c>
      <c r="AY89" s="3" t="s">
        <v>1054</v>
      </c>
      <c r="AZ89" s="3" t="s">
        <v>73</v>
      </c>
      <c r="BC89" s="3" t="s">
        <v>1055</v>
      </c>
      <c r="BD89" s="3" t="s">
        <v>1056</v>
      </c>
    </row>
    <row r="90" spans="1:56" ht="51" customHeight="1" x14ac:dyDescent="0.25">
      <c r="A90" s="7" t="s">
        <v>58</v>
      </c>
      <c r="B90" s="2" t="s">
        <v>1057</v>
      </c>
      <c r="C90" s="2" t="s">
        <v>1058</v>
      </c>
      <c r="D90" s="2" t="s">
        <v>1059</v>
      </c>
      <c r="F90" s="3" t="s">
        <v>58</v>
      </c>
      <c r="G90" s="3" t="s">
        <v>59</v>
      </c>
      <c r="H90" s="3" t="s">
        <v>58</v>
      </c>
      <c r="I90" s="3" t="s">
        <v>58</v>
      </c>
      <c r="J90" s="3" t="s">
        <v>60</v>
      </c>
      <c r="L90" s="2" t="s">
        <v>1060</v>
      </c>
      <c r="M90" s="3" t="s">
        <v>1061</v>
      </c>
      <c r="N90" s="2" t="s">
        <v>338</v>
      </c>
      <c r="O90" s="3" t="s">
        <v>63</v>
      </c>
      <c r="P90" s="3" t="s">
        <v>584</v>
      </c>
      <c r="R90" s="3" t="s">
        <v>65</v>
      </c>
      <c r="S90" s="4">
        <v>3</v>
      </c>
      <c r="T90" s="4">
        <v>3</v>
      </c>
      <c r="U90" s="5" t="s">
        <v>1062</v>
      </c>
      <c r="V90" s="5" t="s">
        <v>1062</v>
      </c>
      <c r="W90" s="5" t="s">
        <v>1063</v>
      </c>
      <c r="X90" s="5" t="s">
        <v>1063</v>
      </c>
      <c r="Y90" s="4">
        <v>34</v>
      </c>
      <c r="Z90" s="4">
        <v>17</v>
      </c>
      <c r="AA90" s="4">
        <v>70</v>
      </c>
      <c r="AB90" s="4">
        <v>1</v>
      </c>
      <c r="AC90" s="4">
        <v>1</v>
      </c>
      <c r="AD90" s="4">
        <v>0</v>
      </c>
      <c r="AE90" s="4">
        <v>3</v>
      </c>
      <c r="AF90" s="4">
        <v>0</v>
      </c>
      <c r="AG90" s="4">
        <v>0</v>
      </c>
      <c r="AH90" s="4">
        <v>0</v>
      </c>
      <c r="AI90" s="4">
        <v>2</v>
      </c>
      <c r="AJ90" s="4">
        <v>0</v>
      </c>
      <c r="AK90" s="4">
        <v>3</v>
      </c>
      <c r="AL90" s="4">
        <v>0</v>
      </c>
      <c r="AM90" s="4">
        <v>0</v>
      </c>
      <c r="AN90" s="4">
        <v>0</v>
      </c>
      <c r="AO90" s="4">
        <v>0</v>
      </c>
      <c r="AP90" s="3" t="s">
        <v>58</v>
      </c>
      <c r="AQ90" s="3" t="s">
        <v>58</v>
      </c>
      <c r="AS90" s="6" t="str">
        <f>HYPERLINK("https://creighton-primo.hosted.exlibrisgroup.com/primo-explore/search?tab=default_tab&amp;search_scope=EVERYTHING&amp;vid=01CRU&amp;lang=en_US&amp;offset=0&amp;query=any,contains,991003480249702656","Catalog Record")</f>
        <v>Catalog Record</v>
      </c>
      <c r="AT90" s="6" t="str">
        <f>HYPERLINK("http://www.worldcat.org/oclc/39722369","WorldCat Record")</f>
        <v>WorldCat Record</v>
      </c>
      <c r="AU90" s="3" t="s">
        <v>1064</v>
      </c>
      <c r="AV90" s="3" t="s">
        <v>1065</v>
      </c>
      <c r="AW90" s="3" t="s">
        <v>1066</v>
      </c>
      <c r="AX90" s="3" t="s">
        <v>1066</v>
      </c>
      <c r="AY90" s="3" t="s">
        <v>1067</v>
      </c>
      <c r="AZ90" s="3" t="s">
        <v>73</v>
      </c>
      <c r="BB90" s="3" t="s">
        <v>1068</v>
      </c>
      <c r="BC90" s="3" t="s">
        <v>1069</v>
      </c>
      <c r="BD90" s="3" t="s">
        <v>1070</v>
      </c>
    </row>
    <row r="91" spans="1:56" ht="51" customHeight="1" x14ac:dyDescent="0.25">
      <c r="A91" s="7" t="s">
        <v>58</v>
      </c>
      <c r="B91" s="2" t="s">
        <v>1071</v>
      </c>
      <c r="C91" s="2" t="s">
        <v>1072</v>
      </c>
      <c r="D91" s="2" t="s">
        <v>1073</v>
      </c>
      <c r="F91" s="3" t="s">
        <v>58</v>
      </c>
      <c r="G91" s="3" t="s">
        <v>59</v>
      </c>
      <c r="H91" s="3" t="s">
        <v>58</v>
      </c>
      <c r="I91" s="3" t="s">
        <v>58</v>
      </c>
      <c r="J91" s="3" t="s">
        <v>60</v>
      </c>
      <c r="K91" s="2" t="s">
        <v>1074</v>
      </c>
      <c r="L91" s="2" t="s">
        <v>1075</v>
      </c>
      <c r="M91" s="3" t="s">
        <v>196</v>
      </c>
      <c r="O91" s="3" t="s">
        <v>63</v>
      </c>
      <c r="P91" s="3" t="s">
        <v>214</v>
      </c>
      <c r="Q91" s="2" t="s">
        <v>1076</v>
      </c>
      <c r="R91" s="3" t="s">
        <v>65</v>
      </c>
      <c r="S91" s="4">
        <v>7</v>
      </c>
      <c r="T91" s="4">
        <v>7</v>
      </c>
      <c r="U91" s="5" t="s">
        <v>1077</v>
      </c>
      <c r="V91" s="5" t="s">
        <v>1077</v>
      </c>
      <c r="W91" s="5" t="s">
        <v>1078</v>
      </c>
      <c r="X91" s="5" t="s">
        <v>1078</v>
      </c>
      <c r="Y91" s="4">
        <v>437</v>
      </c>
      <c r="Z91" s="4">
        <v>337</v>
      </c>
      <c r="AA91" s="4">
        <v>353</v>
      </c>
      <c r="AB91" s="4">
        <v>4</v>
      </c>
      <c r="AC91" s="4">
        <v>4</v>
      </c>
      <c r="AD91" s="4">
        <v>17</v>
      </c>
      <c r="AE91" s="4">
        <v>18</v>
      </c>
      <c r="AF91" s="4">
        <v>6</v>
      </c>
      <c r="AG91" s="4">
        <v>7</v>
      </c>
      <c r="AH91" s="4">
        <v>5</v>
      </c>
      <c r="AI91" s="4">
        <v>5</v>
      </c>
      <c r="AJ91" s="4">
        <v>8</v>
      </c>
      <c r="AK91" s="4">
        <v>8</v>
      </c>
      <c r="AL91" s="4">
        <v>3</v>
      </c>
      <c r="AM91" s="4">
        <v>3</v>
      </c>
      <c r="AN91" s="4">
        <v>0</v>
      </c>
      <c r="AO91" s="4">
        <v>0</v>
      </c>
      <c r="AP91" s="3" t="s">
        <v>58</v>
      </c>
      <c r="AQ91" s="3" t="s">
        <v>58</v>
      </c>
      <c r="AS91" s="6" t="str">
        <f>HYPERLINK("https://creighton-primo.hosted.exlibrisgroup.com/primo-explore/search?tab=default_tab&amp;search_scope=EVERYTHING&amp;vid=01CRU&amp;lang=en_US&amp;offset=0&amp;query=any,contains,991002547239702656","Catalog Record")</f>
        <v>Catalog Record</v>
      </c>
      <c r="AT91" s="6" t="str">
        <f>HYPERLINK("http://www.worldcat.org/oclc/33101120","WorldCat Record")</f>
        <v>WorldCat Record</v>
      </c>
      <c r="AU91" s="3" t="s">
        <v>1079</v>
      </c>
      <c r="AV91" s="3" t="s">
        <v>1080</v>
      </c>
      <c r="AW91" s="3" t="s">
        <v>1081</v>
      </c>
      <c r="AX91" s="3" t="s">
        <v>1081</v>
      </c>
      <c r="AY91" s="3" t="s">
        <v>1082</v>
      </c>
      <c r="AZ91" s="3" t="s">
        <v>73</v>
      </c>
      <c r="BB91" s="3" t="s">
        <v>1083</v>
      </c>
      <c r="BC91" s="3" t="s">
        <v>1084</v>
      </c>
      <c r="BD91" s="3" t="s">
        <v>1085</v>
      </c>
    </row>
    <row r="92" spans="1:56" ht="51" customHeight="1" x14ac:dyDescent="0.25">
      <c r="A92" s="7" t="s">
        <v>58</v>
      </c>
      <c r="B92" s="2" t="s">
        <v>1086</v>
      </c>
      <c r="C92" s="2" t="s">
        <v>1087</v>
      </c>
      <c r="D92" s="2" t="s">
        <v>1088</v>
      </c>
      <c r="F92" s="3" t="s">
        <v>58</v>
      </c>
      <c r="G92" s="3" t="s">
        <v>59</v>
      </c>
      <c r="H92" s="3" t="s">
        <v>58</v>
      </c>
      <c r="I92" s="3" t="s">
        <v>58</v>
      </c>
      <c r="J92" s="3" t="s">
        <v>60</v>
      </c>
      <c r="K92" s="2" t="s">
        <v>1089</v>
      </c>
      <c r="L92" s="2" t="s">
        <v>1090</v>
      </c>
      <c r="M92" s="3" t="s">
        <v>1091</v>
      </c>
      <c r="O92" s="3" t="s">
        <v>63</v>
      </c>
      <c r="P92" s="3" t="s">
        <v>1092</v>
      </c>
      <c r="R92" s="3" t="s">
        <v>65</v>
      </c>
      <c r="S92" s="4">
        <v>7</v>
      </c>
      <c r="T92" s="4">
        <v>7</v>
      </c>
      <c r="U92" s="5" t="s">
        <v>1093</v>
      </c>
      <c r="V92" s="5" t="s">
        <v>1093</v>
      </c>
      <c r="W92" s="5" t="s">
        <v>1094</v>
      </c>
      <c r="X92" s="5" t="s">
        <v>1094</v>
      </c>
      <c r="Y92" s="4">
        <v>182</v>
      </c>
      <c r="Z92" s="4">
        <v>172</v>
      </c>
      <c r="AA92" s="4">
        <v>184</v>
      </c>
      <c r="AB92" s="4">
        <v>1</v>
      </c>
      <c r="AC92" s="4">
        <v>1</v>
      </c>
      <c r="AD92" s="4">
        <v>1</v>
      </c>
      <c r="AE92" s="4">
        <v>1</v>
      </c>
      <c r="AF92" s="4">
        <v>1</v>
      </c>
      <c r="AG92" s="4">
        <v>1</v>
      </c>
      <c r="AH92" s="4">
        <v>0</v>
      </c>
      <c r="AI92" s="4">
        <v>0</v>
      </c>
      <c r="AJ92" s="4">
        <v>0</v>
      </c>
      <c r="AK92" s="4">
        <v>0</v>
      </c>
      <c r="AL92" s="4">
        <v>0</v>
      </c>
      <c r="AM92" s="4">
        <v>0</v>
      </c>
      <c r="AN92" s="4">
        <v>0</v>
      </c>
      <c r="AO92" s="4">
        <v>0</v>
      </c>
      <c r="AP92" s="3" t="s">
        <v>58</v>
      </c>
      <c r="AQ92" s="3" t="s">
        <v>58</v>
      </c>
      <c r="AS92" s="6" t="str">
        <f>HYPERLINK("https://creighton-primo.hosted.exlibrisgroup.com/primo-explore/search?tab=default_tab&amp;search_scope=EVERYTHING&amp;vid=01CRU&amp;lang=en_US&amp;offset=0&amp;query=any,contains,991003684299702656","Catalog Record")</f>
        <v>Catalog Record</v>
      </c>
      <c r="AT92" s="6" t="str">
        <f>HYPERLINK("http://www.worldcat.org/oclc/47916042","WorldCat Record")</f>
        <v>WorldCat Record</v>
      </c>
      <c r="AU92" s="3" t="s">
        <v>1095</v>
      </c>
      <c r="AV92" s="3" t="s">
        <v>1096</v>
      </c>
      <c r="AW92" s="3" t="s">
        <v>1097</v>
      </c>
      <c r="AX92" s="3" t="s">
        <v>1097</v>
      </c>
      <c r="AY92" s="3" t="s">
        <v>1098</v>
      </c>
      <c r="AZ92" s="3" t="s">
        <v>73</v>
      </c>
      <c r="BB92" s="3" t="s">
        <v>1099</v>
      </c>
      <c r="BC92" s="3" t="s">
        <v>1100</v>
      </c>
      <c r="BD92" s="3" t="s">
        <v>1101</v>
      </c>
    </row>
    <row r="93" spans="1:56" ht="51" customHeight="1" x14ac:dyDescent="0.25">
      <c r="A93" s="7" t="s">
        <v>58</v>
      </c>
      <c r="B93" s="2" t="s">
        <v>1102</v>
      </c>
      <c r="C93" s="2" t="s">
        <v>1103</v>
      </c>
      <c r="D93" s="2" t="s">
        <v>1104</v>
      </c>
      <c r="F93" s="3" t="s">
        <v>58</v>
      </c>
      <c r="G93" s="3" t="s">
        <v>59</v>
      </c>
      <c r="H93" s="3" t="s">
        <v>58</v>
      </c>
      <c r="I93" s="3" t="s">
        <v>58</v>
      </c>
      <c r="J93" s="3" t="s">
        <v>60</v>
      </c>
      <c r="K93" s="2" t="s">
        <v>1105</v>
      </c>
      <c r="L93" s="2" t="s">
        <v>1106</v>
      </c>
      <c r="M93" s="3" t="s">
        <v>249</v>
      </c>
      <c r="O93" s="3" t="s">
        <v>63</v>
      </c>
      <c r="P93" s="3" t="s">
        <v>214</v>
      </c>
      <c r="R93" s="3" t="s">
        <v>65</v>
      </c>
      <c r="S93" s="4">
        <v>6</v>
      </c>
      <c r="T93" s="4">
        <v>6</v>
      </c>
      <c r="U93" s="5" t="s">
        <v>1107</v>
      </c>
      <c r="V93" s="5" t="s">
        <v>1107</v>
      </c>
      <c r="W93" s="5" t="s">
        <v>1108</v>
      </c>
      <c r="X93" s="5" t="s">
        <v>1108</v>
      </c>
      <c r="Y93" s="4">
        <v>1078</v>
      </c>
      <c r="Z93" s="4">
        <v>978</v>
      </c>
      <c r="AA93" s="4">
        <v>1014</v>
      </c>
      <c r="AB93" s="4">
        <v>6</v>
      </c>
      <c r="AC93" s="4">
        <v>6</v>
      </c>
      <c r="AD93" s="4">
        <v>33</v>
      </c>
      <c r="AE93" s="4">
        <v>35</v>
      </c>
      <c r="AF93" s="4">
        <v>12</v>
      </c>
      <c r="AG93" s="4">
        <v>13</v>
      </c>
      <c r="AH93" s="4">
        <v>9</v>
      </c>
      <c r="AI93" s="4">
        <v>9</v>
      </c>
      <c r="AJ93" s="4">
        <v>15</v>
      </c>
      <c r="AK93" s="4">
        <v>17</v>
      </c>
      <c r="AL93" s="4">
        <v>5</v>
      </c>
      <c r="AM93" s="4">
        <v>5</v>
      </c>
      <c r="AN93" s="4">
        <v>0</v>
      </c>
      <c r="AO93" s="4">
        <v>0</v>
      </c>
      <c r="AP93" s="3" t="s">
        <v>58</v>
      </c>
      <c r="AQ93" s="3" t="s">
        <v>68</v>
      </c>
      <c r="AR93" s="6" t="str">
        <f>HYPERLINK("http://catalog.hathitrust.org/Record/001242424","HathiTrust Record")</f>
        <v>HathiTrust Record</v>
      </c>
      <c r="AS93" s="6" t="str">
        <f>HYPERLINK("https://creighton-primo.hosted.exlibrisgroup.com/primo-explore/search?tab=default_tab&amp;search_scope=EVERYTHING&amp;vid=01CRU&amp;lang=en_US&amp;offset=0&amp;query=any,contains,991002403859702656","Catalog Record")</f>
        <v>Catalog Record</v>
      </c>
      <c r="AT93" s="6" t="str">
        <f>HYPERLINK("http://www.worldcat.org/oclc/338175","WorldCat Record")</f>
        <v>WorldCat Record</v>
      </c>
      <c r="AU93" s="3" t="s">
        <v>1109</v>
      </c>
      <c r="AV93" s="3" t="s">
        <v>1110</v>
      </c>
      <c r="AW93" s="3" t="s">
        <v>1111</v>
      </c>
      <c r="AX93" s="3" t="s">
        <v>1111</v>
      </c>
      <c r="AY93" s="3" t="s">
        <v>1112</v>
      </c>
      <c r="AZ93" s="3" t="s">
        <v>73</v>
      </c>
      <c r="BC93" s="3" t="s">
        <v>1113</v>
      </c>
      <c r="BD93" s="3" t="s">
        <v>1114</v>
      </c>
    </row>
    <row r="94" spans="1:56" ht="51" customHeight="1" x14ac:dyDescent="0.25">
      <c r="A94" s="7" t="s">
        <v>58</v>
      </c>
      <c r="B94" s="2" t="s">
        <v>1115</v>
      </c>
      <c r="C94" s="2" t="s">
        <v>1116</v>
      </c>
      <c r="D94" s="2" t="s">
        <v>1117</v>
      </c>
      <c r="F94" s="3" t="s">
        <v>58</v>
      </c>
      <c r="G94" s="3" t="s">
        <v>59</v>
      </c>
      <c r="H94" s="3" t="s">
        <v>58</v>
      </c>
      <c r="I94" s="3" t="s">
        <v>58</v>
      </c>
      <c r="J94" s="3" t="s">
        <v>60</v>
      </c>
      <c r="K94" s="2" t="s">
        <v>1118</v>
      </c>
      <c r="L94" s="2" t="s">
        <v>1119</v>
      </c>
      <c r="M94" s="3" t="s">
        <v>800</v>
      </c>
      <c r="N94" s="2" t="s">
        <v>338</v>
      </c>
      <c r="O94" s="3" t="s">
        <v>63</v>
      </c>
      <c r="P94" s="3" t="s">
        <v>1120</v>
      </c>
      <c r="R94" s="3" t="s">
        <v>65</v>
      </c>
      <c r="S94" s="4">
        <v>9</v>
      </c>
      <c r="T94" s="4">
        <v>9</v>
      </c>
      <c r="U94" s="5" t="s">
        <v>1121</v>
      </c>
      <c r="V94" s="5" t="s">
        <v>1121</v>
      </c>
      <c r="W94" s="5" t="s">
        <v>1122</v>
      </c>
      <c r="X94" s="5" t="s">
        <v>1122</v>
      </c>
      <c r="Y94" s="4">
        <v>561</v>
      </c>
      <c r="Z94" s="4">
        <v>507</v>
      </c>
      <c r="AA94" s="4">
        <v>527</v>
      </c>
      <c r="AB94" s="4">
        <v>2</v>
      </c>
      <c r="AC94" s="4">
        <v>3</v>
      </c>
      <c r="AD94" s="4">
        <v>15</v>
      </c>
      <c r="AE94" s="4">
        <v>17</v>
      </c>
      <c r="AF94" s="4">
        <v>3</v>
      </c>
      <c r="AG94" s="4">
        <v>4</v>
      </c>
      <c r="AH94" s="4">
        <v>4</v>
      </c>
      <c r="AI94" s="4">
        <v>5</v>
      </c>
      <c r="AJ94" s="4">
        <v>10</v>
      </c>
      <c r="AK94" s="4">
        <v>10</v>
      </c>
      <c r="AL94" s="4">
        <v>1</v>
      </c>
      <c r="AM94" s="4">
        <v>2</v>
      </c>
      <c r="AN94" s="4">
        <v>0</v>
      </c>
      <c r="AO94" s="4">
        <v>0</v>
      </c>
      <c r="AP94" s="3" t="s">
        <v>58</v>
      </c>
      <c r="AQ94" s="3" t="s">
        <v>68</v>
      </c>
      <c r="AR94" s="6" t="str">
        <f>HYPERLINK("http://catalog.hathitrust.org/Record/002966443","HathiTrust Record")</f>
        <v>HathiTrust Record</v>
      </c>
      <c r="AS94" s="6" t="str">
        <f>HYPERLINK("https://creighton-primo.hosted.exlibrisgroup.com/primo-explore/search?tab=default_tab&amp;search_scope=EVERYTHING&amp;vid=01CRU&amp;lang=en_US&amp;offset=0&amp;query=any,contains,991002387179702656","Catalog Record")</f>
        <v>Catalog Record</v>
      </c>
      <c r="AT94" s="6" t="str">
        <f>HYPERLINK("http://www.worldcat.org/oclc/31012301","WorldCat Record")</f>
        <v>WorldCat Record</v>
      </c>
      <c r="AU94" s="3" t="s">
        <v>1123</v>
      </c>
      <c r="AV94" s="3" t="s">
        <v>1124</v>
      </c>
      <c r="AW94" s="3" t="s">
        <v>1125</v>
      </c>
      <c r="AX94" s="3" t="s">
        <v>1125</v>
      </c>
      <c r="AY94" s="3" t="s">
        <v>1126</v>
      </c>
      <c r="AZ94" s="3" t="s">
        <v>73</v>
      </c>
      <c r="BB94" s="3" t="s">
        <v>1127</v>
      </c>
      <c r="BC94" s="3" t="s">
        <v>1128</v>
      </c>
      <c r="BD94" s="3" t="s">
        <v>1129</v>
      </c>
    </row>
    <row r="95" spans="1:56" ht="51" customHeight="1" x14ac:dyDescent="0.25">
      <c r="A95" s="7" t="s">
        <v>58</v>
      </c>
      <c r="B95" s="2" t="s">
        <v>1130</v>
      </c>
      <c r="C95" s="2" t="s">
        <v>1131</v>
      </c>
      <c r="D95" s="2" t="s">
        <v>1132</v>
      </c>
      <c r="E95" s="3" t="s">
        <v>210</v>
      </c>
      <c r="F95" s="3" t="s">
        <v>68</v>
      </c>
      <c r="G95" s="3" t="s">
        <v>59</v>
      </c>
      <c r="H95" s="3" t="s">
        <v>68</v>
      </c>
      <c r="I95" s="3" t="s">
        <v>58</v>
      </c>
      <c r="J95" s="3" t="s">
        <v>60</v>
      </c>
      <c r="K95" s="2" t="s">
        <v>1133</v>
      </c>
      <c r="L95" s="2" t="s">
        <v>1134</v>
      </c>
      <c r="M95" s="3" t="s">
        <v>83</v>
      </c>
      <c r="O95" s="3" t="s">
        <v>63</v>
      </c>
      <c r="P95" s="3" t="s">
        <v>84</v>
      </c>
      <c r="Q95" s="2" t="s">
        <v>1135</v>
      </c>
      <c r="R95" s="3" t="s">
        <v>65</v>
      </c>
      <c r="S95" s="4">
        <v>2</v>
      </c>
      <c r="T95" s="4">
        <v>22</v>
      </c>
      <c r="U95" s="5" t="s">
        <v>747</v>
      </c>
      <c r="V95" s="5" t="s">
        <v>747</v>
      </c>
      <c r="W95" s="5" t="s">
        <v>1136</v>
      </c>
      <c r="X95" s="5" t="s">
        <v>1136</v>
      </c>
      <c r="Y95" s="4">
        <v>190</v>
      </c>
      <c r="Z95" s="4">
        <v>134</v>
      </c>
      <c r="AA95" s="4">
        <v>139</v>
      </c>
      <c r="AB95" s="4">
        <v>1</v>
      </c>
      <c r="AC95" s="4">
        <v>1</v>
      </c>
      <c r="AD95" s="4">
        <v>4</v>
      </c>
      <c r="AE95" s="4">
        <v>4</v>
      </c>
      <c r="AF95" s="4">
        <v>2</v>
      </c>
      <c r="AG95" s="4">
        <v>2</v>
      </c>
      <c r="AH95" s="4">
        <v>1</v>
      </c>
      <c r="AI95" s="4">
        <v>1</v>
      </c>
      <c r="AJ95" s="4">
        <v>3</v>
      </c>
      <c r="AK95" s="4">
        <v>3</v>
      </c>
      <c r="AL95" s="4">
        <v>0</v>
      </c>
      <c r="AM95" s="4">
        <v>0</v>
      </c>
      <c r="AN95" s="4">
        <v>0</v>
      </c>
      <c r="AO95" s="4">
        <v>0</v>
      </c>
      <c r="AP95" s="3" t="s">
        <v>58</v>
      </c>
      <c r="AQ95" s="3" t="s">
        <v>68</v>
      </c>
      <c r="AR95" s="6" t="str">
        <f>HYPERLINK("http://catalog.hathitrust.org/Record/003123960","HathiTrust Record")</f>
        <v>HathiTrust Record</v>
      </c>
      <c r="AS95" s="6" t="str">
        <f>HYPERLINK("https://creighton-primo.hosted.exlibrisgroup.com/primo-explore/search?tab=default_tab&amp;search_scope=EVERYTHING&amp;vid=01CRU&amp;lang=en_US&amp;offset=0&amp;query=any,contains,991004719059702656","Catalog Record")</f>
        <v>Catalog Record</v>
      </c>
      <c r="AT95" s="6" t="str">
        <f>HYPERLINK("http://www.worldcat.org/oclc/4790540","WorldCat Record")</f>
        <v>WorldCat Record</v>
      </c>
      <c r="AU95" s="3" t="s">
        <v>1137</v>
      </c>
      <c r="AV95" s="3" t="s">
        <v>1138</v>
      </c>
      <c r="AW95" s="3" t="s">
        <v>1139</v>
      </c>
      <c r="AX95" s="3" t="s">
        <v>1139</v>
      </c>
      <c r="AY95" s="3" t="s">
        <v>1140</v>
      </c>
      <c r="AZ95" s="3" t="s">
        <v>73</v>
      </c>
      <c r="BC95" s="3" t="s">
        <v>1141</v>
      </c>
      <c r="BD95" s="3" t="s">
        <v>1142</v>
      </c>
    </row>
    <row r="96" spans="1:56" ht="51" customHeight="1" x14ac:dyDescent="0.25">
      <c r="A96" s="7" t="s">
        <v>58</v>
      </c>
      <c r="B96" s="2" t="s">
        <v>1130</v>
      </c>
      <c r="C96" s="2" t="s">
        <v>1131</v>
      </c>
      <c r="D96" s="2" t="s">
        <v>1132</v>
      </c>
      <c r="E96" s="3" t="s">
        <v>210</v>
      </c>
      <c r="F96" s="3" t="s">
        <v>68</v>
      </c>
      <c r="G96" s="3" t="s">
        <v>59</v>
      </c>
      <c r="H96" s="3" t="s">
        <v>68</v>
      </c>
      <c r="I96" s="3" t="s">
        <v>58</v>
      </c>
      <c r="J96" s="3" t="s">
        <v>60</v>
      </c>
      <c r="K96" s="2" t="s">
        <v>1133</v>
      </c>
      <c r="L96" s="2" t="s">
        <v>1134</v>
      </c>
      <c r="M96" s="3" t="s">
        <v>83</v>
      </c>
      <c r="O96" s="3" t="s">
        <v>63</v>
      </c>
      <c r="P96" s="3" t="s">
        <v>84</v>
      </c>
      <c r="Q96" s="2" t="s">
        <v>1135</v>
      </c>
      <c r="R96" s="3" t="s">
        <v>65</v>
      </c>
      <c r="S96" s="4">
        <v>10</v>
      </c>
      <c r="T96" s="4">
        <v>22</v>
      </c>
      <c r="U96" s="5" t="s">
        <v>1143</v>
      </c>
      <c r="V96" s="5" t="s">
        <v>747</v>
      </c>
      <c r="W96" s="5" t="s">
        <v>1144</v>
      </c>
      <c r="X96" s="5" t="s">
        <v>1136</v>
      </c>
      <c r="Y96" s="4">
        <v>190</v>
      </c>
      <c r="Z96" s="4">
        <v>134</v>
      </c>
      <c r="AA96" s="4">
        <v>139</v>
      </c>
      <c r="AB96" s="4">
        <v>1</v>
      </c>
      <c r="AC96" s="4">
        <v>1</v>
      </c>
      <c r="AD96" s="4">
        <v>4</v>
      </c>
      <c r="AE96" s="4">
        <v>4</v>
      </c>
      <c r="AF96" s="4">
        <v>2</v>
      </c>
      <c r="AG96" s="4">
        <v>2</v>
      </c>
      <c r="AH96" s="4">
        <v>1</v>
      </c>
      <c r="AI96" s="4">
        <v>1</v>
      </c>
      <c r="AJ96" s="4">
        <v>3</v>
      </c>
      <c r="AK96" s="4">
        <v>3</v>
      </c>
      <c r="AL96" s="4">
        <v>0</v>
      </c>
      <c r="AM96" s="4">
        <v>0</v>
      </c>
      <c r="AN96" s="4">
        <v>0</v>
      </c>
      <c r="AO96" s="4">
        <v>0</v>
      </c>
      <c r="AP96" s="3" t="s">
        <v>58</v>
      </c>
      <c r="AQ96" s="3" t="s">
        <v>68</v>
      </c>
      <c r="AR96" s="6" t="str">
        <f>HYPERLINK("http://catalog.hathitrust.org/Record/003123960","HathiTrust Record")</f>
        <v>HathiTrust Record</v>
      </c>
      <c r="AS96" s="6" t="str">
        <f>HYPERLINK("https://creighton-primo.hosted.exlibrisgroup.com/primo-explore/search?tab=default_tab&amp;search_scope=EVERYTHING&amp;vid=01CRU&amp;lang=en_US&amp;offset=0&amp;query=any,contains,991004719059702656","Catalog Record")</f>
        <v>Catalog Record</v>
      </c>
      <c r="AT96" s="6" t="str">
        <f>HYPERLINK("http://www.worldcat.org/oclc/4790540","WorldCat Record")</f>
        <v>WorldCat Record</v>
      </c>
      <c r="AU96" s="3" t="s">
        <v>1137</v>
      </c>
      <c r="AV96" s="3" t="s">
        <v>1138</v>
      </c>
      <c r="AW96" s="3" t="s">
        <v>1139</v>
      </c>
      <c r="AX96" s="3" t="s">
        <v>1139</v>
      </c>
      <c r="AY96" s="3" t="s">
        <v>1140</v>
      </c>
      <c r="AZ96" s="3" t="s">
        <v>73</v>
      </c>
      <c r="BC96" s="3" t="s">
        <v>1145</v>
      </c>
      <c r="BD96" s="3" t="s">
        <v>1146</v>
      </c>
    </row>
    <row r="97" spans="1:56" ht="51" customHeight="1" x14ac:dyDescent="0.25">
      <c r="A97" s="7" t="s">
        <v>58</v>
      </c>
      <c r="B97" s="2" t="s">
        <v>1130</v>
      </c>
      <c r="C97" s="2" t="s">
        <v>1131</v>
      </c>
      <c r="D97" s="2" t="s">
        <v>1132</v>
      </c>
      <c r="E97" s="3" t="s">
        <v>223</v>
      </c>
      <c r="F97" s="3" t="s">
        <v>68</v>
      </c>
      <c r="G97" s="3" t="s">
        <v>59</v>
      </c>
      <c r="H97" s="3" t="s">
        <v>58</v>
      </c>
      <c r="I97" s="3" t="s">
        <v>58</v>
      </c>
      <c r="J97" s="3" t="s">
        <v>60</v>
      </c>
      <c r="K97" s="2" t="s">
        <v>1133</v>
      </c>
      <c r="L97" s="2" t="s">
        <v>1134</v>
      </c>
      <c r="M97" s="3" t="s">
        <v>83</v>
      </c>
      <c r="O97" s="3" t="s">
        <v>63</v>
      </c>
      <c r="P97" s="3" t="s">
        <v>84</v>
      </c>
      <c r="Q97" s="2" t="s">
        <v>1135</v>
      </c>
      <c r="R97" s="3" t="s">
        <v>65</v>
      </c>
      <c r="S97" s="4">
        <v>10</v>
      </c>
      <c r="T97" s="4">
        <v>22</v>
      </c>
      <c r="U97" s="5" t="s">
        <v>1143</v>
      </c>
      <c r="V97" s="5" t="s">
        <v>747</v>
      </c>
      <c r="W97" s="5" t="s">
        <v>1144</v>
      </c>
      <c r="X97" s="5" t="s">
        <v>1136</v>
      </c>
      <c r="Y97" s="4">
        <v>190</v>
      </c>
      <c r="Z97" s="4">
        <v>134</v>
      </c>
      <c r="AA97" s="4">
        <v>139</v>
      </c>
      <c r="AB97" s="4">
        <v>1</v>
      </c>
      <c r="AC97" s="4">
        <v>1</v>
      </c>
      <c r="AD97" s="4">
        <v>4</v>
      </c>
      <c r="AE97" s="4">
        <v>4</v>
      </c>
      <c r="AF97" s="4">
        <v>2</v>
      </c>
      <c r="AG97" s="4">
        <v>2</v>
      </c>
      <c r="AH97" s="4">
        <v>1</v>
      </c>
      <c r="AI97" s="4">
        <v>1</v>
      </c>
      <c r="AJ97" s="4">
        <v>3</v>
      </c>
      <c r="AK97" s="4">
        <v>3</v>
      </c>
      <c r="AL97" s="4">
        <v>0</v>
      </c>
      <c r="AM97" s="4">
        <v>0</v>
      </c>
      <c r="AN97" s="4">
        <v>0</v>
      </c>
      <c r="AO97" s="4">
        <v>0</v>
      </c>
      <c r="AP97" s="3" t="s">
        <v>58</v>
      </c>
      <c r="AQ97" s="3" t="s">
        <v>68</v>
      </c>
      <c r="AR97" s="6" t="str">
        <f>HYPERLINK("http://catalog.hathitrust.org/Record/003123960","HathiTrust Record")</f>
        <v>HathiTrust Record</v>
      </c>
      <c r="AS97" s="6" t="str">
        <f>HYPERLINK("https://creighton-primo.hosted.exlibrisgroup.com/primo-explore/search?tab=default_tab&amp;search_scope=EVERYTHING&amp;vid=01CRU&amp;lang=en_US&amp;offset=0&amp;query=any,contains,991004719059702656","Catalog Record")</f>
        <v>Catalog Record</v>
      </c>
      <c r="AT97" s="6" t="str">
        <f>HYPERLINK("http://www.worldcat.org/oclc/4790540","WorldCat Record")</f>
        <v>WorldCat Record</v>
      </c>
      <c r="AU97" s="3" t="s">
        <v>1137</v>
      </c>
      <c r="AV97" s="3" t="s">
        <v>1138</v>
      </c>
      <c r="AW97" s="3" t="s">
        <v>1139</v>
      </c>
      <c r="AX97" s="3" t="s">
        <v>1139</v>
      </c>
      <c r="AY97" s="3" t="s">
        <v>1140</v>
      </c>
      <c r="AZ97" s="3" t="s">
        <v>73</v>
      </c>
      <c r="BC97" s="3" t="s">
        <v>1147</v>
      </c>
      <c r="BD97" s="3" t="s">
        <v>1148</v>
      </c>
    </row>
    <row r="98" spans="1:56" ht="51" customHeight="1" x14ac:dyDescent="0.25">
      <c r="A98" s="7" t="s">
        <v>58</v>
      </c>
      <c r="B98" s="2" t="s">
        <v>1149</v>
      </c>
      <c r="C98" s="2" t="s">
        <v>1150</v>
      </c>
      <c r="D98" s="2" t="s">
        <v>1151</v>
      </c>
      <c r="F98" s="3" t="s">
        <v>58</v>
      </c>
      <c r="G98" s="3" t="s">
        <v>59</v>
      </c>
      <c r="H98" s="3" t="s">
        <v>58</v>
      </c>
      <c r="I98" s="3" t="s">
        <v>58</v>
      </c>
      <c r="J98" s="3" t="s">
        <v>60</v>
      </c>
      <c r="L98" s="2" t="s">
        <v>1152</v>
      </c>
      <c r="M98" s="3" t="s">
        <v>1153</v>
      </c>
      <c r="O98" s="3" t="s">
        <v>63</v>
      </c>
      <c r="P98" s="3" t="s">
        <v>84</v>
      </c>
      <c r="Q98" s="2" t="s">
        <v>1154</v>
      </c>
      <c r="R98" s="3" t="s">
        <v>65</v>
      </c>
      <c r="S98" s="4">
        <v>4</v>
      </c>
      <c r="T98" s="4">
        <v>4</v>
      </c>
      <c r="U98" s="5" t="s">
        <v>1155</v>
      </c>
      <c r="V98" s="5" t="s">
        <v>1155</v>
      </c>
      <c r="W98" s="5" t="s">
        <v>857</v>
      </c>
      <c r="X98" s="5" t="s">
        <v>857</v>
      </c>
      <c r="Y98" s="4">
        <v>22</v>
      </c>
      <c r="Z98" s="4">
        <v>18</v>
      </c>
      <c r="AA98" s="4">
        <v>18</v>
      </c>
      <c r="AB98" s="4">
        <v>1</v>
      </c>
      <c r="AC98" s="4">
        <v>1</v>
      </c>
      <c r="AD98" s="4">
        <v>0</v>
      </c>
      <c r="AE98" s="4">
        <v>0</v>
      </c>
      <c r="AF98" s="4">
        <v>0</v>
      </c>
      <c r="AG98" s="4">
        <v>0</v>
      </c>
      <c r="AH98" s="4">
        <v>0</v>
      </c>
      <c r="AI98" s="4">
        <v>0</v>
      </c>
      <c r="AJ98" s="4">
        <v>0</v>
      </c>
      <c r="AK98" s="4">
        <v>0</v>
      </c>
      <c r="AL98" s="4">
        <v>0</v>
      </c>
      <c r="AM98" s="4">
        <v>0</v>
      </c>
      <c r="AN98" s="4">
        <v>0</v>
      </c>
      <c r="AO98" s="4">
        <v>0</v>
      </c>
      <c r="AP98" s="3" t="s">
        <v>58</v>
      </c>
      <c r="AQ98" s="3" t="s">
        <v>58</v>
      </c>
      <c r="AS98" s="6" t="str">
        <f>HYPERLINK("https://creighton-primo.hosted.exlibrisgroup.com/primo-explore/search?tab=default_tab&amp;search_scope=EVERYTHING&amp;vid=01CRU&amp;lang=en_US&amp;offset=0&amp;query=any,contains,991000942929702656","Catalog Record")</f>
        <v>Catalog Record</v>
      </c>
      <c r="AT98" s="6" t="str">
        <f>HYPERLINK("http://www.worldcat.org/oclc/14438197","WorldCat Record")</f>
        <v>WorldCat Record</v>
      </c>
      <c r="AU98" s="3" t="s">
        <v>1156</v>
      </c>
      <c r="AV98" s="3" t="s">
        <v>1157</v>
      </c>
      <c r="AW98" s="3" t="s">
        <v>1158</v>
      </c>
      <c r="AX98" s="3" t="s">
        <v>1158</v>
      </c>
      <c r="AY98" s="3" t="s">
        <v>1159</v>
      </c>
      <c r="AZ98" s="3" t="s">
        <v>73</v>
      </c>
      <c r="BC98" s="3" t="s">
        <v>1160</v>
      </c>
      <c r="BD98" s="3" t="s">
        <v>1161</v>
      </c>
    </row>
    <row r="99" spans="1:56" ht="51" customHeight="1" x14ac:dyDescent="0.25">
      <c r="A99" s="7" t="s">
        <v>58</v>
      </c>
      <c r="B99" s="2" t="s">
        <v>1162</v>
      </c>
      <c r="C99" s="2" t="s">
        <v>1163</v>
      </c>
      <c r="D99" s="2" t="s">
        <v>1164</v>
      </c>
      <c r="F99" s="3" t="s">
        <v>58</v>
      </c>
      <c r="G99" s="3" t="s">
        <v>59</v>
      </c>
      <c r="H99" s="3" t="s">
        <v>58</v>
      </c>
      <c r="I99" s="3" t="s">
        <v>58</v>
      </c>
      <c r="J99" s="3" t="s">
        <v>60</v>
      </c>
      <c r="K99" s="2" t="s">
        <v>1165</v>
      </c>
      <c r="L99" s="2" t="s">
        <v>1166</v>
      </c>
      <c r="M99" s="3" t="s">
        <v>101</v>
      </c>
      <c r="O99" s="3" t="s">
        <v>63</v>
      </c>
      <c r="P99" s="3" t="s">
        <v>84</v>
      </c>
      <c r="Q99" s="2" t="s">
        <v>1167</v>
      </c>
      <c r="R99" s="3" t="s">
        <v>65</v>
      </c>
      <c r="S99" s="4">
        <v>4</v>
      </c>
      <c r="T99" s="4">
        <v>4</v>
      </c>
      <c r="U99" s="5" t="s">
        <v>747</v>
      </c>
      <c r="V99" s="5" t="s">
        <v>747</v>
      </c>
      <c r="W99" s="5" t="s">
        <v>857</v>
      </c>
      <c r="X99" s="5" t="s">
        <v>857</v>
      </c>
      <c r="Y99" s="4">
        <v>83</v>
      </c>
      <c r="Z99" s="4">
        <v>64</v>
      </c>
      <c r="AA99" s="4">
        <v>77</v>
      </c>
      <c r="AB99" s="4">
        <v>1</v>
      </c>
      <c r="AC99" s="4">
        <v>1</v>
      </c>
      <c r="AD99" s="4">
        <v>2</v>
      </c>
      <c r="AE99" s="4">
        <v>2</v>
      </c>
      <c r="AF99" s="4">
        <v>2</v>
      </c>
      <c r="AG99" s="4">
        <v>2</v>
      </c>
      <c r="AH99" s="4">
        <v>0</v>
      </c>
      <c r="AI99" s="4">
        <v>0</v>
      </c>
      <c r="AJ99" s="4">
        <v>1</v>
      </c>
      <c r="AK99" s="4">
        <v>1</v>
      </c>
      <c r="AL99" s="4">
        <v>0</v>
      </c>
      <c r="AM99" s="4">
        <v>0</v>
      </c>
      <c r="AN99" s="4">
        <v>0</v>
      </c>
      <c r="AO99" s="4">
        <v>0</v>
      </c>
      <c r="AP99" s="3" t="s">
        <v>58</v>
      </c>
      <c r="AQ99" s="3" t="s">
        <v>68</v>
      </c>
      <c r="AR99" s="6" t="str">
        <f>HYPERLINK("http://catalog.hathitrust.org/Record/000643023","HathiTrust Record")</f>
        <v>HathiTrust Record</v>
      </c>
      <c r="AS99" s="6" t="str">
        <f>HYPERLINK("https://creighton-primo.hosted.exlibrisgroup.com/primo-explore/search?tab=default_tab&amp;search_scope=EVERYTHING&amp;vid=01CRU&amp;lang=en_US&amp;offset=0&amp;query=any,contains,991000764759702656","Catalog Record")</f>
        <v>Catalog Record</v>
      </c>
      <c r="AT99" s="6" t="str">
        <f>HYPERLINK("http://www.worldcat.org/oclc/12981413","WorldCat Record")</f>
        <v>WorldCat Record</v>
      </c>
      <c r="AU99" s="3" t="s">
        <v>1168</v>
      </c>
      <c r="AV99" s="3" t="s">
        <v>1169</v>
      </c>
      <c r="AW99" s="3" t="s">
        <v>1170</v>
      </c>
      <c r="AX99" s="3" t="s">
        <v>1170</v>
      </c>
      <c r="AY99" s="3" t="s">
        <v>1171</v>
      </c>
      <c r="AZ99" s="3" t="s">
        <v>73</v>
      </c>
      <c r="BC99" s="3" t="s">
        <v>1172</v>
      </c>
      <c r="BD99" s="3" t="s">
        <v>1173</v>
      </c>
    </row>
    <row r="100" spans="1:56" ht="51" customHeight="1" x14ac:dyDescent="0.25">
      <c r="A100" s="7" t="s">
        <v>58</v>
      </c>
      <c r="B100" s="2" t="s">
        <v>1174</v>
      </c>
      <c r="C100" s="2" t="s">
        <v>1175</v>
      </c>
      <c r="D100" s="2" t="s">
        <v>1176</v>
      </c>
      <c r="F100" s="3" t="s">
        <v>58</v>
      </c>
      <c r="G100" s="3" t="s">
        <v>59</v>
      </c>
      <c r="H100" s="3" t="s">
        <v>58</v>
      </c>
      <c r="I100" s="3" t="s">
        <v>58</v>
      </c>
      <c r="J100" s="3" t="s">
        <v>60</v>
      </c>
      <c r="K100" s="2" t="s">
        <v>1177</v>
      </c>
      <c r="L100" s="2" t="s">
        <v>1178</v>
      </c>
      <c r="M100" s="3" t="s">
        <v>815</v>
      </c>
      <c r="O100" s="3" t="s">
        <v>63</v>
      </c>
      <c r="P100" s="3" t="s">
        <v>84</v>
      </c>
      <c r="Q100" s="2" t="s">
        <v>1179</v>
      </c>
      <c r="R100" s="3" t="s">
        <v>65</v>
      </c>
      <c r="S100" s="4">
        <v>1</v>
      </c>
      <c r="T100" s="4">
        <v>1</v>
      </c>
      <c r="U100" s="5" t="s">
        <v>1180</v>
      </c>
      <c r="V100" s="5" t="s">
        <v>1180</v>
      </c>
      <c r="W100" s="5" t="s">
        <v>1180</v>
      </c>
      <c r="X100" s="5" t="s">
        <v>1180</v>
      </c>
      <c r="Y100" s="4">
        <v>55</v>
      </c>
      <c r="Z100" s="4">
        <v>30</v>
      </c>
      <c r="AA100" s="4">
        <v>85</v>
      </c>
      <c r="AB100" s="4">
        <v>1</v>
      </c>
      <c r="AC100" s="4">
        <v>2</v>
      </c>
      <c r="AD100" s="4">
        <v>0</v>
      </c>
      <c r="AE100" s="4">
        <v>6</v>
      </c>
      <c r="AF100" s="4">
        <v>0</v>
      </c>
      <c r="AG100" s="4">
        <v>4</v>
      </c>
      <c r="AH100" s="4">
        <v>0</v>
      </c>
      <c r="AI100" s="4">
        <v>1</v>
      </c>
      <c r="AJ100" s="4">
        <v>0</v>
      </c>
      <c r="AK100" s="4">
        <v>1</v>
      </c>
      <c r="AL100" s="4">
        <v>0</v>
      </c>
      <c r="AM100" s="4">
        <v>1</v>
      </c>
      <c r="AN100" s="4">
        <v>0</v>
      </c>
      <c r="AO100" s="4">
        <v>0</v>
      </c>
      <c r="AP100" s="3" t="s">
        <v>58</v>
      </c>
      <c r="AQ100" s="3" t="s">
        <v>68</v>
      </c>
      <c r="AR100" s="6" t="str">
        <f>HYPERLINK("http://catalog.hathitrust.org/Record/008565465","HathiTrust Record")</f>
        <v>HathiTrust Record</v>
      </c>
      <c r="AS100" s="6" t="str">
        <f>HYPERLINK("https://creighton-primo.hosted.exlibrisgroup.com/primo-explore/search?tab=default_tab&amp;search_scope=EVERYTHING&amp;vid=01CRU&amp;lang=en_US&amp;offset=0&amp;query=any,contains,991005351919702656","Catalog Record")</f>
        <v>Catalog Record</v>
      </c>
      <c r="AT100" s="6" t="str">
        <f>HYPERLINK("http://www.worldcat.org/oclc/318339324","WorldCat Record")</f>
        <v>WorldCat Record</v>
      </c>
      <c r="AU100" s="3" t="s">
        <v>1181</v>
      </c>
      <c r="AV100" s="3" t="s">
        <v>1182</v>
      </c>
      <c r="AW100" s="3" t="s">
        <v>1183</v>
      </c>
      <c r="AX100" s="3" t="s">
        <v>1183</v>
      </c>
      <c r="AY100" s="3" t="s">
        <v>1184</v>
      </c>
      <c r="AZ100" s="3" t="s">
        <v>73</v>
      </c>
      <c r="BB100" s="3" t="s">
        <v>1185</v>
      </c>
      <c r="BC100" s="3" t="s">
        <v>1186</v>
      </c>
      <c r="BD100" s="3" t="s">
        <v>1187</v>
      </c>
    </row>
    <row r="101" spans="1:56" ht="51" customHeight="1" x14ac:dyDescent="0.25">
      <c r="A101" s="7" t="s">
        <v>58</v>
      </c>
      <c r="B101" s="2" t="s">
        <v>1188</v>
      </c>
      <c r="C101" s="2" t="s">
        <v>1189</v>
      </c>
      <c r="D101" s="2" t="s">
        <v>1190</v>
      </c>
      <c r="E101" s="3" t="s">
        <v>223</v>
      </c>
      <c r="F101" s="3" t="s">
        <v>58</v>
      </c>
      <c r="G101" s="3" t="s">
        <v>59</v>
      </c>
      <c r="H101" s="3" t="s">
        <v>58</v>
      </c>
      <c r="I101" s="3" t="s">
        <v>58</v>
      </c>
      <c r="J101" s="3" t="s">
        <v>60</v>
      </c>
      <c r="L101" s="2" t="s">
        <v>1191</v>
      </c>
      <c r="M101" s="3" t="s">
        <v>800</v>
      </c>
      <c r="O101" s="3" t="s">
        <v>63</v>
      </c>
      <c r="P101" s="3" t="s">
        <v>1192</v>
      </c>
      <c r="R101" s="3" t="s">
        <v>65</v>
      </c>
      <c r="S101" s="4">
        <v>16</v>
      </c>
      <c r="T101" s="4">
        <v>16</v>
      </c>
      <c r="U101" s="5" t="s">
        <v>1193</v>
      </c>
      <c r="V101" s="5" t="s">
        <v>1193</v>
      </c>
      <c r="W101" s="5" t="s">
        <v>1194</v>
      </c>
      <c r="X101" s="5" t="s">
        <v>1194</v>
      </c>
      <c r="Y101" s="4">
        <v>169</v>
      </c>
      <c r="Z101" s="4">
        <v>152</v>
      </c>
      <c r="AA101" s="4">
        <v>156</v>
      </c>
      <c r="AB101" s="4">
        <v>6</v>
      </c>
      <c r="AC101" s="4">
        <v>6</v>
      </c>
      <c r="AD101" s="4">
        <v>11</v>
      </c>
      <c r="AE101" s="4">
        <v>11</v>
      </c>
      <c r="AF101" s="4">
        <v>2</v>
      </c>
      <c r="AG101" s="4">
        <v>2</v>
      </c>
      <c r="AH101" s="4">
        <v>3</v>
      </c>
      <c r="AI101" s="4">
        <v>3</v>
      </c>
      <c r="AJ101" s="4">
        <v>5</v>
      </c>
      <c r="AK101" s="4">
        <v>5</v>
      </c>
      <c r="AL101" s="4">
        <v>4</v>
      </c>
      <c r="AM101" s="4">
        <v>4</v>
      </c>
      <c r="AN101" s="4">
        <v>0</v>
      </c>
      <c r="AO101" s="4">
        <v>0</v>
      </c>
      <c r="AP101" s="3" t="s">
        <v>58</v>
      </c>
      <c r="AQ101" s="3" t="s">
        <v>58</v>
      </c>
      <c r="AS101" s="6" t="str">
        <f>HYPERLINK("https://creighton-primo.hosted.exlibrisgroup.com/primo-explore/search?tab=default_tab&amp;search_scope=EVERYTHING&amp;vid=01CRU&amp;lang=en_US&amp;offset=0&amp;query=any,contains,991002422279702656","Catalog Record")</f>
        <v>Catalog Record</v>
      </c>
      <c r="AT101" s="6" t="str">
        <f>HYPERLINK("http://www.worldcat.org/oclc/31604560","WorldCat Record")</f>
        <v>WorldCat Record</v>
      </c>
      <c r="AU101" s="3" t="s">
        <v>1195</v>
      </c>
      <c r="AV101" s="3" t="s">
        <v>1196</v>
      </c>
      <c r="AW101" s="3" t="s">
        <v>1197</v>
      </c>
      <c r="AX101" s="3" t="s">
        <v>1197</v>
      </c>
      <c r="AY101" s="3" t="s">
        <v>1198</v>
      </c>
      <c r="AZ101" s="3" t="s">
        <v>73</v>
      </c>
      <c r="BB101" s="3" t="s">
        <v>1199</v>
      </c>
      <c r="BC101" s="3" t="s">
        <v>1200</v>
      </c>
      <c r="BD101" s="3" t="s">
        <v>1201</v>
      </c>
    </row>
    <row r="102" spans="1:56" ht="51" customHeight="1" x14ac:dyDescent="0.25">
      <c r="A102" s="7" t="s">
        <v>58</v>
      </c>
      <c r="B102" s="2" t="s">
        <v>1202</v>
      </c>
      <c r="C102" s="2" t="s">
        <v>1203</v>
      </c>
      <c r="D102" s="2" t="s">
        <v>1204</v>
      </c>
      <c r="F102" s="3" t="s">
        <v>58</v>
      </c>
      <c r="G102" s="3" t="s">
        <v>59</v>
      </c>
      <c r="H102" s="3" t="s">
        <v>58</v>
      </c>
      <c r="I102" s="3" t="s">
        <v>58</v>
      </c>
      <c r="J102" s="3" t="s">
        <v>60</v>
      </c>
      <c r="K102" s="2" t="s">
        <v>1205</v>
      </c>
      <c r="L102" s="2" t="s">
        <v>1206</v>
      </c>
      <c r="M102" s="3" t="s">
        <v>138</v>
      </c>
      <c r="N102" s="2" t="s">
        <v>424</v>
      </c>
      <c r="O102" s="3" t="s">
        <v>63</v>
      </c>
      <c r="P102" s="3" t="s">
        <v>84</v>
      </c>
      <c r="Q102" s="2" t="s">
        <v>1207</v>
      </c>
      <c r="R102" s="3" t="s">
        <v>65</v>
      </c>
      <c r="S102" s="4">
        <v>2</v>
      </c>
      <c r="T102" s="4">
        <v>2</v>
      </c>
      <c r="U102" s="5" t="s">
        <v>1208</v>
      </c>
      <c r="V102" s="5" t="s">
        <v>1208</v>
      </c>
      <c r="W102" s="5" t="s">
        <v>112</v>
      </c>
      <c r="X102" s="5" t="s">
        <v>112</v>
      </c>
      <c r="Y102" s="4">
        <v>11</v>
      </c>
      <c r="Z102" s="4">
        <v>9</v>
      </c>
      <c r="AA102" s="4">
        <v>74</v>
      </c>
      <c r="AB102" s="4">
        <v>1</v>
      </c>
      <c r="AC102" s="4">
        <v>1</v>
      </c>
      <c r="AD102" s="4">
        <v>0</v>
      </c>
      <c r="AE102" s="4">
        <v>0</v>
      </c>
      <c r="AF102" s="4">
        <v>0</v>
      </c>
      <c r="AG102" s="4">
        <v>0</v>
      </c>
      <c r="AH102" s="4">
        <v>0</v>
      </c>
      <c r="AI102" s="4">
        <v>0</v>
      </c>
      <c r="AJ102" s="4">
        <v>0</v>
      </c>
      <c r="AK102" s="4">
        <v>0</v>
      </c>
      <c r="AL102" s="4">
        <v>0</v>
      </c>
      <c r="AM102" s="4">
        <v>0</v>
      </c>
      <c r="AN102" s="4">
        <v>0</v>
      </c>
      <c r="AO102" s="4">
        <v>0</v>
      </c>
      <c r="AP102" s="3" t="s">
        <v>58</v>
      </c>
      <c r="AQ102" s="3" t="s">
        <v>58</v>
      </c>
      <c r="AS102" s="6" t="str">
        <f>HYPERLINK("https://creighton-primo.hosted.exlibrisgroup.com/primo-explore/search?tab=default_tab&amp;search_scope=EVERYTHING&amp;vid=01CRU&amp;lang=en_US&amp;offset=0&amp;query=any,contains,991000748709702656","Catalog Record")</f>
        <v>Catalog Record</v>
      </c>
      <c r="AT102" s="6" t="str">
        <f>HYPERLINK("http://www.worldcat.org/oclc/12896089","WorldCat Record")</f>
        <v>WorldCat Record</v>
      </c>
      <c r="AU102" s="3" t="s">
        <v>1209</v>
      </c>
      <c r="AV102" s="3" t="s">
        <v>1210</v>
      </c>
      <c r="AW102" s="3" t="s">
        <v>1211</v>
      </c>
      <c r="AX102" s="3" t="s">
        <v>1211</v>
      </c>
      <c r="AY102" s="3" t="s">
        <v>1212</v>
      </c>
      <c r="AZ102" s="3" t="s">
        <v>73</v>
      </c>
      <c r="BC102" s="3" t="s">
        <v>1213</v>
      </c>
      <c r="BD102" s="3" t="s">
        <v>1214</v>
      </c>
    </row>
    <row r="103" spans="1:56" ht="51" customHeight="1" x14ac:dyDescent="0.25">
      <c r="A103" s="7" t="s">
        <v>58</v>
      </c>
      <c r="B103" s="2" t="s">
        <v>1215</v>
      </c>
      <c r="C103" s="2" t="s">
        <v>1216</v>
      </c>
      <c r="D103" s="2" t="s">
        <v>1217</v>
      </c>
      <c r="F103" s="3" t="s">
        <v>58</v>
      </c>
      <c r="G103" s="3" t="s">
        <v>59</v>
      </c>
      <c r="H103" s="3" t="s">
        <v>58</v>
      </c>
      <c r="I103" s="3" t="s">
        <v>58</v>
      </c>
      <c r="J103" s="3" t="s">
        <v>60</v>
      </c>
      <c r="K103" s="2" t="s">
        <v>1218</v>
      </c>
      <c r="M103" s="3" t="s">
        <v>745</v>
      </c>
      <c r="O103" s="3" t="s">
        <v>63</v>
      </c>
      <c r="P103" s="3" t="s">
        <v>84</v>
      </c>
      <c r="Q103" s="2" t="s">
        <v>1219</v>
      </c>
      <c r="R103" s="3" t="s">
        <v>65</v>
      </c>
      <c r="S103" s="4">
        <v>4</v>
      </c>
      <c r="T103" s="4">
        <v>4</v>
      </c>
      <c r="U103" s="5" t="s">
        <v>1208</v>
      </c>
      <c r="V103" s="5" t="s">
        <v>1208</v>
      </c>
      <c r="W103" s="5" t="s">
        <v>112</v>
      </c>
      <c r="X103" s="5" t="s">
        <v>112</v>
      </c>
      <c r="Y103" s="4">
        <v>110</v>
      </c>
      <c r="Z103" s="4">
        <v>72</v>
      </c>
      <c r="AA103" s="4">
        <v>74</v>
      </c>
      <c r="AB103" s="4">
        <v>1</v>
      </c>
      <c r="AC103" s="4">
        <v>1</v>
      </c>
      <c r="AD103" s="4">
        <v>0</v>
      </c>
      <c r="AE103" s="4">
        <v>0</v>
      </c>
      <c r="AF103" s="4">
        <v>0</v>
      </c>
      <c r="AG103" s="4">
        <v>0</v>
      </c>
      <c r="AH103" s="4">
        <v>0</v>
      </c>
      <c r="AI103" s="4">
        <v>0</v>
      </c>
      <c r="AJ103" s="4">
        <v>0</v>
      </c>
      <c r="AK103" s="4">
        <v>0</v>
      </c>
      <c r="AL103" s="4">
        <v>0</v>
      </c>
      <c r="AM103" s="4">
        <v>0</v>
      </c>
      <c r="AN103" s="4">
        <v>0</v>
      </c>
      <c r="AO103" s="4">
        <v>0</v>
      </c>
      <c r="AP103" s="3" t="s">
        <v>58</v>
      </c>
      <c r="AQ103" s="3" t="s">
        <v>68</v>
      </c>
      <c r="AR103" s="6" t="str">
        <f>HYPERLINK("http://catalog.hathitrust.org/Record/001246894","HathiTrust Record")</f>
        <v>HathiTrust Record</v>
      </c>
      <c r="AS103" s="6" t="str">
        <f>HYPERLINK("https://creighton-primo.hosted.exlibrisgroup.com/primo-explore/search?tab=default_tab&amp;search_scope=EVERYTHING&amp;vid=01CRU&amp;lang=en_US&amp;offset=0&amp;query=any,contains,991003115859702656","Catalog Record")</f>
        <v>Catalog Record</v>
      </c>
      <c r="AT103" s="6" t="str">
        <f>HYPERLINK("http://www.worldcat.org/oclc/661563","WorldCat Record")</f>
        <v>WorldCat Record</v>
      </c>
      <c r="AU103" s="3" t="s">
        <v>1220</v>
      </c>
      <c r="AV103" s="3" t="s">
        <v>1221</v>
      </c>
      <c r="AW103" s="3" t="s">
        <v>1222</v>
      </c>
      <c r="AX103" s="3" t="s">
        <v>1222</v>
      </c>
      <c r="AY103" s="3" t="s">
        <v>1223</v>
      </c>
      <c r="AZ103" s="3" t="s">
        <v>73</v>
      </c>
      <c r="BC103" s="3" t="s">
        <v>1224</v>
      </c>
      <c r="BD103" s="3" t="s">
        <v>1225</v>
      </c>
    </row>
    <row r="104" spans="1:56" ht="51" customHeight="1" x14ac:dyDescent="0.25">
      <c r="A104" s="7" t="s">
        <v>58</v>
      </c>
      <c r="B104" s="2" t="s">
        <v>1226</v>
      </c>
      <c r="C104" s="2" t="s">
        <v>1227</v>
      </c>
      <c r="D104" s="2" t="s">
        <v>1228</v>
      </c>
      <c r="F104" s="3" t="s">
        <v>58</v>
      </c>
      <c r="G104" s="3" t="s">
        <v>59</v>
      </c>
      <c r="H104" s="3" t="s">
        <v>58</v>
      </c>
      <c r="I104" s="3" t="s">
        <v>58</v>
      </c>
      <c r="J104" s="3" t="s">
        <v>60</v>
      </c>
      <c r="K104" s="2" t="s">
        <v>1229</v>
      </c>
      <c r="L104" s="2" t="s">
        <v>1230</v>
      </c>
      <c r="M104" s="3" t="s">
        <v>1061</v>
      </c>
      <c r="O104" s="3" t="s">
        <v>63</v>
      </c>
      <c r="P104" s="3" t="s">
        <v>1231</v>
      </c>
      <c r="R104" s="3" t="s">
        <v>65</v>
      </c>
      <c r="S104" s="4">
        <v>0</v>
      </c>
      <c r="T104" s="4">
        <v>0</v>
      </c>
      <c r="U104" s="5" t="s">
        <v>1232</v>
      </c>
      <c r="V104" s="5" t="s">
        <v>1232</v>
      </c>
      <c r="W104" s="5" t="s">
        <v>1233</v>
      </c>
      <c r="X104" s="5" t="s">
        <v>1233</v>
      </c>
      <c r="Y104" s="4">
        <v>151</v>
      </c>
      <c r="Z104" s="4">
        <v>130</v>
      </c>
      <c r="AA104" s="4">
        <v>707</v>
      </c>
      <c r="AB104" s="4">
        <v>1</v>
      </c>
      <c r="AC104" s="4">
        <v>2</v>
      </c>
      <c r="AD104" s="4">
        <v>5</v>
      </c>
      <c r="AE104" s="4">
        <v>10</v>
      </c>
      <c r="AF104" s="4">
        <v>3</v>
      </c>
      <c r="AG104" s="4">
        <v>7</v>
      </c>
      <c r="AH104" s="4">
        <v>1</v>
      </c>
      <c r="AI104" s="4">
        <v>1</v>
      </c>
      <c r="AJ104" s="4">
        <v>3</v>
      </c>
      <c r="AK104" s="4">
        <v>3</v>
      </c>
      <c r="AL104" s="4">
        <v>0</v>
      </c>
      <c r="AM104" s="4">
        <v>1</v>
      </c>
      <c r="AN104" s="4">
        <v>0</v>
      </c>
      <c r="AO104" s="4">
        <v>0</v>
      </c>
      <c r="AP104" s="3" t="s">
        <v>58</v>
      </c>
      <c r="AQ104" s="3" t="s">
        <v>68</v>
      </c>
      <c r="AR104" s="6" t="str">
        <f>HYPERLINK("http://catalog.hathitrust.org/Record/007142925","HathiTrust Record")</f>
        <v>HathiTrust Record</v>
      </c>
      <c r="AS104" s="6" t="str">
        <f>HYPERLINK("https://creighton-primo.hosted.exlibrisgroup.com/primo-explore/search?tab=default_tab&amp;search_scope=EVERYTHING&amp;vid=01CRU&amp;lang=en_US&amp;offset=0&amp;query=any,contains,991002713549702656","Catalog Record")</f>
        <v>Catalog Record</v>
      </c>
      <c r="AT104" s="6" t="str">
        <f>HYPERLINK("http://www.worldcat.org/oclc/35593457","WorldCat Record")</f>
        <v>WorldCat Record</v>
      </c>
      <c r="AU104" s="3" t="s">
        <v>1234</v>
      </c>
      <c r="AV104" s="3" t="s">
        <v>1235</v>
      </c>
      <c r="AW104" s="3" t="s">
        <v>1236</v>
      </c>
      <c r="AX104" s="3" t="s">
        <v>1236</v>
      </c>
      <c r="AY104" s="3" t="s">
        <v>1237</v>
      </c>
      <c r="AZ104" s="3" t="s">
        <v>73</v>
      </c>
      <c r="BB104" s="3" t="s">
        <v>1238</v>
      </c>
      <c r="BC104" s="3" t="s">
        <v>1239</v>
      </c>
      <c r="BD104" s="3" t="s">
        <v>1240</v>
      </c>
    </row>
    <row r="105" spans="1:56" ht="51" customHeight="1" x14ac:dyDescent="0.25">
      <c r="A105" s="7" t="s">
        <v>58</v>
      </c>
      <c r="B105" s="2" t="s">
        <v>1241</v>
      </c>
      <c r="C105" s="2" t="s">
        <v>1242</v>
      </c>
      <c r="D105" s="2" t="s">
        <v>1243</v>
      </c>
      <c r="F105" s="3" t="s">
        <v>58</v>
      </c>
      <c r="G105" s="3" t="s">
        <v>59</v>
      </c>
      <c r="H105" s="3" t="s">
        <v>58</v>
      </c>
      <c r="I105" s="3" t="s">
        <v>58</v>
      </c>
      <c r="J105" s="3" t="s">
        <v>60</v>
      </c>
      <c r="K105" s="2" t="s">
        <v>81</v>
      </c>
      <c r="L105" s="2" t="s">
        <v>1244</v>
      </c>
      <c r="M105" s="3" t="s">
        <v>479</v>
      </c>
      <c r="O105" s="3" t="s">
        <v>63</v>
      </c>
      <c r="P105" s="3" t="s">
        <v>84</v>
      </c>
      <c r="R105" s="3" t="s">
        <v>65</v>
      </c>
      <c r="S105" s="4">
        <v>4</v>
      </c>
      <c r="T105" s="4">
        <v>4</v>
      </c>
      <c r="U105" s="5" t="s">
        <v>1245</v>
      </c>
      <c r="V105" s="5" t="s">
        <v>1245</v>
      </c>
      <c r="W105" s="5" t="s">
        <v>857</v>
      </c>
      <c r="X105" s="5" t="s">
        <v>857</v>
      </c>
      <c r="Y105" s="4">
        <v>134</v>
      </c>
      <c r="Z105" s="4">
        <v>103</v>
      </c>
      <c r="AA105" s="4">
        <v>117</v>
      </c>
      <c r="AB105" s="4">
        <v>1</v>
      </c>
      <c r="AC105" s="4">
        <v>1</v>
      </c>
      <c r="AD105" s="4">
        <v>7</v>
      </c>
      <c r="AE105" s="4">
        <v>7</v>
      </c>
      <c r="AF105" s="4">
        <v>3</v>
      </c>
      <c r="AG105" s="4">
        <v>3</v>
      </c>
      <c r="AH105" s="4">
        <v>1</v>
      </c>
      <c r="AI105" s="4">
        <v>1</v>
      </c>
      <c r="AJ105" s="4">
        <v>6</v>
      </c>
      <c r="AK105" s="4">
        <v>6</v>
      </c>
      <c r="AL105" s="4">
        <v>0</v>
      </c>
      <c r="AM105" s="4">
        <v>0</v>
      </c>
      <c r="AN105" s="4">
        <v>0</v>
      </c>
      <c r="AO105" s="4">
        <v>0</v>
      </c>
      <c r="AP105" s="3" t="s">
        <v>58</v>
      </c>
      <c r="AQ105" s="3" t="s">
        <v>68</v>
      </c>
      <c r="AR105" s="6" t="str">
        <f>HYPERLINK("http://catalog.hathitrust.org/Record/002971344","HathiTrust Record")</f>
        <v>HathiTrust Record</v>
      </c>
      <c r="AS105" s="6" t="str">
        <f>HYPERLINK("https://creighton-primo.hosted.exlibrisgroup.com/primo-explore/search?tab=default_tab&amp;search_scope=EVERYTHING&amp;vid=01CRU&amp;lang=en_US&amp;offset=0&amp;query=any,contains,991002400019702656","Catalog Record")</f>
        <v>Catalog Record</v>
      </c>
      <c r="AT105" s="6" t="str">
        <f>HYPERLINK("http://www.worldcat.org/oclc/31196704","WorldCat Record")</f>
        <v>WorldCat Record</v>
      </c>
      <c r="AU105" s="3" t="s">
        <v>1246</v>
      </c>
      <c r="AV105" s="3" t="s">
        <v>1247</v>
      </c>
      <c r="AW105" s="3" t="s">
        <v>1248</v>
      </c>
      <c r="AX105" s="3" t="s">
        <v>1248</v>
      </c>
      <c r="AY105" s="3" t="s">
        <v>1249</v>
      </c>
      <c r="AZ105" s="3" t="s">
        <v>73</v>
      </c>
      <c r="BC105" s="3" t="s">
        <v>1250</v>
      </c>
      <c r="BD105" s="3" t="s">
        <v>1251</v>
      </c>
    </row>
    <row r="106" spans="1:56" ht="51" customHeight="1" x14ac:dyDescent="0.25">
      <c r="A106" s="7" t="s">
        <v>58</v>
      </c>
      <c r="B106" s="2" t="s">
        <v>1252</v>
      </c>
      <c r="C106" s="2" t="s">
        <v>1253</v>
      </c>
      <c r="D106" s="2" t="s">
        <v>1254</v>
      </c>
      <c r="F106" s="3" t="s">
        <v>58</v>
      </c>
      <c r="G106" s="3" t="s">
        <v>59</v>
      </c>
      <c r="H106" s="3" t="s">
        <v>58</v>
      </c>
      <c r="I106" s="3" t="s">
        <v>58</v>
      </c>
      <c r="J106" s="3" t="s">
        <v>60</v>
      </c>
      <c r="K106" s="2" t="s">
        <v>1255</v>
      </c>
      <c r="L106" s="2" t="s">
        <v>1256</v>
      </c>
      <c r="M106" s="3" t="s">
        <v>800</v>
      </c>
      <c r="O106" s="3" t="s">
        <v>63</v>
      </c>
      <c r="P106" s="3" t="s">
        <v>84</v>
      </c>
      <c r="R106" s="3" t="s">
        <v>65</v>
      </c>
      <c r="S106" s="4">
        <v>4</v>
      </c>
      <c r="T106" s="4">
        <v>4</v>
      </c>
      <c r="U106" s="5" t="s">
        <v>1257</v>
      </c>
      <c r="V106" s="5" t="s">
        <v>1257</v>
      </c>
      <c r="W106" s="5" t="s">
        <v>1258</v>
      </c>
      <c r="X106" s="5" t="s">
        <v>1258</v>
      </c>
      <c r="Y106" s="4">
        <v>64</v>
      </c>
      <c r="Z106" s="4">
        <v>37</v>
      </c>
      <c r="AA106" s="4">
        <v>40</v>
      </c>
      <c r="AB106" s="4">
        <v>1</v>
      </c>
      <c r="AC106" s="4">
        <v>1</v>
      </c>
      <c r="AD106" s="4">
        <v>2</v>
      </c>
      <c r="AE106" s="4">
        <v>2</v>
      </c>
      <c r="AF106" s="4">
        <v>0</v>
      </c>
      <c r="AG106" s="4">
        <v>0</v>
      </c>
      <c r="AH106" s="4">
        <v>1</v>
      </c>
      <c r="AI106" s="4">
        <v>1</v>
      </c>
      <c r="AJ106" s="4">
        <v>2</v>
      </c>
      <c r="AK106" s="4">
        <v>2</v>
      </c>
      <c r="AL106" s="4">
        <v>0</v>
      </c>
      <c r="AM106" s="4">
        <v>0</v>
      </c>
      <c r="AN106" s="4">
        <v>0</v>
      </c>
      <c r="AO106" s="4">
        <v>0</v>
      </c>
      <c r="AP106" s="3" t="s">
        <v>58</v>
      </c>
      <c r="AQ106" s="3" t="s">
        <v>68</v>
      </c>
      <c r="AR106" s="6" t="str">
        <f>HYPERLINK("http://catalog.hathitrust.org/Record/003050479","HathiTrust Record")</f>
        <v>HathiTrust Record</v>
      </c>
      <c r="AS106" s="6" t="str">
        <f>HYPERLINK("https://creighton-primo.hosted.exlibrisgroup.com/primo-explore/search?tab=default_tab&amp;search_scope=EVERYTHING&amp;vid=01CRU&amp;lang=en_US&amp;offset=0&amp;query=any,contains,991002648049702656","Catalog Record")</f>
        <v>Catalog Record</v>
      </c>
      <c r="AT106" s="6" t="str">
        <f>HYPERLINK("http://www.worldcat.org/oclc/34649946","WorldCat Record")</f>
        <v>WorldCat Record</v>
      </c>
      <c r="AU106" s="3" t="s">
        <v>1259</v>
      </c>
      <c r="AV106" s="3" t="s">
        <v>1260</v>
      </c>
      <c r="AW106" s="3" t="s">
        <v>1261</v>
      </c>
      <c r="AX106" s="3" t="s">
        <v>1261</v>
      </c>
      <c r="AY106" s="3" t="s">
        <v>1262</v>
      </c>
      <c r="AZ106" s="3" t="s">
        <v>73</v>
      </c>
      <c r="BB106" s="3" t="s">
        <v>1263</v>
      </c>
      <c r="BC106" s="3" t="s">
        <v>1264</v>
      </c>
      <c r="BD106" s="3" t="s">
        <v>1265</v>
      </c>
    </row>
    <row r="107" spans="1:56" ht="51" customHeight="1" x14ac:dyDescent="0.25">
      <c r="A107" s="7" t="s">
        <v>58</v>
      </c>
      <c r="B107" s="2" t="s">
        <v>1266</v>
      </c>
      <c r="C107" s="2" t="s">
        <v>1267</v>
      </c>
      <c r="D107" s="2" t="s">
        <v>1268</v>
      </c>
      <c r="F107" s="3" t="s">
        <v>58</v>
      </c>
      <c r="G107" s="3" t="s">
        <v>59</v>
      </c>
      <c r="H107" s="3" t="s">
        <v>58</v>
      </c>
      <c r="I107" s="3" t="s">
        <v>58</v>
      </c>
      <c r="J107" s="3" t="s">
        <v>60</v>
      </c>
      <c r="K107" s="2" t="s">
        <v>1269</v>
      </c>
      <c r="L107" s="2" t="s">
        <v>1270</v>
      </c>
      <c r="M107" s="3" t="s">
        <v>397</v>
      </c>
      <c r="O107" s="3" t="s">
        <v>554</v>
      </c>
      <c r="P107" s="3" t="s">
        <v>555</v>
      </c>
      <c r="Q107" s="2" t="s">
        <v>1271</v>
      </c>
      <c r="R107" s="3" t="s">
        <v>65</v>
      </c>
      <c r="S107" s="4">
        <v>4</v>
      </c>
      <c r="T107" s="4">
        <v>4</v>
      </c>
      <c r="U107" s="5" t="s">
        <v>1272</v>
      </c>
      <c r="V107" s="5" t="s">
        <v>1272</v>
      </c>
      <c r="W107" s="5" t="s">
        <v>1273</v>
      </c>
      <c r="X107" s="5" t="s">
        <v>1273</v>
      </c>
      <c r="Y107" s="4">
        <v>81</v>
      </c>
      <c r="Z107" s="4">
        <v>42</v>
      </c>
      <c r="AA107" s="4">
        <v>42</v>
      </c>
      <c r="AB107" s="4">
        <v>1</v>
      </c>
      <c r="AC107" s="4">
        <v>1</v>
      </c>
      <c r="AD107" s="4">
        <v>4</v>
      </c>
      <c r="AE107" s="4">
        <v>4</v>
      </c>
      <c r="AF107" s="4">
        <v>0</v>
      </c>
      <c r="AG107" s="4">
        <v>0</v>
      </c>
      <c r="AH107" s="4">
        <v>1</v>
      </c>
      <c r="AI107" s="4">
        <v>1</v>
      </c>
      <c r="AJ107" s="4">
        <v>4</v>
      </c>
      <c r="AK107" s="4">
        <v>4</v>
      </c>
      <c r="AL107" s="4">
        <v>0</v>
      </c>
      <c r="AM107" s="4">
        <v>0</v>
      </c>
      <c r="AN107" s="4">
        <v>0</v>
      </c>
      <c r="AO107" s="4">
        <v>0</v>
      </c>
      <c r="AP107" s="3" t="s">
        <v>58</v>
      </c>
      <c r="AQ107" s="3" t="s">
        <v>58</v>
      </c>
      <c r="AS107" s="6" t="str">
        <f>HYPERLINK("https://creighton-primo.hosted.exlibrisgroup.com/primo-explore/search?tab=default_tab&amp;search_scope=EVERYTHING&amp;vid=01CRU&amp;lang=en_US&amp;offset=0&amp;query=any,contains,991001047809702656","Catalog Record")</f>
        <v>Catalog Record</v>
      </c>
      <c r="AT107" s="6" t="str">
        <f>HYPERLINK("http://www.worldcat.org/oclc/15630285","WorldCat Record")</f>
        <v>WorldCat Record</v>
      </c>
      <c r="AU107" s="3" t="s">
        <v>1274</v>
      </c>
      <c r="AV107" s="3" t="s">
        <v>1275</v>
      </c>
      <c r="AW107" s="3" t="s">
        <v>1276</v>
      </c>
      <c r="AX107" s="3" t="s">
        <v>1276</v>
      </c>
      <c r="AY107" s="3" t="s">
        <v>1277</v>
      </c>
      <c r="AZ107" s="3" t="s">
        <v>73</v>
      </c>
      <c r="BB107" s="3" t="s">
        <v>1278</v>
      </c>
      <c r="BC107" s="3" t="s">
        <v>1279</v>
      </c>
      <c r="BD107" s="3" t="s">
        <v>1280</v>
      </c>
    </row>
    <row r="108" spans="1:56" ht="51" customHeight="1" x14ac:dyDescent="0.25">
      <c r="A108" s="7" t="s">
        <v>58</v>
      </c>
      <c r="B108" s="2" t="s">
        <v>1281</v>
      </c>
      <c r="C108" s="2" t="s">
        <v>1282</v>
      </c>
      <c r="D108" s="2" t="s">
        <v>1283</v>
      </c>
      <c r="F108" s="3" t="s">
        <v>58</v>
      </c>
      <c r="G108" s="3" t="s">
        <v>59</v>
      </c>
      <c r="H108" s="3" t="s">
        <v>58</v>
      </c>
      <c r="I108" s="3" t="s">
        <v>58</v>
      </c>
      <c r="J108" s="3" t="s">
        <v>60</v>
      </c>
      <c r="K108" s="2" t="s">
        <v>1284</v>
      </c>
      <c r="L108" s="2" t="s">
        <v>1285</v>
      </c>
      <c r="M108" s="3" t="s">
        <v>759</v>
      </c>
      <c r="O108" s="3" t="s">
        <v>63</v>
      </c>
      <c r="P108" s="3" t="s">
        <v>571</v>
      </c>
      <c r="Q108" s="2" t="s">
        <v>1286</v>
      </c>
      <c r="R108" s="3" t="s">
        <v>65</v>
      </c>
      <c r="S108" s="4">
        <v>10</v>
      </c>
      <c r="T108" s="4">
        <v>10</v>
      </c>
      <c r="U108" s="5" t="s">
        <v>1287</v>
      </c>
      <c r="V108" s="5" t="s">
        <v>1287</v>
      </c>
      <c r="W108" s="5" t="s">
        <v>112</v>
      </c>
      <c r="X108" s="5" t="s">
        <v>112</v>
      </c>
      <c r="Y108" s="4">
        <v>695</v>
      </c>
      <c r="Z108" s="4">
        <v>580</v>
      </c>
      <c r="AA108" s="4">
        <v>636</v>
      </c>
      <c r="AB108" s="4">
        <v>6</v>
      </c>
      <c r="AC108" s="4">
        <v>6</v>
      </c>
      <c r="AD108" s="4">
        <v>40</v>
      </c>
      <c r="AE108" s="4">
        <v>41</v>
      </c>
      <c r="AF108" s="4">
        <v>13</v>
      </c>
      <c r="AG108" s="4">
        <v>14</v>
      </c>
      <c r="AH108" s="4">
        <v>10</v>
      </c>
      <c r="AI108" s="4">
        <v>10</v>
      </c>
      <c r="AJ108" s="4">
        <v>22</v>
      </c>
      <c r="AK108" s="4">
        <v>22</v>
      </c>
      <c r="AL108" s="4">
        <v>5</v>
      </c>
      <c r="AM108" s="4">
        <v>5</v>
      </c>
      <c r="AN108" s="4">
        <v>0</v>
      </c>
      <c r="AO108" s="4">
        <v>0</v>
      </c>
      <c r="AP108" s="3" t="s">
        <v>58</v>
      </c>
      <c r="AQ108" s="3" t="s">
        <v>68</v>
      </c>
      <c r="AR108" s="6" t="str">
        <f>HYPERLINK("http://catalog.hathitrust.org/Record/000723020","HathiTrust Record")</f>
        <v>HathiTrust Record</v>
      </c>
      <c r="AS108" s="6" t="str">
        <f>HYPERLINK("https://creighton-primo.hosted.exlibrisgroup.com/primo-explore/search?tab=default_tab&amp;search_scope=EVERYTHING&amp;vid=01CRU&amp;lang=en_US&amp;offset=0&amp;query=any,contains,991004966249702656","Catalog Record")</f>
        <v>Catalog Record</v>
      </c>
      <c r="AT108" s="6" t="str">
        <f>HYPERLINK("http://www.worldcat.org/oclc/6333957","WorldCat Record")</f>
        <v>WorldCat Record</v>
      </c>
      <c r="AU108" s="3" t="s">
        <v>1288</v>
      </c>
      <c r="AV108" s="3" t="s">
        <v>1289</v>
      </c>
      <c r="AW108" s="3" t="s">
        <v>1290</v>
      </c>
      <c r="AX108" s="3" t="s">
        <v>1290</v>
      </c>
      <c r="AY108" s="3" t="s">
        <v>1291</v>
      </c>
      <c r="AZ108" s="3" t="s">
        <v>73</v>
      </c>
      <c r="BB108" s="3" t="s">
        <v>1292</v>
      </c>
      <c r="BC108" s="3" t="s">
        <v>1293</v>
      </c>
      <c r="BD108" s="3" t="s">
        <v>1294</v>
      </c>
    </row>
    <row r="109" spans="1:56" ht="51" customHeight="1" x14ac:dyDescent="0.25">
      <c r="A109" s="7" t="s">
        <v>58</v>
      </c>
      <c r="B109" s="2" t="s">
        <v>1295</v>
      </c>
      <c r="C109" s="2" t="s">
        <v>1296</v>
      </c>
      <c r="D109" s="2" t="s">
        <v>1297</v>
      </c>
      <c r="F109" s="3" t="s">
        <v>58</v>
      </c>
      <c r="G109" s="3" t="s">
        <v>59</v>
      </c>
      <c r="H109" s="3" t="s">
        <v>58</v>
      </c>
      <c r="I109" s="3" t="s">
        <v>58</v>
      </c>
      <c r="J109" s="3" t="s">
        <v>60</v>
      </c>
      <c r="L109" s="2" t="s">
        <v>1298</v>
      </c>
      <c r="M109" s="3" t="s">
        <v>382</v>
      </c>
      <c r="O109" s="3" t="s">
        <v>63</v>
      </c>
      <c r="P109" s="3" t="s">
        <v>1299</v>
      </c>
      <c r="Q109" s="2" t="s">
        <v>1300</v>
      </c>
      <c r="R109" s="3" t="s">
        <v>65</v>
      </c>
      <c r="S109" s="4">
        <v>4</v>
      </c>
      <c r="T109" s="4">
        <v>4</v>
      </c>
      <c r="U109" s="5" t="s">
        <v>1301</v>
      </c>
      <c r="V109" s="5" t="s">
        <v>1301</v>
      </c>
      <c r="W109" s="5" t="s">
        <v>1302</v>
      </c>
      <c r="X109" s="5" t="s">
        <v>1302</v>
      </c>
      <c r="Y109" s="4">
        <v>288</v>
      </c>
      <c r="Z109" s="4">
        <v>223</v>
      </c>
      <c r="AA109" s="4">
        <v>225</v>
      </c>
      <c r="AB109" s="4">
        <v>2</v>
      </c>
      <c r="AC109" s="4">
        <v>2</v>
      </c>
      <c r="AD109" s="4">
        <v>16</v>
      </c>
      <c r="AE109" s="4">
        <v>16</v>
      </c>
      <c r="AF109" s="4">
        <v>7</v>
      </c>
      <c r="AG109" s="4">
        <v>7</v>
      </c>
      <c r="AH109" s="4">
        <v>5</v>
      </c>
      <c r="AI109" s="4">
        <v>5</v>
      </c>
      <c r="AJ109" s="4">
        <v>9</v>
      </c>
      <c r="AK109" s="4">
        <v>9</v>
      </c>
      <c r="AL109" s="4">
        <v>1</v>
      </c>
      <c r="AM109" s="4">
        <v>1</v>
      </c>
      <c r="AN109" s="4">
        <v>0</v>
      </c>
      <c r="AO109" s="4">
        <v>0</v>
      </c>
      <c r="AP109" s="3" t="s">
        <v>58</v>
      </c>
      <c r="AQ109" s="3" t="s">
        <v>68</v>
      </c>
      <c r="AR109" s="6" t="str">
        <f>HYPERLINK("http://catalog.hathitrust.org/Record/004030823","HathiTrust Record")</f>
        <v>HathiTrust Record</v>
      </c>
      <c r="AS109" s="6" t="str">
        <f>HYPERLINK("https://creighton-primo.hosted.exlibrisgroup.com/primo-explore/search?tab=default_tab&amp;search_scope=EVERYTHING&amp;vid=01CRU&amp;lang=en_US&amp;offset=0&amp;query=any,contains,991003363099702656","Catalog Record")</f>
        <v>Catalog Record</v>
      </c>
      <c r="AT109" s="6" t="str">
        <f>HYPERLINK("http://www.worldcat.org/oclc/41039931","WorldCat Record")</f>
        <v>WorldCat Record</v>
      </c>
      <c r="AU109" s="3" t="s">
        <v>1303</v>
      </c>
      <c r="AV109" s="3" t="s">
        <v>1304</v>
      </c>
      <c r="AW109" s="3" t="s">
        <v>1305</v>
      </c>
      <c r="AX109" s="3" t="s">
        <v>1305</v>
      </c>
      <c r="AY109" s="3" t="s">
        <v>1306</v>
      </c>
      <c r="AZ109" s="3" t="s">
        <v>73</v>
      </c>
      <c r="BB109" s="3" t="s">
        <v>1307</v>
      </c>
      <c r="BC109" s="3" t="s">
        <v>1308</v>
      </c>
      <c r="BD109" s="3" t="s">
        <v>1309</v>
      </c>
    </row>
    <row r="110" spans="1:56" ht="51" customHeight="1" x14ac:dyDescent="0.25">
      <c r="A110" s="7" t="s">
        <v>58</v>
      </c>
      <c r="B110" s="2" t="s">
        <v>1310</v>
      </c>
      <c r="C110" s="2" t="s">
        <v>1311</v>
      </c>
      <c r="D110" s="2" t="s">
        <v>1312</v>
      </c>
      <c r="F110" s="3" t="s">
        <v>58</v>
      </c>
      <c r="G110" s="3" t="s">
        <v>59</v>
      </c>
      <c r="H110" s="3" t="s">
        <v>58</v>
      </c>
      <c r="I110" s="3" t="s">
        <v>58</v>
      </c>
      <c r="J110" s="3" t="s">
        <v>60</v>
      </c>
      <c r="K110" s="2" t="s">
        <v>1313</v>
      </c>
      <c r="L110" s="2" t="s">
        <v>1314</v>
      </c>
      <c r="M110" s="3" t="s">
        <v>626</v>
      </c>
      <c r="O110" s="3" t="s">
        <v>63</v>
      </c>
      <c r="P110" s="3" t="s">
        <v>354</v>
      </c>
      <c r="R110" s="3" t="s">
        <v>65</v>
      </c>
      <c r="S110" s="4">
        <v>11</v>
      </c>
      <c r="T110" s="4">
        <v>11</v>
      </c>
      <c r="U110" s="5" t="s">
        <v>1315</v>
      </c>
      <c r="V110" s="5" t="s">
        <v>1315</v>
      </c>
      <c r="W110" s="5" t="s">
        <v>1316</v>
      </c>
      <c r="X110" s="5" t="s">
        <v>1316</v>
      </c>
      <c r="Y110" s="4">
        <v>368</v>
      </c>
      <c r="Z110" s="4">
        <v>284</v>
      </c>
      <c r="AA110" s="4">
        <v>338</v>
      </c>
      <c r="AB110" s="4">
        <v>1</v>
      </c>
      <c r="AC110" s="4">
        <v>2</v>
      </c>
      <c r="AD110" s="4">
        <v>16</v>
      </c>
      <c r="AE110" s="4">
        <v>21</v>
      </c>
      <c r="AF110" s="4">
        <v>7</v>
      </c>
      <c r="AG110" s="4">
        <v>7</v>
      </c>
      <c r="AH110" s="4">
        <v>3</v>
      </c>
      <c r="AI110" s="4">
        <v>6</v>
      </c>
      <c r="AJ110" s="4">
        <v>10</v>
      </c>
      <c r="AK110" s="4">
        <v>12</v>
      </c>
      <c r="AL110" s="4">
        <v>0</v>
      </c>
      <c r="AM110" s="4">
        <v>1</v>
      </c>
      <c r="AN110" s="4">
        <v>0</v>
      </c>
      <c r="AO110" s="4">
        <v>0</v>
      </c>
      <c r="AP110" s="3" t="s">
        <v>58</v>
      </c>
      <c r="AQ110" s="3" t="s">
        <v>68</v>
      </c>
      <c r="AR110" s="6" t="str">
        <f>HYPERLINK("http://catalog.hathitrust.org/Record/003114081","HathiTrust Record")</f>
        <v>HathiTrust Record</v>
      </c>
      <c r="AS110" s="6" t="str">
        <f>HYPERLINK("https://creighton-primo.hosted.exlibrisgroup.com/primo-explore/search?tab=default_tab&amp;search_scope=EVERYTHING&amp;vid=01CRU&amp;lang=en_US&amp;offset=0&amp;query=any,contains,991005400199702656","Catalog Record")</f>
        <v>Catalog Record</v>
      </c>
      <c r="AT110" s="6" t="str">
        <f>HYPERLINK("http://www.worldcat.org/oclc/9083701","WorldCat Record")</f>
        <v>WorldCat Record</v>
      </c>
      <c r="AU110" s="3" t="s">
        <v>1317</v>
      </c>
      <c r="AV110" s="3" t="s">
        <v>1318</v>
      </c>
      <c r="AW110" s="3" t="s">
        <v>1319</v>
      </c>
      <c r="AX110" s="3" t="s">
        <v>1319</v>
      </c>
      <c r="AY110" s="3" t="s">
        <v>1320</v>
      </c>
      <c r="AZ110" s="3" t="s">
        <v>73</v>
      </c>
      <c r="BB110" s="3" t="s">
        <v>1321</v>
      </c>
      <c r="BC110" s="3" t="s">
        <v>1322</v>
      </c>
      <c r="BD110" s="3" t="s">
        <v>1323</v>
      </c>
    </row>
    <row r="111" spans="1:56" ht="51" customHeight="1" x14ac:dyDescent="0.25">
      <c r="A111" s="7" t="s">
        <v>58</v>
      </c>
      <c r="B111" s="2" t="s">
        <v>1324</v>
      </c>
      <c r="C111" s="2" t="s">
        <v>1325</v>
      </c>
      <c r="D111" s="2" t="s">
        <v>1326</v>
      </c>
      <c r="F111" s="3" t="s">
        <v>58</v>
      </c>
      <c r="G111" s="3" t="s">
        <v>59</v>
      </c>
      <c r="H111" s="3" t="s">
        <v>58</v>
      </c>
      <c r="I111" s="3" t="s">
        <v>58</v>
      </c>
      <c r="J111" s="3" t="s">
        <v>60</v>
      </c>
      <c r="K111" s="2" t="s">
        <v>1327</v>
      </c>
      <c r="L111" s="2" t="s">
        <v>1328</v>
      </c>
      <c r="M111" s="3" t="s">
        <v>196</v>
      </c>
      <c r="O111" s="3" t="s">
        <v>63</v>
      </c>
      <c r="P111" s="3" t="s">
        <v>495</v>
      </c>
      <c r="R111" s="3" t="s">
        <v>65</v>
      </c>
      <c r="S111" s="4">
        <v>7</v>
      </c>
      <c r="T111" s="4">
        <v>7</v>
      </c>
      <c r="U111" s="5" t="s">
        <v>1315</v>
      </c>
      <c r="V111" s="5" t="s">
        <v>1315</v>
      </c>
      <c r="W111" s="5" t="s">
        <v>1329</v>
      </c>
      <c r="X111" s="5" t="s">
        <v>1329</v>
      </c>
      <c r="Y111" s="4">
        <v>592</v>
      </c>
      <c r="Z111" s="4">
        <v>475</v>
      </c>
      <c r="AA111" s="4">
        <v>478</v>
      </c>
      <c r="AB111" s="4">
        <v>7</v>
      </c>
      <c r="AC111" s="4">
        <v>7</v>
      </c>
      <c r="AD111" s="4">
        <v>39</v>
      </c>
      <c r="AE111" s="4">
        <v>39</v>
      </c>
      <c r="AF111" s="4">
        <v>17</v>
      </c>
      <c r="AG111" s="4">
        <v>17</v>
      </c>
      <c r="AH111" s="4">
        <v>8</v>
      </c>
      <c r="AI111" s="4">
        <v>8</v>
      </c>
      <c r="AJ111" s="4">
        <v>19</v>
      </c>
      <c r="AK111" s="4">
        <v>19</v>
      </c>
      <c r="AL111" s="4">
        <v>6</v>
      </c>
      <c r="AM111" s="4">
        <v>6</v>
      </c>
      <c r="AN111" s="4">
        <v>0</v>
      </c>
      <c r="AO111" s="4">
        <v>0</v>
      </c>
      <c r="AP111" s="3" t="s">
        <v>58</v>
      </c>
      <c r="AQ111" s="3" t="s">
        <v>68</v>
      </c>
      <c r="AR111" s="6" t="str">
        <f>HYPERLINK("http://catalog.hathitrust.org/Record/003131971","HathiTrust Record")</f>
        <v>HathiTrust Record</v>
      </c>
      <c r="AS111" s="6" t="str">
        <f>HYPERLINK("https://creighton-primo.hosted.exlibrisgroup.com/primo-explore/search?tab=default_tab&amp;search_scope=EVERYTHING&amp;vid=01CRU&amp;lang=en_US&amp;offset=0&amp;query=any,contains,991005424799702656","Catalog Record")</f>
        <v>Catalog Record</v>
      </c>
      <c r="AT111" s="6" t="str">
        <f>HYPERLINK("http://www.worldcat.org/oclc/35360851","WorldCat Record")</f>
        <v>WorldCat Record</v>
      </c>
      <c r="AU111" s="3" t="s">
        <v>1330</v>
      </c>
      <c r="AV111" s="3" t="s">
        <v>1331</v>
      </c>
      <c r="AW111" s="3" t="s">
        <v>1332</v>
      </c>
      <c r="AX111" s="3" t="s">
        <v>1332</v>
      </c>
      <c r="AY111" s="3" t="s">
        <v>1333</v>
      </c>
      <c r="AZ111" s="3" t="s">
        <v>73</v>
      </c>
      <c r="BB111" s="3" t="s">
        <v>1334</v>
      </c>
      <c r="BC111" s="3" t="s">
        <v>1335</v>
      </c>
      <c r="BD111" s="3" t="s">
        <v>1336</v>
      </c>
    </row>
    <row r="112" spans="1:56" ht="51" customHeight="1" x14ac:dyDescent="0.25">
      <c r="A112" s="7" t="s">
        <v>58</v>
      </c>
      <c r="B112" s="2" t="s">
        <v>1337</v>
      </c>
      <c r="C112" s="2" t="s">
        <v>1338</v>
      </c>
      <c r="D112" s="2" t="s">
        <v>1339</v>
      </c>
      <c r="F112" s="3" t="s">
        <v>58</v>
      </c>
      <c r="G112" s="3" t="s">
        <v>59</v>
      </c>
      <c r="H112" s="3" t="s">
        <v>58</v>
      </c>
      <c r="I112" s="3" t="s">
        <v>58</v>
      </c>
      <c r="J112" s="3" t="s">
        <v>60</v>
      </c>
      <c r="K112" s="2" t="s">
        <v>1340</v>
      </c>
      <c r="L112" s="2" t="s">
        <v>1341</v>
      </c>
      <c r="M112" s="3" t="s">
        <v>951</v>
      </c>
      <c r="N112" s="2" t="s">
        <v>1342</v>
      </c>
      <c r="O112" s="3" t="s">
        <v>63</v>
      </c>
      <c r="P112" s="3" t="s">
        <v>214</v>
      </c>
      <c r="R112" s="3" t="s">
        <v>65</v>
      </c>
      <c r="S112" s="4">
        <v>5</v>
      </c>
      <c r="T112" s="4">
        <v>5</v>
      </c>
      <c r="U112" s="5" t="s">
        <v>1343</v>
      </c>
      <c r="V112" s="5" t="s">
        <v>1343</v>
      </c>
      <c r="W112" s="5" t="s">
        <v>1344</v>
      </c>
      <c r="X112" s="5" t="s">
        <v>1344</v>
      </c>
      <c r="Y112" s="4">
        <v>127</v>
      </c>
      <c r="Z112" s="4">
        <v>102</v>
      </c>
      <c r="AA112" s="4">
        <v>498</v>
      </c>
      <c r="AB112" s="4">
        <v>1</v>
      </c>
      <c r="AC112" s="4">
        <v>2</v>
      </c>
      <c r="AD112" s="4">
        <v>2</v>
      </c>
      <c r="AE112" s="4">
        <v>17</v>
      </c>
      <c r="AF112" s="4">
        <v>0</v>
      </c>
      <c r="AG112" s="4">
        <v>4</v>
      </c>
      <c r="AH112" s="4">
        <v>1</v>
      </c>
      <c r="AI112" s="4">
        <v>5</v>
      </c>
      <c r="AJ112" s="4">
        <v>1</v>
      </c>
      <c r="AK112" s="4">
        <v>10</v>
      </c>
      <c r="AL112" s="4">
        <v>0</v>
      </c>
      <c r="AM112" s="4">
        <v>1</v>
      </c>
      <c r="AN112" s="4">
        <v>0</v>
      </c>
      <c r="AO112" s="4">
        <v>1</v>
      </c>
      <c r="AP112" s="3" t="s">
        <v>58</v>
      </c>
      <c r="AQ112" s="3" t="s">
        <v>58</v>
      </c>
      <c r="AS112" s="6" t="str">
        <f>HYPERLINK("https://creighton-primo.hosted.exlibrisgroup.com/primo-explore/search?tab=default_tab&amp;search_scope=EVERYTHING&amp;vid=01CRU&amp;lang=en_US&amp;offset=0&amp;query=any,contains,991003257359702656","Catalog Record")</f>
        <v>Catalog Record</v>
      </c>
      <c r="AT112" s="6" t="str">
        <f>HYPERLINK("http://www.worldcat.org/oclc/44653006","WorldCat Record")</f>
        <v>WorldCat Record</v>
      </c>
      <c r="AU112" s="3" t="s">
        <v>1345</v>
      </c>
      <c r="AV112" s="3" t="s">
        <v>1346</v>
      </c>
      <c r="AW112" s="3" t="s">
        <v>1347</v>
      </c>
      <c r="AX112" s="3" t="s">
        <v>1347</v>
      </c>
      <c r="AY112" s="3" t="s">
        <v>1348</v>
      </c>
      <c r="AZ112" s="3" t="s">
        <v>73</v>
      </c>
      <c r="BB112" s="3" t="s">
        <v>1349</v>
      </c>
      <c r="BC112" s="3" t="s">
        <v>1350</v>
      </c>
      <c r="BD112" s="3" t="s">
        <v>1351</v>
      </c>
    </row>
    <row r="113" spans="1:56" ht="51" customHeight="1" x14ac:dyDescent="0.25">
      <c r="A113" s="7" t="s">
        <v>58</v>
      </c>
      <c r="B113" s="2" t="s">
        <v>1352</v>
      </c>
      <c r="C113" s="2" t="s">
        <v>1353</v>
      </c>
      <c r="D113" s="2" t="s">
        <v>1354</v>
      </c>
      <c r="F113" s="3" t="s">
        <v>58</v>
      </c>
      <c r="G113" s="3" t="s">
        <v>59</v>
      </c>
      <c r="H113" s="3" t="s">
        <v>58</v>
      </c>
      <c r="I113" s="3" t="s">
        <v>58</v>
      </c>
      <c r="J113" s="3" t="s">
        <v>60</v>
      </c>
      <c r="K113" s="2" t="s">
        <v>1355</v>
      </c>
      <c r="L113" s="2" t="s">
        <v>1356</v>
      </c>
      <c r="M113" s="3" t="s">
        <v>1357</v>
      </c>
      <c r="O113" s="3" t="s">
        <v>63</v>
      </c>
      <c r="P113" s="3" t="s">
        <v>84</v>
      </c>
      <c r="Q113" s="2" t="s">
        <v>1358</v>
      </c>
      <c r="R113" s="3" t="s">
        <v>65</v>
      </c>
      <c r="S113" s="4">
        <v>3</v>
      </c>
      <c r="T113" s="4">
        <v>3</v>
      </c>
      <c r="U113" s="5" t="s">
        <v>1359</v>
      </c>
      <c r="V113" s="5" t="s">
        <v>1359</v>
      </c>
      <c r="W113" s="5" t="s">
        <v>235</v>
      </c>
      <c r="X113" s="5" t="s">
        <v>235</v>
      </c>
      <c r="Y113" s="4">
        <v>217</v>
      </c>
      <c r="Z113" s="4">
        <v>188</v>
      </c>
      <c r="AA113" s="4">
        <v>202</v>
      </c>
      <c r="AB113" s="4">
        <v>1</v>
      </c>
      <c r="AC113" s="4">
        <v>1</v>
      </c>
      <c r="AD113" s="4">
        <v>8</v>
      </c>
      <c r="AE113" s="4">
        <v>8</v>
      </c>
      <c r="AF113" s="4">
        <v>4</v>
      </c>
      <c r="AG113" s="4">
        <v>4</v>
      </c>
      <c r="AH113" s="4">
        <v>3</v>
      </c>
      <c r="AI113" s="4">
        <v>3</v>
      </c>
      <c r="AJ113" s="4">
        <v>4</v>
      </c>
      <c r="AK113" s="4">
        <v>4</v>
      </c>
      <c r="AL113" s="4">
        <v>0</v>
      </c>
      <c r="AM113" s="4">
        <v>0</v>
      </c>
      <c r="AN113" s="4">
        <v>0</v>
      </c>
      <c r="AO113" s="4">
        <v>0</v>
      </c>
      <c r="AP113" s="3" t="s">
        <v>58</v>
      </c>
      <c r="AQ113" s="3" t="s">
        <v>68</v>
      </c>
      <c r="AR113" s="6" t="str">
        <f>HYPERLINK("http://catalog.hathitrust.org/Record/001242331","HathiTrust Record")</f>
        <v>HathiTrust Record</v>
      </c>
      <c r="AS113" s="6" t="str">
        <f>HYPERLINK("https://creighton-primo.hosted.exlibrisgroup.com/primo-explore/search?tab=default_tab&amp;search_scope=EVERYTHING&amp;vid=01CRU&amp;lang=en_US&amp;offset=0&amp;query=any,contains,991002656499702656","Catalog Record")</f>
        <v>Catalog Record</v>
      </c>
      <c r="AT113" s="6" t="str">
        <f>HYPERLINK("http://www.worldcat.org/oclc/389342","WorldCat Record")</f>
        <v>WorldCat Record</v>
      </c>
      <c r="AU113" s="3" t="s">
        <v>1360</v>
      </c>
      <c r="AV113" s="3" t="s">
        <v>1361</v>
      </c>
      <c r="AW113" s="3" t="s">
        <v>1362</v>
      </c>
      <c r="AX113" s="3" t="s">
        <v>1362</v>
      </c>
      <c r="AY113" s="3" t="s">
        <v>1363</v>
      </c>
      <c r="AZ113" s="3" t="s">
        <v>73</v>
      </c>
      <c r="BC113" s="3" t="s">
        <v>1364</v>
      </c>
      <c r="BD113" s="3" t="s">
        <v>1365</v>
      </c>
    </row>
    <row r="114" spans="1:56" ht="51" customHeight="1" x14ac:dyDescent="0.25">
      <c r="A114" s="7" t="s">
        <v>58</v>
      </c>
      <c r="B114" s="2" t="s">
        <v>1366</v>
      </c>
      <c r="C114" s="2" t="s">
        <v>1367</v>
      </c>
      <c r="D114" s="2" t="s">
        <v>1368</v>
      </c>
      <c r="E114" s="3" t="s">
        <v>210</v>
      </c>
      <c r="F114" s="3" t="s">
        <v>68</v>
      </c>
      <c r="G114" s="3" t="s">
        <v>59</v>
      </c>
      <c r="H114" s="3" t="s">
        <v>58</v>
      </c>
      <c r="I114" s="3" t="s">
        <v>58</v>
      </c>
      <c r="J114" s="3" t="s">
        <v>60</v>
      </c>
      <c r="K114" s="2" t="s">
        <v>1355</v>
      </c>
      <c r="L114" s="2" t="s">
        <v>1369</v>
      </c>
      <c r="M114" s="3" t="s">
        <v>524</v>
      </c>
      <c r="O114" s="3" t="s">
        <v>63</v>
      </c>
      <c r="P114" s="3" t="s">
        <v>84</v>
      </c>
      <c r="Q114" s="2" t="s">
        <v>1370</v>
      </c>
      <c r="R114" s="3" t="s">
        <v>65</v>
      </c>
      <c r="S114" s="4">
        <v>2</v>
      </c>
      <c r="T114" s="4">
        <v>4</v>
      </c>
      <c r="U114" s="5" t="s">
        <v>1359</v>
      </c>
      <c r="V114" s="5" t="s">
        <v>1359</v>
      </c>
      <c r="W114" s="5" t="s">
        <v>1371</v>
      </c>
      <c r="X114" s="5" t="s">
        <v>1371</v>
      </c>
      <c r="Y114" s="4">
        <v>144</v>
      </c>
      <c r="Z114" s="4">
        <v>114</v>
      </c>
      <c r="AA114" s="4">
        <v>116</v>
      </c>
      <c r="AB114" s="4">
        <v>1</v>
      </c>
      <c r="AC114" s="4">
        <v>1</v>
      </c>
      <c r="AD114" s="4">
        <v>3</v>
      </c>
      <c r="AE114" s="4">
        <v>3</v>
      </c>
      <c r="AF114" s="4">
        <v>1</v>
      </c>
      <c r="AG114" s="4">
        <v>1</v>
      </c>
      <c r="AH114" s="4">
        <v>1</v>
      </c>
      <c r="AI114" s="4">
        <v>1</v>
      </c>
      <c r="AJ114" s="4">
        <v>2</v>
      </c>
      <c r="AK114" s="4">
        <v>2</v>
      </c>
      <c r="AL114" s="4">
        <v>0</v>
      </c>
      <c r="AM114" s="4">
        <v>0</v>
      </c>
      <c r="AN114" s="4">
        <v>0</v>
      </c>
      <c r="AO114" s="4">
        <v>0</v>
      </c>
      <c r="AP114" s="3" t="s">
        <v>58</v>
      </c>
      <c r="AQ114" s="3" t="s">
        <v>68</v>
      </c>
      <c r="AR114" s="6" t="str">
        <f>HYPERLINK("http://catalog.hathitrust.org/Record/001822458","HathiTrust Record")</f>
        <v>HathiTrust Record</v>
      </c>
      <c r="AS114" s="6" t="str">
        <f>HYPERLINK("https://creighton-primo.hosted.exlibrisgroup.com/primo-explore/search?tab=default_tab&amp;search_scope=EVERYTHING&amp;vid=01CRU&amp;lang=en_US&amp;offset=0&amp;query=any,contains,991001298069702656","Catalog Record")</f>
        <v>Catalog Record</v>
      </c>
      <c r="AT114" s="6" t="str">
        <f>HYPERLINK("http://www.worldcat.org/oclc/18051029","WorldCat Record")</f>
        <v>WorldCat Record</v>
      </c>
      <c r="AU114" s="3" t="s">
        <v>1372</v>
      </c>
      <c r="AV114" s="3" t="s">
        <v>1373</v>
      </c>
      <c r="AW114" s="3" t="s">
        <v>1374</v>
      </c>
      <c r="AX114" s="3" t="s">
        <v>1374</v>
      </c>
      <c r="AY114" s="3" t="s">
        <v>1375</v>
      </c>
      <c r="AZ114" s="3" t="s">
        <v>73</v>
      </c>
      <c r="BB114" s="3" t="s">
        <v>1376</v>
      </c>
      <c r="BC114" s="3" t="s">
        <v>1377</v>
      </c>
      <c r="BD114" s="3" t="s">
        <v>1378</v>
      </c>
    </row>
    <row r="115" spans="1:56" ht="51" customHeight="1" x14ac:dyDescent="0.25">
      <c r="A115" s="7" t="s">
        <v>58</v>
      </c>
      <c r="B115" s="2" t="s">
        <v>1366</v>
      </c>
      <c r="C115" s="2" t="s">
        <v>1367</v>
      </c>
      <c r="D115" s="2" t="s">
        <v>1368</v>
      </c>
      <c r="E115" s="3" t="s">
        <v>223</v>
      </c>
      <c r="F115" s="3" t="s">
        <v>68</v>
      </c>
      <c r="G115" s="3" t="s">
        <v>59</v>
      </c>
      <c r="H115" s="3" t="s">
        <v>58</v>
      </c>
      <c r="I115" s="3" t="s">
        <v>58</v>
      </c>
      <c r="J115" s="3" t="s">
        <v>60</v>
      </c>
      <c r="K115" s="2" t="s">
        <v>1355</v>
      </c>
      <c r="L115" s="2" t="s">
        <v>1369</v>
      </c>
      <c r="M115" s="3" t="s">
        <v>524</v>
      </c>
      <c r="O115" s="3" t="s">
        <v>63</v>
      </c>
      <c r="P115" s="3" t="s">
        <v>84</v>
      </c>
      <c r="Q115" s="2" t="s">
        <v>1370</v>
      </c>
      <c r="R115" s="3" t="s">
        <v>65</v>
      </c>
      <c r="S115" s="4">
        <v>2</v>
      </c>
      <c r="T115" s="4">
        <v>4</v>
      </c>
      <c r="U115" s="5" t="s">
        <v>1359</v>
      </c>
      <c r="V115" s="5" t="s">
        <v>1359</v>
      </c>
      <c r="W115" s="5" t="s">
        <v>1371</v>
      </c>
      <c r="X115" s="5" t="s">
        <v>1371</v>
      </c>
      <c r="Y115" s="4">
        <v>144</v>
      </c>
      <c r="Z115" s="4">
        <v>114</v>
      </c>
      <c r="AA115" s="4">
        <v>116</v>
      </c>
      <c r="AB115" s="4">
        <v>1</v>
      </c>
      <c r="AC115" s="4">
        <v>1</v>
      </c>
      <c r="AD115" s="4">
        <v>3</v>
      </c>
      <c r="AE115" s="4">
        <v>3</v>
      </c>
      <c r="AF115" s="4">
        <v>1</v>
      </c>
      <c r="AG115" s="4">
        <v>1</v>
      </c>
      <c r="AH115" s="4">
        <v>1</v>
      </c>
      <c r="AI115" s="4">
        <v>1</v>
      </c>
      <c r="AJ115" s="4">
        <v>2</v>
      </c>
      <c r="AK115" s="4">
        <v>2</v>
      </c>
      <c r="AL115" s="4">
        <v>0</v>
      </c>
      <c r="AM115" s="4">
        <v>0</v>
      </c>
      <c r="AN115" s="4">
        <v>0</v>
      </c>
      <c r="AO115" s="4">
        <v>0</v>
      </c>
      <c r="AP115" s="3" t="s">
        <v>58</v>
      </c>
      <c r="AQ115" s="3" t="s">
        <v>68</v>
      </c>
      <c r="AR115" s="6" t="str">
        <f>HYPERLINK("http://catalog.hathitrust.org/Record/001822458","HathiTrust Record")</f>
        <v>HathiTrust Record</v>
      </c>
      <c r="AS115" s="6" t="str">
        <f>HYPERLINK("https://creighton-primo.hosted.exlibrisgroup.com/primo-explore/search?tab=default_tab&amp;search_scope=EVERYTHING&amp;vid=01CRU&amp;lang=en_US&amp;offset=0&amp;query=any,contains,991001298069702656","Catalog Record")</f>
        <v>Catalog Record</v>
      </c>
      <c r="AT115" s="6" t="str">
        <f>HYPERLINK("http://www.worldcat.org/oclc/18051029","WorldCat Record")</f>
        <v>WorldCat Record</v>
      </c>
      <c r="AU115" s="3" t="s">
        <v>1372</v>
      </c>
      <c r="AV115" s="3" t="s">
        <v>1373</v>
      </c>
      <c r="AW115" s="3" t="s">
        <v>1374</v>
      </c>
      <c r="AX115" s="3" t="s">
        <v>1374</v>
      </c>
      <c r="AY115" s="3" t="s">
        <v>1375</v>
      </c>
      <c r="AZ115" s="3" t="s">
        <v>73</v>
      </c>
      <c r="BB115" s="3" t="s">
        <v>1376</v>
      </c>
      <c r="BC115" s="3" t="s">
        <v>1379</v>
      </c>
      <c r="BD115" s="3" t="s">
        <v>1380</v>
      </c>
    </row>
    <row r="116" spans="1:56" ht="51" customHeight="1" x14ac:dyDescent="0.25">
      <c r="A116" s="7" t="s">
        <v>58</v>
      </c>
      <c r="B116" s="2" t="s">
        <v>1381</v>
      </c>
      <c r="C116" s="2" t="s">
        <v>1382</v>
      </c>
      <c r="D116" s="2" t="s">
        <v>1383</v>
      </c>
      <c r="F116" s="3" t="s">
        <v>58</v>
      </c>
      <c r="G116" s="3" t="s">
        <v>59</v>
      </c>
      <c r="H116" s="3" t="s">
        <v>58</v>
      </c>
      <c r="I116" s="3" t="s">
        <v>58</v>
      </c>
      <c r="J116" s="3" t="s">
        <v>60</v>
      </c>
      <c r="L116" s="2" t="s">
        <v>1384</v>
      </c>
      <c r="M116" s="3" t="s">
        <v>1385</v>
      </c>
      <c r="O116" s="3" t="s">
        <v>63</v>
      </c>
      <c r="P116" s="3" t="s">
        <v>84</v>
      </c>
      <c r="Q116" s="2" t="s">
        <v>1386</v>
      </c>
      <c r="R116" s="3" t="s">
        <v>65</v>
      </c>
      <c r="S116" s="4">
        <v>2</v>
      </c>
      <c r="T116" s="4">
        <v>2</v>
      </c>
      <c r="U116" s="5" t="s">
        <v>1359</v>
      </c>
      <c r="V116" s="5" t="s">
        <v>1359</v>
      </c>
      <c r="W116" s="5" t="s">
        <v>235</v>
      </c>
      <c r="X116" s="5" t="s">
        <v>235</v>
      </c>
      <c r="Y116" s="4">
        <v>202</v>
      </c>
      <c r="Z116" s="4">
        <v>173</v>
      </c>
      <c r="AA116" s="4">
        <v>179</v>
      </c>
      <c r="AB116" s="4">
        <v>1</v>
      </c>
      <c r="AC116" s="4">
        <v>1</v>
      </c>
      <c r="AD116" s="4">
        <v>6</v>
      </c>
      <c r="AE116" s="4">
        <v>6</v>
      </c>
      <c r="AF116" s="4">
        <v>3</v>
      </c>
      <c r="AG116" s="4">
        <v>3</v>
      </c>
      <c r="AH116" s="4">
        <v>3</v>
      </c>
      <c r="AI116" s="4">
        <v>3</v>
      </c>
      <c r="AJ116" s="4">
        <v>3</v>
      </c>
      <c r="AK116" s="4">
        <v>3</v>
      </c>
      <c r="AL116" s="4">
        <v>0</v>
      </c>
      <c r="AM116" s="4">
        <v>0</v>
      </c>
      <c r="AN116" s="4">
        <v>0</v>
      </c>
      <c r="AO116" s="4">
        <v>0</v>
      </c>
      <c r="AP116" s="3" t="s">
        <v>58</v>
      </c>
      <c r="AQ116" s="3" t="s">
        <v>68</v>
      </c>
      <c r="AR116" s="6" t="str">
        <f>HYPERLINK("http://catalog.hathitrust.org/Record/000019500","HathiTrust Record")</f>
        <v>HathiTrust Record</v>
      </c>
      <c r="AS116" s="6" t="str">
        <f>HYPERLINK("https://creighton-primo.hosted.exlibrisgroup.com/primo-explore/search?tab=default_tab&amp;search_scope=EVERYTHING&amp;vid=01CRU&amp;lang=en_US&amp;offset=0&amp;query=any,contains,991003807079702656","Catalog Record")</f>
        <v>Catalog Record</v>
      </c>
      <c r="AT116" s="6" t="str">
        <f>HYPERLINK("http://www.worldcat.org/oclc/1531295","WorldCat Record")</f>
        <v>WorldCat Record</v>
      </c>
      <c r="AU116" s="3" t="s">
        <v>1387</v>
      </c>
      <c r="AV116" s="3" t="s">
        <v>1388</v>
      </c>
      <c r="AW116" s="3" t="s">
        <v>1389</v>
      </c>
      <c r="AX116" s="3" t="s">
        <v>1389</v>
      </c>
      <c r="AY116" s="3" t="s">
        <v>1390</v>
      </c>
      <c r="AZ116" s="3" t="s">
        <v>73</v>
      </c>
      <c r="BB116" s="3" t="s">
        <v>1391</v>
      </c>
      <c r="BC116" s="3" t="s">
        <v>1392</v>
      </c>
      <c r="BD116" s="3" t="s">
        <v>1393</v>
      </c>
    </row>
    <row r="117" spans="1:56" ht="51" customHeight="1" x14ac:dyDescent="0.25">
      <c r="A117" s="7" t="s">
        <v>58</v>
      </c>
      <c r="B117" s="2" t="s">
        <v>1394</v>
      </c>
      <c r="C117" s="2" t="s">
        <v>1395</v>
      </c>
      <c r="D117" s="2" t="s">
        <v>1396</v>
      </c>
      <c r="F117" s="3" t="s">
        <v>58</v>
      </c>
      <c r="G117" s="3" t="s">
        <v>59</v>
      </c>
      <c r="H117" s="3" t="s">
        <v>58</v>
      </c>
      <c r="I117" s="3" t="s">
        <v>58</v>
      </c>
      <c r="J117" s="3" t="s">
        <v>60</v>
      </c>
      <c r="K117" s="2" t="s">
        <v>1397</v>
      </c>
      <c r="L117" s="2" t="s">
        <v>1398</v>
      </c>
      <c r="M117" s="3" t="s">
        <v>1399</v>
      </c>
      <c r="O117" s="3" t="s">
        <v>63</v>
      </c>
      <c r="P117" s="3" t="s">
        <v>84</v>
      </c>
      <c r="Q117" s="2" t="s">
        <v>1400</v>
      </c>
      <c r="R117" s="3" t="s">
        <v>65</v>
      </c>
      <c r="S117" s="4">
        <v>5</v>
      </c>
      <c r="T117" s="4">
        <v>5</v>
      </c>
      <c r="U117" s="5" t="s">
        <v>1359</v>
      </c>
      <c r="V117" s="5" t="s">
        <v>1359</v>
      </c>
      <c r="W117" s="5" t="s">
        <v>1401</v>
      </c>
      <c r="X117" s="5" t="s">
        <v>1401</v>
      </c>
      <c r="Y117" s="4">
        <v>117</v>
      </c>
      <c r="Z117" s="4">
        <v>95</v>
      </c>
      <c r="AA117" s="4">
        <v>97</v>
      </c>
      <c r="AB117" s="4">
        <v>1</v>
      </c>
      <c r="AC117" s="4">
        <v>1</v>
      </c>
      <c r="AD117" s="4">
        <v>3</v>
      </c>
      <c r="AE117" s="4">
        <v>3</v>
      </c>
      <c r="AF117" s="4">
        <v>2</v>
      </c>
      <c r="AG117" s="4">
        <v>2</v>
      </c>
      <c r="AH117" s="4">
        <v>1</v>
      </c>
      <c r="AI117" s="4">
        <v>1</v>
      </c>
      <c r="AJ117" s="4">
        <v>1</v>
      </c>
      <c r="AK117" s="4">
        <v>1</v>
      </c>
      <c r="AL117" s="4">
        <v>0</v>
      </c>
      <c r="AM117" s="4">
        <v>0</v>
      </c>
      <c r="AN117" s="4">
        <v>0</v>
      </c>
      <c r="AO117" s="4">
        <v>0</v>
      </c>
      <c r="AP117" s="3" t="s">
        <v>58</v>
      </c>
      <c r="AQ117" s="3" t="s">
        <v>68</v>
      </c>
      <c r="AR117" s="6" t="str">
        <f>HYPERLINK("http://catalog.hathitrust.org/Record/001826336","HathiTrust Record")</f>
        <v>HathiTrust Record</v>
      </c>
      <c r="AS117" s="6" t="str">
        <f>HYPERLINK("https://creighton-primo.hosted.exlibrisgroup.com/primo-explore/search?tab=default_tab&amp;search_scope=EVERYTHING&amp;vid=01CRU&amp;lang=en_US&amp;offset=0&amp;query=any,contains,991001590769702656","Catalog Record")</f>
        <v>Catalog Record</v>
      </c>
      <c r="AT117" s="6" t="str">
        <f>HYPERLINK("http://www.worldcat.org/oclc/20572723","WorldCat Record")</f>
        <v>WorldCat Record</v>
      </c>
      <c r="AU117" s="3" t="s">
        <v>1402</v>
      </c>
      <c r="AV117" s="3" t="s">
        <v>1403</v>
      </c>
      <c r="AW117" s="3" t="s">
        <v>1404</v>
      </c>
      <c r="AX117" s="3" t="s">
        <v>1404</v>
      </c>
      <c r="AY117" s="3" t="s">
        <v>1405</v>
      </c>
      <c r="AZ117" s="3" t="s">
        <v>73</v>
      </c>
      <c r="BB117" s="3" t="s">
        <v>1406</v>
      </c>
      <c r="BC117" s="3" t="s">
        <v>1407</v>
      </c>
      <c r="BD117" s="3" t="s">
        <v>1408</v>
      </c>
    </row>
    <row r="118" spans="1:56" ht="51" customHeight="1" x14ac:dyDescent="0.25">
      <c r="A118" s="7" t="s">
        <v>58</v>
      </c>
      <c r="B118" s="2" t="s">
        <v>1409</v>
      </c>
      <c r="C118" s="2" t="s">
        <v>1410</v>
      </c>
      <c r="D118" s="2" t="s">
        <v>1411</v>
      </c>
      <c r="E118" s="3" t="s">
        <v>1412</v>
      </c>
      <c r="F118" s="3" t="s">
        <v>68</v>
      </c>
      <c r="G118" s="3" t="s">
        <v>59</v>
      </c>
      <c r="H118" s="3" t="s">
        <v>58</v>
      </c>
      <c r="I118" s="3" t="s">
        <v>58</v>
      </c>
      <c r="J118" s="3" t="s">
        <v>60</v>
      </c>
      <c r="K118" s="2" t="s">
        <v>1413</v>
      </c>
      <c r="L118" s="2" t="s">
        <v>1414</v>
      </c>
      <c r="M118" s="3" t="s">
        <v>626</v>
      </c>
      <c r="O118" s="3" t="s">
        <v>63</v>
      </c>
      <c r="P118" s="3" t="s">
        <v>84</v>
      </c>
      <c r="Q118" s="2" t="s">
        <v>1415</v>
      </c>
      <c r="R118" s="3" t="s">
        <v>65</v>
      </c>
      <c r="S118" s="4">
        <v>2</v>
      </c>
      <c r="T118" s="4">
        <v>2</v>
      </c>
      <c r="U118" s="5" t="s">
        <v>1416</v>
      </c>
      <c r="V118" s="5" t="s">
        <v>1416</v>
      </c>
      <c r="W118" s="5" t="s">
        <v>1417</v>
      </c>
      <c r="X118" s="5" t="s">
        <v>1417</v>
      </c>
      <c r="Y118" s="4">
        <v>170</v>
      </c>
      <c r="Z118" s="4">
        <v>129</v>
      </c>
      <c r="AA118" s="4">
        <v>131</v>
      </c>
      <c r="AB118" s="4">
        <v>1</v>
      </c>
      <c r="AC118" s="4">
        <v>1</v>
      </c>
      <c r="AD118" s="4">
        <v>5</v>
      </c>
      <c r="AE118" s="4">
        <v>5</v>
      </c>
      <c r="AF118" s="4">
        <v>2</v>
      </c>
      <c r="AG118" s="4">
        <v>2</v>
      </c>
      <c r="AH118" s="4">
        <v>0</v>
      </c>
      <c r="AI118" s="4">
        <v>0</v>
      </c>
      <c r="AJ118" s="4">
        <v>5</v>
      </c>
      <c r="AK118" s="4">
        <v>5</v>
      </c>
      <c r="AL118" s="4">
        <v>0</v>
      </c>
      <c r="AM118" s="4">
        <v>0</v>
      </c>
      <c r="AN118" s="4">
        <v>0</v>
      </c>
      <c r="AO118" s="4">
        <v>0</v>
      </c>
      <c r="AP118" s="3" t="s">
        <v>58</v>
      </c>
      <c r="AQ118" s="3" t="s">
        <v>68</v>
      </c>
      <c r="AR118" s="6" t="str">
        <f>HYPERLINK("http://catalog.hathitrust.org/Record/000918520","HathiTrust Record")</f>
        <v>HathiTrust Record</v>
      </c>
      <c r="AS118" s="6" t="str">
        <f>HYPERLINK("https://creighton-primo.hosted.exlibrisgroup.com/primo-explore/search?tab=default_tab&amp;search_scope=EVERYTHING&amp;vid=01CRU&amp;lang=en_US&amp;offset=0&amp;query=any,contains,991004170019702656","Catalog Record")</f>
        <v>Catalog Record</v>
      </c>
      <c r="AT118" s="6" t="str">
        <f>HYPERLINK("http://www.worldcat.org/oclc/10753056","WorldCat Record")</f>
        <v>WorldCat Record</v>
      </c>
      <c r="AU118" s="3" t="s">
        <v>1418</v>
      </c>
      <c r="AV118" s="3" t="s">
        <v>1419</v>
      </c>
      <c r="AW118" s="3" t="s">
        <v>1420</v>
      </c>
      <c r="AX118" s="3" t="s">
        <v>1420</v>
      </c>
      <c r="AY118" s="3" t="s">
        <v>1421</v>
      </c>
      <c r="AZ118" s="3" t="s">
        <v>73</v>
      </c>
      <c r="BB118" s="3" t="s">
        <v>1422</v>
      </c>
      <c r="BC118" s="3" t="s">
        <v>1423</v>
      </c>
      <c r="BD118" s="3" t="s">
        <v>1424</v>
      </c>
    </row>
    <row r="119" spans="1:56" ht="51" customHeight="1" x14ac:dyDescent="0.25">
      <c r="A119" s="7" t="s">
        <v>58</v>
      </c>
      <c r="B119" s="2" t="s">
        <v>1425</v>
      </c>
      <c r="C119" s="2" t="s">
        <v>1426</v>
      </c>
      <c r="D119" s="2" t="s">
        <v>1427</v>
      </c>
      <c r="E119" s="3" t="s">
        <v>1428</v>
      </c>
      <c r="F119" s="3" t="s">
        <v>58</v>
      </c>
      <c r="G119" s="3" t="s">
        <v>59</v>
      </c>
      <c r="H119" s="3" t="s">
        <v>58</v>
      </c>
      <c r="I119" s="3" t="s">
        <v>58</v>
      </c>
      <c r="J119" s="3" t="s">
        <v>60</v>
      </c>
      <c r="K119" s="2" t="s">
        <v>1429</v>
      </c>
      <c r="L119" s="2" t="s">
        <v>1430</v>
      </c>
      <c r="M119" s="3" t="s">
        <v>353</v>
      </c>
      <c r="O119" s="3" t="s">
        <v>63</v>
      </c>
      <c r="P119" s="3" t="s">
        <v>84</v>
      </c>
      <c r="Q119" s="2" t="s">
        <v>184</v>
      </c>
      <c r="R119" s="3" t="s">
        <v>65</v>
      </c>
      <c r="S119" s="4">
        <v>3</v>
      </c>
      <c r="T119" s="4">
        <v>3</v>
      </c>
      <c r="U119" s="5" t="s">
        <v>1431</v>
      </c>
      <c r="V119" s="5" t="s">
        <v>1431</v>
      </c>
      <c r="W119" s="5" t="s">
        <v>87</v>
      </c>
      <c r="X119" s="5" t="s">
        <v>87</v>
      </c>
      <c r="Y119" s="4">
        <v>111</v>
      </c>
      <c r="Z119" s="4">
        <v>98</v>
      </c>
      <c r="AA119" s="4">
        <v>100</v>
      </c>
      <c r="AB119" s="4">
        <v>1</v>
      </c>
      <c r="AC119" s="4">
        <v>1</v>
      </c>
      <c r="AD119" s="4">
        <v>2</v>
      </c>
      <c r="AE119" s="4">
        <v>2</v>
      </c>
      <c r="AF119" s="4">
        <v>1</v>
      </c>
      <c r="AG119" s="4">
        <v>1</v>
      </c>
      <c r="AH119" s="4">
        <v>1</v>
      </c>
      <c r="AI119" s="4">
        <v>1</v>
      </c>
      <c r="AJ119" s="4">
        <v>0</v>
      </c>
      <c r="AK119" s="4">
        <v>0</v>
      </c>
      <c r="AL119" s="4">
        <v>0</v>
      </c>
      <c r="AM119" s="4">
        <v>0</v>
      </c>
      <c r="AN119" s="4">
        <v>0</v>
      </c>
      <c r="AO119" s="4">
        <v>0</v>
      </c>
      <c r="AP119" s="3" t="s">
        <v>58</v>
      </c>
      <c r="AQ119" s="3" t="s">
        <v>68</v>
      </c>
      <c r="AR119" s="6" t="str">
        <f>HYPERLINK("http://catalog.hathitrust.org/Record/000917166","HathiTrust Record")</f>
        <v>HathiTrust Record</v>
      </c>
      <c r="AS119" s="6" t="str">
        <f>HYPERLINK("https://creighton-primo.hosted.exlibrisgroup.com/primo-explore/search?tab=default_tab&amp;search_scope=EVERYTHING&amp;vid=01CRU&amp;lang=en_US&amp;offset=0&amp;query=any,contains,991001267719702656","Catalog Record")</f>
        <v>Catalog Record</v>
      </c>
      <c r="AT119" s="6" t="str">
        <f>HYPERLINK("http://www.worldcat.org/oclc/17824562","WorldCat Record")</f>
        <v>WorldCat Record</v>
      </c>
      <c r="AU119" s="3" t="s">
        <v>1432</v>
      </c>
      <c r="AV119" s="3" t="s">
        <v>1433</v>
      </c>
      <c r="AW119" s="3" t="s">
        <v>1434</v>
      </c>
      <c r="AX119" s="3" t="s">
        <v>1434</v>
      </c>
      <c r="AY119" s="3" t="s">
        <v>1435</v>
      </c>
      <c r="AZ119" s="3" t="s">
        <v>73</v>
      </c>
      <c r="BC119" s="3" t="s">
        <v>1436</v>
      </c>
      <c r="BD119" s="3" t="s">
        <v>1437</v>
      </c>
    </row>
    <row r="120" spans="1:56" ht="51" customHeight="1" x14ac:dyDescent="0.25">
      <c r="A120" s="7" t="s">
        <v>58</v>
      </c>
      <c r="B120" s="2" t="s">
        <v>1438</v>
      </c>
      <c r="C120" s="2" t="s">
        <v>1439</v>
      </c>
      <c r="D120" s="2" t="s">
        <v>1440</v>
      </c>
      <c r="F120" s="3" t="s">
        <v>58</v>
      </c>
      <c r="G120" s="3" t="s">
        <v>59</v>
      </c>
      <c r="H120" s="3" t="s">
        <v>58</v>
      </c>
      <c r="I120" s="3" t="s">
        <v>58</v>
      </c>
      <c r="J120" s="3" t="s">
        <v>60</v>
      </c>
      <c r="K120" s="2" t="s">
        <v>1441</v>
      </c>
      <c r="L120" s="2" t="s">
        <v>1442</v>
      </c>
      <c r="M120" s="3" t="s">
        <v>261</v>
      </c>
      <c r="O120" s="3" t="s">
        <v>63</v>
      </c>
      <c r="P120" s="3" t="s">
        <v>84</v>
      </c>
      <c r="Q120" s="2" t="s">
        <v>1443</v>
      </c>
      <c r="R120" s="3" t="s">
        <v>65</v>
      </c>
      <c r="S120" s="4">
        <v>15</v>
      </c>
      <c r="T120" s="4">
        <v>15</v>
      </c>
      <c r="U120" s="5" t="s">
        <v>1444</v>
      </c>
      <c r="V120" s="5" t="s">
        <v>1444</v>
      </c>
      <c r="W120" s="5" t="s">
        <v>112</v>
      </c>
      <c r="X120" s="5" t="s">
        <v>112</v>
      </c>
      <c r="Y120" s="4">
        <v>219</v>
      </c>
      <c r="Z120" s="4">
        <v>155</v>
      </c>
      <c r="AA120" s="4">
        <v>167</v>
      </c>
      <c r="AB120" s="4">
        <v>1</v>
      </c>
      <c r="AC120" s="4">
        <v>1</v>
      </c>
      <c r="AD120" s="4">
        <v>3</v>
      </c>
      <c r="AE120" s="4">
        <v>3</v>
      </c>
      <c r="AF120" s="4">
        <v>2</v>
      </c>
      <c r="AG120" s="4">
        <v>2</v>
      </c>
      <c r="AH120" s="4">
        <v>1</v>
      </c>
      <c r="AI120" s="4">
        <v>1</v>
      </c>
      <c r="AJ120" s="4">
        <v>1</v>
      </c>
      <c r="AK120" s="4">
        <v>1</v>
      </c>
      <c r="AL120" s="4">
        <v>0</v>
      </c>
      <c r="AM120" s="4">
        <v>0</v>
      </c>
      <c r="AN120" s="4">
        <v>0</v>
      </c>
      <c r="AO120" s="4">
        <v>0</v>
      </c>
      <c r="AP120" s="3" t="s">
        <v>58</v>
      </c>
      <c r="AQ120" s="3" t="s">
        <v>68</v>
      </c>
      <c r="AR120" s="6" t="str">
        <f>HYPERLINK("http://catalog.hathitrust.org/Record/002616650","HathiTrust Record")</f>
        <v>HathiTrust Record</v>
      </c>
      <c r="AS120" s="6" t="str">
        <f>HYPERLINK("https://creighton-primo.hosted.exlibrisgroup.com/primo-explore/search?tab=default_tab&amp;search_scope=EVERYTHING&amp;vid=01CRU&amp;lang=en_US&amp;offset=0&amp;query=any,contains,991004002479702656","Catalog Record")</f>
        <v>Catalog Record</v>
      </c>
      <c r="AT120" s="6" t="str">
        <f>HYPERLINK("http://www.worldcat.org/oclc/2074775","WorldCat Record")</f>
        <v>WorldCat Record</v>
      </c>
      <c r="AU120" s="3" t="s">
        <v>1445</v>
      </c>
      <c r="AV120" s="3" t="s">
        <v>1446</v>
      </c>
      <c r="AW120" s="3" t="s">
        <v>1447</v>
      </c>
      <c r="AX120" s="3" t="s">
        <v>1447</v>
      </c>
      <c r="AY120" s="3" t="s">
        <v>1448</v>
      </c>
      <c r="AZ120" s="3" t="s">
        <v>73</v>
      </c>
      <c r="BB120" s="3" t="s">
        <v>1449</v>
      </c>
      <c r="BC120" s="3" t="s">
        <v>1450</v>
      </c>
      <c r="BD120" s="3" t="s">
        <v>1451</v>
      </c>
    </row>
    <row r="121" spans="1:56" ht="51" customHeight="1" x14ac:dyDescent="0.25">
      <c r="A121" s="7" t="s">
        <v>58</v>
      </c>
      <c r="B121" s="2" t="s">
        <v>1452</v>
      </c>
      <c r="C121" s="2" t="s">
        <v>1453</v>
      </c>
      <c r="D121" s="2" t="s">
        <v>1454</v>
      </c>
      <c r="F121" s="3" t="s">
        <v>58</v>
      </c>
      <c r="G121" s="3" t="s">
        <v>59</v>
      </c>
      <c r="H121" s="3" t="s">
        <v>58</v>
      </c>
      <c r="I121" s="3" t="s">
        <v>58</v>
      </c>
      <c r="J121" s="3" t="s">
        <v>60</v>
      </c>
      <c r="K121" s="2" t="s">
        <v>1455</v>
      </c>
      <c r="L121" s="2" t="s">
        <v>1456</v>
      </c>
      <c r="M121" s="3" t="s">
        <v>524</v>
      </c>
      <c r="O121" s="3" t="s">
        <v>63</v>
      </c>
      <c r="P121" s="3" t="s">
        <v>584</v>
      </c>
      <c r="Q121" s="2" t="s">
        <v>694</v>
      </c>
      <c r="R121" s="3" t="s">
        <v>65</v>
      </c>
      <c r="S121" s="4">
        <v>27</v>
      </c>
      <c r="T121" s="4">
        <v>27</v>
      </c>
      <c r="U121" s="5" t="s">
        <v>1457</v>
      </c>
      <c r="V121" s="5" t="s">
        <v>1457</v>
      </c>
      <c r="W121" s="5" t="s">
        <v>112</v>
      </c>
      <c r="X121" s="5" t="s">
        <v>112</v>
      </c>
      <c r="Y121" s="4">
        <v>439</v>
      </c>
      <c r="Z121" s="4">
        <v>335</v>
      </c>
      <c r="AA121" s="4">
        <v>341</v>
      </c>
      <c r="AB121" s="4">
        <v>5</v>
      </c>
      <c r="AC121" s="4">
        <v>5</v>
      </c>
      <c r="AD121" s="4">
        <v>15</v>
      </c>
      <c r="AE121" s="4">
        <v>15</v>
      </c>
      <c r="AF121" s="4">
        <v>5</v>
      </c>
      <c r="AG121" s="4">
        <v>5</v>
      </c>
      <c r="AH121" s="4">
        <v>3</v>
      </c>
      <c r="AI121" s="4">
        <v>3</v>
      </c>
      <c r="AJ121" s="4">
        <v>7</v>
      </c>
      <c r="AK121" s="4">
        <v>7</v>
      </c>
      <c r="AL121" s="4">
        <v>3</v>
      </c>
      <c r="AM121" s="4">
        <v>3</v>
      </c>
      <c r="AN121" s="4">
        <v>0</v>
      </c>
      <c r="AO121" s="4">
        <v>0</v>
      </c>
      <c r="AP121" s="3" t="s">
        <v>58</v>
      </c>
      <c r="AQ121" s="3" t="s">
        <v>68</v>
      </c>
      <c r="AR121" s="6" t="str">
        <f>HYPERLINK("http://catalog.hathitrust.org/Record/000815550","HathiTrust Record")</f>
        <v>HathiTrust Record</v>
      </c>
      <c r="AS121" s="6" t="str">
        <f>HYPERLINK("https://creighton-primo.hosted.exlibrisgroup.com/primo-explore/search?tab=default_tab&amp;search_scope=EVERYTHING&amp;vid=01CRU&amp;lang=en_US&amp;offset=0&amp;query=any,contains,991000954569702656","Catalog Record")</f>
        <v>Catalog Record</v>
      </c>
      <c r="AT121" s="6" t="str">
        <f>HYPERLINK("http://www.worldcat.org/oclc/14711488","WorldCat Record")</f>
        <v>WorldCat Record</v>
      </c>
      <c r="AU121" s="3" t="s">
        <v>1458</v>
      </c>
      <c r="AV121" s="3" t="s">
        <v>1459</v>
      </c>
      <c r="AW121" s="3" t="s">
        <v>1460</v>
      </c>
      <c r="AX121" s="3" t="s">
        <v>1460</v>
      </c>
      <c r="AY121" s="3" t="s">
        <v>1461</v>
      </c>
      <c r="AZ121" s="3" t="s">
        <v>73</v>
      </c>
      <c r="BB121" s="3" t="s">
        <v>1462</v>
      </c>
      <c r="BC121" s="3" t="s">
        <v>1463</v>
      </c>
      <c r="BD121" s="3" t="s">
        <v>1464</v>
      </c>
    </row>
    <row r="122" spans="1:56" ht="51" customHeight="1" x14ac:dyDescent="0.25">
      <c r="A122" s="7" t="s">
        <v>58</v>
      </c>
      <c r="B122" s="2" t="s">
        <v>1465</v>
      </c>
      <c r="C122" s="2" t="s">
        <v>1466</v>
      </c>
      <c r="D122" s="2" t="s">
        <v>1467</v>
      </c>
      <c r="F122" s="3" t="s">
        <v>58</v>
      </c>
      <c r="G122" s="3" t="s">
        <v>59</v>
      </c>
      <c r="H122" s="3" t="s">
        <v>58</v>
      </c>
      <c r="I122" s="3" t="s">
        <v>58</v>
      </c>
      <c r="J122" s="3" t="s">
        <v>60</v>
      </c>
      <c r="K122" s="2" t="s">
        <v>1468</v>
      </c>
      <c r="L122" s="2" t="s">
        <v>1469</v>
      </c>
      <c r="M122" s="3" t="s">
        <v>249</v>
      </c>
      <c r="N122" s="2" t="s">
        <v>1470</v>
      </c>
      <c r="O122" s="3" t="s">
        <v>63</v>
      </c>
      <c r="P122" s="3" t="s">
        <v>214</v>
      </c>
      <c r="Q122" s="2" t="s">
        <v>1471</v>
      </c>
      <c r="R122" s="3" t="s">
        <v>65</v>
      </c>
      <c r="S122" s="4">
        <v>8</v>
      </c>
      <c r="T122" s="4">
        <v>8</v>
      </c>
      <c r="U122" s="5" t="s">
        <v>1472</v>
      </c>
      <c r="V122" s="5" t="s">
        <v>1472</v>
      </c>
      <c r="W122" s="5" t="s">
        <v>1473</v>
      </c>
      <c r="X122" s="5" t="s">
        <v>1473</v>
      </c>
      <c r="Y122" s="4">
        <v>546</v>
      </c>
      <c r="Z122" s="4">
        <v>505</v>
      </c>
      <c r="AA122" s="4">
        <v>575</v>
      </c>
      <c r="AB122" s="4">
        <v>4</v>
      </c>
      <c r="AC122" s="4">
        <v>4</v>
      </c>
      <c r="AD122" s="4">
        <v>26</v>
      </c>
      <c r="AE122" s="4">
        <v>28</v>
      </c>
      <c r="AF122" s="4">
        <v>8</v>
      </c>
      <c r="AG122" s="4">
        <v>8</v>
      </c>
      <c r="AH122" s="4">
        <v>5</v>
      </c>
      <c r="AI122" s="4">
        <v>6</v>
      </c>
      <c r="AJ122" s="4">
        <v>16</v>
      </c>
      <c r="AK122" s="4">
        <v>18</v>
      </c>
      <c r="AL122" s="4">
        <v>2</v>
      </c>
      <c r="AM122" s="4">
        <v>2</v>
      </c>
      <c r="AN122" s="4">
        <v>0</v>
      </c>
      <c r="AO122" s="4">
        <v>0</v>
      </c>
      <c r="AP122" s="3" t="s">
        <v>58</v>
      </c>
      <c r="AQ122" s="3" t="s">
        <v>68</v>
      </c>
      <c r="AR122" s="6" t="str">
        <f>HYPERLINK("http://catalog.hathitrust.org/Record/001248034","HathiTrust Record")</f>
        <v>HathiTrust Record</v>
      </c>
      <c r="AS122" s="6" t="str">
        <f>HYPERLINK("https://creighton-primo.hosted.exlibrisgroup.com/primo-explore/search?tab=default_tab&amp;search_scope=EVERYTHING&amp;vid=01CRU&amp;lang=en_US&amp;offset=0&amp;query=any,contains,991003745029702656","Catalog Record")</f>
        <v>Catalog Record</v>
      </c>
      <c r="AT122" s="6" t="str">
        <f>HYPERLINK("http://www.worldcat.org/oclc/1414976","WorldCat Record")</f>
        <v>WorldCat Record</v>
      </c>
      <c r="AU122" s="3" t="s">
        <v>1474</v>
      </c>
      <c r="AV122" s="3" t="s">
        <v>1475</v>
      </c>
      <c r="AW122" s="3" t="s">
        <v>1476</v>
      </c>
      <c r="AX122" s="3" t="s">
        <v>1476</v>
      </c>
      <c r="AY122" s="3" t="s">
        <v>1477</v>
      </c>
      <c r="AZ122" s="3" t="s">
        <v>73</v>
      </c>
      <c r="BC122" s="3" t="s">
        <v>1478</v>
      </c>
      <c r="BD122" s="3" t="s">
        <v>1479</v>
      </c>
    </row>
    <row r="123" spans="1:56" ht="51" customHeight="1" x14ac:dyDescent="0.25">
      <c r="A123" s="7" t="s">
        <v>58</v>
      </c>
      <c r="B123" s="2" t="s">
        <v>1480</v>
      </c>
      <c r="C123" s="2" t="s">
        <v>1481</v>
      </c>
      <c r="D123" s="2" t="s">
        <v>1482</v>
      </c>
      <c r="F123" s="3" t="s">
        <v>58</v>
      </c>
      <c r="G123" s="3" t="s">
        <v>59</v>
      </c>
      <c r="H123" s="3" t="s">
        <v>58</v>
      </c>
      <c r="I123" s="3" t="s">
        <v>58</v>
      </c>
      <c r="J123" s="3" t="s">
        <v>60</v>
      </c>
      <c r="K123" s="2" t="s">
        <v>1483</v>
      </c>
      <c r="L123" s="2" t="s">
        <v>1484</v>
      </c>
      <c r="M123" s="3" t="s">
        <v>353</v>
      </c>
      <c r="O123" s="3" t="s">
        <v>63</v>
      </c>
      <c r="P123" s="3" t="s">
        <v>1485</v>
      </c>
      <c r="Q123" s="2" t="s">
        <v>1486</v>
      </c>
      <c r="R123" s="3" t="s">
        <v>65</v>
      </c>
      <c r="S123" s="4">
        <v>1</v>
      </c>
      <c r="T123" s="4">
        <v>1</v>
      </c>
      <c r="U123" s="5" t="s">
        <v>1487</v>
      </c>
      <c r="V123" s="5" t="s">
        <v>1487</v>
      </c>
      <c r="W123" s="5" t="s">
        <v>112</v>
      </c>
      <c r="X123" s="5" t="s">
        <v>112</v>
      </c>
      <c r="Y123" s="4">
        <v>151</v>
      </c>
      <c r="Z123" s="4">
        <v>100</v>
      </c>
      <c r="AA123" s="4">
        <v>102</v>
      </c>
      <c r="AB123" s="4">
        <v>1</v>
      </c>
      <c r="AC123" s="4">
        <v>1</v>
      </c>
      <c r="AD123" s="4">
        <v>5</v>
      </c>
      <c r="AE123" s="4">
        <v>5</v>
      </c>
      <c r="AF123" s="4">
        <v>0</v>
      </c>
      <c r="AG123" s="4">
        <v>0</v>
      </c>
      <c r="AH123" s="4">
        <v>1</v>
      </c>
      <c r="AI123" s="4">
        <v>1</v>
      </c>
      <c r="AJ123" s="4">
        <v>5</v>
      </c>
      <c r="AK123" s="4">
        <v>5</v>
      </c>
      <c r="AL123" s="4">
        <v>0</v>
      </c>
      <c r="AM123" s="4">
        <v>0</v>
      </c>
      <c r="AN123" s="4">
        <v>0</v>
      </c>
      <c r="AO123" s="4">
        <v>0</v>
      </c>
      <c r="AP123" s="3" t="s">
        <v>58</v>
      </c>
      <c r="AQ123" s="3" t="s">
        <v>68</v>
      </c>
      <c r="AR123" s="6" t="str">
        <f>HYPERLINK("http://catalog.hathitrust.org/Record/000827802","HathiTrust Record")</f>
        <v>HathiTrust Record</v>
      </c>
      <c r="AS123" s="6" t="str">
        <f>HYPERLINK("https://creighton-primo.hosted.exlibrisgroup.com/primo-explore/search?tab=default_tab&amp;search_scope=EVERYTHING&amp;vid=01CRU&amp;lang=en_US&amp;offset=0&amp;query=any,contains,991001044679702656","Catalog Record")</f>
        <v>Catalog Record</v>
      </c>
      <c r="AT123" s="6" t="str">
        <f>HYPERLINK("http://www.worldcat.org/oclc/15607667","WorldCat Record")</f>
        <v>WorldCat Record</v>
      </c>
      <c r="AU123" s="3" t="s">
        <v>1488</v>
      </c>
      <c r="AV123" s="3" t="s">
        <v>1489</v>
      </c>
      <c r="AW123" s="3" t="s">
        <v>1490</v>
      </c>
      <c r="AX123" s="3" t="s">
        <v>1490</v>
      </c>
      <c r="AY123" s="3" t="s">
        <v>1491</v>
      </c>
      <c r="AZ123" s="3" t="s">
        <v>73</v>
      </c>
      <c r="BB123" s="3" t="s">
        <v>1492</v>
      </c>
      <c r="BC123" s="3" t="s">
        <v>1493</v>
      </c>
      <c r="BD123" s="3" t="s">
        <v>1494</v>
      </c>
    </row>
    <row r="124" spans="1:56" ht="51" customHeight="1" x14ac:dyDescent="0.25">
      <c r="A124" s="7" t="s">
        <v>58</v>
      </c>
      <c r="B124" s="2" t="s">
        <v>1495</v>
      </c>
      <c r="C124" s="2" t="s">
        <v>1496</v>
      </c>
      <c r="D124" s="2" t="s">
        <v>1497</v>
      </c>
      <c r="F124" s="3" t="s">
        <v>58</v>
      </c>
      <c r="G124" s="3" t="s">
        <v>59</v>
      </c>
      <c r="H124" s="3" t="s">
        <v>58</v>
      </c>
      <c r="I124" s="3" t="s">
        <v>58</v>
      </c>
      <c r="J124" s="3" t="s">
        <v>60</v>
      </c>
      <c r="K124" s="2" t="s">
        <v>1105</v>
      </c>
      <c r="L124" s="2" t="s">
        <v>1498</v>
      </c>
      <c r="M124" s="3" t="s">
        <v>1499</v>
      </c>
      <c r="O124" s="3" t="s">
        <v>63</v>
      </c>
      <c r="P124" s="3" t="s">
        <v>214</v>
      </c>
      <c r="R124" s="3" t="s">
        <v>65</v>
      </c>
      <c r="S124" s="4">
        <v>2</v>
      </c>
      <c r="T124" s="4">
        <v>2</v>
      </c>
      <c r="U124" s="5" t="s">
        <v>1500</v>
      </c>
      <c r="V124" s="5" t="s">
        <v>1500</v>
      </c>
      <c r="W124" s="5" t="s">
        <v>1501</v>
      </c>
      <c r="X124" s="5" t="s">
        <v>1501</v>
      </c>
      <c r="Y124" s="4">
        <v>181</v>
      </c>
      <c r="Z124" s="4">
        <v>147</v>
      </c>
      <c r="AA124" s="4">
        <v>1106</v>
      </c>
      <c r="AB124" s="4">
        <v>2</v>
      </c>
      <c r="AC124" s="4">
        <v>11</v>
      </c>
      <c r="AD124" s="4">
        <v>7</v>
      </c>
      <c r="AE124" s="4">
        <v>49</v>
      </c>
      <c r="AF124" s="4">
        <v>3</v>
      </c>
      <c r="AG124" s="4">
        <v>20</v>
      </c>
      <c r="AH124" s="4">
        <v>1</v>
      </c>
      <c r="AI124" s="4">
        <v>9</v>
      </c>
      <c r="AJ124" s="4">
        <v>3</v>
      </c>
      <c r="AK124" s="4">
        <v>23</v>
      </c>
      <c r="AL124" s="4">
        <v>1</v>
      </c>
      <c r="AM124" s="4">
        <v>9</v>
      </c>
      <c r="AN124" s="4">
        <v>0</v>
      </c>
      <c r="AO124" s="4">
        <v>0</v>
      </c>
      <c r="AP124" s="3" t="s">
        <v>58</v>
      </c>
      <c r="AQ124" s="3" t="s">
        <v>58</v>
      </c>
      <c r="AS124" s="6" t="str">
        <f>HYPERLINK("https://creighton-primo.hosted.exlibrisgroup.com/primo-explore/search?tab=default_tab&amp;search_scope=EVERYTHING&amp;vid=01CRU&amp;lang=en_US&amp;offset=0&amp;query=any,contains,991004181569702656","Catalog Record")</f>
        <v>Catalog Record</v>
      </c>
      <c r="AT124" s="6" t="str">
        <f>HYPERLINK("http://www.worldcat.org/oclc/2606012","WorldCat Record")</f>
        <v>WorldCat Record</v>
      </c>
      <c r="AU124" s="3" t="s">
        <v>1502</v>
      </c>
      <c r="AV124" s="3" t="s">
        <v>1503</v>
      </c>
      <c r="AW124" s="3" t="s">
        <v>1504</v>
      </c>
      <c r="AX124" s="3" t="s">
        <v>1504</v>
      </c>
      <c r="AY124" s="3" t="s">
        <v>1505</v>
      </c>
      <c r="AZ124" s="3" t="s">
        <v>73</v>
      </c>
      <c r="BC124" s="3" t="s">
        <v>1506</v>
      </c>
      <c r="BD124" s="3" t="s">
        <v>1507</v>
      </c>
    </row>
    <row r="125" spans="1:56" ht="51" customHeight="1" x14ac:dyDescent="0.25">
      <c r="A125" s="7" t="s">
        <v>58</v>
      </c>
      <c r="B125" s="2" t="s">
        <v>1508</v>
      </c>
      <c r="C125" s="2" t="s">
        <v>1509</v>
      </c>
      <c r="D125" s="2" t="s">
        <v>1510</v>
      </c>
      <c r="E125" s="3" t="s">
        <v>1511</v>
      </c>
      <c r="F125" s="3" t="s">
        <v>68</v>
      </c>
      <c r="G125" s="3" t="s">
        <v>59</v>
      </c>
      <c r="H125" s="3" t="s">
        <v>58</v>
      </c>
      <c r="I125" s="3" t="s">
        <v>58</v>
      </c>
      <c r="J125" s="3" t="s">
        <v>60</v>
      </c>
      <c r="K125" s="2" t="s">
        <v>1512</v>
      </c>
      <c r="L125" s="2" t="s">
        <v>1513</v>
      </c>
      <c r="M125" s="3" t="s">
        <v>759</v>
      </c>
      <c r="O125" s="3" t="s">
        <v>63</v>
      </c>
      <c r="P125" s="3" t="s">
        <v>84</v>
      </c>
      <c r="Q125" s="2" t="s">
        <v>1514</v>
      </c>
      <c r="R125" s="3" t="s">
        <v>65</v>
      </c>
      <c r="S125" s="4">
        <v>4</v>
      </c>
      <c r="T125" s="4">
        <v>11</v>
      </c>
      <c r="U125" s="5" t="s">
        <v>1515</v>
      </c>
      <c r="V125" s="5" t="s">
        <v>1516</v>
      </c>
      <c r="W125" s="5" t="s">
        <v>87</v>
      </c>
      <c r="X125" s="5" t="s">
        <v>87</v>
      </c>
      <c r="Y125" s="4">
        <v>134</v>
      </c>
      <c r="Z125" s="4">
        <v>97</v>
      </c>
      <c r="AA125" s="4">
        <v>144</v>
      </c>
      <c r="AB125" s="4">
        <v>1</v>
      </c>
      <c r="AC125" s="4">
        <v>1</v>
      </c>
      <c r="AD125" s="4">
        <v>2</v>
      </c>
      <c r="AE125" s="4">
        <v>3</v>
      </c>
      <c r="AF125" s="4">
        <v>1</v>
      </c>
      <c r="AG125" s="4">
        <v>2</v>
      </c>
      <c r="AH125" s="4">
        <v>0</v>
      </c>
      <c r="AI125" s="4">
        <v>0</v>
      </c>
      <c r="AJ125" s="4">
        <v>1</v>
      </c>
      <c r="AK125" s="4">
        <v>1</v>
      </c>
      <c r="AL125" s="4">
        <v>0</v>
      </c>
      <c r="AM125" s="4">
        <v>0</v>
      </c>
      <c r="AN125" s="4">
        <v>0</v>
      </c>
      <c r="AO125" s="4">
        <v>0</v>
      </c>
      <c r="AP125" s="3" t="s">
        <v>58</v>
      </c>
      <c r="AQ125" s="3" t="s">
        <v>68</v>
      </c>
      <c r="AR125" s="6" t="str">
        <f>HYPERLINK("http://catalog.hathitrust.org/Record/000157698","HathiTrust Record")</f>
        <v>HathiTrust Record</v>
      </c>
      <c r="AS125" s="6" t="str">
        <f>HYPERLINK("https://creighton-primo.hosted.exlibrisgroup.com/primo-explore/search?tab=default_tab&amp;search_scope=EVERYTHING&amp;vid=01CRU&amp;lang=en_US&amp;offset=0&amp;query=any,contains,991000261609702656","Catalog Record")</f>
        <v>Catalog Record</v>
      </c>
      <c r="AT125" s="6" t="str">
        <f>HYPERLINK("http://www.worldcat.org/oclc/9824563","WorldCat Record")</f>
        <v>WorldCat Record</v>
      </c>
      <c r="AU125" s="3" t="s">
        <v>1517</v>
      </c>
      <c r="AV125" s="3" t="s">
        <v>1518</v>
      </c>
      <c r="AW125" s="3" t="s">
        <v>1519</v>
      </c>
      <c r="AX125" s="3" t="s">
        <v>1519</v>
      </c>
      <c r="AY125" s="3" t="s">
        <v>1520</v>
      </c>
      <c r="AZ125" s="3" t="s">
        <v>73</v>
      </c>
      <c r="BC125" s="3" t="s">
        <v>1521</v>
      </c>
      <c r="BD125" s="3" t="s">
        <v>1522</v>
      </c>
    </row>
    <row r="126" spans="1:56" ht="51" customHeight="1" x14ac:dyDescent="0.25">
      <c r="A126" s="7" t="s">
        <v>58</v>
      </c>
      <c r="B126" s="2" t="s">
        <v>1508</v>
      </c>
      <c r="C126" s="2" t="s">
        <v>1509</v>
      </c>
      <c r="D126" s="2" t="s">
        <v>1510</v>
      </c>
      <c r="E126" s="3" t="s">
        <v>1523</v>
      </c>
      <c r="F126" s="3" t="s">
        <v>68</v>
      </c>
      <c r="G126" s="3" t="s">
        <v>59</v>
      </c>
      <c r="H126" s="3" t="s">
        <v>58</v>
      </c>
      <c r="I126" s="3" t="s">
        <v>58</v>
      </c>
      <c r="J126" s="3" t="s">
        <v>60</v>
      </c>
      <c r="K126" s="2" t="s">
        <v>1512</v>
      </c>
      <c r="L126" s="2" t="s">
        <v>1513</v>
      </c>
      <c r="M126" s="3" t="s">
        <v>759</v>
      </c>
      <c r="O126" s="3" t="s">
        <v>63</v>
      </c>
      <c r="P126" s="3" t="s">
        <v>84</v>
      </c>
      <c r="Q126" s="2" t="s">
        <v>1514</v>
      </c>
      <c r="R126" s="3" t="s">
        <v>65</v>
      </c>
      <c r="S126" s="4">
        <v>7</v>
      </c>
      <c r="T126" s="4">
        <v>11</v>
      </c>
      <c r="U126" s="5" t="s">
        <v>1516</v>
      </c>
      <c r="V126" s="5" t="s">
        <v>1516</v>
      </c>
      <c r="W126" s="5" t="s">
        <v>87</v>
      </c>
      <c r="X126" s="5" t="s">
        <v>87</v>
      </c>
      <c r="Y126" s="4">
        <v>134</v>
      </c>
      <c r="Z126" s="4">
        <v>97</v>
      </c>
      <c r="AA126" s="4">
        <v>144</v>
      </c>
      <c r="AB126" s="4">
        <v>1</v>
      </c>
      <c r="AC126" s="4">
        <v>1</v>
      </c>
      <c r="AD126" s="4">
        <v>2</v>
      </c>
      <c r="AE126" s="4">
        <v>3</v>
      </c>
      <c r="AF126" s="4">
        <v>1</v>
      </c>
      <c r="AG126" s="4">
        <v>2</v>
      </c>
      <c r="AH126" s="4">
        <v>0</v>
      </c>
      <c r="AI126" s="4">
        <v>0</v>
      </c>
      <c r="AJ126" s="4">
        <v>1</v>
      </c>
      <c r="AK126" s="4">
        <v>1</v>
      </c>
      <c r="AL126" s="4">
        <v>0</v>
      </c>
      <c r="AM126" s="4">
        <v>0</v>
      </c>
      <c r="AN126" s="4">
        <v>0</v>
      </c>
      <c r="AO126" s="4">
        <v>0</v>
      </c>
      <c r="AP126" s="3" t="s">
        <v>58</v>
      </c>
      <c r="AQ126" s="3" t="s">
        <v>68</v>
      </c>
      <c r="AR126" s="6" t="str">
        <f>HYPERLINK("http://catalog.hathitrust.org/Record/000157698","HathiTrust Record")</f>
        <v>HathiTrust Record</v>
      </c>
      <c r="AS126" s="6" t="str">
        <f>HYPERLINK("https://creighton-primo.hosted.exlibrisgroup.com/primo-explore/search?tab=default_tab&amp;search_scope=EVERYTHING&amp;vid=01CRU&amp;lang=en_US&amp;offset=0&amp;query=any,contains,991000261609702656","Catalog Record")</f>
        <v>Catalog Record</v>
      </c>
      <c r="AT126" s="6" t="str">
        <f>HYPERLINK("http://www.worldcat.org/oclc/9824563","WorldCat Record")</f>
        <v>WorldCat Record</v>
      </c>
      <c r="AU126" s="3" t="s">
        <v>1517</v>
      </c>
      <c r="AV126" s="3" t="s">
        <v>1518</v>
      </c>
      <c r="AW126" s="3" t="s">
        <v>1519</v>
      </c>
      <c r="AX126" s="3" t="s">
        <v>1519</v>
      </c>
      <c r="AY126" s="3" t="s">
        <v>1520</v>
      </c>
      <c r="AZ126" s="3" t="s">
        <v>73</v>
      </c>
      <c r="BC126" s="3" t="s">
        <v>1524</v>
      </c>
      <c r="BD126" s="3" t="s">
        <v>1525</v>
      </c>
    </row>
    <row r="127" spans="1:56" ht="51" customHeight="1" x14ac:dyDescent="0.25">
      <c r="A127" s="7" t="s">
        <v>58</v>
      </c>
      <c r="B127" s="2" t="s">
        <v>1526</v>
      </c>
      <c r="C127" s="2" t="s">
        <v>1527</v>
      </c>
      <c r="D127" s="2" t="s">
        <v>1528</v>
      </c>
      <c r="F127" s="3" t="s">
        <v>58</v>
      </c>
      <c r="G127" s="3" t="s">
        <v>59</v>
      </c>
      <c r="H127" s="3" t="s">
        <v>58</v>
      </c>
      <c r="I127" s="3" t="s">
        <v>58</v>
      </c>
      <c r="J127" s="3" t="s">
        <v>60</v>
      </c>
      <c r="K127" s="2" t="s">
        <v>882</v>
      </c>
      <c r="L127" s="2" t="s">
        <v>1529</v>
      </c>
      <c r="M127" s="3" t="s">
        <v>731</v>
      </c>
      <c r="N127" s="2" t="s">
        <v>1530</v>
      </c>
      <c r="O127" s="3" t="s">
        <v>63</v>
      </c>
      <c r="P127" s="3" t="s">
        <v>584</v>
      </c>
      <c r="Q127" s="2" t="s">
        <v>1531</v>
      </c>
      <c r="R127" s="3" t="s">
        <v>65</v>
      </c>
      <c r="S127" s="4">
        <v>9</v>
      </c>
      <c r="T127" s="4">
        <v>9</v>
      </c>
      <c r="U127" s="5" t="s">
        <v>1532</v>
      </c>
      <c r="V127" s="5" t="s">
        <v>1532</v>
      </c>
      <c r="W127" s="5" t="s">
        <v>235</v>
      </c>
      <c r="X127" s="5" t="s">
        <v>235</v>
      </c>
      <c r="Y127" s="4">
        <v>230</v>
      </c>
      <c r="Z127" s="4">
        <v>154</v>
      </c>
      <c r="AA127" s="4">
        <v>409</v>
      </c>
      <c r="AB127" s="4">
        <v>1</v>
      </c>
      <c r="AC127" s="4">
        <v>3</v>
      </c>
      <c r="AD127" s="4">
        <v>7</v>
      </c>
      <c r="AE127" s="4">
        <v>29</v>
      </c>
      <c r="AF127" s="4">
        <v>4</v>
      </c>
      <c r="AG127" s="4">
        <v>14</v>
      </c>
      <c r="AH127" s="4">
        <v>1</v>
      </c>
      <c r="AI127" s="4">
        <v>5</v>
      </c>
      <c r="AJ127" s="4">
        <v>5</v>
      </c>
      <c r="AK127" s="4">
        <v>18</v>
      </c>
      <c r="AL127" s="4">
        <v>0</v>
      </c>
      <c r="AM127" s="4">
        <v>2</v>
      </c>
      <c r="AN127" s="4">
        <v>0</v>
      </c>
      <c r="AO127" s="4">
        <v>0</v>
      </c>
      <c r="AP127" s="3" t="s">
        <v>58</v>
      </c>
      <c r="AQ127" s="3" t="s">
        <v>68</v>
      </c>
      <c r="AR127" s="6" t="str">
        <f>HYPERLINK("http://catalog.hathitrust.org/Record/001246900","HathiTrust Record")</f>
        <v>HathiTrust Record</v>
      </c>
      <c r="AS127" s="6" t="str">
        <f>HYPERLINK("https://creighton-primo.hosted.exlibrisgroup.com/primo-explore/search?tab=default_tab&amp;search_scope=EVERYTHING&amp;vid=01CRU&amp;lang=en_US&amp;offset=0&amp;query=any,contains,991002765189702656","Catalog Record")</f>
        <v>Catalog Record</v>
      </c>
      <c r="AT127" s="6" t="str">
        <f>HYPERLINK("http://www.worldcat.org/oclc/432804","WorldCat Record")</f>
        <v>WorldCat Record</v>
      </c>
      <c r="AU127" s="3" t="s">
        <v>1533</v>
      </c>
      <c r="AV127" s="3" t="s">
        <v>1534</v>
      </c>
      <c r="AW127" s="3" t="s">
        <v>1535</v>
      </c>
      <c r="AX127" s="3" t="s">
        <v>1535</v>
      </c>
      <c r="AY127" s="3" t="s">
        <v>1536</v>
      </c>
      <c r="AZ127" s="3" t="s">
        <v>73</v>
      </c>
      <c r="BC127" s="3" t="s">
        <v>1537</v>
      </c>
      <c r="BD127" s="3" t="s">
        <v>1538</v>
      </c>
    </row>
    <row r="128" spans="1:56" ht="51" customHeight="1" x14ac:dyDescent="0.25">
      <c r="A128" s="7" t="s">
        <v>58</v>
      </c>
      <c r="B128" s="2" t="s">
        <v>1539</v>
      </c>
      <c r="C128" s="2" t="s">
        <v>1540</v>
      </c>
      <c r="D128" s="2" t="s">
        <v>1541</v>
      </c>
      <c r="E128" s="3" t="s">
        <v>223</v>
      </c>
      <c r="F128" s="3" t="s">
        <v>58</v>
      </c>
      <c r="G128" s="3" t="s">
        <v>59</v>
      </c>
      <c r="H128" s="3" t="s">
        <v>58</v>
      </c>
      <c r="I128" s="3" t="s">
        <v>58</v>
      </c>
      <c r="J128" s="3" t="s">
        <v>60</v>
      </c>
      <c r="K128" s="2" t="s">
        <v>1542</v>
      </c>
      <c r="L128" s="2" t="s">
        <v>1543</v>
      </c>
      <c r="M128" s="3" t="s">
        <v>1544</v>
      </c>
      <c r="O128" s="3" t="s">
        <v>63</v>
      </c>
      <c r="P128" s="3" t="s">
        <v>437</v>
      </c>
      <c r="Q128" s="2" t="s">
        <v>1545</v>
      </c>
      <c r="R128" s="3" t="s">
        <v>65</v>
      </c>
      <c r="S128" s="4">
        <v>14</v>
      </c>
      <c r="T128" s="4">
        <v>14</v>
      </c>
      <c r="U128" s="5" t="s">
        <v>1532</v>
      </c>
      <c r="V128" s="5" t="s">
        <v>1532</v>
      </c>
      <c r="W128" s="5" t="s">
        <v>1546</v>
      </c>
      <c r="X128" s="5" t="s">
        <v>1546</v>
      </c>
      <c r="Y128" s="4">
        <v>242</v>
      </c>
      <c r="Z128" s="4">
        <v>191</v>
      </c>
      <c r="AA128" s="4">
        <v>204</v>
      </c>
      <c r="AB128" s="4">
        <v>2</v>
      </c>
      <c r="AC128" s="4">
        <v>2</v>
      </c>
      <c r="AD128" s="4">
        <v>10</v>
      </c>
      <c r="AE128" s="4">
        <v>10</v>
      </c>
      <c r="AF128" s="4">
        <v>4</v>
      </c>
      <c r="AG128" s="4">
        <v>4</v>
      </c>
      <c r="AH128" s="4">
        <v>2</v>
      </c>
      <c r="AI128" s="4">
        <v>2</v>
      </c>
      <c r="AJ128" s="4">
        <v>4</v>
      </c>
      <c r="AK128" s="4">
        <v>4</v>
      </c>
      <c r="AL128" s="4">
        <v>1</v>
      </c>
      <c r="AM128" s="4">
        <v>1</v>
      </c>
      <c r="AN128" s="4">
        <v>0</v>
      </c>
      <c r="AO128" s="4">
        <v>0</v>
      </c>
      <c r="AP128" s="3" t="s">
        <v>58</v>
      </c>
      <c r="AQ128" s="3" t="s">
        <v>68</v>
      </c>
      <c r="AR128" s="6" t="str">
        <f>HYPERLINK("http://catalog.hathitrust.org/Record/002612329","HathiTrust Record")</f>
        <v>HathiTrust Record</v>
      </c>
      <c r="AS128" s="6" t="str">
        <f>HYPERLINK("https://creighton-primo.hosted.exlibrisgroup.com/primo-explore/search?tab=default_tab&amp;search_scope=EVERYTHING&amp;vid=01CRU&amp;lang=en_US&amp;offset=0&amp;query=any,contains,991002077389702656","Catalog Record")</f>
        <v>Catalog Record</v>
      </c>
      <c r="AT128" s="6" t="str">
        <f>HYPERLINK("http://www.worldcat.org/oclc/26633786","WorldCat Record")</f>
        <v>WorldCat Record</v>
      </c>
      <c r="AU128" s="3" t="s">
        <v>1547</v>
      </c>
      <c r="AV128" s="3" t="s">
        <v>1548</v>
      </c>
      <c r="AW128" s="3" t="s">
        <v>1549</v>
      </c>
      <c r="AX128" s="3" t="s">
        <v>1549</v>
      </c>
      <c r="AY128" s="3" t="s">
        <v>1550</v>
      </c>
      <c r="AZ128" s="3" t="s">
        <v>73</v>
      </c>
      <c r="BB128" s="3" t="s">
        <v>1551</v>
      </c>
      <c r="BC128" s="3" t="s">
        <v>1552</v>
      </c>
      <c r="BD128" s="3" t="s">
        <v>1553</v>
      </c>
    </row>
    <row r="129" spans="1:56" ht="51" customHeight="1" x14ac:dyDescent="0.25">
      <c r="A129" s="7" t="s">
        <v>58</v>
      </c>
      <c r="B129" s="2" t="s">
        <v>1554</v>
      </c>
      <c r="C129" s="2" t="s">
        <v>1555</v>
      </c>
      <c r="D129" s="2" t="s">
        <v>1556</v>
      </c>
      <c r="F129" s="3" t="s">
        <v>58</v>
      </c>
      <c r="G129" s="3" t="s">
        <v>59</v>
      </c>
      <c r="H129" s="3" t="s">
        <v>58</v>
      </c>
      <c r="I129" s="3" t="s">
        <v>58</v>
      </c>
      <c r="J129" s="3" t="s">
        <v>60</v>
      </c>
      <c r="K129" s="2" t="s">
        <v>1557</v>
      </c>
      <c r="L129" s="2" t="s">
        <v>1558</v>
      </c>
      <c r="M129" s="3" t="s">
        <v>1544</v>
      </c>
      <c r="O129" s="3" t="s">
        <v>63</v>
      </c>
      <c r="P129" s="3" t="s">
        <v>1299</v>
      </c>
      <c r="R129" s="3" t="s">
        <v>65</v>
      </c>
      <c r="S129" s="4">
        <v>4</v>
      </c>
      <c r="T129" s="4">
        <v>4</v>
      </c>
      <c r="U129" s="5" t="s">
        <v>1559</v>
      </c>
      <c r="V129" s="5" t="s">
        <v>1559</v>
      </c>
      <c r="W129" s="5" t="s">
        <v>1560</v>
      </c>
      <c r="X129" s="5" t="s">
        <v>1560</v>
      </c>
      <c r="Y129" s="4">
        <v>192</v>
      </c>
      <c r="Z129" s="4">
        <v>146</v>
      </c>
      <c r="AA129" s="4">
        <v>149</v>
      </c>
      <c r="AB129" s="4">
        <v>1</v>
      </c>
      <c r="AC129" s="4">
        <v>1</v>
      </c>
      <c r="AD129" s="4">
        <v>8</v>
      </c>
      <c r="AE129" s="4">
        <v>8</v>
      </c>
      <c r="AF129" s="4">
        <v>3</v>
      </c>
      <c r="AG129" s="4">
        <v>3</v>
      </c>
      <c r="AH129" s="4">
        <v>2</v>
      </c>
      <c r="AI129" s="4">
        <v>2</v>
      </c>
      <c r="AJ129" s="4">
        <v>4</v>
      </c>
      <c r="AK129" s="4">
        <v>4</v>
      </c>
      <c r="AL129" s="4">
        <v>0</v>
      </c>
      <c r="AM129" s="4">
        <v>0</v>
      </c>
      <c r="AN129" s="4">
        <v>0</v>
      </c>
      <c r="AO129" s="4">
        <v>0</v>
      </c>
      <c r="AP129" s="3" t="s">
        <v>58</v>
      </c>
      <c r="AQ129" s="3" t="s">
        <v>68</v>
      </c>
      <c r="AR129" s="6" t="str">
        <f>HYPERLINK("http://catalog.hathitrust.org/Record/002781960","HathiTrust Record")</f>
        <v>HathiTrust Record</v>
      </c>
      <c r="AS129" s="6" t="str">
        <f>HYPERLINK("https://creighton-primo.hosted.exlibrisgroup.com/primo-explore/search?tab=default_tab&amp;search_scope=EVERYTHING&amp;vid=01CRU&amp;lang=en_US&amp;offset=0&amp;query=any,contains,991002051859702656","Catalog Record")</f>
        <v>Catalog Record</v>
      </c>
      <c r="AT129" s="6" t="str">
        <f>HYPERLINK("http://www.worldcat.org/oclc/26207821","WorldCat Record")</f>
        <v>WorldCat Record</v>
      </c>
      <c r="AU129" s="3" t="s">
        <v>1561</v>
      </c>
      <c r="AV129" s="3" t="s">
        <v>1562</v>
      </c>
      <c r="AW129" s="3" t="s">
        <v>1563</v>
      </c>
      <c r="AX129" s="3" t="s">
        <v>1563</v>
      </c>
      <c r="AY129" s="3" t="s">
        <v>1564</v>
      </c>
      <c r="AZ129" s="3" t="s">
        <v>73</v>
      </c>
      <c r="BB129" s="3" t="s">
        <v>1565</v>
      </c>
      <c r="BC129" s="3" t="s">
        <v>1566</v>
      </c>
      <c r="BD129" s="3" t="s">
        <v>1567</v>
      </c>
    </row>
    <row r="130" spans="1:56" ht="51" customHeight="1" x14ac:dyDescent="0.25">
      <c r="A130" s="7" t="s">
        <v>58</v>
      </c>
      <c r="B130" s="2" t="s">
        <v>1568</v>
      </c>
      <c r="C130" s="2" t="s">
        <v>1569</v>
      </c>
      <c r="D130" s="2" t="s">
        <v>1570</v>
      </c>
      <c r="F130" s="3" t="s">
        <v>58</v>
      </c>
      <c r="G130" s="3" t="s">
        <v>59</v>
      </c>
      <c r="H130" s="3" t="s">
        <v>58</v>
      </c>
      <c r="I130" s="3" t="s">
        <v>58</v>
      </c>
      <c r="J130" s="3" t="s">
        <v>60</v>
      </c>
      <c r="K130" s="2" t="s">
        <v>1571</v>
      </c>
      <c r="L130" s="2" t="s">
        <v>1244</v>
      </c>
      <c r="M130" s="3" t="s">
        <v>479</v>
      </c>
      <c r="O130" s="3" t="s">
        <v>63</v>
      </c>
      <c r="P130" s="3" t="s">
        <v>84</v>
      </c>
      <c r="R130" s="3" t="s">
        <v>65</v>
      </c>
      <c r="S130" s="4">
        <v>2</v>
      </c>
      <c r="T130" s="4">
        <v>2</v>
      </c>
      <c r="U130" s="5" t="s">
        <v>1559</v>
      </c>
      <c r="V130" s="5" t="s">
        <v>1559</v>
      </c>
      <c r="W130" s="5" t="s">
        <v>1572</v>
      </c>
      <c r="X130" s="5" t="s">
        <v>1572</v>
      </c>
      <c r="Y130" s="4">
        <v>80</v>
      </c>
      <c r="Z130" s="4">
        <v>55</v>
      </c>
      <c r="AA130" s="4">
        <v>57</v>
      </c>
      <c r="AB130" s="4">
        <v>1</v>
      </c>
      <c r="AC130" s="4">
        <v>1</v>
      </c>
      <c r="AD130" s="4">
        <v>4</v>
      </c>
      <c r="AE130" s="4">
        <v>4</v>
      </c>
      <c r="AF130" s="4">
        <v>1</v>
      </c>
      <c r="AG130" s="4">
        <v>1</v>
      </c>
      <c r="AH130" s="4">
        <v>1</v>
      </c>
      <c r="AI130" s="4">
        <v>1</v>
      </c>
      <c r="AJ130" s="4">
        <v>4</v>
      </c>
      <c r="AK130" s="4">
        <v>4</v>
      </c>
      <c r="AL130" s="4">
        <v>0</v>
      </c>
      <c r="AM130" s="4">
        <v>0</v>
      </c>
      <c r="AN130" s="4">
        <v>0</v>
      </c>
      <c r="AO130" s="4">
        <v>0</v>
      </c>
      <c r="AP130" s="3" t="s">
        <v>58</v>
      </c>
      <c r="AQ130" s="3" t="s">
        <v>68</v>
      </c>
      <c r="AR130" s="6" t="str">
        <f>HYPERLINK("http://catalog.hathitrust.org/Record/003069064","HathiTrust Record")</f>
        <v>HathiTrust Record</v>
      </c>
      <c r="AS130" s="6" t="str">
        <f>HYPERLINK("https://creighton-primo.hosted.exlibrisgroup.com/primo-explore/search?tab=default_tab&amp;search_scope=EVERYTHING&amp;vid=01CRU&amp;lang=en_US&amp;offset=0&amp;query=any,contains,991002450339702656","Catalog Record")</f>
        <v>Catalog Record</v>
      </c>
      <c r="AT130" s="6" t="str">
        <f>HYPERLINK("http://www.worldcat.org/oclc/31966594","WorldCat Record")</f>
        <v>WorldCat Record</v>
      </c>
      <c r="AU130" s="3" t="s">
        <v>1573</v>
      </c>
      <c r="AV130" s="3" t="s">
        <v>1574</v>
      </c>
      <c r="AW130" s="3" t="s">
        <v>1575</v>
      </c>
      <c r="AX130" s="3" t="s">
        <v>1575</v>
      </c>
      <c r="AY130" s="3" t="s">
        <v>1576</v>
      </c>
      <c r="AZ130" s="3" t="s">
        <v>73</v>
      </c>
      <c r="BC130" s="3" t="s">
        <v>1577</v>
      </c>
      <c r="BD130" s="3" t="s">
        <v>1578</v>
      </c>
    </row>
    <row r="131" spans="1:56" ht="51" customHeight="1" x14ac:dyDescent="0.25">
      <c r="A131" s="7" t="s">
        <v>58</v>
      </c>
      <c r="B131" s="2" t="s">
        <v>1579</v>
      </c>
      <c r="C131" s="2" t="s">
        <v>1580</v>
      </c>
      <c r="D131" s="2" t="s">
        <v>1581</v>
      </c>
      <c r="F131" s="3" t="s">
        <v>58</v>
      </c>
      <c r="G131" s="3" t="s">
        <v>59</v>
      </c>
      <c r="H131" s="3" t="s">
        <v>58</v>
      </c>
      <c r="I131" s="3" t="s">
        <v>58</v>
      </c>
      <c r="J131" s="3" t="s">
        <v>60</v>
      </c>
      <c r="K131" s="2" t="s">
        <v>1582</v>
      </c>
      <c r="L131" s="2" t="s">
        <v>1583</v>
      </c>
      <c r="M131" s="3" t="s">
        <v>368</v>
      </c>
      <c r="O131" s="3" t="s">
        <v>63</v>
      </c>
      <c r="P131" s="3" t="s">
        <v>1584</v>
      </c>
      <c r="Q131" s="2" t="s">
        <v>1585</v>
      </c>
      <c r="R131" s="3" t="s">
        <v>65</v>
      </c>
      <c r="S131" s="4">
        <v>13</v>
      </c>
      <c r="T131" s="4">
        <v>13</v>
      </c>
      <c r="U131" s="5" t="s">
        <v>1107</v>
      </c>
      <c r="V131" s="5" t="s">
        <v>1107</v>
      </c>
      <c r="W131" s="5" t="s">
        <v>112</v>
      </c>
      <c r="X131" s="5" t="s">
        <v>112</v>
      </c>
      <c r="Y131" s="4">
        <v>273</v>
      </c>
      <c r="Z131" s="4">
        <v>217</v>
      </c>
      <c r="AA131" s="4">
        <v>218</v>
      </c>
      <c r="AB131" s="4">
        <v>3</v>
      </c>
      <c r="AC131" s="4">
        <v>3</v>
      </c>
      <c r="AD131" s="4">
        <v>14</v>
      </c>
      <c r="AE131" s="4">
        <v>14</v>
      </c>
      <c r="AF131" s="4">
        <v>5</v>
      </c>
      <c r="AG131" s="4">
        <v>5</v>
      </c>
      <c r="AH131" s="4">
        <v>3</v>
      </c>
      <c r="AI131" s="4">
        <v>3</v>
      </c>
      <c r="AJ131" s="4">
        <v>6</v>
      </c>
      <c r="AK131" s="4">
        <v>6</v>
      </c>
      <c r="AL131" s="4">
        <v>2</v>
      </c>
      <c r="AM131" s="4">
        <v>2</v>
      </c>
      <c r="AN131" s="4">
        <v>0</v>
      </c>
      <c r="AO131" s="4">
        <v>0</v>
      </c>
      <c r="AP131" s="3" t="s">
        <v>58</v>
      </c>
      <c r="AQ131" s="3" t="s">
        <v>58</v>
      </c>
      <c r="AS131" s="6" t="str">
        <f>HYPERLINK("https://creighton-primo.hosted.exlibrisgroup.com/primo-explore/search?tab=default_tab&amp;search_scope=EVERYTHING&amp;vid=01CRU&amp;lang=en_US&amp;offset=0&amp;query=any,contains,991004399529702656","Catalog Record")</f>
        <v>Catalog Record</v>
      </c>
      <c r="AT131" s="6" t="str">
        <f>HYPERLINK("http://www.worldcat.org/oclc/3294445","WorldCat Record")</f>
        <v>WorldCat Record</v>
      </c>
      <c r="AU131" s="3" t="s">
        <v>1586</v>
      </c>
      <c r="AV131" s="3" t="s">
        <v>1587</v>
      </c>
      <c r="AW131" s="3" t="s">
        <v>1588</v>
      </c>
      <c r="AX131" s="3" t="s">
        <v>1588</v>
      </c>
      <c r="AY131" s="3" t="s">
        <v>1589</v>
      </c>
      <c r="AZ131" s="3" t="s">
        <v>73</v>
      </c>
      <c r="BB131" s="3" t="s">
        <v>1590</v>
      </c>
      <c r="BC131" s="3" t="s">
        <v>1591</v>
      </c>
      <c r="BD131" s="3" t="s">
        <v>1592</v>
      </c>
    </row>
    <row r="132" spans="1:56" ht="51" customHeight="1" x14ac:dyDescent="0.25">
      <c r="A132" s="7" t="s">
        <v>58</v>
      </c>
      <c r="B132" s="2" t="s">
        <v>1593</v>
      </c>
      <c r="C132" s="2" t="s">
        <v>1594</v>
      </c>
      <c r="D132" s="2" t="s">
        <v>1595</v>
      </c>
      <c r="F132" s="3" t="s">
        <v>58</v>
      </c>
      <c r="G132" s="3" t="s">
        <v>59</v>
      </c>
      <c r="H132" s="3" t="s">
        <v>58</v>
      </c>
      <c r="I132" s="3" t="s">
        <v>58</v>
      </c>
      <c r="J132" s="3" t="s">
        <v>60</v>
      </c>
      <c r="K132" s="2" t="s">
        <v>1596</v>
      </c>
      <c r="L132" s="2" t="s">
        <v>1597</v>
      </c>
      <c r="M132" s="3" t="s">
        <v>552</v>
      </c>
      <c r="N132" s="2" t="s">
        <v>338</v>
      </c>
      <c r="O132" s="3" t="s">
        <v>63</v>
      </c>
      <c r="P132" s="3" t="s">
        <v>214</v>
      </c>
      <c r="R132" s="3" t="s">
        <v>65</v>
      </c>
      <c r="S132" s="4">
        <v>3</v>
      </c>
      <c r="T132" s="4">
        <v>3</v>
      </c>
      <c r="U132" s="5" t="s">
        <v>1598</v>
      </c>
      <c r="V132" s="5" t="s">
        <v>1598</v>
      </c>
      <c r="W132" s="5" t="s">
        <v>1599</v>
      </c>
      <c r="X132" s="5" t="s">
        <v>1599</v>
      </c>
      <c r="Y132" s="4">
        <v>797</v>
      </c>
      <c r="Z132" s="4">
        <v>760</v>
      </c>
      <c r="AA132" s="4">
        <v>774</v>
      </c>
      <c r="AB132" s="4">
        <v>5</v>
      </c>
      <c r="AC132" s="4">
        <v>5</v>
      </c>
      <c r="AD132" s="4">
        <v>26</v>
      </c>
      <c r="AE132" s="4">
        <v>27</v>
      </c>
      <c r="AF132" s="4">
        <v>8</v>
      </c>
      <c r="AG132" s="4">
        <v>9</v>
      </c>
      <c r="AH132" s="4">
        <v>8</v>
      </c>
      <c r="AI132" s="4">
        <v>8</v>
      </c>
      <c r="AJ132" s="4">
        <v>15</v>
      </c>
      <c r="AK132" s="4">
        <v>15</v>
      </c>
      <c r="AL132" s="4">
        <v>3</v>
      </c>
      <c r="AM132" s="4">
        <v>3</v>
      </c>
      <c r="AN132" s="4">
        <v>0</v>
      </c>
      <c r="AO132" s="4">
        <v>0</v>
      </c>
      <c r="AP132" s="3" t="s">
        <v>58</v>
      </c>
      <c r="AQ132" s="3" t="s">
        <v>68</v>
      </c>
      <c r="AR132" s="6" t="str">
        <f>HYPERLINK("http://catalog.hathitrust.org/Record/002432490","HathiTrust Record")</f>
        <v>HathiTrust Record</v>
      </c>
      <c r="AS132" s="6" t="str">
        <f>HYPERLINK("https://creighton-primo.hosted.exlibrisgroup.com/primo-explore/search?tab=default_tab&amp;search_scope=EVERYTHING&amp;vid=01CRU&amp;lang=en_US&amp;offset=0&amp;query=any,contains,991001623709702656","Catalog Record")</f>
        <v>Catalog Record</v>
      </c>
      <c r="AT132" s="6" t="str">
        <f>HYPERLINK("http://www.worldcat.org/oclc/20827252","WorldCat Record")</f>
        <v>WorldCat Record</v>
      </c>
      <c r="AU132" s="3" t="s">
        <v>1600</v>
      </c>
      <c r="AV132" s="3" t="s">
        <v>1601</v>
      </c>
      <c r="AW132" s="3" t="s">
        <v>1602</v>
      </c>
      <c r="AX132" s="3" t="s">
        <v>1602</v>
      </c>
      <c r="AY132" s="3" t="s">
        <v>1603</v>
      </c>
      <c r="AZ132" s="3" t="s">
        <v>73</v>
      </c>
      <c r="BB132" s="3" t="s">
        <v>1604</v>
      </c>
      <c r="BC132" s="3" t="s">
        <v>1605</v>
      </c>
      <c r="BD132" s="3" t="s">
        <v>1606</v>
      </c>
    </row>
    <row r="133" spans="1:56" ht="51" customHeight="1" x14ac:dyDescent="0.25">
      <c r="A133" s="7" t="s">
        <v>58</v>
      </c>
      <c r="B133" s="2" t="s">
        <v>1607</v>
      </c>
      <c r="C133" s="2" t="s">
        <v>1608</v>
      </c>
      <c r="D133" s="2" t="s">
        <v>1609</v>
      </c>
      <c r="F133" s="3" t="s">
        <v>58</v>
      </c>
      <c r="G133" s="3" t="s">
        <v>59</v>
      </c>
      <c r="H133" s="3" t="s">
        <v>58</v>
      </c>
      <c r="I133" s="3" t="s">
        <v>58</v>
      </c>
      <c r="J133" s="3" t="s">
        <v>60</v>
      </c>
      <c r="K133" s="2" t="s">
        <v>1205</v>
      </c>
      <c r="L133" s="2" t="s">
        <v>1610</v>
      </c>
      <c r="M133" s="3" t="s">
        <v>83</v>
      </c>
      <c r="N133" s="2" t="s">
        <v>1611</v>
      </c>
      <c r="O133" s="3" t="s">
        <v>63</v>
      </c>
      <c r="P133" s="3" t="s">
        <v>84</v>
      </c>
      <c r="Q133" s="2" t="s">
        <v>1612</v>
      </c>
      <c r="R133" s="3" t="s">
        <v>65</v>
      </c>
      <c r="S133" s="4">
        <v>1</v>
      </c>
      <c r="T133" s="4">
        <v>1</v>
      </c>
      <c r="U133" s="5" t="s">
        <v>1613</v>
      </c>
      <c r="V133" s="5" t="s">
        <v>1613</v>
      </c>
      <c r="W133" s="5" t="s">
        <v>112</v>
      </c>
      <c r="X133" s="5" t="s">
        <v>112</v>
      </c>
      <c r="Y133" s="4">
        <v>19</v>
      </c>
      <c r="Z133" s="4">
        <v>11</v>
      </c>
      <c r="AA133" s="4">
        <v>26</v>
      </c>
      <c r="AB133" s="4">
        <v>1</v>
      </c>
      <c r="AC133" s="4">
        <v>1</v>
      </c>
      <c r="AD133" s="4">
        <v>0</v>
      </c>
      <c r="AE133" s="4">
        <v>1</v>
      </c>
      <c r="AF133" s="4">
        <v>0</v>
      </c>
      <c r="AG133" s="4">
        <v>1</v>
      </c>
      <c r="AH133" s="4">
        <v>0</v>
      </c>
      <c r="AI133" s="4">
        <v>0</v>
      </c>
      <c r="AJ133" s="4">
        <v>0</v>
      </c>
      <c r="AK133" s="4">
        <v>0</v>
      </c>
      <c r="AL133" s="4">
        <v>0</v>
      </c>
      <c r="AM133" s="4">
        <v>0</v>
      </c>
      <c r="AN133" s="4">
        <v>0</v>
      </c>
      <c r="AO133" s="4">
        <v>0</v>
      </c>
      <c r="AP133" s="3" t="s">
        <v>58</v>
      </c>
      <c r="AQ133" s="3" t="s">
        <v>58</v>
      </c>
      <c r="AS133" s="6" t="str">
        <f>HYPERLINK("https://creighton-primo.hosted.exlibrisgroup.com/primo-explore/search?tab=default_tab&amp;search_scope=EVERYTHING&amp;vid=01CRU&amp;lang=en_US&amp;offset=0&amp;query=any,contains,991004933939702656","Catalog Record")</f>
        <v>Catalog Record</v>
      </c>
      <c r="AT133" s="6" t="str">
        <f>HYPERLINK("http://www.worldcat.org/oclc/6128519","WorldCat Record")</f>
        <v>WorldCat Record</v>
      </c>
      <c r="AU133" s="3" t="s">
        <v>1614</v>
      </c>
      <c r="AV133" s="3" t="s">
        <v>1615</v>
      </c>
      <c r="AW133" s="3" t="s">
        <v>1616</v>
      </c>
      <c r="AX133" s="3" t="s">
        <v>1616</v>
      </c>
      <c r="AY133" s="3" t="s">
        <v>1617</v>
      </c>
      <c r="AZ133" s="3" t="s">
        <v>73</v>
      </c>
      <c r="BC133" s="3" t="s">
        <v>1618</v>
      </c>
      <c r="BD133" s="3" t="s">
        <v>1619</v>
      </c>
    </row>
    <row r="134" spans="1:56" ht="51" customHeight="1" x14ac:dyDescent="0.25">
      <c r="A134" s="7" t="s">
        <v>58</v>
      </c>
      <c r="B134" s="2" t="s">
        <v>1620</v>
      </c>
      <c r="C134" s="2" t="s">
        <v>1621</v>
      </c>
      <c r="D134" s="2" t="s">
        <v>1622</v>
      </c>
      <c r="F134" s="3" t="s">
        <v>58</v>
      </c>
      <c r="G134" s="3" t="s">
        <v>59</v>
      </c>
      <c r="H134" s="3" t="s">
        <v>58</v>
      </c>
      <c r="I134" s="3" t="s">
        <v>58</v>
      </c>
      <c r="J134" s="3" t="s">
        <v>60</v>
      </c>
      <c r="K134" s="2" t="s">
        <v>1623</v>
      </c>
      <c r="L134" s="2" t="s">
        <v>1624</v>
      </c>
      <c r="M134" s="3" t="s">
        <v>800</v>
      </c>
      <c r="O134" s="3" t="s">
        <v>63</v>
      </c>
      <c r="P134" s="3" t="s">
        <v>214</v>
      </c>
      <c r="R134" s="3" t="s">
        <v>65</v>
      </c>
      <c r="S134" s="4">
        <v>4</v>
      </c>
      <c r="T134" s="4">
        <v>4</v>
      </c>
      <c r="U134" s="5" t="s">
        <v>1208</v>
      </c>
      <c r="V134" s="5" t="s">
        <v>1208</v>
      </c>
      <c r="W134" s="5" t="s">
        <v>1625</v>
      </c>
      <c r="X134" s="5" t="s">
        <v>1625</v>
      </c>
      <c r="Y134" s="4">
        <v>616</v>
      </c>
      <c r="Z134" s="4">
        <v>546</v>
      </c>
      <c r="AA134" s="4">
        <v>563</v>
      </c>
      <c r="AB134" s="4">
        <v>4</v>
      </c>
      <c r="AC134" s="4">
        <v>4</v>
      </c>
      <c r="AD134" s="4">
        <v>17</v>
      </c>
      <c r="AE134" s="4">
        <v>18</v>
      </c>
      <c r="AF134" s="4">
        <v>6</v>
      </c>
      <c r="AG134" s="4">
        <v>7</v>
      </c>
      <c r="AH134" s="4">
        <v>3</v>
      </c>
      <c r="AI134" s="4">
        <v>3</v>
      </c>
      <c r="AJ134" s="4">
        <v>8</v>
      </c>
      <c r="AK134" s="4">
        <v>9</v>
      </c>
      <c r="AL134" s="4">
        <v>2</v>
      </c>
      <c r="AM134" s="4">
        <v>2</v>
      </c>
      <c r="AN134" s="4">
        <v>0</v>
      </c>
      <c r="AO134" s="4">
        <v>0</v>
      </c>
      <c r="AP134" s="3" t="s">
        <v>58</v>
      </c>
      <c r="AQ134" s="3" t="s">
        <v>68</v>
      </c>
      <c r="AR134" s="6" t="str">
        <f>HYPERLINK("http://catalog.hathitrust.org/Record/002987626","HathiTrust Record")</f>
        <v>HathiTrust Record</v>
      </c>
      <c r="AS134" s="6" t="str">
        <f>HYPERLINK("https://creighton-primo.hosted.exlibrisgroup.com/primo-explore/search?tab=default_tab&amp;search_scope=EVERYTHING&amp;vid=01CRU&amp;lang=en_US&amp;offset=0&amp;query=any,contains,991002462239702656","Catalog Record")</f>
        <v>Catalog Record</v>
      </c>
      <c r="AT134" s="6" t="str">
        <f>HYPERLINK("http://www.worldcat.org/oclc/32087320","WorldCat Record")</f>
        <v>WorldCat Record</v>
      </c>
      <c r="AU134" s="3" t="s">
        <v>1626</v>
      </c>
      <c r="AV134" s="3" t="s">
        <v>1627</v>
      </c>
      <c r="AW134" s="3" t="s">
        <v>1628</v>
      </c>
      <c r="AX134" s="3" t="s">
        <v>1628</v>
      </c>
      <c r="AY134" s="3" t="s">
        <v>1629</v>
      </c>
      <c r="AZ134" s="3" t="s">
        <v>73</v>
      </c>
      <c r="BB134" s="3" t="s">
        <v>1630</v>
      </c>
      <c r="BC134" s="3" t="s">
        <v>1631</v>
      </c>
      <c r="BD134" s="3" t="s">
        <v>1632</v>
      </c>
    </row>
    <row r="135" spans="1:56" ht="51" customHeight="1" x14ac:dyDescent="0.25">
      <c r="A135" s="7" t="s">
        <v>58</v>
      </c>
      <c r="B135" s="2" t="s">
        <v>1633</v>
      </c>
      <c r="C135" s="2" t="s">
        <v>1634</v>
      </c>
      <c r="D135" s="2" t="s">
        <v>1635</v>
      </c>
      <c r="F135" s="3" t="s">
        <v>58</v>
      </c>
      <c r="G135" s="3" t="s">
        <v>59</v>
      </c>
      <c r="H135" s="3" t="s">
        <v>58</v>
      </c>
      <c r="I135" s="3" t="s">
        <v>58</v>
      </c>
      <c r="J135" s="3" t="s">
        <v>60</v>
      </c>
      <c r="K135" s="2" t="s">
        <v>1636</v>
      </c>
      <c r="L135" s="2" t="s">
        <v>1637</v>
      </c>
      <c r="M135" s="3" t="s">
        <v>800</v>
      </c>
      <c r="O135" s="3" t="s">
        <v>63</v>
      </c>
      <c r="P135" s="3" t="s">
        <v>1299</v>
      </c>
      <c r="R135" s="3" t="s">
        <v>65</v>
      </c>
      <c r="S135" s="4">
        <v>5</v>
      </c>
      <c r="T135" s="4">
        <v>5</v>
      </c>
      <c r="U135" s="5" t="s">
        <v>1638</v>
      </c>
      <c r="V135" s="5" t="s">
        <v>1638</v>
      </c>
      <c r="W135" s="5" t="s">
        <v>1639</v>
      </c>
      <c r="X135" s="5" t="s">
        <v>1639</v>
      </c>
      <c r="Y135" s="4">
        <v>228</v>
      </c>
      <c r="Z135" s="4">
        <v>169</v>
      </c>
      <c r="AA135" s="4">
        <v>171</v>
      </c>
      <c r="AB135" s="4">
        <v>1</v>
      </c>
      <c r="AC135" s="4">
        <v>1</v>
      </c>
      <c r="AD135" s="4">
        <v>7</v>
      </c>
      <c r="AE135" s="4">
        <v>7</v>
      </c>
      <c r="AF135" s="4">
        <v>4</v>
      </c>
      <c r="AG135" s="4">
        <v>4</v>
      </c>
      <c r="AH135" s="4">
        <v>2</v>
      </c>
      <c r="AI135" s="4">
        <v>2</v>
      </c>
      <c r="AJ135" s="4">
        <v>2</v>
      </c>
      <c r="AK135" s="4">
        <v>2</v>
      </c>
      <c r="AL135" s="4">
        <v>0</v>
      </c>
      <c r="AM135" s="4">
        <v>0</v>
      </c>
      <c r="AN135" s="4">
        <v>0</v>
      </c>
      <c r="AO135" s="4">
        <v>0</v>
      </c>
      <c r="AP135" s="3" t="s">
        <v>58</v>
      </c>
      <c r="AQ135" s="3" t="s">
        <v>68</v>
      </c>
      <c r="AR135" s="6" t="str">
        <f>HYPERLINK("http://catalog.hathitrust.org/Record/003040035","HathiTrust Record")</f>
        <v>HathiTrust Record</v>
      </c>
      <c r="AS135" s="6" t="str">
        <f>HYPERLINK("https://creighton-primo.hosted.exlibrisgroup.com/primo-explore/search?tab=default_tab&amp;search_scope=EVERYTHING&amp;vid=01CRU&amp;lang=en_US&amp;offset=0&amp;query=any,contains,991002524269702656","Catalog Record")</f>
        <v>Catalog Record</v>
      </c>
      <c r="AT135" s="6" t="str">
        <f>HYPERLINK("http://www.worldcat.org/oclc/32821121","WorldCat Record")</f>
        <v>WorldCat Record</v>
      </c>
      <c r="AU135" s="3" t="s">
        <v>1640</v>
      </c>
      <c r="AV135" s="3" t="s">
        <v>1641</v>
      </c>
      <c r="AW135" s="3" t="s">
        <v>1642</v>
      </c>
      <c r="AX135" s="3" t="s">
        <v>1642</v>
      </c>
      <c r="AY135" s="3" t="s">
        <v>1643</v>
      </c>
      <c r="AZ135" s="3" t="s">
        <v>73</v>
      </c>
      <c r="BB135" s="3" t="s">
        <v>1644</v>
      </c>
      <c r="BC135" s="3" t="s">
        <v>1645</v>
      </c>
      <c r="BD135" s="3" t="s">
        <v>1646</v>
      </c>
    </row>
    <row r="136" spans="1:56" ht="51" customHeight="1" x14ac:dyDescent="0.25">
      <c r="A136" s="7" t="s">
        <v>58</v>
      </c>
      <c r="B136" s="2" t="s">
        <v>1647</v>
      </c>
      <c r="C136" s="2" t="s">
        <v>1648</v>
      </c>
      <c r="D136" s="2" t="s">
        <v>1649</v>
      </c>
      <c r="F136" s="3" t="s">
        <v>58</v>
      </c>
      <c r="G136" s="3" t="s">
        <v>59</v>
      </c>
      <c r="H136" s="3" t="s">
        <v>58</v>
      </c>
      <c r="I136" s="3" t="s">
        <v>58</v>
      </c>
      <c r="J136" s="3" t="s">
        <v>60</v>
      </c>
      <c r="K136" s="2" t="s">
        <v>1650</v>
      </c>
      <c r="L136" s="2" t="s">
        <v>1651</v>
      </c>
      <c r="M136" s="3" t="s">
        <v>337</v>
      </c>
      <c r="O136" s="3" t="s">
        <v>63</v>
      </c>
      <c r="P136" s="3" t="s">
        <v>495</v>
      </c>
      <c r="R136" s="3" t="s">
        <v>65</v>
      </c>
      <c r="S136" s="4">
        <v>3</v>
      </c>
      <c r="T136" s="4">
        <v>3</v>
      </c>
      <c r="U136" s="5" t="s">
        <v>1652</v>
      </c>
      <c r="V136" s="5" t="s">
        <v>1652</v>
      </c>
      <c r="W136" s="5" t="s">
        <v>1653</v>
      </c>
      <c r="X136" s="5" t="s">
        <v>1653</v>
      </c>
      <c r="Y136" s="4">
        <v>313</v>
      </c>
      <c r="Z136" s="4">
        <v>255</v>
      </c>
      <c r="AA136" s="4">
        <v>869</v>
      </c>
      <c r="AB136" s="4">
        <v>4</v>
      </c>
      <c r="AC136" s="4">
        <v>28</v>
      </c>
      <c r="AD136" s="4">
        <v>17</v>
      </c>
      <c r="AE136" s="4">
        <v>37</v>
      </c>
      <c r="AF136" s="4">
        <v>1</v>
      </c>
      <c r="AG136" s="4">
        <v>7</v>
      </c>
      <c r="AH136" s="4">
        <v>6</v>
      </c>
      <c r="AI136" s="4">
        <v>10</v>
      </c>
      <c r="AJ136" s="4">
        <v>9</v>
      </c>
      <c r="AK136" s="4">
        <v>14</v>
      </c>
      <c r="AL136" s="4">
        <v>3</v>
      </c>
      <c r="AM136" s="4">
        <v>13</v>
      </c>
      <c r="AN136" s="4">
        <v>1</v>
      </c>
      <c r="AO136" s="4">
        <v>1</v>
      </c>
      <c r="AP136" s="3" t="s">
        <v>58</v>
      </c>
      <c r="AQ136" s="3" t="s">
        <v>68</v>
      </c>
      <c r="AR136" s="6" t="str">
        <f>HYPERLINK("http://catalog.hathitrust.org/Record/004219836","HathiTrust Record")</f>
        <v>HathiTrust Record</v>
      </c>
      <c r="AS136" s="6" t="str">
        <f>HYPERLINK("https://creighton-primo.hosted.exlibrisgroup.com/primo-explore/search?tab=default_tab&amp;search_scope=EVERYTHING&amp;vid=01CRU&amp;lang=en_US&amp;offset=0&amp;query=any,contains,991003742089702656","Catalog Record")</f>
        <v>Catalog Record</v>
      </c>
      <c r="AT136" s="6" t="str">
        <f>HYPERLINK("http://www.worldcat.org/oclc/47716421","WorldCat Record")</f>
        <v>WorldCat Record</v>
      </c>
      <c r="AU136" s="3" t="s">
        <v>1654</v>
      </c>
      <c r="AV136" s="3" t="s">
        <v>1655</v>
      </c>
      <c r="AW136" s="3" t="s">
        <v>1656</v>
      </c>
      <c r="AX136" s="3" t="s">
        <v>1656</v>
      </c>
      <c r="AY136" s="3" t="s">
        <v>1657</v>
      </c>
      <c r="AZ136" s="3" t="s">
        <v>73</v>
      </c>
      <c r="BB136" s="3" t="s">
        <v>1658</v>
      </c>
      <c r="BC136" s="3" t="s">
        <v>1659</v>
      </c>
      <c r="BD136" s="3" t="s">
        <v>1660</v>
      </c>
    </row>
    <row r="137" spans="1:56" ht="51" customHeight="1" x14ac:dyDescent="0.25">
      <c r="A137" s="7" t="s">
        <v>58</v>
      </c>
      <c r="B137" s="2" t="s">
        <v>1661</v>
      </c>
      <c r="C137" s="2" t="s">
        <v>1662</v>
      </c>
      <c r="D137" s="2" t="s">
        <v>1663</v>
      </c>
      <c r="F137" s="3" t="s">
        <v>58</v>
      </c>
      <c r="G137" s="3" t="s">
        <v>59</v>
      </c>
      <c r="H137" s="3" t="s">
        <v>58</v>
      </c>
      <c r="I137" s="3" t="s">
        <v>58</v>
      </c>
      <c r="J137" s="3" t="s">
        <v>60</v>
      </c>
      <c r="K137" s="2" t="s">
        <v>1664</v>
      </c>
      <c r="L137" s="2" t="s">
        <v>1665</v>
      </c>
      <c r="M137" s="3" t="s">
        <v>653</v>
      </c>
      <c r="O137" s="3" t="s">
        <v>63</v>
      </c>
      <c r="P137" s="3" t="s">
        <v>354</v>
      </c>
      <c r="R137" s="3" t="s">
        <v>65</v>
      </c>
      <c r="S137" s="4">
        <v>9</v>
      </c>
      <c r="T137" s="4">
        <v>9</v>
      </c>
      <c r="U137" s="5" t="s">
        <v>1666</v>
      </c>
      <c r="V137" s="5" t="s">
        <v>1666</v>
      </c>
      <c r="W137" s="5" t="s">
        <v>1667</v>
      </c>
      <c r="X137" s="5" t="s">
        <v>1667</v>
      </c>
      <c r="Y137" s="4">
        <v>606</v>
      </c>
      <c r="Z137" s="4">
        <v>484</v>
      </c>
      <c r="AA137" s="4">
        <v>617</v>
      </c>
      <c r="AB137" s="4">
        <v>5</v>
      </c>
      <c r="AC137" s="4">
        <v>6</v>
      </c>
      <c r="AD137" s="4">
        <v>25</v>
      </c>
      <c r="AE137" s="4">
        <v>35</v>
      </c>
      <c r="AF137" s="4">
        <v>7</v>
      </c>
      <c r="AG137" s="4">
        <v>11</v>
      </c>
      <c r="AH137" s="4">
        <v>7</v>
      </c>
      <c r="AI137" s="4">
        <v>10</v>
      </c>
      <c r="AJ137" s="4">
        <v>13</v>
      </c>
      <c r="AK137" s="4">
        <v>17</v>
      </c>
      <c r="AL137" s="4">
        <v>4</v>
      </c>
      <c r="AM137" s="4">
        <v>5</v>
      </c>
      <c r="AN137" s="4">
        <v>0</v>
      </c>
      <c r="AO137" s="4">
        <v>0</v>
      </c>
      <c r="AP137" s="3" t="s">
        <v>58</v>
      </c>
      <c r="AQ137" s="3" t="s">
        <v>58</v>
      </c>
      <c r="AS137" s="6" t="str">
        <f>HYPERLINK("https://creighton-primo.hosted.exlibrisgroup.com/primo-explore/search?tab=default_tab&amp;search_scope=EVERYTHING&amp;vid=01CRU&amp;lang=en_US&amp;offset=0&amp;query=any,contains,991001874399702656","Catalog Record")</f>
        <v>Catalog Record</v>
      </c>
      <c r="AT137" s="6" t="str">
        <f>HYPERLINK("http://www.worldcat.org/oclc/23654259","WorldCat Record")</f>
        <v>WorldCat Record</v>
      </c>
      <c r="AU137" s="3" t="s">
        <v>1668</v>
      </c>
      <c r="AV137" s="3" t="s">
        <v>1669</v>
      </c>
      <c r="AW137" s="3" t="s">
        <v>1670</v>
      </c>
      <c r="AX137" s="3" t="s">
        <v>1670</v>
      </c>
      <c r="AY137" s="3" t="s">
        <v>1671</v>
      </c>
      <c r="AZ137" s="3" t="s">
        <v>73</v>
      </c>
      <c r="BB137" s="3" t="s">
        <v>1672</v>
      </c>
      <c r="BC137" s="3" t="s">
        <v>1673</v>
      </c>
      <c r="BD137" s="3" t="s">
        <v>1674</v>
      </c>
    </row>
    <row r="138" spans="1:56" ht="51" customHeight="1" x14ac:dyDescent="0.25">
      <c r="A138" s="7" t="s">
        <v>58</v>
      </c>
      <c r="B138" s="2" t="s">
        <v>1675</v>
      </c>
      <c r="C138" s="2" t="s">
        <v>1676</v>
      </c>
      <c r="D138" s="2" t="s">
        <v>1677</v>
      </c>
      <c r="F138" s="3" t="s">
        <v>58</v>
      </c>
      <c r="G138" s="3" t="s">
        <v>59</v>
      </c>
      <c r="H138" s="3" t="s">
        <v>58</v>
      </c>
      <c r="I138" s="3" t="s">
        <v>58</v>
      </c>
      <c r="J138" s="3" t="s">
        <v>60</v>
      </c>
      <c r="K138" s="2" t="s">
        <v>1678</v>
      </c>
      <c r="L138" s="2" t="s">
        <v>1679</v>
      </c>
      <c r="M138" s="3" t="s">
        <v>653</v>
      </c>
      <c r="O138" s="3" t="s">
        <v>63</v>
      </c>
      <c r="P138" s="3" t="s">
        <v>214</v>
      </c>
      <c r="Q138" s="2" t="s">
        <v>1680</v>
      </c>
      <c r="R138" s="3" t="s">
        <v>65</v>
      </c>
      <c r="S138" s="4">
        <v>1</v>
      </c>
      <c r="T138" s="4">
        <v>1</v>
      </c>
      <c r="U138" s="5" t="s">
        <v>1681</v>
      </c>
      <c r="V138" s="5" t="s">
        <v>1681</v>
      </c>
      <c r="W138" s="5" t="s">
        <v>1682</v>
      </c>
      <c r="X138" s="5" t="s">
        <v>1682</v>
      </c>
      <c r="Y138" s="4">
        <v>264</v>
      </c>
      <c r="Z138" s="4">
        <v>190</v>
      </c>
      <c r="AA138" s="4">
        <v>191</v>
      </c>
      <c r="AB138" s="4">
        <v>2</v>
      </c>
      <c r="AC138" s="4">
        <v>2</v>
      </c>
      <c r="AD138" s="4">
        <v>9</v>
      </c>
      <c r="AE138" s="4">
        <v>9</v>
      </c>
      <c r="AF138" s="4">
        <v>2</v>
      </c>
      <c r="AG138" s="4">
        <v>2</v>
      </c>
      <c r="AH138" s="4">
        <v>2</v>
      </c>
      <c r="AI138" s="4">
        <v>2</v>
      </c>
      <c r="AJ138" s="4">
        <v>3</v>
      </c>
      <c r="AK138" s="4">
        <v>3</v>
      </c>
      <c r="AL138" s="4">
        <v>1</v>
      </c>
      <c r="AM138" s="4">
        <v>1</v>
      </c>
      <c r="AN138" s="4">
        <v>2</v>
      </c>
      <c r="AO138" s="4">
        <v>2</v>
      </c>
      <c r="AP138" s="3" t="s">
        <v>58</v>
      </c>
      <c r="AQ138" s="3" t="s">
        <v>58</v>
      </c>
      <c r="AS138" s="6" t="str">
        <f>HYPERLINK("https://creighton-primo.hosted.exlibrisgroup.com/primo-explore/search?tab=default_tab&amp;search_scope=EVERYTHING&amp;vid=01CRU&amp;lang=en_US&amp;offset=0&amp;query=any,contains,991001807039702656","Catalog Record")</f>
        <v>Catalog Record</v>
      </c>
      <c r="AT138" s="6" t="str">
        <f>HYPERLINK("http://www.worldcat.org/oclc/22709553","WorldCat Record")</f>
        <v>WorldCat Record</v>
      </c>
      <c r="AU138" s="3" t="s">
        <v>1683</v>
      </c>
      <c r="AV138" s="3" t="s">
        <v>1684</v>
      </c>
      <c r="AW138" s="3" t="s">
        <v>1685</v>
      </c>
      <c r="AX138" s="3" t="s">
        <v>1685</v>
      </c>
      <c r="AY138" s="3" t="s">
        <v>1686</v>
      </c>
      <c r="AZ138" s="3" t="s">
        <v>73</v>
      </c>
      <c r="BB138" s="3" t="s">
        <v>1687</v>
      </c>
      <c r="BC138" s="3" t="s">
        <v>1688</v>
      </c>
      <c r="BD138" s="3" t="s">
        <v>1689</v>
      </c>
    </row>
    <row r="139" spans="1:56" ht="51" customHeight="1" x14ac:dyDescent="0.25">
      <c r="A139" s="7" t="s">
        <v>58</v>
      </c>
      <c r="B139" s="2" t="s">
        <v>1690</v>
      </c>
      <c r="C139" s="2" t="s">
        <v>1691</v>
      </c>
      <c r="D139" s="2" t="s">
        <v>1692</v>
      </c>
      <c r="F139" s="3" t="s">
        <v>58</v>
      </c>
      <c r="G139" s="3" t="s">
        <v>59</v>
      </c>
      <c r="H139" s="3" t="s">
        <v>58</v>
      </c>
      <c r="I139" s="3" t="s">
        <v>58</v>
      </c>
      <c r="J139" s="3" t="s">
        <v>60</v>
      </c>
      <c r="L139" s="2" t="s">
        <v>1693</v>
      </c>
      <c r="M139" s="3" t="s">
        <v>1544</v>
      </c>
      <c r="O139" s="3" t="s">
        <v>63</v>
      </c>
      <c r="P139" s="3" t="s">
        <v>816</v>
      </c>
      <c r="R139" s="3" t="s">
        <v>65</v>
      </c>
      <c r="S139" s="4">
        <v>2</v>
      </c>
      <c r="T139" s="4">
        <v>2</v>
      </c>
      <c r="U139" s="5" t="s">
        <v>1694</v>
      </c>
      <c r="V139" s="5" t="s">
        <v>1694</v>
      </c>
      <c r="W139" s="5" t="s">
        <v>1695</v>
      </c>
      <c r="X139" s="5" t="s">
        <v>1695</v>
      </c>
      <c r="Y139" s="4">
        <v>373</v>
      </c>
      <c r="Z139" s="4">
        <v>332</v>
      </c>
      <c r="AA139" s="4">
        <v>344</v>
      </c>
      <c r="AB139" s="4">
        <v>4</v>
      </c>
      <c r="AC139" s="4">
        <v>4</v>
      </c>
      <c r="AD139" s="4">
        <v>21</v>
      </c>
      <c r="AE139" s="4">
        <v>22</v>
      </c>
      <c r="AF139" s="4">
        <v>7</v>
      </c>
      <c r="AG139" s="4">
        <v>7</v>
      </c>
      <c r="AH139" s="4">
        <v>5</v>
      </c>
      <c r="AI139" s="4">
        <v>6</v>
      </c>
      <c r="AJ139" s="4">
        <v>9</v>
      </c>
      <c r="AK139" s="4">
        <v>10</v>
      </c>
      <c r="AL139" s="4">
        <v>3</v>
      </c>
      <c r="AM139" s="4">
        <v>3</v>
      </c>
      <c r="AN139" s="4">
        <v>1</v>
      </c>
      <c r="AO139" s="4">
        <v>1</v>
      </c>
      <c r="AP139" s="3" t="s">
        <v>58</v>
      </c>
      <c r="AQ139" s="3" t="s">
        <v>68</v>
      </c>
      <c r="AR139" s="6" t="str">
        <f>HYPERLINK("http://catalog.hathitrust.org/Record/002625484","HathiTrust Record")</f>
        <v>HathiTrust Record</v>
      </c>
      <c r="AS139" s="6" t="str">
        <f>HYPERLINK("https://creighton-primo.hosted.exlibrisgroup.com/primo-explore/search?tab=default_tab&amp;search_scope=EVERYTHING&amp;vid=01CRU&amp;lang=en_US&amp;offset=0&amp;query=any,contains,991002154059702656","Catalog Record")</f>
        <v>Catalog Record</v>
      </c>
      <c r="AT139" s="6" t="str">
        <f>HYPERLINK("http://www.worldcat.org/oclc/27768444","WorldCat Record")</f>
        <v>WorldCat Record</v>
      </c>
      <c r="AU139" s="3" t="s">
        <v>1696</v>
      </c>
      <c r="AV139" s="3" t="s">
        <v>1697</v>
      </c>
      <c r="AW139" s="3" t="s">
        <v>1698</v>
      </c>
      <c r="AX139" s="3" t="s">
        <v>1698</v>
      </c>
      <c r="AY139" s="3" t="s">
        <v>1699</v>
      </c>
      <c r="AZ139" s="3" t="s">
        <v>73</v>
      </c>
      <c r="BB139" s="3" t="s">
        <v>1700</v>
      </c>
      <c r="BC139" s="3" t="s">
        <v>1701</v>
      </c>
      <c r="BD139" s="3" t="s">
        <v>1702</v>
      </c>
    </row>
    <row r="140" spans="1:56" ht="51" customHeight="1" x14ac:dyDescent="0.25">
      <c r="A140" s="7" t="s">
        <v>58</v>
      </c>
      <c r="B140" s="2" t="s">
        <v>1703</v>
      </c>
      <c r="C140" s="2" t="s">
        <v>1704</v>
      </c>
      <c r="D140" s="2" t="s">
        <v>1705</v>
      </c>
      <c r="F140" s="3" t="s">
        <v>58</v>
      </c>
      <c r="G140" s="3" t="s">
        <v>59</v>
      </c>
      <c r="H140" s="3" t="s">
        <v>58</v>
      </c>
      <c r="I140" s="3" t="s">
        <v>58</v>
      </c>
      <c r="J140" s="3" t="s">
        <v>60</v>
      </c>
      <c r="K140" s="2" t="s">
        <v>1706</v>
      </c>
      <c r="L140" s="2" t="s">
        <v>1707</v>
      </c>
      <c r="M140" s="3" t="s">
        <v>745</v>
      </c>
      <c r="O140" s="3" t="s">
        <v>63</v>
      </c>
      <c r="P140" s="3" t="s">
        <v>214</v>
      </c>
      <c r="R140" s="3" t="s">
        <v>65</v>
      </c>
      <c r="S140" s="4">
        <v>13</v>
      </c>
      <c r="T140" s="4">
        <v>13</v>
      </c>
      <c r="U140" s="5" t="s">
        <v>1708</v>
      </c>
      <c r="V140" s="5" t="s">
        <v>1708</v>
      </c>
      <c r="W140" s="5" t="s">
        <v>235</v>
      </c>
      <c r="X140" s="5" t="s">
        <v>235</v>
      </c>
      <c r="Y140" s="4">
        <v>939</v>
      </c>
      <c r="Z140" s="4">
        <v>850</v>
      </c>
      <c r="AA140" s="4">
        <v>1000</v>
      </c>
      <c r="AB140" s="4">
        <v>8</v>
      </c>
      <c r="AC140" s="4">
        <v>9</v>
      </c>
      <c r="AD140" s="4">
        <v>22</v>
      </c>
      <c r="AE140" s="4">
        <v>28</v>
      </c>
      <c r="AF140" s="4">
        <v>10</v>
      </c>
      <c r="AG140" s="4">
        <v>14</v>
      </c>
      <c r="AH140" s="4">
        <v>4</v>
      </c>
      <c r="AI140" s="4">
        <v>6</v>
      </c>
      <c r="AJ140" s="4">
        <v>8</v>
      </c>
      <c r="AK140" s="4">
        <v>11</v>
      </c>
      <c r="AL140" s="4">
        <v>4</v>
      </c>
      <c r="AM140" s="4">
        <v>4</v>
      </c>
      <c r="AN140" s="4">
        <v>0</v>
      </c>
      <c r="AO140" s="4">
        <v>0</v>
      </c>
      <c r="AP140" s="3" t="s">
        <v>58</v>
      </c>
      <c r="AQ140" s="3" t="s">
        <v>68</v>
      </c>
      <c r="AR140" s="6" t="str">
        <f>HYPERLINK("http://catalog.hathitrust.org/Record/001242458","HathiTrust Record")</f>
        <v>HathiTrust Record</v>
      </c>
      <c r="AS140" s="6" t="str">
        <f>HYPERLINK("https://creighton-primo.hosted.exlibrisgroup.com/primo-explore/search?tab=default_tab&amp;search_scope=EVERYTHING&amp;vid=01CRU&amp;lang=en_US&amp;offset=0&amp;query=any,contains,991002327949702656","Catalog Record")</f>
        <v>Catalog Record</v>
      </c>
      <c r="AT140" s="6" t="str">
        <f>HYPERLINK("http://www.worldcat.org/oclc/321364","WorldCat Record")</f>
        <v>WorldCat Record</v>
      </c>
      <c r="AU140" s="3" t="s">
        <v>1709</v>
      </c>
      <c r="AV140" s="3" t="s">
        <v>1710</v>
      </c>
      <c r="AW140" s="3" t="s">
        <v>1711</v>
      </c>
      <c r="AX140" s="3" t="s">
        <v>1711</v>
      </c>
      <c r="AY140" s="3" t="s">
        <v>1712</v>
      </c>
      <c r="AZ140" s="3" t="s">
        <v>73</v>
      </c>
      <c r="BC140" s="3" t="s">
        <v>1713</v>
      </c>
      <c r="BD140" s="3" t="s">
        <v>1714</v>
      </c>
    </row>
    <row r="141" spans="1:56" ht="51" customHeight="1" x14ac:dyDescent="0.25">
      <c r="A141" s="7" t="s">
        <v>58</v>
      </c>
      <c r="B141" s="2" t="s">
        <v>1715</v>
      </c>
      <c r="C141" s="2" t="s">
        <v>1716</v>
      </c>
      <c r="D141" s="2" t="s">
        <v>1717</v>
      </c>
      <c r="F141" s="3" t="s">
        <v>58</v>
      </c>
      <c r="G141" s="3" t="s">
        <v>59</v>
      </c>
      <c r="H141" s="3" t="s">
        <v>58</v>
      </c>
      <c r="I141" s="3" t="s">
        <v>58</v>
      </c>
      <c r="J141" s="3" t="s">
        <v>60</v>
      </c>
      <c r="K141" s="2" t="s">
        <v>1718</v>
      </c>
      <c r="L141" s="2" t="s">
        <v>1719</v>
      </c>
      <c r="M141" s="3" t="s">
        <v>1720</v>
      </c>
      <c r="O141" s="3" t="s">
        <v>63</v>
      </c>
      <c r="P141" s="3" t="s">
        <v>571</v>
      </c>
      <c r="R141" s="3" t="s">
        <v>65</v>
      </c>
      <c r="S141" s="4">
        <v>1</v>
      </c>
      <c r="T141" s="4">
        <v>1</v>
      </c>
      <c r="U141" s="5" t="s">
        <v>1721</v>
      </c>
      <c r="V141" s="5" t="s">
        <v>1721</v>
      </c>
      <c r="W141" s="5" t="s">
        <v>235</v>
      </c>
      <c r="X141" s="5" t="s">
        <v>235</v>
      </c>
      <c r="Y141" s="4">
        <v>508</v>
      </c>
      <c r="Z141" s="4">
        <v>387</v>
      </c>
      <c r="AA141" s="4">
        <v>389</v>
      </c>
      <c r="AB141" s="4">
        <v>1</v>
      </c>
      <c r="AC141" s="4">
        <v>1</v>
      </c>
      <c r="AD141" s="4">
        <v>23</v>
      </c>
      <c r="AE141" s="4">
        <v>23</v>
      </c>
      <c r="AF141" s="4">
        <v>8</v>
      </c>
      <c r="AG141" s="4">
        <v>8</v>
      </c>
      <c r="AH141" s="4">
        <v>8</v>
      </c>
      <c r="AI141" s="4">
        <v>8</v>
      </c>
      <c r="AJ141" s="4">
        <v>15</v>
      </c>
      <c r="AK141" s="4">
        <v>15</v>
      </c>
      <c r="AL141" s="4">
        <v>0</v>
      </c>
      <c r="AM141" s="4">
        <v>0</v>
      </c>
      <c r="AN141" s="4">
        <v>0</v>
      </c>
      <c r="AO141" s="4">
        <v>0</v>
      </c>
      <c r="AP141" s="3" t="s">
        <v>58</v>
      </c>
      <c r="AQ141" s="3" t="s">
        <v>68</v>
      </c>
      <c r="AR141" s="6" t="str">
        <f>HYPERLINK("http://catalog.hathitrust.org/Record/001863935","HathiTrust Record")</f>
        <v>HathiTrust Record</v>
      </c>
      <c r="AS141" s="6" t="str">
        <f>HYPERLINK("https://creighton-primo.hosted.exlibrisgroup.com/primo-explore/search?tab=default_tab&amp;search_scope=EVERYTHING&amp;vid=01CRU&amp;lang=en_US&amp;offset=0&amp;query=any,contains,991002425199702656","Catalog Record")</f>
        <v>Catalog Record</v>
      </c>
      <c r="AT141" s="6" t="str">
        <f>HYPERLINK("http://www.worldcat.org/oclc/344560","WorldCat Record")</f>
        <v>WorldCat Record</v>
      </c>
      <c r="AU141" s="3" t="s">
        <v>1722</v>
      </c>
      <c r="AV141" s="3" t="s">
        <v>1723</v>
      </c>
      <c r="AW141" s="3" t="s">
        <v>1724</v>
      </c>
      <c r="AX141" s="3" t="s">
        <v>1724</v>
      </c>
      <c r="AY141" s="3" t="s">
        <v>1725</v>
      </c>
      <c r="AZ141" s="3" t="s">
        <v>73</v>
      </c>
      <c r="BC141" s="3" t="s">
        <v>1726</v>
      </c>
      <c r="BD141" s="3" t="s">
        <v>1727</v>
      </c>
    </row>
    <row r="142" spans="1:56" ht="51" customHeight="1" x14ac:dyDescent="0.25">
      <c r="A142" s="7" t="s">
        <v>58</v>
      </c>
      <c r="B142" s="2" t="s">
        <v>1728</v>
      </c>
      <c r="C142" s="2" t="s">
        <v>1729</v>
      </c>
      <c r="D142" s="2" t="s">
        <v>1730</v>
      </c>
      <c r="F142" s="3" t="s">
        <v>58</v>
      </c>
      <c r="G142" s="3" t="s">
        <v>59</v>
      </c>
      <c r="H142" s="3" t="s">
        <v>58</v>
      </c>
      <c r="I142" s="3" t="s">
        <v>58</v>
      </c>
      <c r="J142" s="3" t="s">
        <v>60</v>
      </c>
      <c r="K142" s="2" t="s">
        <v>1105</v>
      </c>
      <c r="L142" s="2" t="s">
        <v>1731</v>
      </c>
      <c r="M142" s="3" t="s">
        <v>1732</v>
      </c>
      <c r="O142" s="3" t="s">
        <v>63</v>
      </c>
      <c r="P142" s="3" t="s">
        <v>571</v>
      </c>
      <c r="R142" s="3" t="s">
        <v>65</v>
      </c>
      <c r="S142" s="4">
        <v>1</v>
      </c>
      <c r="T142" s="4">
        <v>1</v>
      </c>
      <c r="U142" s="5" t="s">
        <v>1733</v>
      </c>
      <c r="V142" s="5" t="s">
        <v>1733</v>
      </c>
      <c r="W142" s="5" t="s">
        <v>235</v>
      </c>
      <c r="X142" s="5" t="s">
        <v>235</v>
      </c>
      <c r="Y142" s="4">
        <v>420</v>
      </c>
      <c r="Z142" s="4">
        <v>349</v>
      </c>
      <c r="AA142" s="4">
        <v>500</v>
      </c>
      <c r="AB142" s="4">
        <v>3</v>
      </c>
      <c r="AC142" s="4">
        <v>6</v>
      </c>
      <c r="AD142" s="4">
        <v>18</v>
      </c>
      <c r="AE142" s="4">
        <v>28</v>
      </c>
      <c r="AF142" s="4">
        <v>4</v>
      </c>
      <c r="AG142" s="4">
        <v>8</v>
      </c>
      <c r="AH142" s="4">
        <v>4</v>
      </c>
      <c r="AI142" s="4">
        <v>6</v>
      </c>
      <c r="AJ142" s="4">
        <v>10</v>
      </c>
      <c r="AK142" s="4">
        <v>13</v>
      </c>
      <c r="AL142" s="4">
        <v>2</v>
      </c>
      <c r="AM142" s="4">
        <v>4</v>
      </c>
      <c r="AN142" s="4">
        <v>0</v>
      </c>
      <c r="AO142" s="4">
        <v>0</v>
      </c>
      <c r="AP142" s="3" t="s">
        <v>68</v>
      </c>
      <c r="AQ142" s="3" t="s">
        <v>58</v>
      </c>
      <c r="AR142" s="6" t="str">
        <f>HYPERLINK("http://catalog.hathitrust.org/Record/001242461","HathiTrust Record")</f>
        <v>HathiTrust Record</v>
      </c>
      <c r="AS142" s="6" t="str">
        <f>HYPERLINK("https://creighton-primo.hosted.exlibrisgroup.com/primo-explore/search?tab=default_tab&amp;search_scope=EVERYTHING&amp;vid=01CRU&amp;lang=en_US&amp;offset=0&amp;query=any,contains,991003393789702656","Catalog Record")</f>
        <v>Catalog Record</v>
      </c>
      <c r="AT142" s="6" t="str">
        <f>HYPERLINK("http://www.worldcat.org/oclc/932203","WorldCat Record")</f>
        <v>WorldCat Record</v>
      </c>
      <c r="AU142" s="3" t="s">
        <v>1734</v>
      </c>
      <c r="AV142" s="3" t="s">
        <v>1735</v>
      </c>
      <c r="AW142" s="3" t="s">
        <v>1736</v>
      </c>
      <c r="AX142" s="3" t="s">
        <v>1736</v>
      </c>
      <c r="AY142" s="3" t="s">
        <v>1737</v>
      </c>
      <c r="AZ142" s="3" t="s">
        <v>73</v>
      </c>
      <c r="BC142" s="3" t="s">
        <v>1738</v>
      </c>
      <c r="BD142" s="3" t="s">
        <v>1739</v>
      </c>
    </row>
    <row r="143" spans="1:56" ht="51" customHeight="1" x14ac:dyDescent="0.25">
      <c r="A143" s="7" t="s">
        <v>58</v>
      </c>
      <c r="B143" s="2" t="s">
        <v>1740</v>
      </c>
      <c r="C143" s="2" t="s">
        <v>1741</v>
      </c>
      <c r="D143" s="2" t="s">
        <v>1742</v>
      </c>
      <c r="F143" s="3" t="s">
        <v>58</v>
      </c>
      <c r="G143" s="3" t="s">
        <v>59</v>
      </c>
      <c r="H143" s="3" t="s">
        <v>58</v>
      </c>
      <c r="I143" s="3" t="s">
        <v>58</v>
      </c>
      <c r="J143" s="3" t="s">
        <v>60</v>
      </c>
      <c r="K143" s="2" t="s">
        <v>1743</v>
      </c>
      <c r="L143" s="2" t="s">
        <v>1744</v>
      </c>
      <c r="M143" s="3" t="s">
        <v>1399</v>
      </c>
      <c r="N143" s="2" t="s">
        <v>1745</v>
      </c>
      <c r="O143" s="3" t="s">
        <v>63</v>
      </c>
      <c r="P143" s="3" t="s">
        <v>354</v>
      </c>
      <c r="Q143" s="2" t="s">
        <v>1746</v>
      </c>
      <c r="R143" s="3" t="s">
        <v>65</v>
      </c>
      <c r="S143" s="4">
        <v>7</v>
      </c>
      <c r="T143" s="4">
        <v>7</v>
      </c>
      <c r="U143" s="5" t="s">
        <v>1747</v>
      </c>
      <c r="V143" s="5" t="s">
        <v>1747</v>
      </c>
      <c r="W143" s="5" t="s">
        <v>112</v>
      </c>
      <c r="X143" s="5" t="s">
        <v>112</v>
      </c>
      <c r="Y143" s="4">
        <v>479</v>
      </c>
      <c r="Z143" s="4">
        <v>376</v>
      </c>
      <c r="AA143" s="4">
        <v>376</v>
      </c>
      <c r="AB143" s="4">
        <v>3</v>
      </c>
      <c r="AC143" s="4">
        <v>3</v>
      </c>
      <c r="AD143" s="4">
        <v>22</v>
      </c>
      <c r="AE143" s="4">
        <v>22</v>
      </c>
      <c r="AF143" s="4">
        <v>9</v>
      </c>
      <c r="AG143" s="4">
        <v>9</v>
      </c>
      <c r="AH143" s="4">
        <v>6</v>
      </c>
      <c r="AI143" s="4">
        <v>6</v>
      </c>
      <c r="AJ143" s="4">
        <v>10</v>
      </c>
      <c r="AK143" s="4">
        <v>10</v>
      </c>
      <c r="AL143" s="4">
        <v>2</v>
      </c>
      <c r="AM143" s="4">
        <v>2</v>
      </c>
      <c r="AN143" s="4">
        <v>0</v>
      </c>
      <c r="AO143" s="4">
        <v>0</v>
      </c>
      <c r="AP143" s="3" t="s">
        <v>58</v>
      </c>
      <c r="AQ143" s="3" t="s">
        <v>58</v>
      </c>
      <c r="AS143" s="6" t="str">
        <f>HYPERLINK("https://creighton-primo.hosted.exlibrisgroup.com/primo-explore/search?tab=default_tab&amp;search_scope=EVERYTHING&amp;vid=01CRU&amp;lang=en_US&amp;offset=0&amp;query=any,contains,991001240379702656","Catalog Record")</f>
        <v>Catalog Record</v>
      </c>
      <c r="AT143" s="6" t="str">
        <f>HYPERLINK("http://www.worldcat.org/oclc/17618692","WorldCat Record")</f>
        <v>WorldCat Record</v>
      </c>
      <c r="AU143" s="3" t="s">
        <v>1748</v>
      </c>
      <c r="AV143" s="3" t="s">
        <v>1749</v>
      </c>
      <c r="AW143" s="3" t="s">
        <v>1750</v>
      </c>
      <c r="AX143" s="3" t="s">
        <v>1750</v>
      </c>
      <c r="AY143" s="3" t="s">
        <v>1751</v>
      </c>
      <c r="AZ143" s="3" t="s">
        <v>73</v>
      </c>
      <c r="BB143" s="3" t="s">
        <v>1752</v>
      </c>
      <c r="BC143" s="3" t="s">
        <v>1753</v>
      </c>
      <c r="BD143" s="3" t="s">
        <v>1754</v>
      </c>
    </row>
    <row r="144" spans="1:56" ht="51" customHeight="1" x14ac:dyDescent="0.25">
      <c r="A144" s="7" t="s">
        <v>58</v>
      </c>
      <c r="B144" s="2" t="s">
        <v>1755</v>
      </c>
      <c r="C144" s="2" t="s">
        <v>1756</v>
      </c>
      <c r="D144" s="2" t="s">
        <v>1757</v>
      </c>
      <c r="F144" s="3" t="s">
        <v>58</v>
      </c>
      <c r="G144" s="3" t="s">
        <v>59</v>
      </c>
      <c r="H144" s="3" t="s">
        <v>58</v>
      </c>
      <c r="I144" s="3" t="s">
        <v>58</v>
      </c>
      <c r="J144" s="3" t="s">
        <v>60</v>
      </c>
      <c r="L144" s="2" t="s">
        <v>1758</v>
      </c>
      <c r="M144" s="3" t="s">
        <v>1499</v>
      </c>
      <c r="O144" s="3" t="s">
        <v>63</v>
      </c>
      <c r="P144" s="3" t="s">
        <v>571</v>
      </c>
      <c r="Q144" s="2" t="s">
        <v>1759</v>
      </c>
      <c r="R144" s="3" t="s">
        <v>65</v>
      </c>
      <c r="S144" s="4">
        <v>7</v>
      </c>
      <c r="T144" s="4">
        <v>7</v>
      </c>
      <c r="U144" s="5" t="s">
        <v>1760</v>
      </c>
      <c r="V144" s="5" t="s">
        <v>1760</v>
      </c>
      <c r="W144" s="5" t="s">
        <v>1761</v>
      </c>
      <c r="X144" s="5" t="s">
        <v>1761</v>
      </c>
      <c r="Y144" s="4">
        <v>37</v>
      </c>
      <c r="Z144" s="4">
        <v>32</v>
      </c>
      <c r="AA144" s="4">
        <v>36</v>
      </c>
      <c r="AB144" s="4">
        <v>2</v>
      </c>
      <c r="AC144" s="4">
        <v>2</v>
      </c>
      <c r="AD144" s="4">
        <v>2</v>
      </c>
      <c r="AE144" s="4">
        <v>2</v>
      </c>
      <c r="AF144" s="4">
        <v>0</v>
      </c>
      <c r="AG144" s="4">
        <v>0</v>
      </c>
      <c r="AH144" s="4">
        <v>0</v>
      </c>
      <c r="AI144" s="4">
        <v>0</v>
      </c>
      <c r="AJ144" s="4">
        <v>1</v>
      </c>
      <c r="AK144" s="4">
        <v>1</v>
      </c>
      <c r="AL144" s="4">
        <v>1</v>
      </c>
      <c r="AM144" s="4">
        <v>1</v>
      </c>
      <c r="AN144" s="4">
        <v>0</v>
      </c>
      <c r="AO144" s="4">
        <v>0</v>
      </c>
      <c r="AP144" s="3" t="s">
        <v>58</v>
      </c>
      <c r="AQ144" s="3" t="s">
        <v>68</v>
      </c>
      <c r="AR144" s="6" t="str">
        <f>HYPERLINK("http://catalog.hathitrust.org/Record/101959675","HathiTrust Record")</f>
        <v>HathiTrust Record</v>
      </c>
      <c r="AS144" s="6" t="str">
        <f>HYPERLINK("https://creighton-primo.hosted.exlibrisgroup.com/primo-explore/search?tab=default_tab&amp;search_scope=EVERYTHING&amp;vid=01CRU&amp;lang=en_US&amp;offset=0&amp;query=any,contains,991003567749702656","Catalog Record")</f>
        <v>Catalog Record</v>
      </c>
      <c r="AT144" s="6" t="str">
        <f>HYPERLINK("http://www.worldcat.org/oclc/1141498","WorldCat Record")</f>
        <v>WorldCat Record</v>
      </c>
      <c r="AU144" s="3" t="s">
        <v>1762</v>
      </c>
      <c r="AV144" s="3" t="s">
        <v>1763</v>
      </c>
      <c r="AW144" s="3" t="s">
        <v>1764</v>
      </c>
      <c r="AX144" s="3" t="s">
        <v>1764</v>
      </c>
      <c r="AY144" s="3" t="s">
        <v>1765</v>
      </c>
      <c r="AZ144" s="3" t="s">
        <v>73</v>
      </c>
      <c r="BC144" s="3" t="s">
        <v>1766</v>
      </c>
      <c r="BD144" s="3" t="s">
        <v>1767</v>
      </c>
    </row>
    <row r="145" spans="1:56" ht="51" customHeight="1" x14ac:dyDescent="0.25">
      <c r="A145" s="7" t="s">
        <v>58</v>
      </c>
      <c r="B145" s="2" t="s">
        <v>1768</v>
      </c>
      <c r="C145" s="2" t="s">
        <v>1769</v>
      </c>
      <c r="D145" s="2" t="s">
        <v>1770</v>
      </c>
      <c r="F145" s="3" t="s">
        <v>58</v>
      </c>
      <c r="G145" s="3" t="s">
        <v>59</v>
      </c>
      <c r="H145" s="3" t="s">
        <v>58</v>
      </c>
      <c r="I145" s="3" t="s">
        <v>58</v>
      </c>
      <c r="J145" s="3" t="s">
        <v>60</v>
      </c>
      <c r="L145" s="2" t="s">
        <v>1771</v>
      </c>
      <c r="M145" s="3" t="s">
        <v>1499</v>
      </c>
      <c r="O145" s="3" t="s">
        <v>63</v>
      </c>
      <c r="P145" s="3" t="s">
        <v>816</v>
      </c>
      <c r="Q145" s="2" t="s">
        <v>1772</v>
      </c>
      <c r="R145" s="3" t="s">
        <v>65</v>
      </c>
      <c r="S145" s="4">
        <v>6</v>
      </c>
      <c r="T145" s="4">
        <v>6</v>
      </c>
      <c r="U145" s="5" t="s">
        <v>1516</v>
      </c>
      <c r="V145" s="5" t="s">
        <v>1516</v>
      </c>
      <c r="W145" s="5" t="s">
        <v>1761</v>
      </c>
      <c r="X145" s="5" t="s">
        <v>1761</v>
      </c>
      <c r="Y145" s="4">
        <v>181</v>
      </c>
      <c r="Z145" s="4">
        <v>140</v>
      </c>
      <c r="AA145" s="4">
        <v>141</v>
      </c>
      <c r="AB145" s="4">
        <v>3</v>
      </c>
      <c r="AC145" s="4">
        <v>3</v>
      </c>
      <c r="AD145" s="4">
        <v>10</v>
      </c>
      <c r="AE145" s="4">
        <v>10</v>
      </c>
      <c r="AF145" s="4">
        <v>3</v>
      </c>
      <c r="AG145" s="4">
        <v>3</v>
      </c>
      <c r="AH145" s="4">
        <v>1</v>
      </c>
      <c r="AI145" s="4">
        <v>1</v>
      </c>
      <c r="AJ145" s="4">
        <v>5</v>
      </c>
      <c r="AK145" s="4">
        <v>5</v>
      </c>
      <c r="AL145" s="4">
        <v>2</v>
      </c>
      <c r="AM145" s="4">
        <v>2</v>
      </c>
      <c r="AN145" s="4">
        <v>0</v>
      </c>
      <c r="AO145" s="4">
        <v>0</v>
      </c>
      <c r="AP145" s="3" t="s">
        <v>58</v>
      </c>
      <c r="AQ145" s="3" t="s">
        <v>58</v>
      </c>
      <c r="AS145" s="6" t="str">
        <f>HYPERLINK("https://creighton-primo.hosted.exlibrisgroup.com/primo-explore/search?tab=default_tab&amp;search_scope=EVERYTHING&amp;vid=01CRU&amp;lang=en_US&amp;offset=0&amp;query=any,contains,991000683139702656","Catalog Record")</f>
        <v>Catalog Record</v>
      </c>
      <c r="AT145" s="6" t="str">
        <f>HYPERLINK("http://www.worldcat.org/oclc/122528","WorldCat Record")</f>
        <v>WorldCat Record</v>
      </c>
      <c r="AU145" s="3" t="s">
        <v>1773</v>
      </c>
      <c r="AV145" s="3" t="s">
        <v>1774</v>
      </c>
      <c r="AW145" s="3" t="s">
        <v>1775</v>
      </c>
      <c r="AX145" s="3" t="s">
        <v>1775</v>
      </c>
      <c r="AY145" s="3" t="s">
        <v>1776</v>
      </c>
      <c r="AZ145" s="3" t="s">
        <v>73</v>
      </c>
      <c r="BC145" s="3" t="s">
        <v>1777</v>
      </c>
      <c r="BD145" s="3" t="s">
        <v>1778</v>
      </c>
    </row>
    <row r="146" spans="1:56" ht="51" customHeight="1" x14ac:dyDescent="0.25">
      <c r="A146" s="7" t="s">
        <v>58</v>
      </c>
      <c r="B146" s="2" t="s">
        <v>1779</v>
      </c>
      <c r="C146" s="2" t="s">
        <v>1780</v>
      </c>
      <c r="D146" s="2" t="s">
        <v>1781</v>
      </c>
      <c r="F146" s="3" t="s">
        <v>58</v>
      </c>
      <c r="G146" s="3" t="s">
        <v>59</v>
      </c>
      <c r="H146" s="3" t="s">
        <v>58</v>
      </c>
      <c r="I146" s="3" t="s">
        <v>58</v>
      </c>
      <c r="J146" s="3" t="s">
        <v>60</v>
      </c>
      <c r="K146" s="2" t="s">
        <v>1782</v>
      </c>
      <c r="L146" s="2" t="s">
        <v>1783</v>
      </c>
      <c r="M146" s="3" t="s">
        <v>1784</v>
      </c>
      <c r="O146" s="3" t="s">
        <v>63</v>
      </c>
      <c r="P146" s="3" t="s">
        <v>1785</v>
      </c>
      <c r="Q146" s="2" t="s">
        <v>1786</v>
      </c>
      <c r="R146" s="3" t="s">
        <v>65</v>
      </c>
      <c r="S146" s="4">
        <v>10</v>
      </c>
      <c r="T146" s="4">
        <v>10</v>
      </c>
      <c r="U146" s="5" t="s">
        <v>1787</v>
      </c>
      <c r="V146" s="5" t="s">
        <v>1787</v>
      </c>
      <c r="W146" s="5" t="s">
        <v>112</v>
      </c>
      <c r="X146" s="5" t="s">
        <v>112</v>
      </c>
      <c r="Y146" s="4">
        <v>36</v>
      </c>
      <c r="Z146" s="4">
        <v>21</v>
      </c>
      <c r="AA146" s="4">
        <v>22</v>
      </c>
      <c r="AB146" s="4">
        <v>1</v>
      </c>
      <c r="AC146" s="4">
        <v>1</v>
      </c>
      <c r="AD146" s="4">
        <v>0</v>
      </c>
      <c r="AE146" s="4">
        <v>0</v>
      </c>
      <c r="AF146" s="4">
        <v>0</v>
      </c>
      <c r="AG146" s="4">
        <v>0</v>
      </c>
      <c r="AH146" s="4">
        <v>0</v>
      </c>
      <c r="AI146" s="4">
        <v>0</v>
      </c>
      <c r="AJ146" s="4">
        <v>0</v>
      </c>
      <c r="AK146" s="4">
        <v>0</v>
      </c>
      <c r="AL146" s="4">
        <v>0</v>
      </c>
      <c r="AM146" s="4">
        <v>0</v>
      </c>
      <c r="AN146" s="4">
        <v>0</v>
      </c>
      <c r="AO146" s="4">
        <v>0</v>
      </c>
      <c r="AP146" s="3" t="s">
        <v>58</v>
      </c>
      <c r="AQ146" s="3" t="s">
        <v>58</v>
      </c>
      <c r="AS146" s="6" t="str">
        <f>HYPERLINK("https://creighton-primo.hosted.exlibrisgroup.com/primo-explore/search?tab=default_tab&amp;search_scope=EVERYTHING&amp;vid=01CRU&amp;lang=en_US&amp;offset=0&amp;query=any,contains,991004830049702656","Catalog Record")</f>
        <v>Catalog Record</v>
      </c>
      <c r="AT146" s="6" t="str">
        <f>HYPERLINK("http://www.worldcat.org/oclc/5398690","WorldCat Record")</f>
        <v>WorldCat Record</v>
      </c>
      <c r="AU146" s="3" t="s">
        <v>1788</v>
      </c>
      <c r="AV146" s="3" t="s">
        <v>1789</v>
      </c>
      <c r="AW146" s="3" t="s">
        <v>1790</v>
      </c>
      <c r="AX146" s="3" t="s">
        <v>1790</v>
      </c>
      <c r="AY146" s="3" t="s">
        <v>1791</v>
      </c>
      <c r="AZ146" s="3" t="s">
        <v>73</v>
      </c>
      <c r="BB146" s="3" t="s">
        <v>1792</v>
      </c>
      <c r="BC146" s="3" t="s">
        <v>1793</v>
      </c>
      <c r="BD146" s="3" t="s">
        <v>1794</v>
      </c>
    </row>
    <row r="147" spans="1:56" ht="51" customHeight="1" x14ac:dyDescent="0.25">
      <c r="A147" s="7" t="s">
        <v>58</v>
      </c>
      <c r="B147" s="2" t="s">
        <v>1795</v>
      </c>
      <c r="C147" s="2" t="s">
        <v>1796</v>
      </c>
      <c r="D147" s="2" t="s">
        <v>1797</v>
      </c>
      <c r="F147" s="3" t="s">
        <v>58</v>
      </c>
      <c r="G147" s="3" t="s">
        <v>59</v>
      </c>
      <c r="H147" s="3" t="s">
        <v>58</v>
      </c>
      <c r="I147" s="3" t="s">
        <v>58</v>
      </c>
      <c r="J147" s="3" t="s">
        <v>60</v>
      </c>
      <c r="K147" s="2" t="s">
        <v>1798</v>
      </c>
      <c r="L147" s="2" t="s">
        <v>1783</v>
      </c>
      <c r="M147" s="3" t="s">
        <v>1784</v>
      </c>
      <c r="O147" s="3" t="s">
        <v>63</v>
      </c>
      <c r="P147" s="3" t="s">
        <v>1785</v>
      </c>
      <c r="Q147" s="2" t="s">
        <v>1786</v>
      </c>
      <c r="R147" s="3" t="s">
        <v>65</v>
      </c>
      <c r="S147" s="4">
        <v>18</v>
      </c>
      <c r="T147" s="4">
        <v>18</v>
      </c>
      <c r="U147" s="5" t="s">
        <v>1799</v>
      </c>
      <c r="V147" s="5" t="s">
        <v>1799</v>
      </c>
      <c r="W147" s="5" t="s">
        <v>112</v>
      </c>
      <c r="X147" s="5" t="s">
        <v>112</v>
      </c>
      <c r="Y147" s="4">
        <v>49</v>
      </c>
      <c r="Z147" s="4">
        <v>30</v>
      </c>
      <c r="AA147" s="4">
        <v>31</v>
      </c>
      <c r="AB147" s="4">
        <v>1</v>
      </c>
      <c r="AC147" s="4">
        <v>1</v>
      </c>
      <c r="AD147" s="4">
        <v>0</v>
      </c>
      <c r="AE147" s="4">
        <v>0</v>
      </c>
      <c r="AF147" s="4">
        <v>0</v>
      </c>
      <c r="AG147" s="4">
        <v>0</v>
      </c>
      <c r="AH147" s="4">
        <v>0</v>
      </c>
      <c r="AI147" s="4">
        <v>0</v>
      </c>
      <c r="AJ147" s="4">
        <v>0</v>
      </c>
      <c r="AK147" s="4">
        <v>0</v>
      </c>
      <c r="AL147" s="4">
        <v>0</v>
      </c>
      <c r="AM147" s="4">
        <v>0</v>
      </c>
      <c r="AN147" s="4">
        <v>0</v>
      </c>
      <c r="AO147" s="4">
        <v>0</v>
      </c>
      <c r="AP147" s="3" t="s">
        <v>58</v>
      </c>
      <c r="AQ147" s="3" t="s">
        <v>58</v>
      </c>
      <c r="AS147" s="6" t="str">
        <f>HYPERLINK("https://creighton-primo.hosted.exlibrisgroup.com/primo-explore/search?tab=default_tab&amp;search_scope=EVERYTHING&amp;vid=01CRU&amp;lang=en_US&amp;offset=0&amp;query=any,contains,991004830029702656","Catalog Record")</f>
        <v>Catalog Record</v>
      </c>
      <c r="AT147" s="6" t="str">
        <f>HYPERLINK("http://www.worldcat.org/oclc/5398638","WorldCat Record")</f>
        <v>WorldCat Record</v>
      </c>
      <c r="AU147" s="3" t="s">
        <v>1800</v>
      </c>
      <c r="AV147" s="3" t="s">
        <v>1801</v>
      </c>
      <c r="AW147" s="3" t="s">
        <v>1802</v>
      </c>
      <c r="AX147" s="3" t="s">
        <v>1802</v>
      </c>
      <c r="AY147" s="3" t="s">
        <v>1803</v>
      </c>
      <c r="AZ147" s="3" t="s">
        <v>73</v>
      </c>
      <c r="BB147" s="3" t="s">
        <v>1804</v>
      </c>
      <c r="BC147" s="3" t="s">
        <v>1805</v>
      </c>
      <c r="BD147" s="3" t="s">
        <v>1806</v>
      </c>
    </row>
    <row r="148" spans="1:56" ht="51" customHeight="1" x14ac:dyDescent="0.25">
      <c r="A148" s="7" t="s">
        <v>58</v>
      </c>
      <c r="B148" s="2" t="s">
        <v>1807</v>
      </c>
      <c r="C148" s="2" t="s">
        <v>1808</v>
      </c>
      <c r="D148" s="2" t="s">
        <v>1809</v>
      </c>
      <c r="F148" s="3" t="s">
        <v>58</v>
      </c>
      <c r="G148" s="3" t="s">
        <v>59</v>
      </c>
      <c r="H148" s="3" t="s">
        <v>58</v>
      </c>
      <c r="I148" s="3" t="s">
        <v>58</v>
      </c>
      <c r="J148" s="3" t="s">
        <v>60</v>
      </c>
      <c r="K148" s="2" t="s">
        <v>1810</v>
      </c>
      <c r="L148" s="2" t="s">
        <v>1811</v>
      </c>
      <c r="M148" s="3" t="s">
        <v>83</v>
      </c>
      <c r="N148" s="2" t="s">
        <v>1812</v>
      </c>
      <c r="O148" s="3" t="s">
        <v>63</v>
      </c>
      <c r="P148" s="3" t="s">
        <v>354</v>
      </c>
      <c r="R148" s="3" t="s">
        <v>65</v>
      </c>
      <c r="S148" s="4">
        <v>20</v>
      </c>
      <c r="T148" s="4">
        <v>20</v>
      </c>
      <c r="U148" s="5" t="s">
        <v>1813</v>
      </c>
      <c r="V148" s="5" t="s">
        <v>1813</v>
      </c>
      <c r="W148" s="5" t="s">
        <v>112</v>
      </c>
      <c r="X148" s="5" t="s">
        <v>112</v>
      </c>
      <c r="Y148" s="4">
        <v>120</v>
      </c>
      <c r="Z148" s="4">
        <v>111</v>
      </c>
      <c r="AA148" s="4">
        <v>675</v>
      </c>
      <c r="AB148" s="4">
        <v>1</v>
      </c>
      <c r="AC148" s="4">
        <v>6</v>
      </c>
      <c r="AD148" s="4">
        <v>6</v>
      </c>
      <c r="AE148" s="4">
        <v>24</v>
      </c>
      <c r="AF148" s="4">
        <v>3</v>
      </c>
      <c r="AG148" s="4">
        <v>9</v>
      </c>
      <c r="AH148" s="4">
        <v>2</v>
      </c>
      <c r="AI148" s="4">
        <v>6</v>
      </c>
      <c r="AJ148" s="4">
        <v>1</v>
      </c>
      <c r="AK148" s="4">
        <v>9</v>
      </c>
      <c r="AL148" s="4">
        <v>0</v>
      </c>
      <c r="AM148" s="4">
        <v>4</v>
      </c>
      <c r="AN148" s="4">
        <v>0</v>
      </c>
      <c r="AO148" s="4">
        <v>0</v>
      </c>
      <c r="AP148" s="3" t="s">
        <v>58</v>
      </c>
      <c r="AQ148" s="3" t="s">
        <v>58</v>
      </c>
      <c r="AS148" s="6" t="str">
        <f>HYPERLINK("https://creighton-primo.hosted.exlibrisgroup.com/primo-explore/search?tab=default_tab&amp;search_scope=EVERYTHING&amp;vid=01CRU&amp;lang=en_US&amp;offset=0&amp;query=any,contains,991004621699702656","Catalog Record")</f>
        <v>Catalog Record</v>
      </c>
      <c r="AT148" s="6" t="str">
        <f>HYPERLINK("http://www.worldcat.org/oclc/4300988","WorldCat Record")</f>
        <v>WorldCat Record</v>
      </c>
      <c r="AU148" s="3" t="s">
        <v>1814</v>
      </c>
      <c r="AV148" s="3" t="s">
        <v>1815</v>
      </c>
      <c r="AW148" s="3" t="s">
        <v>1816</v>
      </c>
      <c r="AX148" s="3" t="s">
        <v>1816</v>
      </c>
      <c r="AY148" s="3" t="s">
        <v>1817</v>
      </c>
      <c r="AZ148" s="3" t="s">
        <v>73</v>
      </c>
      <c r="BB148" s="3" t="s">
        <v>1818</v>
      </c>
      <c r="BC148" s="3" t="s">
        <v>1819</v>
      </c>
      <c r="BD148" s="3" t="s">
        <v>1820</v>
      </c>
    </row>
    <row r="149" spans="1:56" ht="51" customHeight="1" x14ac:dyDescent="0.25">
      <c r="A149" s="7" t="s">
        <v>58</v>
      </c>
      <c r="B149" s="2" t="s">
        <v>1821</v>
      </c>
      <c r="C149" s="2" t="s">
        <v>1822</v>
      </c>
      <c r="D149" s="2" t="s">
        <v>1823</v>
      </c>
      <c r="F149" s="3" t="s">
        <v>58</v>
      </c>
      <c r="G149" s="3" t="s">
        <v>59</v>
      </c>
      <c r="H149" s="3" t="s">
        <v>58</v>
      </c>
      <c r="I149" s="3" t="s">
        <v>58</v>
      </c>
      <c r="J149" s="3" t="s">
        <v>60</v>
      </c>
      <c r="K149" s="2" t="s">
        <v>1824</v>
      </c>
      <c r="L149" s="2" t="s">
        <v>1825</v>
      </c>
      <c r="M149" s="3" t="s">
        <v>509</v>
      </c>
      <c r="O149" s="3" t="s">
        <v>63</v>
      </c>
      <c r="P149" s="3" t="s">
        <v>571</v>
      </c>
      <c r="R149" s="3" t="s">
        <v>65</v>
      </c>
      <c r="S149" s="4">
        <v>2</v>
      </c>
      <c r="T149" s="4">
        <v>2</v>
      </c>
      <c r="U149" s="5" t="s">
        <v>1826</v>
      </c>
      <c r="V149" s="5" t="s">
        <v>1826</v>
      </c>
      <c r="W149" s="5" t="s">
        <v>235</v>
      </c>
      <c r="X149" s="5" t="s">
        <v>235</v>
      </c>
      <c r="Y149" s="4">
        <v>476</v>
      </c>
      <c r="Z149" s="4">
        <v>425</v>
      </c>
      <c r="AA149" s="4">
        <v>426</v>
      </c>
      <c r="AB149" s="4">
        <v>6</v>
      </c>
      <c r="AC149" s="4">
        <v>6</v>
      </c>
      <c r="AD149" s="4">
        <v>18</v>
      </c>
      <c r="AE149" s="4">
        <v>18</v>
      </c>
      <c r="AF149" s="4">
        <v>5</v>
      </c>
      <c r="AG149" s="4">
        <v>5</v>
      </c>
      <c r="AH149" s="4">
        <v>5</v>
      </c>
      <c r="AI149" s="4">
        <v>5</v>
      </c>
      <c r="AJ149" s="4">
        <v>6</v>
      </c>
      <c r="AK149" s="4">
        <v>6</v>
      </c>
      <c r="AL149" s="4">
        <v>5</v>
      </c>
      <c r="AM149" s="4">
        <v>5</v>
      </c>
      <c r="AN149" s="4">
        <v>0</v>
      </c>
      <c r="AO149" s="4">
        <v>0</v>
      </c>
      <c r="AP149" s="3" t="s">
        <v>58</v>
      </c>
      <c r="AQ149" s="3" t="s">
        <v>58</v>
      </c>
      <c r="AS149" s="6" t="str">
        <f>HYPERLINK("https://creighton-primo.hosted.exlibrisgroup.com/primo-explore/search?tab=default_tab&amp;search_scope=EVERYTHING&amp;vid=01CRU&amp;lang=en_US&amp;offset=0&amp;query=any,contains,991003837949702656","Catalog Record")</f>
        <v>Catalog Record</v>
      </c>
      <c r="AT149" s="6" t="str">
        <f>HYPERLINK("http://www.worldcat.org/oclc/1609537","WorldCat Record")</f>
        <v>WorldCat Record</v>
      </c>
      <c r="AU149" s="3" t="s">
        <v>1827</v>
      </c>
      <c r="AV149" s="3" t="s">
        <v>1828</v>
      </c>
      <c r="AW149" s="3" t="s">
        <v>1829</v>
      </c>
      <c r="AX149" s="3" t="s">
        <v>1829</v>
      </c>
      <c r="AY149" s="3" t="s">
        <v>1830</v>
      </c>
      <c r="AZ149" s="3" t="s">
        <v>73</v>
      </c>
      <c r="BC149" s="3" t="s">
        <v>1831</v>
      </c>
      <c r="BD149" s="3" t="s">
        <v>1832</v>
      </c>
    </row>
    <row r="150" spans="1:56" ht="51" customHeight="1" x14ac:dyDescent="0.25">
      <c r="A150" s="7" t="s">
        <v>58</v>
      </c>
      <c r="B150" s="2" t="s">
        <v>1833</v>
      </c>
      <c r="C150" s="2" t="s">
        <v>1834</v>
      </c>
      <c r="D150" s="2" t="s">
        <v>1835</v>
      </c>
      <c r="F150" s="3" t="s">
        <v>58</v>
      </c>
      <c r="G150" s="3" t="s">
        <v>59</v>
      </c>
      <c r="H150" s="3" t="s">
        <v>58</v>
      </c>
      <c r="I150" s="3" t="s">
        <v>58</v>
      </c>
      <c r="J150" s="3" t="s">
        <v>60</v>
      </c>
      <c r="L150" s="2" t="s">
        <v>1836</v>
      </c>
      <c r="M150" s="3" t="s">
        <v>842</v>
      </c>
      <c r="O150" s="3" t="s">
        <v>63</v>
      </c>
      <c r="P150" s="3" t="s">
        <v>1837</v>
      </c>
      <c r="R150" s="3" t="s">
        <v>65</v>
      </c>
      <c r="S150" s="4">
        <v>14</v>
      </c>
      <c r="T150" s="4">
        <v>14</v>
      </c>
      <c r="U150" s="5" t="s">
        <v>1747</v>
      </c>
      <c r="V150" s="5" t="s">
        <v>1747</v>
      </c>
      <c r="W150" s="5" t="s">
        <v>112</v>
      </c>
      <c r="X150" s="5" t="s">
        <v>112</v>
      </c>
      <c r="Y150" s="4">
        <v>459</v>
      </c>
      <c r="Z150" s="4">
        <v>382</v>
      </c>
      <c r="AA150" s="4">
        <v>410</v>
      </c>
      <c r="AB150" s="4">
        <v>1</v>
      </c>
      <c r="AC150" s="4">
        <v>1</v>
      </c>
      <c r="AD150" s="4">
        <v>17</v>
      </c>
      <c r="AE150" s="4">
        <v>17</v>
      </c>
      <c r="AF150" s="4">
        <v>10</v>
      </c>
      <c r="AG150" s="4">
        <v>10</v>
      </c>
      <c r="AH150" s="4">
        <v>2</v>
      </c>
      <c r="AI150" s="4">
        <v>2</v>
      </c>
      <c r="AJ150" s="4">
        <v>10</v>
      </c>
      <c r="AK150" s="4">
        <v>10</v>
      </c>
      <c r="AL150" s="4">
        <v>0</v>
      </c>
      <c r="AM150" s="4">
        <v>0</v>
      </c>
      <c r="AN150" s="4">
        <v>0</v>
      </c>
      <c r="AO150" s="4">
        <v>0</v>
      </c>
      <c r="AP150" s="3" t="s">
        <v>58</v>
      </c>
      <c r="AQ150" s="3" t="s">
        <v>68</v>
      </c>
      <c r="AR150" s="6" t="str">
        <f>HYPERLINK("http://catalog.hathitrust.org/Record/003502861","HathiTrust Record")</f>
        <v>HathiTrust Record</v>
      </c>
      <c r="AS150" s="6" t="str">
        <f>HYPERLINK("https://creighton-primo.hosted.exlibrisgroup.com/primo-explore/search?tab=default_tab&amp;search_scope=EVERYTHING&amp;vid=01CRU&amp;lang=en_US&amp;offset=0&amp;query=any,contains,991000438969702656","Catalog Record")</f>
        <v>Catalog Record</v>
      </c>
      <c r="AT150" s="6" t="str">
        <f>HYPERLINK("http://www.worldcat.org/oclc/10802842","WorldCat Record")</f>
        <v>WorldCat Record</v>
      </c>
      <c r="AU150" s="3" t="s">
        <v>1838</v>
      </c>
      <c r="AV150" s="3" t="s">
        <v>1839</v>
      </c>
      <c r="AW150" s="3" t="s">
        <v>1840</v>
      </c>
      <c r="AX150" s="3" t="s">
        <v>1840</v>
      </c>
      <c r="AY150" s="3" t="s">
        <v>1841</v>
      </c>
      <c r="AZ150" s="3" t="s">
        <v>73</v>
      </c>
      <c r="BB150" s="3" t="s">
        <v>1842</v>
      </c>
      <c r="BC150" s="3" t="s">
        <v>1843</v>
      </c>
      <c r="BD150" s="3" t="s">
        <v>1844</v>
      </c>
    </row>
    <row r="151" spans="1:56" ht="51" customHeight="1" x14ac:dyDescent="0.25">
      <c r="A151" s="7" t="s">
        <v>58</v>
      </c>
      <c r="B151" s="2" t="s">
        <v>1845</v>
      </c>
      <c r="C151" s="2" t="s">
        <v>1846</v>
      </c>
      <c r="D151" s="2" t="s">
        <v>1847</v>
      </c>
      <c r="F151" s="3" t="s">
        <v>58</v>
      </c>
      <c r="G151" s="3" t="s">
        <v>59</v>
      </c>
      <c r="H151" s="3" t="s">
        <v>58</v>
      </c>
      <c r="I151" s="3" t="s">
        <v>58</v>
      </c>
      <c r="J151" s="3" t="s">
        <v>60</v>
      </c>
      <c r="K151" s="2" t="s">
        <v>1848</v>
      </c>
      <c r="L151" s="2" t="s">
        <v>1849</v>
      </c>
      <c r="M151" s="3" t="s">
        <v>1091</v>
      </c>
      <c r="O151" s="3" t="s">
        <v>63</v>
      </c>
      <c r="P151" s="3" t="s">
        <v>84</v>
      </c>
      <c r="Q151" s="2" t="s">
        <v>1850</v>
      </c>
      <c r="R151" s="3" t="s">
        <v>65</v>
      </c>
      <c r="S151" s="4">
        <v>1</v>
      </c>
      <c r="T151" s="4">
        <v>1</v>
      </c>
      <c r="U151" s="5" t="s">
        <v>1180</v>
      </c>
      <c r="V151" s="5" t="s">
        <v>1180</v>
      </c>
      <c r="W151" s="5" t="s">
        <v>1180</v>
      </c>
      <c r="X151" s="5" t="s">
        <v>1180</v>
      </c>
      <c r="Y151" s="4">
        <v>67</v>
      </c>
      <c r="Z151" s="4">
        <v>37</v>
      </c>
      <c r="AA151" s="4">
        <v>87</v>
      </c>
      <c r="AB151" s="4">
        <v>1</v>
      </c>
      <c r="AC151" s="4">
        <v>2</v>
      </c>
      <c r="AD151" s="4">
        <v>0</v>
      </c>
      <c r="AE151" s="4">
        <v>6</v>
      </c>
      <c r="AF151" s="4">
        <v>0</v>
      </c>
      <c r="AG151" s="4">
        <v>4</v>
      </c>
      <c r="AH151" s="4">
        <v>0</v>
      </c>
      <c r="AI151" s="4">
        <v>1</v>
      </c>
      <c r="AJ151" s="4">
        <v>0</v>
      </c>
      <c r="AK151" s="4">
        <v>1</v>
      </c>
      <c r="AL151" s="4">
        <v>0</v>
      </c>
      <c r="AM151" s="4">
        <v>1</v>
      </c>
      <c r="AN151" s="4">
        <v>0</v>
      </c>
      <c r="AO151" s="4">
        <v>0</v>
      </c>
      <c r="AP151" s="3" t="s">
        <v>58</v>
      </c>
      <c r="AQ151" s="3" t="s">
        <v>68</v>
      </c>
      <c r="AR151" s="6" t="str">
        <f>HYPERLINK("http://catalog.hathitrust.org/Record/006036242","HathiTrust Record")</f>
        <v>HathiTrust Record</v>
      </c>
      <c r="AS151" s="6" t="str">
        <f>HYPERLINK("https://creighton-primo.hosted.exlibrisgroup.com/primo-explore/search?tab=default_tab&amp;search_scope=EVERYTHING&amp;vid=01CRU&amp;lang=en_US&amp;offset=0&amp;query=any,contains,991005351889702656","Catalog Record")</f>
        <v>Catalog Record</v>
      </c>
      <c r="AT151" s="6" t="str">
        <f>HYPERLINK("http://www.worldcat.org/oclc/47114590","WorldCat Record")</f>
        <v>WorldCat Record</v>
      </c>
      <c r="AU151" s="3" t="s">
        <v>1851</v>
      </c>
      <c r="AV151" s="3" t="s">
        <v>1852</v>
      </c>
      <c r="AW151" s="3" t="s">
        <v>1853</v>
      </c>
      <c r="AX151" s="3" t="s">
        <v>1853</v>
      </c>
      <c r="AY151" s="3" t="s">
        <v>1854</v>
      </c>
      <c r="AZ151" s="3" t="s">
        <v>73</v>
      </c>
      <c r="BB151" s="3" t="s">
        <v>1855</v>
      </c>
      <c r="BC151" s="3" t="s">
        <v>1856</v>
      </c>
      <c r="BD151" s="3" t="s">
        <v>1857</v>
      </c>
    </row>
    <row r="152" spans="1:56" ht="51" customHeight="1" x14ac:dyDescent="0.25">
      <c r="A152" s="7" t="s">
        <v>58</v>
      </c>
      <c r="B152" s="2" t="s">
        <v>1858</v>
      </c>
      <c r="C152" s="2" t="s">
        <v>1859</v>
      </c>
      <c r="D152" s="2" t="s">
        <v>1860</v>
      </c>
      <c r="F152" s="3" t="s">
        <v>58</v>
      </c>
      <c r="G152" s="3" t="s">
        <v>59</v>
      </c>
      <c r="H152" s="3" t="s">
        <v>58</v>
      </c>
      <c r="I152" s="3" t="s">
        <v>58</v>
      </c>
      <c r="J152" s="3" t="s">
        <v>60</v>
      </c>
      <c r="K152" s="2" t="s">
        <v>1165</v>
      </c>
      <c r="L152" s="2" t="s">
        <v>1861</v>
      </c>
      <c r="M152" s="3" t="s">
        <v>1061</v>
      </c>
      <c r="O152" s="3" t="s">
        <v>63</v>
      </c>
      <c r="P152" s="3" t="s">
        <v>84</v>
      </c>
      <c r="Q152" s="2" t="s">
        <v>1862</v>
      </c>
      <c r="R152" s="3" t="s">
        <v>65</v>
      </c>
      <c r="S152" s="4">
        <v>13</v>
      </c>
      <c r="T152" s="4">
        <v>13</v>
      </c>
      <c r="U152" s="5" t="s">
        <v>1516</v>
      </c>
      <c r="V152" s="5" t="s">
        <v>1516</v>
      </c>
      <c r="W152" s="5" t="s">
        <v>1863</v>
      </c>
      <c r="X152" s="5" t="s">
        <v>1863</v>
      </c>
      <c r="Y152" s="4">
        <v>147</v>
      </c>
      <c r="Z152" s="4">
        <v>93</v>
      </c>
      <c r="AA152" s="4">
        <v>105</v>
      </c>
      <c r="AB152" s="4">
        <v>1</v>
      </c>
      <c r="AC152" s="4">
        <v>1</v>
      </c>
      <c r="AD152" s="4">
        <v>6</v>
      </c>
      <c r="AE152" s="4">
        <v>6</v>
      </c>
      <c r="AF152" s="4">
        <v>2</v>
      </c>
      <c r="AG152" s="4">
        <v>2</v>
      </c>
      <c r="AH152" s="4">
        <v>3</v>
      </c>
      <c r="AI152" s="4">
        <v>3</v>
      </c>
      <c r="AJ152" s="4">
        <v>4</v>
      </c>
      <c r="AK152" s="4">
        <v>4</v>
      </c>
      <c r="AL152" s="4">
        <v>0</v>
      </c>
      <c r="AM152" s="4">
        <v>0</v>
      </c>
      <c r="AN152" s="4">
        <v>0</v>
      </c>
      <c r="AO152" s="4">
        <v>0</v>
      </c>
      <c r="AP152" s="3" t="s">
        <v>58</v>
      </c>
      <c r="AQ152" s="3" t="s">
        <v>68</v>
      </c>
      <c r="AR152" s="6" t="str">
        <f>HYPERLINK("http://catalog.hathitrust.org/Record/003310309","HathiTrust Record")</f>
        <v>HathiTrust Record</v>
      </c>
      <c r="AS152" s="6" t="str">
        <f>HYPERLINK("https://creighton-primo.hosted.exlibrisgroup.com/primo-explore/search?tab=default_tab&amp;search_scope=EVERYTHING&amp;vid=01CRU&amp;lang=en_US&amp;offset=0&amp;query=any,contains,991003317529702656","Catalog Record")</f>
        <v>Catalog Record</v>
      </c>
      <c r="AT152" s="6" t="str">
        <f>HYPERLINK("http://www.worldcat.org/oclc/39724768","WorldCat Record")</f>
        <v>WorldCat Record</v>
      </c>
      <c r="AU152" s="3" t="s">
        <v>1864</v>
      </c>
      <c r="AV152" s="3" t="s">
        <v>1865</v>
      </c>
      <c r="AW152" s="3" t="s">
        <v>1866</v>
      </c>
      <c r="AX152" s="3" t="s">
        <v>1866</v>
      </c>
      <c r="AY152" s="3" t="s">
        <v>1867</v>
      </c>
      <c r="AZ152" s="3" t="s">
        <v>73</v>
      </c>
      <c r="BB152" s="3" t="s">
        <v>1868</v>
      </c>
      <c r="BC152" s="3" t="s">
        <v>1869</v>
      </c>
      <c r="BD152" s="3" t="s">
        <v>1870</v>
      </c>
    </row>
    <row r="153" spans="1:56" ht="51" customHeight="1" x14ac:dyDescent="0.25">
      <c r="A153" s="7" t="s">
        <v>58</v>
      </c>
      <c r="B153" s="2" t="s">
        <v>1871</v>
      </c>
      <c r="C153" s="2" t="s">
        <v>1872</v>
      </c>
      <c r="D153" s="2" t="s">
        <v>1873</v>
      </c>
      <c r="F153" s="3" t="s">
        <v>58</v>
      </c>
      <c r="G153" s="3" t="s">
        <v>59</v>
      </c>
      <c r="H153" s="3" t="s">
        <v>58</v>
      </c>
      <c r="I153" s="3" t="s">
        <v>58</v>
      </c>
      <c r="J153" s="3" t="s">
        <v>60</v>
      </c>
      <c r="K153" s="2" t="s">
        <v>1874</v>
      </c>
      <c r="L153" s="2" t="s">
        <v>1875</v>
      </c>
      <c r="M153" s="3" t="s">
        <v>653</v>
      </c>
      <c r="O153" s="3" t="s">
        <v>63</v>
      </c>
      <c r="P153" s="3" t="s">
        <v>786</v>
      </c>
      <c r="Q153" s="2" t="s">
        <v>1876</v>
      </c>
      <c r="R153" s="3" t="s">
        <v>65</v>
      </c>
      <c r="S153" s="4">
        <v>2</v>
      </c>
      <c r="T153" s="4">
        <v>2</v>
      </c>
      <c r="U153" s="5" t="s">
        <v>1877</v>
      </c>
      <c r="V153" s="5" t="s">
        <v>1877</v>
      </c>
      <c r="W153" s="5" t="s">
        <v>1878</v>
      </c>
      <c r="X153" s="5" t="s">
        <v>1878</v>
      </c>
      <c r="Y153" s="4">
        <v>211</v>
      </c>
      <c r="Z153" s="4">
        <v>132</v>
      </c>
      <c r="AA153" s="4">
        <v>141</v>
      </c>
      <c r="AB153" s="4">
        <v>1</v>
      </c>
      <c r="AC153" s="4">
        <v>1</v>
      </c>
      <c r="AD153" s="4">
        <v>11</v>
      </c>
      <c r="AE153" s="4">
        <v>11</v>
      </c>
      <c r="AF153" s="4">
        <v>2</v>
      </c>
      <c r="AG153" s="4">
        <v>2</v>
      </c>
      <c r="AH153" s="4">
        <v>4</v>
      </c>
      <c r="AI153" s="4">
        <v>4</v>
      </c>
      <c r="AJ153" s="4">
        <v>6</v>
      </c>
      <c r="AK153" s="4">
        <v>6</v>
      </c>
      <c r="AL153" s="4">
        <v>0</v>
      </c>
      <c r="AM153" s="4">
        <v>0</v>
      </c>
      <c r="AN153" s="4">
        <v>0</v>
      </c>
      <c r="AO153" s="4">
        <v>0</v>
      </c>
      <c r="AP153" s="3" t="s">
        <v>58</v>
      </c>
      <c r="AQ153" s="3" t="s">
        <v>68</v>
      </c>
      <c r="AR153" s="6" t="str">
        <f>HYPERLINK("http://catalog.hathitrust.org/Record/002584450","HathiTrust Record")</f>
        <v>HathiTrust Record</v>
      </c>
      <c r="AS153" s="6" t="str">
        <f>HYPERLINK("https://creighton-primo.hosted.exlibrisgroup.com/primo-explore/search?tab=default_tab&amp;search_scope=EVERYTHING&amp;vid=01CRU&amp;lang=en_US&amp;offset=0&amp;query=any,contains,991002007709702656","Catalog Record")</f>
        <v>Catalog Record</v>
      </c>
      <c r="AT153" s="6" t="str">
        <f>HYPERLINK("http://www.worldcat.org/oclc/25512927","WorldCat Record")</f>
        <v>WorldCat Record</v>
      </c>
      <c r="AU153" s="3" t="s">
        <v>1879</v>
      </c>
      <c r="AV153" s="3" t="s">
        <v>1880</v>
      </c>
      <c r="AW153" s="3" t="s">
        <v>1881</v>
      </c>
      <c r="AX153" s="3" t="s">
        <v>1881</v>
      </c>
      <c r="AY153" s="3" t="s">
        <v>1882</v>
      </c>
      <c r="AZ153" s="3" t="s">
        <v>73</v>
      </c>
      <c r="BB153" s="3" t="s">
        <v>1883</v>
      </c>
      <c r="BC153" s="3" t="s">
        <v>1884</v>
      </c>
      <c r="BD153" s="3" t="s">
        <v>1885</v>
      </c>
    </row>
    <row r="154" spans="1:56" ht="51" customHeight="1" x14ac:dyDescent="0.25">
      <c r="A154" s="7" t="s">
        <v>58</v>
      </c>
      <c r="B154" s="2" t="s">
        <v>1886</v>
      </c>
      <c r="C154" s="2" t="s">
        <v>1887</v>
      </c>
      <c r="D154" s="2" t="s">
        <v>1888</v>
      </c>
      <c r="F154" s="3" t="s">
        <v>58</v>
      </c>
      <c r="G154" s="3" t="s">
        <v>59</v>
      </c>
      <c r="H154" s="3" t="s">
        <v>58</v>
      </c>
      <c r="I154" s="3" t="s">
        <v>58</v>
      </c>
      <c r="J154" s="3" t="s">
        <v>60</v>
      </c>
      <c r="K154" s="2" t="s">
        <v>743</v>
      </c>
      <c r="L154" s="2" t="s">
        <v>1889</v>
      </c>
      <c r="M154" s="3" t="s">
        <v>996</v>
      </c>
      <c r="O154" s="3" t="s">
        <v>63</v>
      </c>
      <c r="P154" s="3" t="s">
        <v>214</v>
      </c>
      <c r="R154" s="3" t="s">
        <v>65</v>
      </c>
      <c r="S154" s="4">
        <v>3</v>
      </c>
      <c r="T154" s="4">
        <v>3</v>
      </c>
      <c r="U154" s="5" t="s">
        <v>1890</v>
      </c>
      <c r="V154" s="5" t="s">
        <v>1890</v>
      </c>
      <c r="W154" s="5" t="s">
        <v>733</v>
      </c>
      <c r="X154" s="5" t="s">
        <v>733</v>
      </c>
      <c r="Y154" s="4">
        <v>614</v>
      </c>
      <c r="Z154" s="4">
        <v>581</v>
      </c>
      <c r="AA154" s="4">
        <v>847</v>
      </c>
      <c r="AB154" s="4">
        <v>3</v>
      </c>
      <c r="AC154" s="4">
        <v>4</v>
      </c>
      <c r="AD154" s="4">
        <v>21</v>
      </c>
      <c r="AE154" s="4">
        <v>33</v>
      </c>
      <c r="AF154" s="4">
        <v>9</v>
      </c>
      <c r="AG154" s="4">
        <v>13</v>
      </c>
      <c r="AH154" s="4">
        <v>2</v>
      </c>
      <c r="AI154" s="4">
        <v>7</v>
      </c>
      <c r="AJ154" s="4">
        <v>11</v>
      </c>
      <c r="AK154" s="4">
        <v>17</v>
      </c>
      <c r="AL154" s="4">
        <v>2</v>
      </c>
      <c r="AM154" s="4">
        <v>3</v>
      </c>
      <c r="AN154" s="4">
        <v>0</v>
      </c>
      <c r="AO154" s="4">
        <v>0</v>
      </c>
      <c r="AP154" s="3" t="s">
        <v>58</v>
      </c>
      <c r="AQ154" s="3" t="s">
        <v>68</v>
      </c>
      <c r="AR154" s="6" t="str">
        <f>HYPERLINK("http://catalog.hathitrust.org/Record/004409141","HathiTrust Record")</f>
        <v>HathiTrust Record</v>
      </c>
      <c r="AS154" s="6" t="str">
        <f>HYPERLINK("https://creighton-primo.hosted.exlibrisgroup.com/primo-explore/search?tab=default_tab&amp;search_scope=EVERYTHING&amp;vid=01CRU&amp;lang=en_US&amp;offset=0&amp;query=any,contains,991001431229702656","Catalog Record")</f>
        <v>Catalog Record</v>
      </c>
      <c r="AT154" s="6" t="str">
        <f>HYPERLINK("http://www.worldcat.org/oclc/231001","WorldCat Record")</f>
        <v>WorldCat Record</v>
      </c>
      <c r="AU154" s="3" t="s">
        <v>1891</v>
      </c>
      <c r="AV154" s="3" t="s">
        <v>1892</v>
      </c>
      <c r="AW154" s="3" t="s">
        <v>1893</v>
      </c>
      <c r="AX154" s="3" t="s">
        <v>1893</v>
      </c>
      <c r="AY154" s="3" t="s">
        <v>1894</v>
      </c>
      <c r="AZ154" s="3" t="s">
        <v>73</v>
      </c>
      <c r="BB154" s="3" t="s">
        <v>1895</v>
      </c>
      <c r="BC154" s="3" t="s">
        <v>1896</v>
      </c>
      <c r="BD154" s="3" t="s">
        <v>1897</v>
      </c>
    </row>
    <row r="155" spans="1:56" ht="51" customHeight="1" x14ac:dyDescent="0.25">
      <c r="A155" s="7" t="s">
        <v>58</v>
      </c>
      <c r="B155" s="2" t="s">
        <v>1898</v>
      </c>
      <c r="C155" s="2" t="s">
        <v>1899</v>
      </c>
      <c r="D155" s="2" t="s">
        <v>1900</v>
      </c>
      <c r="F155" s="3" t="s">
        <v>58</v>
      </c>
      <c r="G155" s="3" t="s">
        <v>59</v>
      </c>
      <c r="H155" s="3" t="s">
        <v>58</v>
      </c>
      <c r="I155" s="3" t="s">
        <v>58</v>
      </c>
      <c r="J155" s="3" t="s">
        <v>60</v>
      </c>
      <c r="K155" s="2" t="s">
        <v>1901</v>
      </c>
      <c r="L155" s="2" t="s">
        <v>1902</v>
      </c>
      <c r="M155" s="3" t="s">
        <v>626</v>
      </c>
      <c r="N155" s="2" t="s">
        <v>1009</v>
      </c>
      <c r="O155" s="3" t="s">
        <v>63</v>
      </c>
      <c r="P155" s="3" t="s">
        <v>760</v>
      </c>
      <c r="Q155" s="2" t="s">
        <v>694</v>
      </c>
      <c r="R155" s="3" t="s">
        <v>65</v>
      </c>
      <c r="S155" s="4">
        <v>4</v>
      </c>
      <c r="T155" s="4">
        <v>4</v>
      </c>
      <c r="U155" s="5" t="s">
        <v>1903</v>
      </c>
      <c r="V155" s="5" t="s">
        <v>1903</v>
      </c>
      <c r="W155" s="5" t="s">
        <v>1904</v>
      </c>
      <c r="X155" s="5" t="s">
        <v>1904</v>
      </c>
      <c r="Y155" s="4">
        <v>331</v>
      </c>
      <c r="Z155" s="4">
        <v>299</v>
      </c>
      <c r="AA155" s="4">
        <v>375</v>
      </c>
      <c r="AB155" s="4">
        <v>1</v>
      </c>
      <c r="AC155" s="4">
        <v>2</v>
      </c>
      <c r="AD155" s="4">
        <v>11</v>
      </c>
      <c r="AE155" s="4">
        <v>12</v>
      </c>
      <c r="AF155" s="4">
        <v>3</v>
      </c>
      <c r="AG155" s="4">
        <v>3</v>
      </c>
      <c r="AH155" s="4">
        <v>4</v>
      </c>
      <c r="AI155" s="4">
        <v>4</v>
      </c>
      <c r="AJ155" s="4">
        <v>5</v>
      </c>
      <c r="AK155" s="4">
        <v>5</v>
      </c>
      <c r="AL155" s="4">
        <v>0</v>
      </c>
      <c r="AM155" s="4">
        <v>1</v>
      </c>
      <c r="AN155" s="4">
        <v>0</v>
      </c>
      <c r="AO155" s="4">
        <v>0</v>
      </c>
      <c r="AP155" s="3" t="s">
        <v>58</v>
      </c>
      <c r="AQ155" s="3" t="s">
        <v>68</v>
      </c>
      <c r="AR155" s="6" t="str">
        <f>HYPERLINK("http://catalog.hathitrust.org/Record/006036208","HathiTrust Record")</f>
        <v>HathiTrust Record</v>
      </c>
      <c r="AS155" s="6" t="str">
        <f>HYPERLINK("https://creighton-primo.hosted.exlibrisgroup.com/primo-explore/search?tab=default_tab&amp;search_scope=EVERYTHING&amp;vid=01CRU&amp;lang=en_US&amp;offset=0&amp;query=any,contains,991000197259702656","Catalog Record")</f>
        <v>Catalog Record</v>
      </c>
      <c r="AT155" s="6" t="str">
        <f>HYPERLINK("http://www.worldcat.org/oclc/9442004","WorldCat Record")</f>
        <v>WorldCat Record</v>
      </c>
      <c r="AU155" s="3" t="s">
        <v>1905</v>
      </c>
      <c r="AV155" s="3" t="s">
        <v>1906</v>
      </c>
      <c r="AW155" s="3" t="s">
        <v>1907</v>
      </c>
      <c r="AX155" s="3" t="s">
        <v>1907</v>
      </c>
      <c r="AY155" s="3" t="s">
        <v>1908</v>
      </c>
      <c r="AZ155" s="3" t="s">
        <v>73</v>
      </c>
      <c r="BB155" s="3" t="s">
        <v>1909</v>
      </c>
      <c r="BC155" s="3" t="s">
        <v>1910</v>
      </c>
      <c r="BD155" s="3" t="s">
        <v>1911</v>
      </c>
    </row>
    <row r="156" spans="1:56" ht="51" customHeight="1" x14ac:dyDescent="0.25">
      <c r="A156" s="7" t="s">
        <v>58</v>
      </c>
      <c r="B156" s="2" t="s">
        <v>1912</v>
      </c>
      <c r="C156" s="2" t="s">
        <v>1913</v>
      </c>
      <c r="D156" s="2" t="s">
        <v>1914</v>
      </c>
      <c r="F156" s="3" t="s">
        <v>58</v>
      </c>
      <c r="G156" s="3" t="s">
        <v>59</v>
      </c>
      <c r="H156" s="3" t="s">
        <v>58</v>
      </c>
      <c r="I156" s="3" t="s">
        <v>58</v>
      </c>
      <c r="J156" s="3" t="s">
        <v>60</v>
      </c>
      <c r="K156" s="2" t="s">
        <v>1915</v>
      </c>
      <c r="L156" s="2" t="s">
        <v>1916</v>
      </c>
      <c r="M156" s="3" t="s">
        <v>951</v>
      </c>
      <c r="O156" s="3" t="s">
        <v>63</v>
      </c>
      <c r="P156" s="3" t="s">
        <v>1917</v>
      </c>
      <c r="Q156" s="2" t="s">
        <v>1918</v>
      </c>
      <c r="R156" s="3" t="s">
        <v>65</v>
      </c>
      <c r="S156" s="4">
        <v>2</v>
      </c>
      <c r="T156" s="4">
        <v>2</v>
      </c>
      <c r="U156" s="5" t="s">
        <v>1919</v>
      </c>
      <c r="V156" s="5" t="s">
        <v>1919</v>
      </c>
      <c r="W156" s="5" t="s">
        <v>1920</v>
      </c>
      <c r="X156" s="5" t="s">
        <v>1920</v>
      </c>
      <c r="Y156" s="4">
        <v>222</v>
      </c>
      <c r="Z156" s="4">
        <v>175</v>
      </c>
      <c r="AA156" s="4">
        <v>227</v>
      </c>
      <c r="AB156" s="4">
        <v>3</v>
      </c>
      <c r="AC156" s="4">
        <v>3</v>
      </c>
      <c r="AD156" s="4">
        <v>15</v>
      </c>
      <c r="AE156" s="4">
        <v>19</v>
      </c>
      <c r="AF156" s="4">
        <v>5</v>
      </c>
      <c r="AG156" s="4">
        <v>8</v>
      </c>
      <c r="AH156" s="4">
        <v>5</v>
      </c>
      <c r="AI156" s="4">
        <v>6</v>
      </c>
      <c r="AJ156" s="4">
        <v>7</v>
      </c>
      <c r="AK156" s="4">
        <v>8</v>
      </c>
      <c r="AL156" s="4">
        <v>2</v>
      </c>
      <c r="AM156" s="4">
        <v>2</v>
      </c>
      <c r="AN156" s="4">
        <v>0</v>
      </c>
      <c r="AO156" s="4">
        <v>0</v>
      </c>
      <c r="AP156" s="3" t="s">
        <v>58</v>
      </c>
      <c r="AQ156" s="3" t="s">
        <v>58</v>
      </c>
      <c r="AS156" s="6" t="str">
        <f>HYPERLINK("https://creighton-primo.hosted.exlibrisgroup.com/primo-explore/search?tab=default_tab&amp;search_scope=EVERYTHING&amp;vid=01CRU&amp;lang=en_US&amp;offset=0&amp;query=any,contains,991003837319702656","Catalog Record")</f>
        <v>Catalog Record</v>
      </c>
      <c r="AT156" s="6" t="str">
        <f>HYPERLINK("http://www.worldcat.org/oclc/42913826","WorldCat Record")</f>
        <v>WorldCat Record</v>
      </c>
      <c r="AU156" s="3" t="s">
        <v>1921</v>
      </c>
      <c r="AV156" s="3" t="s">
        <v>1922</v>
      </c>
      <c r="AW156" s="3" t="s">
        <v>1923</v>
      </c>
      <c r="AX156" s="3" t="s">
        <v>1923</v>
      </c>
      <c r="AY156" s="3" t="s">
        <v>1924</v>
      </c>
      <c r="AZ156" s="3" t="s">
        <v>73</v>
      </c>
      <c r="BB156" s="3" t="s">
        <v>1925</v>
      </c>
      <c r="BC156" s="3" t="s">
        <v>1926</v>
      </c>
      <c r="BD156" s="3" t="s">
        <v>1927</v>
      </c>
    </row>
    <row r="157" spans="1:56" ht="51" customHeight="1" x14ac:dyDescent="0.25">
      <c r="A157" s="7" t="s">
        <v>58</v>
      </c>
      <c r="B157" s="2" t="s">
        <v>1928</v>
      </c>
      <c r="C157" s="2" t="s">
        <v>1929</v>
      </c>
      <c r="D157" s="2" t="s">
        <v>1930</v>
      </c>
      <c r="F157" s="3" t="s">
        <v>58</v>
      </c>
      <c r="G157" s="3" t="s">
        <v>59</v>
      </c>
      <c r="H157" s="3" t="s">
        <v>58</v>
      </c>
      <c r="I157" s="3" t="s">
        <v>58</v>
      </c>
      <c r="J157" s="3" t="s">
        <v>60</v>
      </c>
      <c r="K157" s="2" t="s">
        <v>1931</v>
      </c>
      <c r="L157" s="2" t="s">
        <v>1932</v>
      </c>
      <c r="M157" s="3" t="s">
        <v>1091</v>
      </c>
      <c r="N157" s="2" t="s">
        <v>338</v>
      </c>
      <c r="O157" s="3" t="s">
        <v>63</v>
      </c>
      <c r="P157" s="3" t="s">
        <v>1933</v>
      </c>
      <c r="R157" s="3" t="s">
        <v>65</v>
      </c>
      <c r="S157" s="4">
        <v>6</v>
      </c>
      <c r="T157" s="4">
        <v>6</v>
      </c>
      <c r="U157" s="5" t="s">
        <v>1315</v>
      </c>
      <c r="V157" s="5" t="s">
        <v>1315</v>
      </c>
      <c r="W157" s="5" t="s">
        <v>1934</v>
      </c>
      <c r="X157" s="5" t="s">
        <v>1934</v>
      </c>
      <c r="Y157" s="4">
        <v>532</v>
      </c>
      <c r="Z157" s="4">
        <v>425</v>
      </c>
      <c r="AA157" s="4">
        <v>434</v>
      </c>
      <c r="AB157" s="4">
        <v>5</v>
      </c>
      <c r="AC157" s="4">
        <v>5</v>
      </c>
      <c r="AD157" s="4">
        <v>33</v>
      </c>
      <c r="AE157" s="4">
        <v>33</v>
      </c>
      <c r="AF157" s="4">
        <v>13</v>
      </c>
      <c r="AG157" s="4">
        <v>13</v>
      </c>
      <c r="AH157" s="4">
        <v>9</v>
      </c>
      <c r="AI157" s="4">
        <v>9</v>
      </c>
      <c r="AJ157" s="4">
        <v>17</v>
      </c>
      <c r="AK157" s="4">
        <v>17</v>
      </c>
      <c r="AL157" s="4">
        <v>4</v>
      </c>
      <c r="AM157" s="4">
        <v>4</v>
      </c>
      <c r="AN157" s="4">
        <v>0</v>
      </c>
      <c r="AO157" s="4">
        <v>0</v>
      </c>
      <c r="AP157" s="3" t="s">
        <v>58</v>
      </c>
      <c r="AQ157" s="3" t="s">
        <v>68</v>
      </c>
      <c r="AR157" s="6" t="str">
        <f>HYPERLINK("http://catalog.hathitrust.org/Record/004143270","HathiTrust Record")</f>
        <v>HathiTrust Record</v>
      </c>
      <c r="AS157" s="6" t="str">
        <f>HYPERLINK("https://creighton-primo.hosted.exlibrisgroup.com/primo-explore/search?tab=default_tab&amp;search_scope=EVERYTHING&amp;vid=01CRU&amp;lang=en_US&amp;offset=0&amp;query=any,contains,991004095909702656","Catalog Record")</f>
        <v>Catalog Record</v>
      </c>
      <c r="AT157" s="6" t="str">
        <f>HYPERLINK("http://www.worldcat.org/oclc/44469096","WorldCat Record")</f>
        <v>WorldCat Record</v>
      </c>
      <c r="AU157" s="3" t="s">
        <v>1935</v>
      </c>
      <c r="AV157" s="3" t="s">
        <v>1936</v>
      </c>
      <c r="AW157" s="3" t="s">
        <v>1937</v>
      </c>
      <c r="AX157" s="3" t="s">
        <v>1937</v>
      </c>
      <c r="AY157" s="3" t="s">
        <v>1938</v>
      </c>
      <c r="AZ157" s="3" t="s">
        <v>73</v>
      </c>
      <c r="BB157" s="3" t="s">
        <v>1939</v>
      </c>
      <c r="BC157" s="3" t="s">
        <v>1940</v>
      </c>
      <c r="BD157" s="3" t="s">
        <v>1941</v>
      </c>
    </row>
    <row r="158" spans="1:56" ht="51" customHeight="1" x14ac:dyDescent="0.25">
      <c r="A158" s="7" t="s">
        <v>58</v>
      </c>
      <c r="B158" s="2" t="s">
        <v>1942</v>
      </c>
      <c r="C158" s="2" t="s">
        <v>1943</v>
      </c>
      <c r="D158" s="2" t="s">
        <v>1944</v>
      </c>
      <c r="F158" s="3" t="s">
        <v>58</v>
      </c>
      <c r="G158" s="3" t="s">
        <v>59</v>
      </c>
      <c r="H158" s="3" t="s">
        <v>58</v>
      </c>
      <c r="I158" s="3" t="s">
        <v>58</v>
      </c>
      <c r="J158" s="3" t="s">
        <v>60</v>
      </c>
      <c r="K158" s="2" t="s">
        <v>1945</v>
      </c>
      <c r="L158" s="2" t="s">
        <v>1946</v>
      </c>
      <c r="M158" s="3" t="s">
        <v>261</v>
      </c>
      <c r="O158" s="3" t="s">
        <v>63</v>
      </c>
      <c r="P158" s="3" t="s">
        <v>214</v>
      </c>
      <c r="R158" s="3" t="s">
        <v>65</v>
      </c>
      <c r="S158" s="4">
        <v>4</v>
      </c>
      <c r="T158" s="4">
        <v>4</v>
      </c>
      <c r="U158" s="5" t="s">
        <v>1947</v>
      </c>
      <c r="V158" s="5" t="s">
        <v>1947</v>
      </c>
      <c r="W158" s="5" t="s">
        <v>1948</v>
      </c>
      <c r="X158" s="5" t="s">
        <v>1948</v>
      </c>
      <c r="Y158" s="4">
        <v>320</v>
      </c>
      <c r="Z158" s="4">
        <v>301</v>
      </c>
      <c r="AA158" s="4">
        <v>439</v>
      </c>
      <c r="AB158" s="4">
        <v>2</v>
      </c>
      <c r="AC158" s="4">
        <v>2</v>
      </c>
      <c r="AD158" s="4">
        <v>15</v>
      </c>
      <c r="AE158" s="4">
        <v>18</v>
      </c>
      <c r="AF158" s="4">
        <v>8</v>
      </c>
      <c r="AG158" s="4">
        <v>8</v>
      </c>
      <c r="AH158" s="4">
        <v>4</v>
      </c>
      <c r="AI158" s="4">
        <v>5</v>
      </c>
      <c r="AJ158" s="4">
        <v>5</v>
      </c>
      <c r="AK158" s="4">
        <v>7</v>
      </c>
      <c r="AL158" s="4">
        <v>1</v>
      </c>
      <c r="AM158" s="4">
        <v>1</v>
      </c>
      <c r="AN158" s="4">
        <v>0</v>
      </c>
      <c r="AO158" s="4">
        <v>0</v>
      </c>
      <c r="AP158" s="3" t="s">
        <v>58</v>
      </c>
      <c r="AQ158" s="3" t="s">
        <v>68</v>
      </c>
      <c r="AR158" s="6" t="str">
        <f>HYPERLINK("http://catalog.hathitrust.org/Record/001242481","HathiTrust Record")</f>
        <v>HathiTrust Record</v>
      </c>
      <c r="AS158" s="6" t="str">
        <f>HYPERLINK("https://creighton-primo.hosted.exlibrisgroup.com/primo-explore/search?tab=default_tab&amp;search_scope=EVERYTHING&amp;vid=01CRU&amp;lang=en_US&amp;offset=0&amp;query=any,contains,991003640239702656","Catalog Record")</f>
        <v>Catalog Record</v>
      </c>
      <c r="AT158" s="6" t="str">
        <f>HYPERLINK("http://www.worldcat.org/oclc/1237026","WorldCat Record")</f>
        <v>WorldCat Record</v>
      </c>
      <c r="AU158" s="3" t="s">
        <v>1949</v>
      </c>
      <c r="AV158" s="3" t="s">
        <v>1950</v>
      </c>
      <c r="AW158" s="3" t="s">
        <v>1951</v>
      </c>
      <c r="AX158" s="3" t="s">
        <v>1951</v>
      </c>
      <c r="AY158" s="3" t="s">
        <v>1952</v>
      </c>
      <c r="AZ158" s="3" t="s">
        <v>73</v>
      </c>
      <c r="BB158" s="3" t="s">
        <v>1953</v>
      </c>
      <c r="BC158" s="3" t="s">
        <v>1954</v>
      </c>
      <c r="BD158" s="3" t="s">
        <v>1955</v>
      </c>
    </row>
    <row r="159" spans="1:56" ht="51" customHeight="1" x14ac:dyDescent="0.25">
      <c r="A159" s="7" t="s">
        <v>58</v>
      </c>
      <c r="B159" s="2" t="s">
        <v>1956</v>
      </c>
      <c r="C159" s="2" t="s">
        <v>1957</v>
      </c>
      <c r="D159" s="2" t="s">
        <v>1958</v>
      </c>
      <c r="F159" s="3" t="s">
        <v>58</v>
      </c>
      <c r="G159" s="3" t="s">
        <v>59</v>
      </c>
      <c r="H159" s="3" t="s">
        <v>58</v>
      </c>
      <c r="I159" s="3" t="s">
        <v>58</v>
      </c>
      <c r="J159" s="3" t="s">
        <v>60</v>
      </c>
      <c r="K159" s="2" t="s">
        <v>1959</v>
      </c>
      <c r="L159" s="2" t="s">
        <v>1960</v>
      </c>
      <c r="M159" s="3" t="s">
        <v>382</v>
      </c>
      <c r="O159" s="3" t="s">
        <v>63</v>
      </c>
      <c r="P159" s="3" t="s">
        <v>584</v>
      </c>
      <c r="Q159" s="2" t="s">
        <v>1961</v>
      </c>
      <c r="R159" s="3" t="s">
        <v>65</v>
      </c>
      <c r="S159" s="4">
        <v>4</v>
      </c>
      <c r="T159" s="4">
        <v>4</v>
      </c>
      <c r="U159" s="5" t="s">
        <v>1962</v>
      </c>
      <c r="V159" s="5" t="s">
        <v>1962</v>
      </c>
      <c r="W159" s="5" t="s">
        <v>1963</v>
      </c>
      <c r="X159" s="5" t="s">
        <v>1963</v>
      </c>
      <c r="Y159" s="4">
        <v>103</v>
      </c>
      <c r="Z159" s="4">
        <v>74</v>
      </c>
      <c r="AA159" s="4">
        <v>78</v>
      </c>
      <c r="AB159" s="4">
        <v>1</v>
      </c>
      <c r="AC159" s="4">
        <v>1</v>
      </c>
      <c r="AD159" s="4">
        <v>3</v>
      </c>
      <c r="AE159" s="4">
        <v>3</v>
      </c>
      <c r="AF159" s="4">
        <v>3</v>
      </c>
      <c r="AG159" s="4">
        <v>3</v>
      </c>
      <c r="AH159" s="4">
        <v>0</v>
      </c>
      <c r="AI159" s="4">
        <v>0</v>
      </c>
      <c r="AJ159" s="4">
        <v>1</v>
      </c>
      <c r="AK159" s="4">
        <v>1</v>
      </c>
      <c r="AL159" s="4">
        <v>0</v>
      </c>
      <c r="AM159" s="4">
        <v>0</v>
      </c>
      <c r="AN159" s="4">
        <v>0</v>
      </c>
      <c r="AO159" s="4">
        <v>0</v>
      </c>
      <c r="AP159" s="3" t="s">
        <v>58</v>
      </c>
      <c r="AQ159" s="3" t="s">
        <v>58</v>
      </c>
      <c r="AS159" s="6" t="str">
        <f>HYPERLINK("https://creighton-primo.hosted.exlibrisgroup.com/primo-explore/search?tab=default_tab&amp;search_scope=EVERYTHING&amp;vid=01CRU&amp;lang=en_US&amp;offset=0&amp;query=any,contains,991004198949702656","Catalog Record")</f>
        <v>Catalog Record</v>
      </c>
      <c r="AT159" s="6" t="str">
        <f>HYPERLINK("http://www.worldcat.org/oclc/41421387","WorldCat Record")</f>
        <v>WorldCat Record</v>
      </c>
      <c r="AU159" s="3" t="s">
        <v>1964</v>
      </c>
      <c r="AV159" s="3" t="s">
        <v>1965</v>
      </c>
      <c r="AW159" s="3" t="s">
        <v>1966</v>
      </c>
      <c r="AX159" s="3" t="s">
        <v>1966</v>
      </c>
      <c r="AY159" s="3" t="s">
        <v>1967</v>
      </c>
      <c r="AZ159" s="3" t="s">
        <v>73</v>
      </c>
      <c r="BB159" s="3" t="s">
        <v>1968</v>
      </c>
      <c r="BC159" s="3" t="s">
        <v>1969</v>
      </c>
      <c r="BD159" s="3" t="s">
        <v>1970</v>
      </c>
    </row>
    <row r="160" spans="1:56" ht="51" customHeight="1" x14ac:dyDescent="0.25">
      <c r="A160" s="7" t="s">
        <v>58</v>
      </c>
      <c r="B160" s="2" t="s">
        <v>1971</v>
      </c>
      <c r="C160" s="2" t="s">
        <v>1972</v>
      </c>
      <c r="D160" s="2" t="s">
        <v>1973</v>
      </c>
      <c r="F160" s="3" t="s">
        <v>58</v>
      </c>
      <c r="G160" s="3" t="s">
        <v>59</v>
      </c>
      <c r="H160" s="3" t="s">
        <v>58</v>
      </c>
      <c r="I160" s="3" t="s">
        <v>58</v>
      </c>
      <c r="J160" s="3" t="s">
        <v>60</v>
      </c>
      <c r="K160" s="2" t="s">
        <v>1974</v>
      </c>
      <c r="L160" s="2" t="s">
        <v>1975</v>
      </c>
      <c r="M160" s="3" t="s">
        <v>1091</v>
      </c>
      <c r="O160" s="3" t="s">
        <v>63</v>
      </c>
      <c r="P160" s="3" t="s">
        <v>584</v>
      </c>
      <c r="R160" s="3" t="s">
        <v>65</v>
      </c>
      <c r="S160" s="4">
        <v>16</v>
      </c>
      <c r="T160" s="4">
        <v>16</v>
      </c>
      <c r="U160" s="5" t="s">
        <v>1976</v>
      </c>
      <c r="V160" s="5" t="s">
        <v>1976</v>
      </c>
      <c r="W160" s="5" t="s">
        <v>1977</v>
      </c>
      <c r="X160" s="5" t="s">
        <v>1977</v>
      </c>
      <c r="Y160" s="4">
        <v>460</v>
      </c>
      <c r="Z160" s="4">
        <v>337</v>
      </c>
      <c r="AA160" s="4">
        <v>363</v>
      </c>
      <c r="AB160" s="4">
        <v>3</v>
      </c>
      <c r="AC160" s="4">
        <v>3</v>
      </c>
      <c r="AD160" s="4">
        <v>27</v>
      </c>
      <c r="AE160" s="4">
        <v>28</v>
      </c>
      <c r="AF160" s="4">
        <v>15</v>
      </c>
      <c r="AG160" s="4">
        <v>15</v>
      </c>
      <c r="AH160" s="4">
        <v>5</v>
      </c>
      <c r="AI160" s="4">
        <v>6</v>
      </c>
      <c r="AJ160" s="4">
        <v>11</v>
      </c>
      <c r="AK160" s="4">
        <v>11</v>
      </c>
      <c r="AL160" s="4">
        <v>2</v>
      </c>
      <c r="AM160" s="4">
        <v>2</v>
      </c>
      <c r="AN160" s="4">
        <v>0</v>
      </c>
      <c r="AO160" s="4">
        <v>0</v>
      </c>
      <c r="AP160" s="3" t="s">
        <v>58</v>
      </c>
      <c r="AQ160" s="3" t="s">
        <v>58</v>
      </c>
      <c r="AS160" s="6" t="str">
        <f>HYPERLINK("https://creighton-primo.hosted.exlibrisgroup.com/primo-explore/search?tab=default_tab&amp;search_scope=EVERYTHING&amp;vid=01CRU&amp;lang=en_US&amp;offset=0&amp;query=any,contains,991003861739702656","Catalog Record")</f>
        <v>Catalog Record</v>
      </c>
      <c r="AT160" s="6" t="str">
        <f>HYPERLINK("http://www.worldcat.org/oclc/43115066","WorldCat Record")</f>
        <v>WorldCat Record</v>
      </c>
      <c r="AU160" s="3" t="s">
        <v>1978</v>
      </c>
      <c r="AV160" s="3" t="s">
        <v>1979</v>
      </c>
      <c r="AW160" s="3" t="s">
        <v>1980</v>
      </c>
      <c r="AX160" s="3" t="s">
        <v>1980</v>
      </c>
      <c r="AY160" s="3" t="s">
        <v>1981</v>
      </c>
      <c r="AZ160" s="3" t="s">
        <v>73</v>
      </c>
      <c r="BB160" s="3" t="s">
        <v>1982</v>
      </c>
      <c r="BC160" s="3" t="s">
        <v>1983</v>
      </c>
      <c r="BD160" s="3" t="s">
        <v>1984</v>
      </c>
    </row>
    <row r="161" spans="1:56" ht="51" customHeight="1" x14ac:dyDescent="0.25">
      <c r="A161" s="7" t="s">
        <v>58</v>
      </c>
      <c r="B161" s="2" t="s">
        <v>1985</v>
      </c>
      <c r="C161" s="2" t="s">
        <v>1986</v>
      </c>
      <c r="D161" s="2" t="s">
        <v>1987</v>
      </c>
      <c r="F161" s="3" t="s">
        <v>58</v>
      </c>
      <c r="G161" s="3" t="s">
        <v>59</v>
      </c>
      <c r="H161" s="3" t="s">
        <v>58</v>
      </c>
      <c r="I161" s="3" t="s">
        <v>58</v>
      </c>
      <c r="J161" s="3" t="s">
        <v>60</v>
      </c>
      <c r="K161" s="2" t="s">
        <v>1988</v>
      </c>
      <c r="L161" s="2" t="s">
        <v>1989</v>
      </c>
      <c r="M161" s="3" t="s">
        <v>1091</v>
      </c>
      <c r="O161" s="3" t="s">
        <v>63</v>
      </c>
      <c r="P161" s="3" t="s">
        <v>584</v>
      </c>
      <c r="Q161" s="2" t="s">
        <v>1990</v>
      </c>
      <c r="R161" s="3" t="s">
        <v>65</v>
      </c>
      <c r="S161" s="4">
        <v>1</v>
      </c>
      <c r="T161" s="4">
        <v>1</v>
      </c>
      <c r="U161" s="5" t="s">
        <v>1991</v>
      </c>
      <c r="V161" s="5" t="s">
        <v>1991</v>
      </c>
      <c r="W161" s="5" t="s">
        <v>1991</v>
      </c>
      <c r="X161" s="5" t="s">
        <v>1991</v>
      </c>
      <c r="Y161" s="4">
        <v>182</v>
      </c>
      <c r="Z161" s="4">
        <v>129</v>
      </c>
      <c r="AA161" s="4">
        <v>129</v>
      </c>
      <c r="AB161" s="4">
        <v>1</v>
      </c>
      <c r="AC161" s="4">
        <v>1</v>
      </c>
      <c r="AD161" s="4">
        <v>9</v>
      </c>
      <c r="AE161" s="4">
        <v>9</v>
      </c>
      <c r="AF161" s="4">
        <v>4</v>
      </c>
      <c r="AG161" s="4">
        <v>4</v>
      </c>
      <c r="AH161" s="4">
        <v>3</v>
      </c>
      <c r="AI161" s="4">
        <v>3</v>
      </c>
      <c r="AJ161" s="4">
        <v>5</v>
      </c>
      <c r="AK161" s="4">
        <v>5</v>
      </c>
      <c r="AL161" s="4">
        <v>0</v>
      </c>
      <c r="AM161" s="4">
        <v>0</v>
      </c>
      <c r="AN161" s="4">
        <v>0</v>
      </c>
      <c r="AO161" s="4">
        <v>0</v>
      </c>
      <c r="AP161" s="3" t="s">
        <v>58</v>
      </c>
      <c r="AQ161" s="3" t="s">
        <v>58</v>
      </c>
      <c r="AS161" s="6" t="str">
        <f>HYPERLINK("https://creighton-primo.hosted.exlibrisgroup.com/primo-explore/search?tab=default_tab&amp;search_scope=EVERYTHING&amp;vid=01CRU&amp;lang=en_US&amp;offset=0&amp;query=any,contains,991004098899702656","Catalog Record")</f>
        <v>Catalog Record</v>
      </c>
      <c r="AT161" s="6" t="str">
        <f>HYPERLINK("http://www.worldcat.org/oclc/491978900","WorldCat Record")</f>
        <v>WorldCat Record</v>
      </c>
      <c r="AU161" s="3" t="s">
        <v>1992</v>
      </c>
      <c r="AV161" s="3" t="s">
        <v>1993</v>
      </c>
      <c r="AW161" s="3" t="s">
        <v>1994</v>
      </c>
      <c r="AX161" s="3" t="s">
        <v>1994</v>
      </c>
      <c r="AY161" s="3" t="s">
        <v>1995</v>
      </c>
      <c r="AZ161" s="3" t="s">
        <v>73</v>
      </c>
      <c r="BB161" s="3" t="s">
        <v>1996</v>
      </c>
      <c r="BC161" s="3" t="s">
        <v>1997</v>
      </c>
      <c r="BD161" s="3" t="s">
        <v>1998</v>
      </c>
    </row>
    <row r="162" spans="1:56" ht="51" customHeight="1" x14ac:dyDescent="0.25">
      <c r="A162" s="7" t="s">
        <v>58</v>
      </c>
      <c r="B162" s="2" t="s">
        <v>1999</v>
      </c>
      <c r="C162" s="2" t="s">
        <v>2000</v>
      </c>
      <c r="D162" s="2" t="s">
        <v>2001</v>
      </c>
      <c r="F162" s="3" t="s">
        <v>58</v>
      </c>
      <c r="G162" s="3" t="s">
        <v>59</v>
      </c>
      <c r="H162" s="3" t="s">
        <v>58</v>
      </c>
      <c r="I162" s="3" t="s">
        <v>68</v>
      </c>
      <c r="J162" s="3" t="s">
        <v>60</v>
      </c>
      <c r="K162" s="2" t="s">
        <v>2002</v>
      </c>
      <c r="L162" s="2" t="s">
        <v>2003</v>
      </c>
      <c r="M162" s="3" t="s">
        <v>2004</v>
      </c>
      <c r="N162" s="2" t="s">
        <v>1470</v>
      </c>
      <c r="O162" s="3" t="s">
        <v>63</v>
      </c>
      <c r="P162" s="3" t="s">
        <v>214</v>
      </c>
      <c r="R162" s="3" t="s">
        <v>65</v>
      </c>
      <c r="S162" s="4">
        <v>2</v>
      </c>
      <c r="T162" s="4">
        <v>2</v>
      </c>
      <c r="U162" s="5" t="s">
        <v>1049</v>
      </c>
      <c r="V162" s="5" t="s">
        <v>1049</v>
      </c>
      <c r="W162" s="5" t="s">
        <v>235</v>
      </c>
      <c r="X162" s="5" t="s">
        <v>235</v>
      </c>
      <c r="Y162" s="4">
        <v>1001</v>
      </c>
      <c r="Z162" s="4">
        <v>941</v>
      </c>
      <c r="AA162" s="4">
        <v>1260</v>
      </c>
      <c r="AB162" s="4">
        <v>7</v>
      </c>
      <c r="AC162" s="4">
        <v>9</v>
      </c>
      <c r="AD162" s="4">
        <v>36</v>
      </c>
      <c r="AE162" s="4">
        <v>45</v>
      </c>
      <c r="AF162" s="4">
        <v>15</v>
      </c>
      <c r="AG162" s="4">
        <v>20</v>
      </c>
      <c r="AH162" s="4">
        <v>6</v>
      </c>
      <c r="AI162" s="4">
        <v>8</v>
      </c>
      <c r="AJ162" s="4">
        <v>21</v>
      </c>
      <c r="AK162" s="4">
        <v>26</v>
      </c>
      <c r="AL162" s="4">
        <v>3</v>
      </c>
      <c r="AM162" s="4">
        <v>4</v>
      </c>
      <c r="AN162" s="4">
        <v>0</v>
      </c>
      <c r="AO162" s="4">
        <v>0</v>
      </c>
      <c r="AP162" s="3" t="s">
        <v>58</v>
      </c>
      <c r="AQ162" s="3" t="s">
        <v>58</v>
      </c>
      <c r="AR162" s="6" t="str">
        <f>HYPERLINK("http://catalog.hathitrust.org/Record/001242503","HathiTrust Record")</f>
        <v>HathiTrust Record</v>
      </c>
      <c r="AS162" s="6" t="str">
        <f>HYPERLINK("https://creighton-primo.hosted.exlibrisgroup.com/primo-explore/search?tab=default_tab&amp;search_scope=EVERYTHING&amp;vid=01CRU&amp;lang=en_US&amp;offset=0&amp;query=any,contains,991002685829702656","Catalog Record")</f>
        <v>Catalog Record</v>
      </c>
      <c r="AT162" s="6" t="str">
        <f>HYPERLINK("http://www.worldcat.org/oclc/399995","WorldCat Record")</f>
        <v>WorldCat Record</v>
      </c>
      <c r="AU162" s="3" t="s">
        <v>2005</v>
      </c>
      <c r="AV162" s="3" t="s">
        <v>2006</v>
      </c>
      <c r="AW162" s="3" t="s">
        <v>2007</v>
      </c>
      <c r="AX162" s="3" t="s">
        <v>2007</v>
      </c>
      <c r="AY162" s="3" t="s">
        <v>2008</v>
      </c>
      <c r="AZ162" s="3" t="s">
        <v>73</v>
      </c>
      <c r="BC162" s="3" t="s">
        <v>2009</v>
      </c>
      <c r="BD162" s="3" t="s">
        <v>2010</v>
      </c>
    </row>
    <row r="163" spans="1:56" ht="51" customHeight="1" x14ac:dyDescent="0.25">
      <c r="A163" s="7" t="s">
        <v>58</v>
      </c>
      <c r="B163" s="2" t="s">
        <v>2011</v>
      </c>
      <c r="C163" s="2" t="s">
        <v>2012</v>
      </c>
      <c r="D163" s="2" t="s">
        <v>2013</v>
      </c>
      <c r="F163" s="3" t="s">
        <v>58</v>
      </c>
      <c r="G163" s="3" t="s">
        <v>59</v>
      </c>
      <c r="H163" s="3" t="s">
        <v>58</v>
      </c>
      <c r="I163" s="3" t="s">
        <v>58</v>
      </c>
      <c r="J163" s="3" t="s">
        <v>60</v>
      </c>
      <c r="K163" s="2" t="s">
        <v>2014</v>
      </c>
      <c r="L163" s="2" t="s">
        <v>2015</v>
      </c>
      <c r="M163" s="3" t="s">
        <v>1385</v>
      </c>
      <c r="O163" s="3" t="s">
        <v>63</v>
      </c>
      <c r="P163" s="3" t="s">
        <v>214</v>
      </c>
      <c r="R163" s="3" t="s">
        <v>65</v>
      </c>
      <c r="S163" s="4">
        <v>2</v>
      </c>
      <c r="T163" s="4">
        <v>2</v>
      </c>
      <c r="U163" s="5" t="s">
        <v>1049</v>
      </c>
      <c r="V163" s="5" t="s">
        <v>1049</v>
      </c>
      <c r="W163" s="5" t="s">
        <v>235</v>
      </c>
      <c r="X163" s="5" t="s">
        <v>235</v>
      </c>
      <c r="Y163" s="4">
        <v>278</v>
      </c>
      <c r="Z163" s="4">
        <v>266</v>
      </c>
      <c r="AA163" s="4">
        <v>347</v>
      </c>
      <c r="AB163" s="4">
        <v>2</v>
      </c>
      <c r="AC163" s="4">
        <v>2</v>
      </c>
      <c r="AD163" s="4">
        <v>19</v>
      </c>
      <c r="AE163" s="4">
        <v>20</v>
      </c>
      <c r="AF163" s="4">
        <v>6</v>
      </c>
      <c r="AG163" s="4">
        <v>6</v>
      </c>
      <c r="AH163" s="4">
        <v>6</v>
      </c>
      <c r="AI163" s="4">
        <v>6</v>
      </c>
      <c r="AJ163" s="4">
        <v>12</v>
      </c>
      <c r="AK163" s="4">
        <v>13</v>
      </c>
      <c r="AL163" s="4">
        <v>1</v>
      </c>
      <c r="AM163" s="4">
        <v>1</v>
      </c>
      <c r="AN163" s="4">
        <v>0</v>
      </c>
      <c r="AO163" s="4">
        <v>0</v>
      </c>
      <c r="AP163" s="3" t="s">
        <v>58</v>
      </c>
      <c r="AQ163" s="3" t="s">
        <v>68</v>
      </c>
      <c r="AR163" s="6" t="str">
        <f>HYPERLINK("http://catalog.hathitrust.org/Record/010090573","HathiTrust Record")</f>
        <v>HathiTrust Record</v>
      </c>
      <c r="AS163" s="6" t="str">
        <f>HYPERLINK("https://creighton-primo.hosted.exlibrisgroup.com/primo-explore/search?tab=default_tab&amp;search_scope=EVERYTHING&amp;vid=01CRU&amp;lang=en_US&amp;offset=0&amp;query=any,contains,991003264329702656","Catalog Record")</f>
        <v>Catalog Record</v>
      </c>
      <c r="AT163" s="6" t="str">
        <f>HYPERLINK("http://www.worldcat.org/oclc/790263","WorldCat Record")</f>
        <v>WorldCat Record</v>
      </c>
      <c r="AU163" s="3" t="s">
        <v>2016</v>
      </c>
      <c r="AV163" s="3" t="s">
        <v>2017</v>
      </c>
      <c r="AW163" s="3" t="s">
        <v>2018</v>
      </c>
      <c r="AX163" s="3" t="s">
        <v>2018</v>
      </c>
      <c r="AY163" s="3" t="s">
        <v>2019</v>
      </c>
      <c r="AZ163" s="3" t="s">
        <v>73</v>
      </c>
      <c r="BB163" s="3" t="s">
        <v>2020</v>
      </c>
      <c r="BC163" s="3" t="s">
        <v>2021</v>
      </c>
      <c r="BD163" s="3" t="s">
        <v>2022</v>
      </c>
    </row>
    <row r="164" spans="1:56" ht="51" customHeight="1" x14ac:dyDescent="0.25">
      <c r="A164" s="7" t="s">
        <v>58</v>
      </c>
      <c r="B164" s="2" t="s">
        <v>2023</v>
      </c>
      <c r="C164" s="2" t="s">
        <v>2024</v>
      </c>
      <c r="D164" s="2" t="s">
        <v>2025</v>
      </c>
      <c r="F164" s="3" t="s">
        <v>58</v>
      </c>
      <c r="G164" s="3" t="s">
        <v>59</v>
      </c>
      <c r="H164" s="3" t="s">
        <v>58</v>
      </c>
      <c r="I164" s="3" t="s">
        <v>58</v>
      </c>
      <c r="J164" s="3" t="s">
        <v>60</v>
      </c>
      <c r="K164" s="2" t="s">
        <v>2026</v>
      </c>
      <c r="L164" s="2" t="s">
        <v>2027</v>
      </c>
      <c r="M164" s="3" t="s">
        <v>2028</v>
      </c>
      <c r="N164" s="2" t="s">
        <v>2029</v>
      </c>
      <c r="O164" s="3" t="s">
        <v>2030</v>
      </c>
      <c r="P164" s="3" t="s">
        <v>2031</v>
      </c>
      <c r="Q164" s="2" t="s">
        <v>2032</v>
      </c>
      <c r="R164" s="3" t="s">
        <v>65</v>
      </c>
      <c r="S164" s="4">
        <v>1</v>
      </c>
      <c r="T164" s="4">
        <v>1</v>
      </c>
      <c r="U164" s="5" t="s">
        <v>2033</v>
      </c>
      <c r="V164" s="5" t="s">
        <v>2033</v>
      </c>
      <c r="W164" s="5" t="s">
        <v>2034</v>
      </c>
      <c r="X164" s="5" t="s">
        <v>2034</v>
      </c>
      <c r="Y164" s="4">
        <v>8</v>
      </c>
      <c r="Z164" s="4">
        <v>4</v>
      </c>
      <c r="AA164" s="4">
        <v>78</v>
      </c>
      <c r="AB164" s="4">
        <v>1</v>
      </c>
      <c r="AC164" s="4">
        <v>1</v>
      </c>
      <c r="AD164" s="4">
        <v>0</v>
      </c>
      <c r="AE164" s="4">
        <v>9</v>
      </c>
      <c r="AF164" s="4">
        <v>0</v>
      </c>
      <c r="AG164" s="4">
        <v>1</v>
      </c>
      <c r="AH164" s="4">
        <v>0</v>
      </c>
      <c r="AI164" s="4">
        <v>3</v>
      </c>
      <c r="AJ164" s="4">
        <v>0</v>
      </c>
      <c r="AK164" s="4">
        <v>6</v>
      </c>
      <c r="AL164" s="4">
        <v>0</v>
      </c>
      <c r="AM164" s="4">
        <v>0</v>
      </c>
      <c r="AN164" s="4">
        <v>0</v>
      </c>
      <c r="AO164" s="4">
        <v>0</v>
      </c>
      <c r="AP164" s="3" t="s">
        <v>58</v>
      </c>
      <c r="AQ164" s="3" t="s">
        <v>58</v>
      </c>
      <c r="AS164" s="6" t="str">
        <f>HYPERLINK("https://creighton-primo.hosted.exlibrisgroup.com/primo-explore/search?tab=default_tab&amp;search_scope=EVERYTHING&amp;vid=01CRU&amp;lang=en_US&amp;offset=0&amp;query=any,contains,991005236019702656","Catalog Record")</f>
        <v>Catalog Record</v>
      </c>
      <c r="AT164" s="6" t="str">
        <f>HYPERLINK("http://www.worldcat.org/oclc/8384331","WorldCat Record")</f>
        <v>WorldCat Record</v>
      </c>
      <c r="AU164" s="3" t="s">
        <v>2035</v>
      </c>
      <c r="AV164" s="3" t="s">
        <v>2036</v>
      </c>
      <c r="AW164" s="3" t="s">
        <v>2037</v>
      </c>
      <c r="AX164" s="3" t="s">
        <v>2037</v>
      </c>
      <c r="AY164" s="3" t="s">
        <v>2038</v>
      </c>
      <c r="AZ164" s="3" t="s">
        <v>73</v>
      </c>
      <c r="BC164" s="3" t="s">
        <v>2039</v>
      </c>
      <c r="BD164" s="3" t="s">
        <v>2040</v>
      </c>
    </row>
    <row r="165" spans="1:56" ht="51" customHeight="1" x14ac:dyDescent="0.25">
      <c r="A165" s="7" t="s">
        <v>58</v>
      </c>
      <c r="B165" s="2" t="s">
        <v>2041</v>
      </c>
      <c r="C165" s="2" t="s">
        <v>2042</v>
      </c>
      <c r="D165" s="2" t="s">
        <v>2043</v>
      </c>
      <c r="F165" s="3" t="s">
        <v>58</v>
      </c>
      <c r="G165" s="3" t="s">
        <v>59</v>
      </c>
      <c r="H165" s="3" t="s">
        <v>58</v>
      </c>
      <c r="I165" s="3" t="s">
        <v>58</v>
      </c>
      <c r="J165" s="3" t="s">
        <v>60</v>
      </c>
      <c r="K165" s="2" t="s">
        <v>2044</v>
      </c>
      <c r="L165" s="2" t="s">
        <v>2045</v>
      </c>
      <c r="M165" s="3" t="s">
        <v>855</v>
      </c>
      <c r="O165" s="3" t="s">
        <v>63</v>
      </c>
      <c r="P165" s="3" t="s">
        <v>816</v>
      </c>
      <c r="R165" s="3" t="s">
        <v>65</v>
      </c>
      <c r="S165" s="4">
        <v>11</v>
      </c>
      <c r="T165" s="4">
        <v>11</v>
      </c>
      <c r="U165" s="5" t="s">
        <v>2046</v>
      </c>
      <c r="V165" s="5" t="s">
        <v>2046</v>
      </c>
      <c r="W165" s="5" t="s">
        <v>2047</v>
      </c>
      <c r="X165" s="5" t="s">
        <v>2047</v>
      </c>
      <c r="Y165" s="4">
        <v>558</v>
      </c>
      <c r="Z165" s="4">
        <v>452</v>
      </c>
      <c r="AA165" s="4">
        <v>463</v>
      </c>
      <c r="AB165" s="4">
        <v>3</v>
      </c>
      <c r="AC165" s="4">
        <v>3</v>
      </c>
      <c r="AD165" s="4">
        <v>30</v>
      </c>
      <c r="AE165" s="4">
        <v>30</v>
      </c>
      <c r="AF165" s="4">
        <v>11</v>
      </c>
      <c r="AG165" s="4">
        <v>11</v>
      </c>
      <c r="AH165" s="4">
        <v>8</v>
      </c>
      <c r="AI165" s="4">
        <v>8</v>
      </c>
      <c r="AJ165" s="4">
        <v>17</v>
      </c>
      <c r="AK165" s="4">
        <v>17</v>
      </c>
      <c r="AL165" s="4">
        <v>2</v>
      </c>
      <c r="AM165" s="4">
        <v>2</v>
      </c>
      <c r="AN165" s="4">
        <v>0</v>
      </c>
      <c r="AO165" s="4">
        <v>0</v>
      </c>
      <c r="AP165" s="3" t="s">
        <v>58</v>
      </c>
      <c r="AQ165" s="3" t="s">
        <v>68</v>
      </c>
      <c r="AR165" s="6" t="str">
        <f>HYPERLINK("http://catalog.hathitrust.org/Record/002780697","HathiTrust Record")</f>
        <v>HathiTrust Record</v>
      </c>
      <c r="AS165" s="6" t="str">
        <f>HYPERLINK("https://creighton-primo.hosted.exlibrisgroup.com/primo-explore/search?tab=default_tab&amp;search_scope=EVERYTHING&amp;vid=01CRU&amp;lang=en_US&amp;offset=0&amp;query=any,contains,991002239209702656","Catalog Record")</f>
        <v>Catalog Record</v>
      </c>
      <c r="AT165" s="6" t="str">
        <f>HYPERLINK("http://www.worldcat.org/oclc/28888160","WorldCat Record")</f>
        <v>WorldCat Record</v>
      </c>
      <c r="AU165" s="3" t="s">
        <v>2048</v>
      </c>
      <c r="AV165" s="3" t="s">
        <v>2049</v>
      </c>
      <c r="AW165" s="3" t="s">
        <v>2050</v>
      </c>
      <c r="AX165" s="3" t="s">
        <v>2050</v>
      </c>
      <c r="AY165" s="3" t="s">
        <v>2051</v>
      </c>
      <c r="AZ165" s="3" t="s">
        <v>73</v>
      </c>
      <c r="BB165" s="3" t="s">
        <v>2052</v>
      </c>
      <c r="BC165" s="3" t="s">
        <v>2053</v>
      </c>
      <c r="BD165" s="3" t="s">
        <v>2054</v>
      </c>
    </row>
    <row r="166" spans="1:56" ht="51" customHeight="1" x14ac:dyDescent="0.25">
      <c r="A166" s="7" t="s">
        <v>58</v>
      </c>
      <c r="B166" s="2" t="s">
        <v>2055</v>
      </c>
      <c r="C166" s="2" t="s">
        <v>2056</v>
      </c>
      <c r="D166" s="2" t="s">
        <v>2057</v>
      </c>
      <c r="F166" s="3" t="s">
        <v>58</v>
      </c>
      <c r="G166" s="3" t="s">
        <v>59</v>
      </c>
      <c r="H166" s="3" t="s">
        <v>58</v>
      </c>
      <c r="I166" s="3" t="s">
        <v>58</v>
      </c>
      <c r="J166" s="3" t="s">
        <v>60</v>
      </c>
      <c r="K166" s="2" t="s">
        <v>2058</v>
      </c>
      <c r="L166" s="2" t="s">
        <v>2059</v>
      </c>
      <c r="M166" s="3" t="s">
        <v>855</v>
      </c>
      <c r="N166" s="2" t="s">
        <v>2060</v>
      </c>
      <c r="O166" s="3" t="s">
        <v>63</v>
      </c>
      <c r="P166" s="3" t="s">
        <v>2061</v>
      </c>
      <c r="Q166" s="2" t="s">
        <v>2062</v>
      </c>
      <c r="R166" s="3" t="s">
        <v>65</v>
      </c>
      <c r="S166" s="4">
        <v>2</v>
      </c>
      <c r="T166" s="4">
        <v>2</v>
      </c>
      <c r="U166" s="5" t="s">
        <v>2063</v>
      </c>
      <c r="V166" s="5" t="s">
        <v>2063</v>
      </c>
      <c r="W166" s="5" t="s">
        <v>2064</v>
      </c>
      <c r="X166" s="5" t="s">
        <v>2064</v>
      </c>
      <c r="Y166" s="4">
        <v>128</v>
      </c>
      <c r="Z166" s="4">
        <v>114</v>
      </c>
      <c r="AA166" s="4">
        <v>960</v>
      </c>
      <c r="AB166" s="4">
        <v>1</v>
      </c>
      <c r="AC166" s="4">
        <v>4</v>
      </c>
      <c r="AD166" s="4">
        <v>3</v>
      </c>
      <c r="AE166" s="4">
        <v>33</v>
      </c>
      <c r="AF166" s="4">
        <v>2</v>
      </c>
      <c r="AG166" s="4">
        <v>13</v>
      </c>
      <c r="AH166" s="4">
        <v>0</v>
      </c>
      <c r="AI166" s="4">
        <v>7</v>
      </c>
      <c r="AJ166" s="4">
        <v>1</v>
      </c>
      <c r="AK166" s="4">
        <v>18</v>
      </c>
      <c r="AL166" s="4">
        <v>0</v>
      </c>
      <c r="AM166" s="4">
        <v>3</v>
      </c>
      <c r="AN166" s="4">
        <v>0</v>
      </c>
      <c r="AO166" s="4">
        <v>0</v>
      </c>
      <c r="AP166" s="3" t="s">
        <v>58</v>
      </c>
      <c r="AQ166" s="3" t="s">
        <v>58</v>
      </c>
      <c r="AS166" s="6" t="str">
        <f>HYPERLINK("https://creighton-primo.hosted.exlibrisgroup.com/primo-explore/search?tab=default_tab&amp;search_scope=EVERYTHING&amp;vid=01CRU&amp;lang=en_US&amp;offset=0&amp;query=any,contains,991004079819702656","Catalog Record")</f>
        <v>Catalog Record</v>
      </c>
      <c r="AT166" s="6" t="str">
        <f>HYPERLINK("http://www.worldcat.org/oclc/29605444","WorldCat Record")</f>
        <v>WorldCat Record</v>
      </c>
      <c r="AU166" s="3" t="s">
        <v>2065</v>
      </c>
      <c r="AV166" s="3" t="s">
        <v>2066</v>
      </c>
      <c r="AW166" s="3" t="s">
        <v>2067</v>
      </c>
      <c r="AX166" s="3" t="s">
        <v>2067</v>
      </c>
      <c r="AY166" s="3" t="s">
        <v>2068</v>
      </c>
      <c r="AZ166" s="3" t="s">
        <v>73</v>
      </c>
      <c r="BB166" s="3" t="s">
        <v>2069</v>
      </c>
      <c r="BC166" s="3" t="s">
        <v>2070</v>
      </c>
      <c r="BD166" s="3" t="s">
        <v>2071</v>
      </c>
    </row>
    <row r="167" spans="1:56" ht="51" customHeight="1" x14ac:dyDescent="0.25">
      <c r="A167" s="7" t="s">
        <v>58</v>
      </c>
      <c r="B167" s="2" t="s">
        <v>2072</v>
      </c>
      <c r="C167" s="2" t="s">
        <v>2073</v>
      </c>
      <c r="D167" s="2" t="s">
        <v>2074</v>
      </c>
      <c r="F167" s="3" t="s">
        <v>58</v>
      </c>
      <c r="G167" s="3" t="s">
        <v>59</v>
      </c>
      <c r="H167" s="3" t="s">
        <v>58</v>
      </c>
      <c r="I167" s="3" t="s">
        <v>58</v>
      </c>
      <c r="J167" s="3" t="s">
        <v>60</v>
      </c>
      <c r="K167" s="2" t="s">
        <v>2075</v>
      </c>
      <c r="L167" s="2" t="s">
        <v>2076</v>
      </c>
      <c r="M167" s="3" t="s">
        <v>183</v>
      </c>
      <c r="O167" s="3" t="s">
        <v>63</v>
      </c>
      <c r="P167" s="3" t="s">
        <v>214</v>
      </c>
      <c r="R167" s="3" t="s">
        <v>65</v>
      </c>
      <c r="S167" s="4">
        <v>6</v>
      </c>
      <c r="T167" s="4">
        <v>6</v>
      </c>
      <c r="U167" s="5" t="s">
        <v>2077</v>
      </c>
      <c r="V167" s="5" t="s">
        <v>2077</v>
      </c>
      <c r="W167" s="5" t="s">
        <v>2078</v>
      </c>
      <c r="X167" s="5" t="s">
        <v>2078</v>
      </c>
      <c r="Y167" s="4">
        <v>844</v>
      </c>
      <c r="Z167" s="4">
        <v>748</v>
      </c>
      <c r="AA167" s="4">
        <v>825</v>
      </c>
      <c r="AB167" s="4">
        <v>6</v>
      </c>
      <c r="AC167" s="4">
        <v>7</v>
      </c>
      <c r="AD167" s="4">
        <v>30</v>
      </c>
      <c r="AE167" s="4">
        <v>32</v>
      </c>
      <c r="AF167" s="4">
        <v>11</v>
      </c>
      <c r="AG167" s="4">
        <v>11</v>
      </c>
      <c r="AH167" s="4">
        <v>6</v>
      </c>
      <c r="AI167" s="4">
        <v>7</v>
      </c>
      <c r="AJ167" s="4">
        <v>14</v>
      </c>
      <c r="AK167" s="4">
        <v>14</v>
      </c>
      <c r="AL167" s="4">
        <v>5</v>
      </c>
      <c r="AM167" s="4">
        <v>6</v>
      </c>
      <c r="AN167" s="4">
        <v>0</v>
      </c>
      <c r="AO167" s="4">
        <v>0</v>
      </c>
      <c r="AP167" s="3" t="s">
        <v>58</v>
      </c>
      <c r="AQ167" s="3" t="s">
        <v>68</v>
      </c>
      <c r="AR167" s="6" t="str">
        <f>HYPERLINK("http://catalog.hathitrust.org/Record/000214255","HathiTrust Record")</f>
        <v>HathiTrust Record</v>
      </c>
      <c r="AS167" s="6" t="str">
        <f>HYPERLINK("https://creighton-primo.hosted.exlibrisgroup.com/primo-explore/search?tab=default_tab&amp;search_scope=EVERYTHING&amp;vid=01CRU&amp;lang=en_US&amp;offset=0&amp;query=any,contains,991004302119702656","Catalog Record")</f>
        <v>Catalog Record</v>
      </c>
      <c r="AT167" s="6" t="str">
        <f>HYPERLINK("http://www.worldcat.org/oclc/2968700","WorldCat Record")</f>
        <v>WorldCat Record</v>
      </c>
      <c r="AU167" s="3" t="s">
        <v>2079</v>
      </c>
      <c r="AV167" s="3" t="s">
        <v>2080</v>
      </c>
      <c r="AW167" s="3" t="s">
        <v>2081</v>
      </c>
      <c r="AX167" s="3" t="s">
        <v>2081</v>
      </c>
      <c r="AY167" s="3" t="s">
        <v>2082</v>
      </c>
      <c r="AZ167" s="3" t="s">
        <v>73</v>
      </c>
      <c r="BB167" s="3" t="s">
        <v>2083</v>
      </c>
      <c r="BC167" s="3" t="s">
        <v>2084</v>
      </c>
      <c r="BD167" s="3" t="s">
        <v>2085</v>
      </c>
    </row>
    <row r="168" spans="1:56" ht="51" customHeight="1" x14ac:dyDescent="0.25">
      <c r="A168" s="7" t="s">
        <v>58</v>
      </c>
      <c r="B168" s="2" t="s">
        <v>2086</v>
      </c>
      <c r="C168" s="2" t="s">
        <v>2087</v>
      </c>
      <c r="D168" s="2" t="s">
        <v>2088</v>
      </c>
      <c r="F168" s="3" t="s">
        <v>58</v>
      </c>
      <c r="G168" s="3" t="s">
        <v>59</v>
      </c>
      <c r="H168" s="3" t="s">
        <v>58</v>
      </c>
      <c r="I168" s="3" t="s">
        <v>58</v>
      </c>
      <c r="J168" s="3" t="s">
        <v>60</v>
      </c>
      <c r="K168" s="2" t="s">
        <v>2089</v>
      </c>
      <c r="L168" s="2" t="s">
        <v>2090</v>
      </c>
      <c r="M168" s="3" t="s">
        <v>759</v>
      </c>
      <c r="N168" s="2" t="s">
        <v>2091</v>
      </c>
      <c r="O168" s="3" t="s">
        <v>63</v>
      </c>
      <c r="P168" s="3" t="s">
        <v>495</v>
      </c>
      <c r="R168" s="3" t="s">
        <v>65</v>
      </c>
      <c r="S168" s="4">
        <v>6</v>
      </c>
      <c r="T168" s="4">
        <v>6</v>
      </c>
      <c r="U168" s="5" t="s">
        <v>2092</v>
      </c>
      <c r="V168" s="5" t="s">
        <v>2092</v>
      </c>
      <c r="W168" s="5" t="s">
        <v>112</v>
      </c>
      <c r="X168" s="5" t="s">
        <v>112</v>
      </c>
      <c r="Y168" s="4">
        <v>326</v>
      </c>
      <c r="Z168" s="4">
        <v>267</v>
      </c>
      <c r="AA168" s="4">
        <v>303</v>
      </c>
      <c r="AB168" s="4">
        <v>4</v>
      </c>
      <c r="AC168" s="4">
        <v>4</v>
      </c>
      <c r="AD168" s="4">
        <v>19</v>
      </c>
      <c r="AE168" s="4">
        <v>19</v>
      </c>
      <c r="AF168" s="4">
        <v>7</v>
      </c>
      <c r="AG168" s="4">
        <v>7</v>
      </c>
      <c r="AH168" s="4">
        <v>3</v>
      </c>
      <c r="AI168" s="4">
        <v>3</v>
      </c>
      <c r="AJ168" s="4">
        <v>11</v>
      </c>
      <c r="AK168" s="4">
        <v>11</v>
      </c>
      <c r="AL168" s="4">
        <v>3</v>
      </c>
      <c r="AM168" s="4">
        <v>3</v>
      </c>
      <c r="AN168" s="4">
        <v>0</v>
      </c>
      <c r="AO168" s="4">
        <v>0</v>
      </c>
      <c r="AP168" s="3" t="s">
        <v>58</v>
      </c>
      <c r="AQ168" s="3" t="s">
        <v>58</v>
      </c>
      <c r="AS168" s="6" t="str">
        <f>HYPERLINK("https://creighton-primo.hosted.exlibrisgroup.com/primo-explore/search?tab=default_tab&amp;search_scope=EVERYTHING&amp;vid=01CRU&amp;lang=en_US&amp;offset=0&amp;query=any,contains,991004855659702656","Catalog Record")</f>
        <v>Catalog Record</v>
      </c>
      <c r="AT168" s="6" t="str">
        <f>HYPERLINK("http://www.worldcat.org/oclc/5674276","WorldCat Record")</f>
        <v>WorldCat Record</v>
      </c>
      <c r="AU168" s="3" t="s">
        <v>2093</v>
      </c>
      <c r="AV168" s="3" t="s">
        <v>2094</v>
      </c>
      <c r="AW168" s="3" t="s">
        <v>2095</v>
      </c>
      <c r="AX168" s="3" t="s">
        <v>2095</v>
      </c>
      <c r="AY168" s="3" t="s">
        <v>2096</v>
      </c>
      <c r="AZ168" s="3" t="s">
        <v>73</v>
      </c>
      <c r="BB168" s="3" t="s">
        <v>2097</v>
      </c>
      <c r="BC168" s="3" t="s">
        <v>2098</v>
      </c>
      <c r="BD168" s="3" t="s">
        <v>2099</v>
      </c>
    </row>
    <row r="169" spans="1:56" ht="51" customHeight="1" x14ac:dyDescent="0.25">
      <c r="A169" s="7" t="s">
        <v>58</v>
      </c>
      <c r="B169" s="2" t="s">
        <v>2100</v>
      </c>
      <c r="C169" s="2" t="s">
        <v>2101</v>
      </c>
      <c r="D169" s="2" t="s">
        <v>2102</v>
      </c>
      <c r="F169" s="3" t="s">
        <v>58</v>
      </c>
      <c r="G169" s="3" t="s">
        <v>59</v>
      </c>
      <c r="H169" s="3" t="s">
        <v>58</v>
      </c>
      <c r="I169" s="3" t="s">
        <v>58</v>
      </c>
      <c r="J169" s="3" t="s">
        <v>60</v>
      </c>
      <c r="K169" s="2" t="s">
        <v>2103</v>
      </c>
      <c r="L169" s="2" t="s">
        <v>2104</v>
      </c>
      <c r="M169" s="3" t="s">
        <v>524</v>
      </c>
      <c r="O169" s="3" t="s">
        <v>63</v>
      </c>
      <c r="P169" s="3" t="s">
        <v>584</v>
      </c>
      <c r="R169" s="3" t="s">
        <v>65</v>
      </c>
      <c r="S169" s="4">
        <v>6</v>
      </c>
      <c r="T169" s="4">
        <v>6</v>
      </c>
      <c r="U169" s="5" t="s">
        <v>2105</v>
      </c>
      <c r="V169" s="5" t="s">
        <v>2105</v>
      </c>
      <c r="W169" s="5" t="s">
        <v>2106</v>
      </c>
      <c r="X169" s="5" t="s">
        <v>2106</v>
      </c>
      <c r="Y169" s="4">
        <v>408</v>
      </c>
      <c r="Z169" s="4">
        <v>304</v>
      </c>
      <c r="AA169" s="4">
        <v>358</v>
      </c>
      <c r="AB169" s="4">
        <v>6</v>
      </c>
      <c r="AC169" s="4">
        <v>6</v>
      </c>
      <c r="AD169" s="4">
        <v>10</v>
      </c>
      <c r="AE169" s="4">
        <v>11</v>
      </c>
      <c r="AF169" s="4">
        <v>4</v>
      </c>
      <c r="AG169" s="4">
        <v>5</v>
      </c>
      <c r="AH169" s="4">
        <v>2</v>
      </c>
      <c r="AI169" s="4">
        <v>2</v>
      </c>
      <c r="AJ169" s="4">
        <v>2</v>
      </c>
      <c r="AK169" s="4">
        <v>3</v>
      </c>
      <c r="AL169" s="4">
        <v>3</v>
      </c>
      <c r="AM169" s="4">
        <v>3</v>
      </c>
      <c r="AN169" s="4">
        <v>0</v>
      </c>
      <c r="AO169" s="4">
        <v>0</v>
      </c>
      <c r="AP169" s="3" t="s">
        <v>58</v>
      </c>
      <c r="AQ169" s="3" t="s">
        <v>58</v>
      </c>
      <c r="AS169" s="6" t="str">
        <f>HYPERLINK("https://creighton-primo.hosted.exlibrisgroup.com/primo-explore/search?tab=default_tab&amp;search_scope=EVERYTHING&amp;vid=01CRU&amp;lang=en_US&amp;offset=0&amp;query=any,contains,991000799049702656","Catalog Record")</f>
        <v>Catalog Record</v>
      </c>
      <c r="AT169" s="6" t="str">
        <f>HYPERLINK("http://www.worldcat.org/oclc/13216340","WorldCat Record")</f>
        <v>WorldCat Record</v>
      </c>
      <c r="AU169" s="3" t="s">
        <v>2107</v>
      </c>
      <c r="AV169" s="3" t="s">
        <v>2108</v>
      </c>
      <c r="AW169" s="3" t="s">
        <v>2109</v>
      </c>
      <c r="AX169" s="3" t="s">
        <v>2109</v>
      </c>
      <c r="AY169" s="3" t="s">
        <v>2110</v>
      </c>
      <c r="AZ169" s="3" t="s">
        <v>73</v>
      </c>
      <c r="BB169" s="3" t="s">
        <v>2111</v>
      </c>
      <c r="BC169" s="3" t="s">
        <v>2112</v>
      </c>
      <c r="BD169" s="3" t="s">
        <v>2113</v>
      </c>
    </row>
    <row r="170" spans="1:56" ht="51" customHeight="1" x14ac:dyDescent="0.25">
      <c r="A170" s="7" t="s">
        <v>58</v>
      </c>
      <c r="B170" s="2" t="s">
        <v>2114</v>
      </c>
      <c r="C170" s="2" t="s">
        <v>2115</v>
      </c>
      <c r="D170" s="2" t="s">
        <v>2116</v>
      </c>
      <c r="F170" s="3" t="s">
        <v>58</v>
      </c>
      <c r="G170" s="3" t="s">
        <v>59</v>
      </c>
      <c r="H170" s="3" t="s">
        <v>58</v>
      </c>
      <c r="I170" s="3" t="s">
        <v>58</v>
      </c>
      <c r="J170" s="3" t="s">
        <v>60</v>
      </c>
      <c r="L170" s="2" t="s">
        <v>2117</v>
      </c>
      <c r="M170" s="3" t="s">
        <v>154</v>
      </c>
      <c r="O170" s="3" t="s">
        <v>63</v>
      </c>
      <c r="P170" s="3" t="s">
        <v>584</v>
      </c>
      <c r="R170" s="3" t="s">
        <v>65</v>
      </c>
      <c r="S170" s="4">
        <v>8</v>
      </c>
      <c r="T170" s="4">
        <v>8</v>
      </c>
      <c r="U170" s="5" t="s">
        <v>2118</v>
      </c>
      <c r="V170" s="5" t="s">
        <v>2118</v>
      </c>
      <c r="W170" s="5" t="s">
        <v>2119</v>
      </c>
      <c r="X170" s="5" t="s">
        <v>2119</v>
      </c>
      <c r="Y170" s="4">
        <v>676</v>
      </c>
      <c r="Z170" s="4">
        <v>529</v>
      </c>
      <c r="AA170" s="4">
        <v>583</v>
      </c>
      <c r="AB170" s="4">
        <v>2</v>
      </c>
      <c r="AC170" s="4">
        <v>2</v>
      </c>
      <c r="AD170" s="4">
        <v>27</v>
      </c>
      <c r="AE170" s="4">
        <v>31</v>
      </c>
      <c r="AF170" s="4">
        <v>11</v>
      </c>
      <c r="AG170" s="4">
        <v>13</v>
      </c>
      <c r="AH170" s="4">
        <v>6</v>
      </c>
      <c r="AI170" s="4">
        <v>7</v>
      </c>
      <c r="AJ170" s="4">
        <v>16</v>
      </c>
      <c r="AK170" s="4">
        <v>18</v>
      </c>
      <c r="AL170" s="4">
        <v>1</v>
      </c>
      <c r="AM170" s="4">
        <v>1</v>
      </c>
      <c r="AN170" s="4">
        <v>0</v>
      </c>
      <c r="AO170" s="4">
        <v>0</v>
      </c>
      <c r="AP170" s="3" t="s">
        <v>58</v>
      </c>
      <c r="AQ170" s="3" t="s">
        <v>58</v>
      </c>
      <c r="AS170" s="6" t="str">
        <f>HYPERLINK("https://creighton-primo.hosted.exlibrisgroup.com/primo-explore/search?tab=default_tab&amp;search_scope=EVERYTHING&amp;vid=01CRU&amp;lang=en_US&amp;offset=0&amp;query=any,contains,991001415989702656","Catalog Record")</f>
        <v>Catalog Record</v>
      </c>
      <c r="AT170" s="6" t="str">
        <f>HYPERLINK("http://www.worldcat.org/oclc/18948694","WorldCat Record")</f>
        <v>WorldCat Record</v>
      </c>
      <c r="AU170" s="3" t="s">
        <v>2120</v>
      </c>
      <c r="AV170" s="3" t="s">
        <v>2121</v>
      </c>
      <c r="AW170" s="3" t="s">
        <v>2122</v>
      </c>
      <c r="AX170" s="3" t="s">
        <v>2122</v>
      </c>
      <c r="AY170" s="3" t="s">
        <v>2123</v>
      </c>
      <c r="AZ170" s="3" t="s">
        <v>73</v>
      </c>
      <c r="BB170" s="3" t="s">
        <v>2124</v>
      </c>
      <c r="BC170" s="3" t="s">
        <v>2125</v>
      </c>
      <c r="BD170" s="3" t="s">
        <v>2126</v>
      </c>
    </row>
    <row r="171" spans="1:56" ht="51" customHeight="1" x14ac:dyDescent="0.25">
      <c r="A171" s="7" t="s">
        <v>58</v>
      </c>
      <c r="B171" s="2" t="s">
        <v>2127</v>
      </c>
      <c r="C171" s="2" t="s">
        <v>2128</v>
      </c>
      <c r="D171" s="2" t="s">
        <v>2129</v>
      </c>
      <c r="F171" s="3" t="s">
        <v>58</v>
      </c>
      <c r="G171" s="3" t="s">
        <v>59</v>
      </c>
      <c r="H171" s="3" t="s">
        <v>58</v>
      </c>
      <c r="I171" s="3" t="s">
        <v>58</v>
      </c>
      <c r="J171" s="3" t="s">
        <v>60</v>
      </c>
      <c r="K171" s="2" t="s">
        <v>2130</v>
      </c>
      <c r="L171" s="2" t="s">
        <v>2131</v>
      </c>
      <c r="M171" s="3" t="s">
        <v>2132</v>
      </c>
      <c r="O171" s="3" t="s">
        <v>63</v>
      </c>
      <c r="P171" s="3" t="s">
        <v>816</v>
      </c>
      <c r="Q171" s="2" t="s">
        <v>2133</v>
      </c>
      <c r="R171" s="3" t="s">
        <v>65</v>
      </c>
      <c r="S171" s="4">
        <v>1</v>
      </c>
      <c r="T171" s="4">
        <v>1</v>
      </c>
      <c r="U171" s="5" t="s">
        <v>2134</v>
      </c>
      <c r="V171" s="5" t="s">
        <v>2134</v>
      </c>
      <c r="W171" s="5" t="s">
        <v>112</v>
      </c>
      <c r="X171" s="5" t="s">
        <v>112</v>
      </c>
      <c r="Y171" s="4">
        <v>321</v>
      </c>
      <c r="Z171" s="4">
        <v>247</v>
      </c>
      <c r="AA171" s="4">
        <v>255</v>
      </c>
      <c r="AB171" s="4">
        <v>1</v>
      </c>
      <c r="AC171" s="4">
        <v>1</v>
      </c>
      <c r="AD171" s="4">
        <v>6</v>
      </c>
      <c r="AE171" s="4">
        <v>6</v>
      </c>
      <c r="AF171" s="4">
        <v>0</v>
      </c>
      <c r="AG171" s="4">
        <v>0</v>
      </c>
      <c r="AH171" s="4">
        <v>3</v>
      </c>
      <c r="AI171" s="4">
        <v>3</v>
      </c>
      <c r="AJ171" s="4">
        <v>5</v>
      </c>
      <c r="AK171" s="4">
        <v>5</v>
      </c>
      <c r="AL171" s="4">
        <v>0</v>
      </c>
      <c r="AM171" s="4">
        <v>0</v>
      </c>
      <c r="AN171" s="4">
        <v>0</v>
      </c>
      <c r="AO171" s="4">
        <v>0</v>
      </c>
      <c r="AP171" s="3" t="s">
        <v>58</v>
      </c>
      <c r="AQ171" s="3" t="s">
        <v>68</v>
      </c>
      <c r="AR171" s="6" t="str">
        <f>HYPERLINK("http://catalog.hathitrust.org/Record/001242535","HathiTrust Record")</f>
        <v>HathiTrust Record</v>
      </c>
      <c r="AS171" s="6" t="str">
        <f>HYPERLINK("https://creighton-primo.hosted.exlibrisgroup.com/primo-explore/search?tab=default_tab&amp;search_scope=EVERYTHING&amp;vid=01CRU&amp;lang=en_US&amp;offset=0&amp;query=any,contains,991004318279702656","Catalog Record")</f>
        <v>Catalog Record</v>
      </c>
      <c r="AT171" s="6" t="str">
        <f>HYPERLINK("http://www.worldcat.org/oclc/3014564","WorldCat Record")</f>
        <v>WorldCat Record</v>
      </c>
      <c r="AU171" s="3" t="s">
        <v>2135</v>
      </c>
      <c r="AV171" s="3" t="s">
        <v>2136</v>
      </c>
      <c r="AW171" s="3" t="s">
        <v>2137</v>
      </c>
      <c r="AX171" s="3" t="s">
        <v>2137</v>
      </c>
      <c r="AY171" s="3" t="s">
        <v>2138</v>
      </c>
      <c r="AZ171" s="3" t="s">
        <v>73</v>
      </c>
      <c r="BC171" s="3" t="s">
        <v>2139</v>
      </c>
      <c r="BD171" s="3" t="s">
        <v>2140</v>
      </c>
    </row>
    <row r="172" spans="1:56" ht="51" customHeight="1" x14ac:dyDescent="0.25">
      <c r="A172" s="7" t="s">
        <v>58</v>
      </c>
      <c r="B172" s="2" t="s">
        <v>2141</v>
      </c>
      <c r="C172" s="2" t="s">
        <v>2142</v>
      </c>
      <c r="D172" s="2" t="s">
        <v>2143</v>
      </c>
      <c r="F172" s="3" t="s">
        <v>58</v>
      </c>
      <c r="G172" s="3" t="s">
        <v>59</v>
      </c>
      <c r="H172" s="3" t="s">
        <v>58</v>
      </c>
      <c r="I172" s="3" t="s">
        <v>58</v>
      </c>
      <c r="J172" s="3" t="s">
        <v>60</v>
      </c>
      <c r="K172" s="2" t="s">
        <v>2144</v>
      </c>
      <c r="L172" s="2" t="s">
        <v>2145</v>
      </c>
      <c r="M172" s="3" t="s">
        <v>325</v>
      </c>
      <c r="N172" s="2" t="s">
        <v>1470</v>
      </c>
      <c r="O172" s="3" t="s">
        <v>63</v>
      </c>
      <c r="P172" s="3" t="s">
        <v>495</v>
      </c>
      <c r="R172" s="3" t="s">
        <v>65</v>
      </c>
      <c r="S172" s="4">
        <v>2</v>
      </c>
      <c r="T172" s="4">
        <v>2</v>
      </c>
      <c r="U172" s="5" t="s">
        <v>2146</v>
      </c>
      <c r="V172" s="5" t="s">
        <v>2146</v>
      </c>
      <c r="W172" s="5" t="s">
        <v>235</v>
      </c>
      <c r="X172" s="5" t="s">
        <v>235</v>
      </c>
      <c r="Y172" s="4">
        <v>517</v>
      </c>
      <c r="Z172" s="4">
        <v>454</v>
      </c>
      <c r="AA172" s="4">
        <v>685</v>
      </c>
      <c r="AB172" s="4">
        <v>2</v>
      </c>
      <c r="AC172" s="4">
        <v>4</v>
      </c>
      <c r="AD172" s="4">
        <v>20</v>
      </c>
      <c r="AE172" s="4">
        <v>31</v>
      </c>
      <c r="AF172" s="4">
        <v>5</v>
      </c>
      <c r="AG172" s="4">
        <v>10</v>
      </c>
      <c r="AH172" s="4">
        <v>6</v>
      </c>
      <c r="AI172" s="4">
        <v>8</v>
      </c>
      <c r="AJ172" s="4">
        <v>12</v>
      </c>
      <c r="AK172" s="4">
        <v>19</v>
      </c>
      <c r="AL172" s="4">
        <v>1</v>
      </c>
      <c r="AM172" s="4">
        <v>3</v>
      </c>
      <c r="AN172" s="4">
        <v>0</v>
      </c>
      <c r="AO172" s="4">
        <v>0</v>
      </c>
      <c r="AP172" s="3" t="s">
        <v>58</v>
      </c>
      <c r="AQ172" s="3" t="s">
        <v>58</v>
      </c>
      <c r="AS172" s="6" t="str">
        <f>HYPERLINK("https://creighton-primo.hosted.exlibrisgroup.com/primo-explore/search?tab=default_tab&amp;search_scope=EVERYTHING&amp;vid=01CRU&amp;lang=en_US&amp;offset=0&amp;query=any,contains,991003112109702656","Catalog Record")</f>
        <v>Catalog Record</v>
      </c>
      <c r="AT172" s="6" t="str">
        <f>HYPERLINK("http://www.worldcat.org/oclc/657486","WorldCat Record")</f>
        <v>WorldCat Record</v>
      </c>
      <c r="AU172" s="3" t="s">
        <v>2147</v>
      </c>
      <c r="AV172" s="3" t="s">
        <v>2148</v>
      </c>
      <c r="AW172" s="3" t="s">
        <v>2149</v>
      </c>
      <c r="AX172" s="3" t="s">
        <v>2149</v>
      </c>
      <c r="AY172" s="3" t="s">
        <v>2150</v>
      </c>
      <c r="AZ172" s="3" t="s">
        <v>73</v>
      </c>
      <c r="BC172" s="3" t="s">
        <v>2151</v>
      </c>
      <c r="BD172" s="3" t="s">
        <v>2152</v>
      </c>
    </row>
    <row r="173" spans="1:56" ht="51" customHeight="1" x14ac:dyDescent="0.25">
      <c r="A173" s="7" t="s">
        <v>58</v>
      </c>
      <c r="B173" s="2" t="s">
        <v>2153</v>
      </c>
      <c r="C173" s="2" t="s">
        <v>2154</v>
      </c>
      <c r="D173" s="2" t="s">
        <v>2155</v>
      </c>
      <c r="F173" s="3" t="s">
        <v>58</v>
      </c>
      <c r="G173" s="3" t="s">
        <v>59</v>
      </c>
      <c r="H173" s="3" t="s">
        <v>58</v>
      </c>
      <c r="I173" s="3" t="s">
        <v>58</v>
      </c>
      <c r="J173" s="3" t="s">
        <v>60</v>
      </c>
      <c r="K173" s="2" t="s">
        <v>2156</v>
      </c>
      <c r="L173" s="2" t="s">
        <v>2157</v>
      </c>
      <c r="M173" s="3" t="s">
        <v>1061</v>
      </c>
      <c r="N173" s="2" t="s">
        <v>338</v>
      </c>
      <c r="O173" s="3" t="s">
        <v>63</v>
      </c>
      <c r="P173" s="3" t="s">
        <v>214</v>
      </c>
      <c r="R173" s="3" t="s">
        <v>65</v>
      </c>
      <c r="S173" s="4">
        <v>2</v>
      </c>
      <c r="T173" s="4">
        <v>2</v>
      </c>
      <c r="U173" s="5" t="s">
        <v>2158</v>
      </c>
      <c r="V173" s="5" t="s">
        <v>2158</v>
      </c>
      <c r="W173" s="5" t="s">
        <v>2159</v>
      </c>
      <c r="X173" s="5" t="s">
        <v>2159</v>
      </c>
      <c r="Y173" s="4">
        <v>459</v>
      </c>
      <c r="Z173" s="4">
        <v>398</v>
      </c>
      <c r="AA173" s="4">
        <v>469</v>
      </c>
      <c r="AB173" s="4">
        <v>3</v>
      </c>
      <c r="AC173" s="4">
        <v>3</v>
      </c>
      <c r="AD173" s="4">
        <v>17</v>
      </c>
      <c r="AE173" s="4">
        <v>23</v>
      </c>
      <c r="AF173" s="4">
        <v>5</v>
      </c>
      <c r="AG173" s="4">
        <v>7</v>
      </c>
      <c r="AH173" s="4">
        <v>4</v>
      </c>
      <c r="AI173" s="4">
        <v>5</v>
      </c>
      <c r="AJ173" s="4">
        <v>10</v>
      </c>
      <c r="AK173" s="4">
        <v>14</v>
      </c>
      <c r="AL173" s="4">
        <v>2</v>
      </c>
      <c r="AM173" s="4">
        <v>2</v>
      </c>
      <c r="AN173" s="4">
        <v>0</v>
      </c>
      <c r="AO173" s="4">
        <v>0</v>
      </c>
      <c r="AP173" s="3" t="s">
        <v>58</v>
      </c>
      <c r="AQ173" s="3" t="s">
        <v>58</v>
      </c>
      <c r="AS173" s="6" t="str">
        <f>HYPERLINK("https://creighton-primo.hosted.exlibrisgroup.com/primo-explore/search?tab=default_tab&amp;search_scope=EVERYTHING&amp;vid=01CRU&amp;lang=en_US&amp;offset=0&amp;query=any,contains,991002642459702656","Catalog Record")</f>
        <v>Catalog Record</v>
      </c>
      <c r="AT173" s="6" t="str">
        <f>HYPERLINK("http://www.worldcat.org/oclc/34590946","WorldCat Record")</f>
        <v>WorldCat Record</v>
      </c>
      <c r="AU173" s="3" t="s">
        <v>2160</v>
      </c>
      <c r="AV173" s="3" t="s">
        <v>2161</v>
      </c>
      <c r="AW173" s="3" t="s">
        <v>2162</v>
      </c>
      <c r="AX173" s="3" t="s">
        <v>2162</v>
      </c>
      <c r="AY173" s="3" t="s">
        <v>2163</v>
      </c>
      <c r="AZ173" s="3" t="s">
        <v>73</v>
      </c>
      <c r="BB173" s="3" t="s">
        <v>2164</v>
      </c>
      <c r="BC173" s="3" t="s">
        <v>2165</v>
      </c>
      <c r="BD173" s="3" t="s">
        <v>2166</v>
      </c>
    </row>
    <row r="174" spans="1:56" ht="51" customHeight="1" x14ac:dyDescent="0.25">
      <c r="A174" s="7" t="s">
        <v>58</v>
      </c>
      <c r="B174" s="2" t="s">
        <v>2167</v>
      </c>
      <c r="C174" s="2" t="s">
        <v>2168</v>
      </c>
      <c r="D174" s="2" t="s">
        <v>2169</v>
      </c>
      <c r="F174" s="3" t="s">
        <v>58</v>
      </c>
      <c r="G174" s="3" t="s">
        <v>59</v>
      </c>
      <c r="H174" s="3" t="s">
        <v>58</v>
      </c>
      <c r="I174" s="3" t="s">
        <v>58</v>
      </c>
      <c r="J174" s="3" t="s">
        <v>60</v>
      </c>
      <c r="K174" s="2" t="s">
        <v>2170</v>
      </c>
      <c r="L174" s="2" t="s">
        <v>2171</v>
      </c>
      <c r="M174" s="3" t="s">
        <v>898</v>
      </c>
      <c r="O174" s="3" t="s">
        <v>63</v>
      </c>
      <c r="P174" s="3" t="s">
        <v>816</v>
      </c>
      <c r="R174" s="3" t="s">
        <v>65</v>
      </c>
      <c r="S174" s="4">
        <v>5</v>
      </c>
      <c r="T174" s="4">
        <v>5</v>
      </c>
      <c r="U174" s="5" t="s">
        <v>2172</v>
      </c>
      <c r="V174" s="5" t="s">
        <v>2172</v>
      </c>
      <c r="W174" s="5" t="s">
        <v>2173</v>
      </c>
      <c r="X174" s="5" t="s">
        <v>2173</v>
      </c>
      <c r="Y174" s="4">
        <v>977</v>
      </c>
      <c r="Z174" s="4">
        <v>867</v>
      </c>
      <c r="AA174" s="4">
        <v>1273</v>
      </c>
      <c r="AB174" s="4">
        <v>6</v>
      </c>
      <c r="AC174" s="4">
        <v>9</v>
      </c>
      <c r="AD174" s="4">
        <v>29</v>
      </c>
      <c r="AE174" s="4">
        <v>43</v>
      </c>
      <c r="AF174" s="4">
        <v>10</v>
      </c>
      <c r="AG174" s="4">
        <v>14</v>
      </c>
      <c r="AH174" s="4">
        <v>7</v>
      </c>
      <c r="AI174" s="4">
        <v>9</v>
      </c>
      <c r="AJ174" s="4">
        <v>14</v>
      </c>
      <c r="AK174" s="4">
        <v>20</v>
      </c>
      <c r="AL174" s="4">
        <v>3</v>
      </c>
      <c r="AM174" s="4">
        <v>6</v>
      </c>
      <c r="AN174" s="4">
        <v>0</v>
      </c>
      <c r="AO174" s="4">
        <v>1</v>
      </c>
      <c r="AP174" s="3" t="s">
        <v>58</v>
      </c>
      <c r="AQ174" s="3" t="s">
        <v>68</v>
      </c>
      <c r="AR174" s="6" t="str">
        <f>HYPERLINK("http://catalog.hathitrust.org/Record/005286040","HathiTrust Record")</f>
        <v>HathiTrust Record</v>
      </c>
      <c r="AS174" s="6" t="str">
        <f>HYPERLINK("https://creighton-primo.hosted.exlibrisgroup.com/primo-explore/search?tab=default_tab&amp;search_scope=EVERYTHING&amp;vid=01CRU&amp;lang=en_US&amp;offset=0&amp;query=any,contains,991004954429702656","Catalog Record")</f>
        <v>Catalog Record</v>
      </c>
      <c r="AT174" s="6" t="str">
        <f>HYPERLINK("http://www.worldcat.org/oclc/69021035","WorldCat Record")</f>
        <v>WorldCat Record</v>
      </c>
      <c r="AU174" s="3" t="s">
        <v>2174</v>
      </c>
      <c r="AV174" s="3" t="s">
        <v>2175</v>
      </c>
      <c r="AW174" s="3" t="s">
        <v>2176</v>
      </c>
      <c r="AX174" s="3" t="s">
        <v>2176</v>
      </c>
      <c r="AY174" s="3" t="s">
        <v>2177</v>
      </c>
      <c r="AZ174" s="3" t="s">
        <v>73</v>
      </c>
      <c r="BB174" s="3" t="s">
        <v>2178</v>
      </c>
      <c r="BC174" s="3" t="s">
        <v>2179</v>
      </c>
      <c r="BD174" s="3" t="s">
        <v>2180</v>
      </c>
    </row>
    <row r="175" spans="1:56" ht="51" customHeight="1" x14ac:dyDescent="0.25">
      <c r="A175" s="7" t="s">
        <v>58</v>
      </c>
      <c r="B175" s="2" t="s">
        <v>2181</v>
      </c>
      <c r="C175" s="2" t="s">
        <v>2182</v>
      </c>
      <c r="D175" s="2" t="s">
        <v>2183</v>
      </c>
      <c r="F175" s="3" t="s">
        <v>58</v>
      </c>
      <c r="G175" s="3" t="s">
        <v>59</v>
      </c>
      <c r="H175" s="3" t="s">
        <v>58</v>
      </c>
      <c r="I175" s="3" t="s">
        <v>58</v>
      </c>
      <c r="J175" s="3" t="s">
        <v>60</v>
      </c>
      <c r="K175" s="2" t="s">
        <v>2184</v>
      </c>
      <c r="L175" s="2" t="s">
        <v>2185</v>
      </c>
      <c r="M175" s="3" t="s">
        <v>2186</v>
      </c>
      <c r="O175" s="3" t="s">
        <v>63</v>
      </c>
      <c r="P175" s="3" t="s">
        <v>354</v>
      </c>
      <c r="Q175" s="2" t="s">
        <v>2187</v>
      </c>
      <c r="R175" s="3" t="s">
        <v>65</v>
      </c>
      <c r="S175" s="4">
        <v>1</v>
      </c>
      <c r="T175" s="4">
        <v>1</v>
      </c>
      <c r="U175" s="5" t="s">
        <v>2188</v>
      </c>
      <c r="V175" s="5" t="s">
        <v>2188</v>
      </c>
      <c r="W175" s="5" t="s">
        <v>2188</v>
      </c>
      <c r="X175" s="5" t="s">
        <v>2188</v>
      </c>
      <c r="Y175" s="4">
        <v>420</v>
      </c>
      <c r="Z175" s="4">
        <v>308</v>
      </c>
      <c r="AA175" s="4">
        <v>506</v>
      </c>
      <c r="AB175" s="4">
        <v>2</v>
      </c>
      <c r="AC175" s="4">
        <v>2</v>
      </c>
      <c r="AD175" s="4">
        <v>19</v>
      </c>
      <c r="AE175" s="4">
        <v>28</v>
      </c>
      <c r="AF175" s="4">
        <v>6</v>
      </c>
      <c r="AG175" s="4">
        <v>13</v>
      </c>
      <c r="AH175" s="4">
        <v>7</v>
      </c>
      <c r="AI175" s="4">
        <v>9</v>
      </c>
      <c r="AJ175" s="4">
        <v>11</v>
      </c>
      <c r="AK175" s="4">
        <v>14</v>
      </c>
      <c r="AL175" s="4">
        <v>1</v>
      </c>
      <c r="AM175" s="4">
        <v>1</v>
      </c>
      <c r="AN175" s="4">
        <v>0</v>
      </c>
      <c r="AO175" s="4">
        <v>0</v>
      </c>
      <c r="AP175" s="3" t="s">
        <v>58</v>
      </c>
      <c r="AQ175" s="3" t="s">
        <v>58</v>
      </c>
      <c r="AS175" s="6" t="str">
        <f>HYPERLINK("https://creighton-primo.hosted.exlibrisgroup.com/primo-explore/search?tab=default_tab&amp;search_scope=EVERYTHING&amp;vid=01CRU&amp;lang=en_US&amp;offset=0&amp;query=any,contains,991005130809702656","Catalog Record")</f>
        <v>Catalog Record</v>
      </c>
      <c r="AT175" s="6" t="str">
        <f>HYPERLINK("http://www.worldcat.org/oclc/70061075","WorldCat Record")</f>
        <v>WorldCat Record</v>
      </c>
      <c r="AU175" s="3" t="s">
        <v>2189</v>
      </c>
      <c r="AV175" s="3" t="s">
        <v>2190</v>
      </c>
      <c r="AW175" s="3" t="s">
        <v>2191</v>
      </c>
      <c r="AX175" s="3" t="s">
        <v>2191</v>
      </c>
      <c r="AY175" s="3" t="s">
        <v>2192</v>
      </c>
      <c r="AZ175" s="3" t="s">
        <v>73</v>
      </c>
      <c r="BB175" s="3" t="s">
        <v>2193</v>
      </c>
      <c r="BC175" s="3" t="s">
        <v>2194</v>
      </c>
      <c r="BD175" s="3" t="s">
        <v>2195</v>
      </c>
    </row>
    <row r="176" spans="1:56" ht="51" customHeight="1" x14ac:dyDescent="0.25">
      <c r="A176" s="7" t="s">
        <v>58</v>
      </c>
      <c r="B176" s="2" t="s">
        <v>2196</v>
      </c>
      <c r="C176" s="2" t="s">
        <v>2197</v>
      </c>
      <c r="D176" s="2" t="s">
        <v>2198</v>
      </c>
      <c r="F176" s="3" t="s">
        <v>58</v>
      </c>
      <c r="G176" s="3" t="s">
        <v>59</v>
      </c>
      <c r="H176" s="3" t="s">
        <v>58</v>
      </c>
      <c r="I176" s="3" t="s">
        <v>58</v>
      </c>
      <c r="J176" s="3" t="s">
        <v>60</v>
      </c>
      <c r="K176" s="2" t="s">
        <v>2199</v>
      </c>
      <c r="L176" s="2" t="s">
        <v>2200</v>
      </c>
      <c r="M176" s="3" t="s">
        <v>653</v>
      </c>
      <c r="O176" s="3" t="s">
        <v>63</v>
      </c>
      <c r="P176" s="3" t="s">
        <v>816</v>
      </c>
      <c r="R176" s="3" t="s">
        <v>65</v>
      </c>
      <c r="S176" s="4">
        <v>1</v>
      </c>
      <c r="T176" s="4">
        <v>1</v>
      </c>
      <c r="U176" s="5" t="s">
        <v>2201</v>
      </c>
      <c r="V176" s="5" t="s">
        <v>2201</v>
      </c>
      <c r="W176" s="5" t="s">
        <v>1011</v>
      </c>
      <c r="X176" s="5" t="s">
        <v>1011</v>
      </c>
      <c r="Y176" s="4">
        <v>422</v>
      </c>
      <c r="Z176" s="4">
        <v>393</v>
      </c>
      <c r="AA176" s="4">
        <v>494</v>
      </c>
      <c r="AB176" s="4">
        <v>3</v>
      </c>
      <c r="AC176" s="4">
        <v>3</v>
      </c>
      <c r="AD176" s="4">
        <v>9</v>
      </c>
      <c r="AE176" s="4">
        <v>20</v>
      </c>
      <c r="AF176" s="4">
        <v>2</v>
      </c>
      <c r="AG176" s="4">
        <v>6</v>
      </c>
      <c r="AH176" s="4">
        <v>4</v>
      </c>
      <c r="AI176" s="4">
        <v>8</v>
      </c>
      <c r="AJ176" s="4">
        <v>5</v>
      </c>
      <c r="AK176" s="4">
        <v>11</v>
      </c>
      <c r="AL176" s="4">
        <v>2</v>
      </c>
      <c r="AM176" s="4">
        <v>2</v>
      </c>
      <c r="AN176" s="4">
        <v>0</v>
      </c>
      <c r="AO176" s="4">
        <v>0</v>
      </c>
      <c r="AP176" s="3" t="s">
        <v>58</v>
      </c>
      <c r="AQ176" s="3" t="s">
        <v>68</v>
      </c>
      <c r="AR176" s="6" t="str">
        <f>HYPERLINK("http://catalog.hathitrust.org/Record/002480333","HathiTrust Record")</f>
        <v>HathiTrust Record</v>
      </c>
      <c r="AS176" s="6" t="str">
        <f>HYPERLINK("https://creighton-primo.hosted.exlibrisgroup.com/primo-explore/search?tab=default_tab&amp;search_scope=EVERYTHING&amp;vid=01CRU&amp;lang=en_US&amp;offset=0&amp;query=any,contains,991001855269702656","Catalog Record")</f>
        <v>Catalog Record</v>
      </c>
      <c r="AT176" s="6" t="str">
        <f>HYPERLINK("http://www.worldcat.org/oclc/23286540","WorldCat Record")</f>
        <v>WorldCat Record</v>
      </c>
      <c r="AU176" s="3" t="s">
        <v>2202</v>
      </c>
      <c r="AV176" s="3" t="s">
        <v>2203</v>
      </c>
      <c r="AW176" s="3" t="s">
        <v>2204</v>
      </c>
      <c r="AX176" s="3" t="s">
        <v>2204</v>
      </c>
      <c r="AY176" s="3" t="s">
        <v>2205</v>
      </c>
      <c r="AZ176" s="3" t="s">
        <v>73</v>
      </c>
      <c r="BB176" s="3" t="s">
        <v>2206</v>
      </c>
      <c r="BC176" s="3" t="s">
        <v>2207</v>
      </c>
      <c r="BD176" s="3" t="s">
        <v>2208</v>
      </c>
    </row>
    <row r="177" spans="1:56" ht="51" customHeight="1" x14ac:dyDescent="0.25">
      <c r="A177" s="7" t="s">
        <v>58</v>
      </c>
      <c r="B177" s="2" t="s">
        <v>2209</v>
      </c>
      <c r="C177" s="2" t="s">
        <v>2210</v>
      </c>
      <c r="D177" s="2" t="s">
        <v>2211</v>
      </c>
      <c r="F177" s="3" t="s">
        <v>58</v>
      </c>
      <c r="G177" s="3" t="s">
        <v>59</v>
      </c>
      <c r="H177" s="3" t="s">
        <v>58</v>
      </c>
      <c r="I177" s="3" t="s">
        <v>58</v>
      </c>
      <c r="J177" s="3" t="s">
        <v>60</v>
      </c>
      <c r="K177" s="2" t="s">
        <v>2212</v>
      </c>
      <c r="L177" s="2" t="s">
        <v>2213</v>
      </c>
      <c r="M177" s="3" t="s">
        <v>2214</v>
      </c>
      <c r="O177" s="3" t="s">
        <v>63</v>
      </c>
      <c r="P177" s="3" t="s">
        <v>1299</v>
      </c>
      <c r="Q177" s="2" t="s">
        <v>2215</v>
      </c>
      <c r="R177" s="3" t="s">
        <v>65</v>
      </c>
      <c r="S177" s="4">
        <v>1</v>
      </c>
      <c r="T177" s="4">
        <v>1</v>
      </c>
      <c r="U177" s="5" t="s">
        <v>2216</v>
      </c>
      <c r="V177" s="5" t="s">
        <v>2216</v>
      </c>
      <c r="W177" s="5" t="s">
        <v>2216</v>
      </c>
      <c r="X177" s="5" t="s">
        <v>2216</v>
      </c>
      <c r="Y177" s="4">
        <v>394</v>
      </c>
      <c r="Z177" s="4">
        <v>311</v>
      </c>
      <c r="AA177" s="4">
        <v>517</v>
      </c>
      <c r="AB177" s="4">
        <v>3</v>
      </c>
      <c r="AC177" s="4">
        <v>3</v>
      </c>
      <c r="AD177" s="4">
        <v>16</v>
      </c>
      <c r="AE177" s="4">
        <v>26</v>
      </c>
      <c r="AF177" s="4">
        <v>5</v>
      </c>
      <c r="AG177" s="4">
        <v>11</v>
      </c>
      <c r="AH177" s="4">
        <v>5</v>
      </c>
      <c r="AI177" s="4">
        <v>8</v>
      </c>
      <c r="AJ177" s="4">
        <v>8</v>
      </c>
      <c r="AK177" s="4">
        <v>12</v>
      </c>
      <c r="AL177" s="4">
        <v>2</v>
      </c>
      <c r="AM177" s="4">
        <v>2</v>
      </c>
      <c r="AN177" s="4">
        <v>0</v>
      </c>
      <c r="AO177" s="4">
        <v>0</v>
      </c>
      <c r="AP177" s="3" t="s">
        <v>58</v>
      </c>
      <c r="AQ177" s="3" t="s">
        <v>68</v>
      </c>
      <c r="AR177" s="6" t="str">
        <f>HYPERLINK("http://catalog.hathitrust.org/Record/004947962","HathiTrust Record")</f>
        <v>HathiTrust Record</v>
      </c>
      <c r="AS177" s="6" t="str">
        <f>HYPERLINK("https://creighton-primo.hosted.exlibrisgroup.com/primo-explore/search?tab=default_tab&amp;search_scope=EVERYTHING&amp;vid=01CRU&amp;lang=en_US&amp;offset=0&amp;query=any,contains,991004911789702656","Catalog Record")</f>
        <v>Catalog Record</v>
      </c>
      <c r="AT177" s="6" t="str">
        <f>HYPERLINK("http://www.worldcat.org/oclc/57005910","WorldCat Record")</f>
        <v>WorldCat Record</v>
      </c>
      <c r="AU177" s="3" t="s">
        <v>2217</v>
      </c>
      <c r="AV177" s="3" t="s">
        <v>2218</v>
      </c>
      <c r="AW177" s="3" t="s">
        <v>2219</v>
      </c>
      <c r="AX177" s="3" t="s">
        <v>2219</v>
      </c>
      <c r="AY177" s="3" t="s">
        <v>2220</v>
      </c>
      <c r="AZ177" s="3" t="s">
        <v>73</v>
      </c>
      <c r="BB177" s="3" t="s">
        <v>2221</v>
      </c>
      <c r="BC177" s="3" t="s">
        <v>2222</v>
      </c>
      <c r="BD177" s="3" t="s">
        <v>2223</v>
      </c>
    </row>
    <row r="178" spans="1:56" ht="51" customHeight="1" x14ac:dyDescent="0.25">
      <c r="A178" s="7" t="s">
        <v>58</v>
      </c>
      <c r="B178" s="2" t="s">
        <v>2224</v>
      </c>
      <c r="C178" s="2" t="s">
        <v>2225</v>
      </c>
      <c r="D178" s="2" t="s">
        <v>2226</v>
      </c>
      <c r="F178" s="3" t="s">
        <v>58</v>
      </c>
      <c r="G178" s="3" t="s">
        <v>59</v>
      </c>
      <c r="H178" s="3" t="s">
        <v>58</v>
      </c>
      <c r="I178" s="3" t="s">
        <v>58</v>
      </c>
      <c r="J178" s="3" t="s">
        <v>60</v>
      </c>
      <c r="K178" s="2" t="s">
        <v>2227</v>
      </c>
      <c r="L178" s="2" t="s">
        <v>2228</v>
      </c>
      <c r="M178" s="3" t="s">
        <v>368</v>
      </c>
      <c r="O178" s="3" t="s">
        <v>63</v>
      </c>
      <c r="P178" s="3" t="s">
        <v>214</v>
      </c>
      <c r="R178" s="3" t="s">
        <v>65</v>
      </c>
      <c r="S178" s="4">
        <v>5</v>
      </c>
      <c r="T178" s="4">
        <v>5</v>
      </c>
      <c r="U178" s="5" t="s">
        <v>2229</v>
      </c>
      <c r="V178" s="5" t="s">
        <v>2229</v>
      </c>
      <c r="W178" s="5" t="s">
        <v>2230</v>
      </c>
      <c r="X178" s="5" t="s">
        <v>2230</v>
      </c>
      <c r="Y178" s="4">
        <v>628</v>
      </c>
      <c r="Z178" s="4">
        <v>542</v>
      </c>
      <c r="AA178" s="4">
        <v>745</v>
      </c>
      <c r="AB178" s="4">
        <v>3</v>
      </c>
      <c r="AC178" s="4">
        <v>4</v>
      </c>
      <c r="AD178" s="4">
        <v>21</v>
      </c>
      <c r="AE178" s="4">
        <v>32</v>
      </c>
      <c r="AF178" s="4">
        <v>7</v>
      </c>
      <c r="AG178" s="4">
        <v>13</v>
      </c>
      <c r="AH178" s="4">
        <v>6</v>
      </c>
      <c r="AI178" s="4">
        <v>7</v>
      </c>
      <c r="AJ178" s="4">
        <v>10</v>
      </c>
      <c r="AK178" s="4">
        <v>14</v>
      </c>
      <c r="AL178" s="4">
        <v>2</v>
      </c>
      <c r="AM178" s="4">
        <v>3</v>
      </c>
      <c r="AN178" s="4">
        <v>0</v>
      </c>
      <c r="AO178" s="4">
        <v>1</v>
      </c>
      <c r="AP178" s="3" t="s">
        <v>58</v>
      </c>
      <c r="AQ178" s="3" t="s">
        <v>68</v>
      </c>
      <c r="AR178" s="6" t="str">
        <f>HYPERLINK("http://catalog.hathitrust.org/Record/000683265","HathiTrust Record")</f>
        <v>HathiTrust Record</v>
      </c>
      <c r="AS178" s="6" t="str">
        <f>HYPERLINK("https://creighton-primo.hosted.exlibrisgroup.com/primo-explore/search?tab=default_tab&amp;search_scope=EVERYTHING&amp;vid=01CRU&amp;lang=en_US&amp;offset=0&amp;query=any,contains,991003987039702656","Catalog Record")</f>
        <v>Catalog Record</v>
      </c>
      <c r="AT178" s="6" t="str">
        <f>HYPERLINK("http://www.worldcat.org/oclc/2034677","WorldCat Record")</f>
        <v>WorldCat Record</v>
      </c>
      <c r="AU178" s="3" t="s">
        <v>2231</v>
      </c>
      <c r="AV178" s="3" t="s">
        <v>2232</v>
      </c>
      <c r="AW178" s="3" t="s">
        <v>2233</v>
      </c>
      <c r="AX178" s="3" t="s">
        <v>2233</v>
      </c>
      <c r="AY178" s="3" t="s">
        <v>2234</v>
      </c>
      <c r="AZ178" s="3" t="s">
        <v>73</v>
      </c>
      <c r="BB178" s="3" t="s">
        <v>2235</v>
      </c>
      <c r="BC178" s="3" t="s">
        <v>2236</v>
      </c>
      <c r="BD178" s="3" t="s">
        <v>2237</v>
      </c>
    </row>
    <row r="179" spans="1:56" ht="51" customHeight="1" x14ac:dyDescent="0.25">
      <c r="A179" s="7" t="s">
        <v>58</v>
      </c>
      <c r="B179" s="2" t="s">
        <v>2238</v>
      </c>
      <c r="C179" s="2" t="s">
        <v>2239</v>
      </c>
      <c r="D179" s="2" t="s">
        <v>2240</v>
      </c>
      <c r="F179" s="3" t="s">
        <v>58</v>
      </c>
      <c r="G179" s="3" t="s">
        <v>59</v>
      </c>
      <c r="H179" s="3" t="s">
        <v>58</v>
      </c>
      <c r="I179" s="3" t="s">
        <v>58</v>
      </c>
      <c r="J179" s="3" t="s">
        <v>60</v>
      </c>
      <c r="K179" s="2" t="s">
        <v>2241</v>
      </c>
      <c r="L179" s="2" t="s">
        <v>2242</v>
      </c>
      <c r="M179" s="3" t="s">
        <v>855</v>
      </c>
      <c r="O179" s="3" t="s">
        <v>63</v>
      </c>
      <c r="P179" s="3" t="s">
        <v>584</v>
      </c>
      <c r="R179" s="3" t="s">
        <v>65</v>
      </c>
      <c r="S179" s="4">
        <v>6</v>
      </c>
      <c r="T179" s="4">
        <v>6</v>
      </c>
      <c r="U179" s="5" t="s">
        <v>2243</v>
      </c>
      <c r="V179" s="5" t="s">
        <v>2243</v>
      </c>
      <c r="W179" s="5" t="s">
        <v>2244</v>
      </c>
      <c r="X179" s="5" t="s">
        <v>2244</v>
      </c>
      <c r="Y179" s="4">
        <v>478</v>
      </c>
      <c r="Z179" s="4">
        <v>367</v>
      </c>
      <c r="AA179" s="4">
        <v>406</v>
      </c>
      <c r="AB179" s="4">
        <v>4</v>
      </c>
      <c r="AC179" s="4">
        <v>4</v>
      </c>
      <c r="AD179" s="4">
        <v>21</v>
      </c>
      <c r="AE179" s="4">
        <v>22</v>
      </c>
      <c r="AF179" s="4">
        <v>7</v>
      </c>
      <c r="AG179" s="4">
        <v>7</v>
      </c>
      <c r="AH179" s="4">
        <v>5</v>
      </c>
      <c r="AI179" s="4">
        <v>6</v>
      </c>
      <c r="AJ179" s="4">
        <v>9</v>
      </c>
      <c r="AK179" s="4">
        <v>9</v>
      </c>
      <c r="AL179" s="4">
        <v>3</v>
      </c>
      <c r="AM179" s="4">
        <v>3</v>
      </c>
      <c r="AN179" s="4">
        <v>1</v>
      </c>
      <c r="AO179" s="4">
        <v>1</v>
      </c>
      <c r="AP179" s="3" t="s">
        <v>58</v>
      </c>
      <c r="AQ179" s="3" t="s">
        <v>58</v>
      </c>
      <c r="AS179" s="6" t="str">
        <f>HYPERLINK("https://creighton-primo.hosted.exlibrisgroup.com/primo-explore/search?tab=default_tab&amp;search_scope=EVERYTHING&amp;vid=01CRU&amp;lang=en_US&amp;offset=0&amp;query=any,contains,991002056819702656","Catalog Record")</f>
        <v>Catalog Record</v>
      </c>
      <c r="AT179" s="6" t="str">
        <f>HYPERLINK("http://www.worldcat.org/oclc/26304417","WorldCat Record")</f>
        <v>WorldCat Record</v>
      </c>
      <c r="AU179" s="3" t="s">
        <v>2245</v>
      </c>
      <c r="AV179" s="3" t="s">
        <v>2246</v>
      </c>
      <c r="AW179" s="3" t="s">
        <v>2247</v>
      </c>
      <c r="AX179" s="3" t="s">
        <v>2247</v>
      </c>
      <c r="AY179" s="3" t="s">
        <v>2248</v>
      </c>
      <c r="AZ179" s="3" t="s">
        <v>73</v>
      </c>
      <c r="BB179" s="3" t="s">
        <v>2249</v>
      </c>
      <c r="BC179" s="3" t="s">
        <v>2250</v>
      </c>
      <c r="BD179" s="3" t="s">
        <v>2251</v>
      </c>
    </row>
    <row r="180" spans="1:56" ht="51" customHeight="1" x14ac:dyDescent="0.25">
      <c r="A180" s="7" t="s">
        <v>58</v>
      </c>
      <c r="B180" s="2" t="s">
        <v>2252</v>
      </c>
      <c r="C180" s="2" t="s">
        <v>2253</v>
      </c>
      <c r="D180" s="2" t="s">
        <v>2254</v>
      </c>
      <c r="F180" s="3" t="s">
        <v>58</v>
      </c>
      <c r="G180" s="3" t="s">
        <v>59</v>
      </c>
      <c r="H180" s="3" t="s">
        <v>58</v>
      </c>
      <c r="I180" s="3" t="s">
        <v>58</v>
      </c>
      <c r="J180" s="3" t="s">
        <v>60</v>
      </c>
      <c r="K180" s="2" t="s">
        <v>2241</v>
      </c>
      <c r="L180" s="2" t="s">
        <v>2255</v>
      </c>
      <c r="M180" s="3" t="s">
        <v>538</v>
      </c>
      <c r="O180" s="3" t="s">
        <v>63</v>
      </c>
      <c r="P180" s="3" t="s">
        <v>584</v>
      </c>
      <c r="R180" s="3" t="s">
        <v>65</v>
      </c>
      <c r="S180" s="4">
        <v>3</v>
      </c>
      <c r="T180" s="4">
        <v>3</v>
      </c>
      <c r="U180" s="5" t="s">
        <v>2256</v>
      </c>
      <c r="V180" s="5" t="s">
        <v>2256</v>
      </c>
      <c r="W180" s="5" t="s">
        <v>2230</v>
      </c>
      <c r="X180" s="5" t="s">
        <v>2230</v>
      </c>
      <c r="Y180" s="4">
        <v>660</v>
      </c>
      <c r="Z180" s="4">
        <v>538</v>
      </c>
      <c r="AA180" s="4">
        <v>600</v>
      </c>
      <c r="AB180" s="4">
        <v>4</v>
      </c>
      <c r="AC180" s="4">
        <v>4</v>
      </c>
      <c r="AD180" s="4">
        <v>25</v>
      </c>
      <c r="AE180" s="4">
        <v>25</v>
      </c>
      <c r="AF180" s="4">
        <v>8</v>
      </c>
      <c r="AG180" s="4">
        <v>8</v>
      </c>
      <c r="AH180" s="4">
        <v>7</v>
      </c>
      <c r="AI180" s="4">
        <v>7</v>
      </c>
      <c r="AJ180" s="4">
        <v>10</v>
      </c>
      <c r="AK180" s="4">
        <v>10</v>
      </c>
      <c r="AL180" s="4">
        <v>3</v>
      </c>
      <c r="AM180" s="4">
        <v>3</v>
      </c>
      <c r="AN180" s="4">
        <v>1</v>
      </c>
      <c r="AO180" s="4">
        <v>1</v>
      </c>
      <c r="AP180" s="3" t="s">
        <v>58</v>
      </c>
      <c r="AQ180" s="3" t="s">
        <v>68</v>
      </c>
      <c r="AR180" s="6" t="str">
        <f>HYPERLINK("http://catalog.hathitrust.org/Record/001242567","HathiTrust Record")</f>
        <v>HathiTrust Record</v>
      </c>
      <c r="AS180" s="6" t="str">
        <f>HYPERLINK("https://creighton-primo.hosted.exlibrisgroup.com/primo-explore/search?tab=default_tab&amp;search_scope=EVERYTHING&amp;vid=01CRU&amp;lang=en_US&amp;offset=0&amp;query=any,contains,991000009859702656","Catalog Record")</f>
        <v>Catalog Record</v>
      </c>
      <c r="AT180" s="6" t="str">
        <f>HYPERLINK("http://www.worldcat.org/oclc/14164","WorldCat Record")</f>
        <v>WorldCat Record</v>
      </c>
      <c r="AU180" s="3" t="s">
        <v>2257</v>
      </c>
      <c r="AV180" s="3" t="s">
        <v>2258</v>
      </c>
      <c r="AW180" s="3" t="s">
        <v>2259</v>
      </c>
      <c r="AX180" s="3" t="s">
        <v>2259</v>
      </c>
      <c r="AY180" s="3" t="s">
        <v>2260</v>
      </c>
      <c r="AZ180" s="3" t="s">
        <v>73</v>
      </c>
      <c r="BB180" s="3" t="s">
        <v>2261</v>
      </c>
      <c r="BC180" s="3" t="s">
        <v>2262</v>
      </c>
      <c r="BD180" s="3" t="s">
        <v>2263</v>
      </c>
    </row>
    <row r="181" spans="1:56" ht="51" customHeight="1" x14ac:dyDescent="0.25">
      <c r="A181" s="7" t="s">
        <v>58</v>
      </c>
      <c r="B181" s="2" t="s">
        <v>2264</v>
      </c>
      <c r="C181" s="2" t="s">
        <v>2265</v>
      </c>
      <c r="D181" s="2" t="s">
        <v>2266</v>
      </c>
      <c r="F181" s="3" t="s">
        <v>58</v>
      </c>
      <c r="G181" s="3" t="s">
        <v>59</v>
      </c>
      <c r="H181" s="3" t="s">
        <v>58</v>
      </c>
      <c r="I181" s="3" t="s">
        <v>58</v>
      </c>
      <c r="J181" s="3" t="s">
        <v>60</v>
      </c>
      <c r="K181" s="2" t="s">
        <v>2267</v>
      </c>
      <c r="L181" s="2" t="s">
        <v>2268</v>
      </c>
      <c r="M181" s="3" t="s">
        <v>759</v>
      </c>
      <c r="O181" s="3" t="s">
        <v>63</v>
      </c>
      <c r="P181" s="3" t="s">
        <v>1120</v>
      </c>
      <c r="Q181" s="2" t="s">
        <v>2269</v>
      </c>
      <c r="R181" s="3" t="s">
        <v>65</v>
      </c>
      <c r="S181" s="4">
        <v>5</v>
      </c>
      <c r="T181" s="4">
        <v>5</v>
      </c>
      <c r="U181" s="5" t="s">
        <v>2256</v>
      </c>
      <c r="V181" s="5" t="s">
        <v>2256</v>
      </c>
      <c r="W181" s="5" t="s">
        <v>585</v>
      </c>
      <c r="X181" s="5" t="s">
        <v>585</v>
      </c>
      <c r="Y181" s="4">
        <v>809</v>
      </c>
      <c r="Z181" s="4">
        <v>672</v>
      </c>
      <c r="AA181" s="4">
        <v>675</v>
      </c>
      <c r="AB181" s="4">
        <v>3</v>
      </c>
      <c r="AC181" s="4">
        <v>3</v>
      </c>
      <c r="AD181" s="4">
        <v>30</v>
      </c>
      <c r="AE181" s="4">
        <v>30</v>
      </c>
      <c r="AF181" s="4">
        <v>13</v>
      </c>
      <c r="AG181" s="4">
        <v>13</v>
      </c>
      <c r="AH181" s="4">
        <v>7</v>
      </c>
      <c r="AI181" s="4">
        <v>7</v>
      </c>
      <c r="AJ181" s="4">
        <v>16</v>
      </c>
      <c r="AK181" s="4">
        <v>16</v>
      </c>
      <c r="AL181" s="4">
        <v>2</v>
      </c>
      <c r="AM181" s="4">
        <v>2</v>
      </c>
      <c r="AN181" s="4">
        <v>0</v>
      </c>
      <c r="AO181" s="4">
        <v>0</v>
      </c>
      <c r="AP181" s="3" t="s">
        <v>58</v>
      </c>
      <c r="AQ181" s="3" t="s">
        <v>68</v>
      </c>
      <c r="AR181" s="6" t="str">
        <f>HYPERLINK("http://catalog.hathitrust.org/Record/000695928","HathiTrust Record")</f>
        <v>HathiTrust Record</v>
      </c>
      <c r="AS181" s="6" t="str">
        <f>HYPERLINK("https://creighton-primo.hosted.exlibrisgroup.com/primo-explore/search?tab=default_tab&amp;search_scope=EVERYTHING&amp;vid=01CRU&amp;lang=en_US&amp;offset=0&amp;query=any,contains,991004839339702656","Catalog Record")</f>
        <v>Catalog Record</v>
      </c>
      <c r="AT181" s="6" t="str">
        <f>HYPERLINK("http://www.worldcat.org/oclc/5493481","WorldCat Record")</f>
        <v>WorldCat Record</v>
      </c>
      <c r="AU181" s="3" t="s">
        <v>2270</v>
      </c>
      <c r="AV181" s="3" t="s">
        <v>2271</v>
      </c>
      <c r="AW181" s="3" t="s">
        <v>2272</v>
      </c>
      <c r="AX181" s="3" t="s">
        <v>2272</v>
      </c>
      <c r="AY181" s="3" t="s">
        <v>2273</v>
      </c>
      <c r="AZ181" s="3" t="s">
        <v>73</v>
      </c>
      <c r="BB181" s="3" t="s">
        <v>2274</v>
      </c>
      <c r="BC181" s="3" t="s">
        <v>2275</v>
      </c>
      <c r="BD181" s="3" t="s">
        <v>2276</v>
      </c>
    </row>
    <row r="182" spans="1:56" ht="51" customHeight="1" x14ac:dyDescent="0.25">
      <c r="A182" s="7" t="s">
        <v>58</v>
      </c>
      <c r="B182" s="2" t="s">
        <v>2277</v>
      </c>
      <c r="C182" s="2" t="s">
        <v>2278</v>
      </c>
      <c r="D182" s="2" t="s">
        <v>2279</v>
      </c>
      <c r="F182" s="3" t="s">
        <v>58</v>
      </c>
      <c r="G182" s="3" t="s">
        <v>59</v>
      </c>
      <c r="H182" s="3" t="s">
        <v>58</v>
      </c>
      <c r="I182" s="3" t="s">
        <v>58</v>
      </c>
      <c r="J182" s="3" t="s">
        <v>60</v>
      </c>
      <c r="L182" s="2" t="s">
        <v>2280</v>
      </c>
      <c r="M182" s="3" t="s">
        <v>759</v>
      </c>
      <c r="O182" s="3" t="s">
        <v>63</v>
      </c>
      <c r="P182" s="3" t="s">
        <v>354</v>
      </c>
      <c r="R182" s="3" t="s">
        <v>65</v>
      </c>
      <c r="S182" s="4">
        <v>2</v>
      </c>
      <c r="T182" s="4">
        <v>2</v>
      </c>
      <c r="U182" s="5" t="s">
        <v>2281</v>
      </c>
      <c r="V182" s="5" t="s">
        <v>2281</v>
      </c>
      <c r="W182" s="5" t="s">
        <v>2282</v>
      </c>
      <c r="X182" s="5" t="s">
        <v>2282</v>
      </c>
      <c r="Y182" s="4">
        <v>639</v>
      </c>
      <c r="Z182" s="4">
        <v>484</v>
      </c>
      <c r="AA182" s="4">
        <v>703</v>
      </c>
      <c r="AB182" s="4">
        <v>2</v>
      </c>
      <c r="AC182" s="4">
        <v>5</v>
      </c>
      <c r="AD182" s="4">
        <v>17</v>
      </c>
      <c r="AE182" s="4">
        <v>30</v>
      </c>
      <c r="AF182" s="4">
        <v>9</v>
      </c>
      <c r="AG182" s="4">
        <v>15</v>
      </c>
      <c r="AH182" s="4">
        <v>4</v>
      </c>
      <c r="AI182" s="4">
        <v>8</v>
      </c>
      <c r="AJ182" s="4">
        <v>9</v>
      </c>
      <c r="AK182" s="4">
        <v>14</v>
      </c>
      <c r="AL182" s="4">
        <v>1</v>
      </c>
      <c r="AM182" s="4">
        <v>3</v>
      </c>
      <c r="AN182" s="4">
        <v>0</v>
      </c>
      <c r="AO182" s="4">
        <v>0</v>
      </c>
      <c r="AP182" s="3" t="s">
        <v>58</v>
      </c>
      <c r="AQ182" s="3" t="s">
        <v>58</v>
      </c>
      <c r="AS182" s="6" t="str">
        <f>HYPERLINK("https://creighton-primo.hosted.exlibrisgroup.com/primo-explore/search?tab=default_tab&amp;search_scope=EVERYTHING&amp;vid=01CRU&amp;lang=en_US&amp;offset=0&amp;query=any,contains,991004740759702656","Catalog Record")</f>
        <v>Catalog Record</v>
      </c>
      <c r="AT182" s="6" t="str">
        <f>HYPERLINK("http://www.worldcat.org/oclc/4883347","WorldCat Record")</f>
        <v>WorldCat Record</v>
      </c>
      <c r="AU182" s="3" t="s">
        <v>2283</v>
      </c>
      <c r="AV182" s="3" t="s">
        <v>2284</v>
      </c>
      <c r="AW182" s="3" t="s">
        <v>2285</v>
      </c>
      <c r="AX182" s="3" t="s">
        <v>2285</v>
      </c>
      <c r="AY182" s="3" t="s">
        <v>2286</v>
      </c>
      <c r="AZ182" s="3" t="s">
        <v>73</v>
      </c>
      <c r="BB182" s="3" t="s">
        <v>2287</v>
      </c>
      <c r="BC182" s="3" t="s">
        <v>2288</v>
      </c>
      <c r="BD182" s="3" t="s">
        <v>2289</v>
      </c>
    </row>
    <row r="183" spans="1:56" ht="51" customHeight="1" x14ac:dyDescent="0.25">
      <c r="A183" s="7" t="s">
        <v>58</v>
      </c>
      <c r="B183" s="2" t="s">
        <v>2290</v>
      </c>
      <c r="C183" s="2" t="s">
        <v>2291</v>
      </c>
      <c r="D183" s="2" t="s">
        <v>2292</v>
      </c>
      <c r="F183" s="3" t="s">
        <v>58</v>
      </c>
      <c r="G183" s="3" t="s">
        <v>59</v>
      </c>
      <c r="H183" s="3" t="s">
        <v>58</v>
      </c>
      <c r="I183" s="3" t="s">
        <v>58</v>
      </c>
      <c r="J183" s="3" t="s">
        <v>60</v>
      </c>
      <c r="K183" s="2" t="s">
        <v>2293</v>
      </c>
      <c r="L183" s="2" t="s">
        <v>2294</v>
      </c>
      <c r="M183" s="3" t="s">
        <v>2295</v>
      </c>
      <c r="O183" s="3" t="s">
        <v>63</v>
      </c>
      <c r="P183" s="3" t="s">
        <v>584</v>
      </c>
      <c r="R183" s="3" t="s">
        <v>65</v>
      </c>
      <c r="S183" s="4">
        <v>2</v>
      </c>
      <c r="T183" s="4">
        <v>2</v>
      </c>
      <c r="U183" s="5" t="s">
        <v>2296</v>
      </c>
      <c r="V183" s="5" t="s">
        <v>2296</v>
      </c>
      <c r="W183" s="5" t="s">
        <v>2297</v>
      </c>
      <c r="X183" s="5" t="s">
        <v>2297</v>
      </c>
      <c r="Y183" s="4">
        <v>390</v>
      </c>
      <c r="Z183" s="4">
        <v>324</v>
      </c>
      <c r="AA183" s="4">
        <v>328</v>
      </c>
      <c r="AB183" s="4">
        <v>1</v>
      </c>
      <c r="AC183" s="4">
        <v>1</v>
      </c>
      <c r="AD183" s="4">
        <v>20</v>
      </c>
      <c r="AE183" s="4">
        <v>20</v>
      </c>
      <c r="AF183" s="4">
        <v>11</v>
      </c>
      <c r="AG183" s="4">
        <v>11</v>
      </c>
      <c r="AH183" s="4">
        <v>5</v>
      </c>
      <c r="AI183" s="4">
        <v>5</v>
      </c>
      <c r="AJ183" s="4">
        <v>12</v>
      </c>
      <c r="AK183" s="4">
        <v>12</v>
      </c>
      <c r="AL183" s="4">
        <v>0</v>
      </c>
      <c r="AM183" s="4">
        <v>0</v>
      </c>
      <c r="AN183" s="4">
        <v>0</v>
      </c>
      <c r="AO183" s="4">
        <v>0</v>
      </c>
      <c r="AP183" s="3" t="s">
        <v>58</v>
      </c>
      <c r="AQ183" s="3" t="s">
        <v>68</v>
      </c>
      <c r="AR183" s="6" t="str">
        <f>HYPERLINK("http://catalog.hathitrust.org/Record/004359811","HathiTrust Record")</f>
        <v>HathiTrust Record</v>
      </c>
      <c r="AS183" s="6" t="str">
        <f>HYPERLINK("https://creighton-primo.hosted.exlibrisgroup.com/primo-explore/search?tab=default_tab&amp;search_scope=EVERYTHING&amp;vid=01CRU&amp;lang=en_US&amp;offset=0&amp;query=any,contains,991004394559702656","Catalog Record")</f>
        <v>Catalog Record</v>
      </c>
      <c r="AT183" s="6" t="str">
        <f>HYPERLINK("http://www.worldcat.org/oclc/51728714","WorldCat Record")</f>
        <v>WorldCat Record</v>
      </c>
      <c r="AU183" s="3" t="s">
        <v>2298</v>
      </c>
      <c r="AV183" s="3" t="s">
        <v>2299</v>
      </c>
      <c r="AW183" s="3" t="s">
        <v>2300</v>
      </c>
      <c r="AX183" s="3" t="s">
        <v>2300</v>
      </c>
      <c r="AY183" s="3" t="s">
        <v>2301</v>
      </c>
      <c r="AZ183" s="3" t="s">
        <v>73</v>
      </c>
      <c r="BB183" s="3" t="s">
        <v>2302</v>
      </c>
      <c r="BC183" s="3" t="s">
        <v>2303</v>
      </c>
      <c r="BD183" s="3" t="s">
        <v>2304</v>
      </c>
    </row>
    <row r="184" spans="1:56" ht="51" customHeight="1" x14ac:dyDescent="0.25">
      <c r="A184" s="7" t="s">
        <v>58</v>
      </c>
      <c r="B184" s="2" t="s">
        <v>2305</v>
      </c>
      <c r="C184" s="2" t="s">
        <v>2306</v>
      </c>
      <c r="D184" s="2" t="s">
        <v>2307</v>
      </c>
      <c r="F184" s="3" t="s">
        <v>58</v>
      </c>
      <c r="G184" s="3" t="s">
        <v>59</v>
      </c>
      <c r="H184" s="3" t="s">
        <v>58</v>
      </c>
      <c r="I184" s="3" t="s">
        <v>58</v>
      </c>
      <c r="J184" s="3" t="s">
        <v>60</v>
      </c>
      <c r="K184" s="2" t="s">
        <v>2308</v>
      </c>
      <c r="L184" s="2" t="s">
        <v>2309</v>
      </c>
      <c r="M184" s="3" t="s">
        <v>2310</v>
      </c>
      <c r="N184" s="2" t="s">
        <v>2311</v>
      </c>
      <c r="O184" s="3" t="s">
        <v>63</v>
      </c>
      <c r="P184" s="3" t="s">
        <v>214</v>
      </c>
      <c r="R184" s="3" t="s">
        <v>65</v>
      </c>
      <c r="S184" s="4">
        <v>2</v>
      </c>
      <c r="T184" s="4">
        <v>2</v>
      </c>
      <c r="U184" s="5" t="s">
        <v>2312</v>
      </c>
      <c r="V184" s="5" t="s">
        <v>2312</v>
      </c>
      <c r="W184" s="5" t="s">
        <v>2313</v>
      </c>
      <c r="X184" s="5" t="s">
        <v>2313</v>
      </c>
      <c r="Y184" s="4">
        <v>33</v>
      </c>
      <c r="Z184" s="4">
        <v>31</v>
      </c>
      <c r="AA184" s="4">
        <v>248</v>
      </c>
      <c r="AB184" s="4">
        <v>1</v>
      </c>
      <c r="AC184" s="4">
        <v>1</v>
      </c>
      <c r="AD184" s="4">
        <v>1</v>
      </c>
      <c r="AE184" s="4">
        <v>7</v>
      </c>
      <c r="AF184" s="4">
        <v>1</v>
      </c>
      <c r="AG184" s="4">
        <v>2</v>
      </c>
      <c r="AH184" s="4">
        <v>0</v>
      </c>
      <c r="AI184" s="4">
        <v>4</v>
      </c>
      <c r="AJ184" s="4">
        <v>1</v>
      </c>
      <c r="AK184" s="4">
        <v>5</v>
      </c>
      <c r="AL184" s="4">
        <v>0</v>
      </c>
      <c r="AM184" s="4">
        <v>0</v>
      </c>
      <c r="AN184" s="4">
        <v>0</v>
      </c>
      <c r="AO184" s="4">
        <v>0</v>
      </c>
      <c r="AP184" s="3" t="s">
        <v>58</v>
      </c>
      <c r="AQ184" s="3" t="s">
        <v>58</v>
      </c>
      <c r="AS184" s="6" t="str">
        <f>HYPERLINK("https://creighton-primo.hosted.exlibrisgroup.com/primo-explore/search?tab=default_tab&amp;search_scope=EVERYTHING&amp;vid=01CRU&amp;lang=en_US&amp;offset=0&amp;query=any,contains,991000222819702656","Catalog Record")</f>
        <v>Catalog Record</v>
      </c>
      <c r="AT184" s="6" t="str">
        <f>HYPERLINK("http://www.worldcat.org/oclc/401152808","WorldCat Record")</f>
        <v>WorldCat Record</v>
      </c>
      <c r="AU184" s="3" t="s">
        <v>2314</v>
      </c>
      <c r="AV184" s="3" t="s">
        <v>2315</v>
      </c>
      <c r="AW184" s="3" t="s">
        <v>2316</v>
      </c>
      <c r="AX184" s="3" t="s">
        <v>2316</v>
      </c>
      <c r="AY184" s="3" t="s">
        <v>2317</v>
      </c>
      <c r="AZ184" s="3" t="s">
        <v>73</v>
      </c>
      <c r="BB184" s="3" t="s">
        <v>2318</v>
      </c>
      <c r="BC184" s="3" t="s">
        <v>2319</v>
      </c>
      <c r="BD184" s="3" t="s">
        <v>2320</v>
      </c>
    </row>
    <row r="185" spans="1:56" ht="51" customHeight="1" x14ac:dyDescent="0.25">
      <c r="A185" s="7" t="s">
        <v>58</v>
      </c>
      <c r="B185" s="2" t="s">
        <v>2321</v>
      </c>
      <c r="C185" s="2" t="s">
        <v>2322</v>
      </c>
      <c r="D185" s="2" t="s">
        <v>2323</v>
      </c>
      <c r="F185" s="3" t="s">
        <v>58</v>
      </c>
      <c r="G185" s="3" t="s">
        <v>59</v>
      </c>
      <c r="H185" s="3" t="s">
        <v>58</v>
      </c>
      <c r="I185" s="3" t="s">
        <v>58</v>
      </c>
      <c r="J185" s="3" t="s">
        <v>60</v>
      </c>
      <c r="K185" s="2" t="s">
        <v>2324</v>
      </c>
      <c r="L185" s="2" t="s">
        <v>2325</v>
      </c>
      <c r="M185" s="3" t="s">
        <v>2326</v>
      </c>
      <c r="N185" s="2" t="s">
        <v>338</v>
      </c>
      <c r="O185" s="3" t="s">
        <v>63</v>
      </c>
      <c r="P185" s="3" t="s">
        <v>214</v>
      </c>
      <c r="R185" s="3" t="s">
        <v>65</v>
      </c>
      <c r="S185" s="4">
        <v>1</v>
      </c>
      <c r="T185" s="4">
        <v>1</v>
      </c>
      <c r="U185" s="5" t="s">
        <v>2327</v>
      </c>
      <c r="V185" s="5" t="s">
        <v>2327</v>
      </c>
      <c r="W185" s="5" t="s">
        <v>2327</v>
      </c>
      <c r="X185" s="5" t="s">
        <v>2327</v>
      </c>
      <c r="Y185" s="4">
        <v>141</v>
      </c>
      <c r="Z185" s="4">
        <v>110</v>
      </c>
      <c r="AA185" s="4">
        <v>150</v>
      </c>
      <c r="AB185" s="4">
        <v>1</v>
      </c>
      <c r="AC185" s="4">
        <v>2</v>
      </c>
      <c r="AD185" s="4">
        <v>5</v>
      </c>
      <c r="AE185" s="4">
        <v>9</v>
      </c>
      <c r="AF185" s="4">
        <v>1</v>
      </c>
      <c r="AG185" s="4">
        <v>4</v>
      </c>
      <c r="AH185" s="4">
        <v>3</v>
      </c>
      <c r="AI185" s="4">
        <v>4</v>
      </c>
      <c r="AJ185" s="4">
        <v>3</v>
      </c>
      <c r="AK185" s="4">
        <v>5</v>
      </c>
      <c r="AL185" s="4">
        <v>0</v>
      </c>
      <c r="AM185" s="4">
        <v>1</v>
      </c>
      <c r="AN185" s="4">
        <v>0</v>
      </c>
      <c r="AO185" s="4">
        <v>0</v>
      </c>
      <c r="AP185" s="3" t="s">
        <v>58</v>
      </c>
      <c r="AQ185" s="3" t="s">
        <v>58</v>
      </c>
      <c r="AS185" s="6" t="str">
        <f>HYPERLINK("https://creighton-primo.hosted.exlibrisgroup.com/primo-explore/search?tab=default_tab&amp;search_scope=EVERYTHING&amp;vid=01CRU&amp;lang=en_US&amp;offset=0&amp;query=any,contains,991005381249702656","Catalog Record")</f>
        <v>Catalog Record</v>
      </c>
      <c r="AT185" s="6" t="str">
        <f>HYPERLINK("http://www.worldcat.org/oclc/276995492","WorldCat Record")</f>
        <v>WorldCat Record</v>
      </c>
      <c r="AU185" s="3" t="s">
        <v>2328</v>
      </c>
      <c r="AV185" s="3" t="s">
        <v>2329</v>
      </c>
      <c r="AW185" s="3" t="s">
        <v>2330</v>
      </c>
      <c r="AX185" s="3" t="s">
        <v>2330</v>
      </c>
      <c r="AY185" s="3" t="s">
        <v>2331</v>
      </c>
      <c r="AZ185" s="3" t="s">
        <v>73</v>
      </c>
      <c r="BB185" s="3" t="s">
        <v>2332</v>
      </c>
      <c r="BC185" s="3" t="s">
        <v>2333</v>
      </c>
      <c r="BD185" s="3" t="s">
        <v>2334</v>
      </c>
    </row>
    <row r="186" spans="1:56" ht="51" customHeight="1" x14ac:dyDescent="0.25">
      <c r="A186" s="7" t="s">
        <v>58</v>
      </c>
      <c r="B186" s="2" t="s">
        <v>2335</v>
      </c>
      <c r="C186" s="2" t="s">
        <v>2336</v>
      </c>
      <c r="D186" s="2" t="s">
        <v>2337</v>
      </c>
      <c r="F186" s="3" t="s">
        <v>58</v>
      </c>
      <c r="G186" s="3" t="s">
        <v>59</v>
      </c>
      <c r="H186" s="3" t="s">
        <v>58</v>
      </c>
      <c r="I186" s="3" t="s">
        <v>58</v>
      </c>
      <c r="J186" s="3" t="s">
        <v>60</v>
      </c>
      <c r="K186" s="2" t="s">
        <v>2338</v>
      </c>
      <c r="L186" s="2" t="s">
        <v>2339</v>
      </c>
      <c r="M186" s="3" t="s">
        <v>855</v>
      </c>
      <c r="N186" s="2" t="s">
        <v>2340</v>
      </c>
      <c r="O186" s="3" t="s">
        <v>63</v>
      </c>
      <c r="P186" s="3" t="s">
        <v>495</v>
      </c>
      <c r="R186" s="3" t="s">
        <v>65</v>
      </c>
      <c r="S186" s="4">
        <v>13</v>
      </c>
      <c r="T186" s="4">
        <v>13</v>
      </c>
      <c r="U186" s="5" t="s">
        <v>1444</v>
      </c>
      <c r="V186" s="5" t="s">
        <v>1444</v>
      </c>
      <c r="W186" s="5" t="s">
        <v>2244</v>
      </c>
      <c r="X186" s="5" t="s">
        <v>2244</v>
      </c>
      <c r="Y186" s="4">
        <v>224</v>
      </c>
      <c r="Z186" s="4">
        <v>200</v>
      </c>
      <c r="AA186" s="4">
        <v>245</v>
      </c>
      <c r="AB186" s="4">
        <v>3</v>
      </c>
      <c r="AC186" s="4">
        <v>3</v>
      </c>
      <c r="AD186" s="4">
        <v>13</v>
      </c>
      <c r="AE186" s="4">
        <v>15</v>
      </c>
      <c r="AF186" s="4">
        <v>8</v>
      </c>
      <c r="AG186" s="4">
        <v>8</v>
      </c>
      <c r="AH186" s="4">
        <v>3</v>
      </c>
      <c r="AI186" s="4">
        <v>3</v>
      </c>
      <c r="AJ186" s="4">
        <v>5</v>
      </c>
      <c r="AK186" s="4">
        <v>7</v>
      </c>
      <c r="AL186" s="4">
        <v>2</v>
      </c>
      <c r="AM186" s="4">
        <v>2</v>
      </c>
      <c r="AN186" s="4">
        <v>0</v>
      </c>
      <c r="AO186" s="4">
        <v>0</v>
      </c>
      <c r="AP186" s="3" t="s">
        <v>58</v>
      </c>
      <c r="AQ186" s="3" t="s">
        <v>68</v>
      </c>
      <c r="AR186" s="6" t="str">
        <f>HYPERLINK("http://catalog.hathitrust.org/Record/002800280","HathiTrust Record")</f>
        <v>HathiTrust Record</v>
      </c>
      <c r="AS186" s="6" t="str">
        <f>HYPERLINK("https://creighton-primo.hosted.exlibrisgroup.com/primo-explore/search?tab=default_tab&amp;search_scope=EVERYTHING&amp;vid=01CRU&amp;lang=en_US&amp;offset=0&amp;query=any,contains,991002276399702656","Catalog Record")</f>
        <v>Catalog Record</v>
      </c>
      <c r="AT186" s="6" t="str">
        <f>HYPERLINK("http://www.worldcat.org/oclc/29546023","WorldCat Record")</f>
        <v>WorldCat Record</v>
      </c>
      <c r="AU186" s="3" t="s">
        <v>2341</v>
      </c>
      <c r="AV186" s="3" t="s">
        <v>2342</v>
      </c>
      <c r="AW186" s="3" t="s">
        <v>2343</v>
      </c>
      <c r="AX186" s="3" t="s">
        <v>2343</v>
      </c>
      <c r="AY186" s="3" t="s">
        <v>2344</v>
      </c>
      <c r="AZ186" s="3" t="s">
        <v>73</v>
      </c>
      <c r="BB186" s="3" t="s">
        <v>2345</v>
      </c>
      <c r="BC186" s="3" t="s">
        <v>2346</v>
      </c>
      <c r="BD186" s="3" t="s">
        <v>2347</v>
      </c>
    </row>
    <row r="187" spans="1:56" ht="51" customHeight="1" x14ac:dyDescent="0.25">
      <c r="A187" s="7" t="s">
        <v>58</v>
      </c>
      <c r="B187" s="2" t="s">
        <v>2348</v>
      </c>
      <c r="C187" s="2" t="s">
        <v>2349</v>
      </c>
      <c r="D187" s="2" t="s">
        <v>2350</v>
      </c>
      <c r="F187" s="3" t="s">
        <v>58</v>
      </c>
      <c r="G187" s="3" t="s">
        <v>59</v>
      </c>
      <c r="H187" s="3" t="s">
        <v>58</v>
      </c>
      <c r="I187" s="3" t="s">
        <v>58</v>
      </c>
      <c r="J187" s="3" t="s">
        <v>60</v>
      </c>
      <c r="K187" s="2" t="s">
        <v>2351</v>
      </c>
      <c r="L187" s="2" t="s">
        <v>2352</v>
      </c>
      <c r="M187" s="3" t="s">
        <v>1061</v>
      </c>
      <c r="O187" s="3" t="s">
        <v>63</v>
      </c>
      <c r="P187" s="3" t="s">
        <v>214</v>
      </c>
      <c r="R187" s="3" t="s">
        <v>65</v>
      </c>
      <c r="S187" s="4">
        <v>2</v>
      </c>
      <c r="T187" s="4">
        <v>2</v>
      </c>
      <c r="U187" s="5" t="s">
        <v>2353</v>
      </c>
      <c r="V187" s="5" t="s">
        <v>2353</v>
      </c>
      <c r="W187" s="5" t="s">
        <v>2354</v>
      </c>
      <c r="X187" s="5" t="s">
        <v>2354</v>
      </c>
      <c r="Y187" s="4">
        <v>577</v>
      </c>
      <c r="Z187" s="4">
        <v>530</v>
      </c>
      <c r="AA187" s="4">
        <v>544</v>
      </c>
      <c r="AB187" s="4">
        <v>5</v>
      </c>
      <c r="AC187" s="4">
        <v>5</v>
      </c>
      <c r="AD187" s="4">
        <v>26</v>
      </c>
      <c r="AE187" s="4">
        <v>26</v>
      </c>
      <c r="AF187" s="4">
        <v>7</v>
      </c>
      <c r="AG187" s="4">
        <v>7</v>
      </c>
      <c r="AH187" s="4">
        <v>7</v>
      </c>
      <c r="AI187" s="4">
        <v>7</v>
      </c>
      <c r="AJ187" s="4">
        <v>15</v>
      </c>
      <c r="AK187" s="4">
        <v>15</v>
      </c>
      <c r="AL187" s="4">
        <v>4</v>
      </c>
      <c r="AM187" s="4">
        <v>4</v>
      </c>
      <c r="AN187" s="4">
        <v>0</v>
      </c>
      <c r="AO187" s="4">
        <v>0</v>
      </c>
      <c r="AP187" s="3" t="s">
        <v>58</v>
      </c>
      <c r="AQ187" s="3" t="s">
        <v>68</v>
      </c>
      <c r="AR187" s="6" t="str">
        <f>HYPERLINK("http://catalog.hathitrust.org/Record/003135855","HathiTrust Record")</f>
        <v>HathiTrust Record</v>
      </c>
      <c r="AS187" s="6" t="str">
        <f>HYPERLINK("https://creighton-primo.hosted.exlibrisgroup.com/primo-explore/search?tab=default_tab&amp;search_scope=EVERYTHING&amp;vid=01CRU&amp;lang=en_US&amp;offset=0&amp;query=any,contains,991002725959702656","Catalog Record")</f>
        <v>Catalog Record</v>
      </c>
      <c r="AT187" s="6" t="str">
        <f>HYPERLINK("http://www.worldcat.org/oclc/35758137","WorldCat Record")</f>
        <v>WorldCat Record</v>
      </c>
      <c r="AU187" s="3" t="s">
        <v>2355</v>
      </c>
      <c r="AV187" s="3" t="s">
        <v>2356</v>
      </c>
      <c r="AW187" s="3" t="s">
        <v>2357</v>
      </c>
      <c r="AX187" s="3" t="s">
        <v>2357</v>
      </c>
      <c r="AY187" s="3" t="s">
        <v>2358</v>
      </c>
      <c r="AZ187" s="3" t="s">
        <v>73</v>
      </c>
      <c r="BB187" s="3" t="s">
        <v>2359</v>
      </c>
      <c r="BC187" s="3" t="s">
        <v>2360</v>
      </c>
      <c r="BD187" s="3" t="s">
        <v>2361</v>
      </c>
    </row>
    <row r="188" spans="1:56" ht="51" customHeight="1" x14ac:dyDescent="0.25">
      <c r="A188" s="7" t="s">
        <v>58</v>
      </c>
      <c r="B188" s="2" t="s">
        <v>2362</v>
      </c>
      <c r="C188" s="2" t="s">
        <v>2363</v>
      </c>
      <c r="D188" s="2" t="s">
        <v>2364</v>
      </c>
      <c r="F188" s="3" t="s">
        <v>58</v>
      </c>
      <c r="G188" s="3" t="s">
        <v>59</v>
      </c>
      <c r="H188" s="3" t="s">
        <v>58</v>
      </c>
      <c r="I188" s="3" t="s">
        <v>58</v>
      </c>
      <c r="J188" s="3" t="s">
        <v>60</v>
      </c>
      <c r="L188" s="2" t="s">
        <v>2365</v>
      </c>
      <c r="M188" s="3" t="s">
        <v>1061</v>
      </c>
      <c r="O188" s="3" t="s">
        <v>63</v>
      </c>
      <c r="P188" s="3" t="s">
        <v>214</v>
      </c>
      <c r="Q188" s="2" t="s">
        <v>2366</v>
      </c>
      <c r="R188" s="3" t="s">
        <v>65</v>
      </c>
      <c r="S188" s="4">
        <v>5</v>
      </c>
      <c r="T188" s="4">
        <v>5</v>
      </c>
      <c r="U188" s="5" t="s">
        <v>2367</v>
      </c>
      <c r="V188" s="5" t="s">
        <v>2367</v>
      </c>
      <c r="W188" s="5" t="s">
        <v>2368</v>
      </c>
      <c r="X188" s="5" t="s">
        <v>2368</v>
      </c>
      <c r="Y188" s="4">
        <v>266</v>
      </c>
      <c r="Z188" s="4">
        <v>228</v>
      </c>
      <c r="AA188" s="4">
        <v>267</v>
      </c>
      <c r="AB188" s="4">
        <v>3</v>
      </c>
      <c r="AC188" s="4">
        <v>3</v>
      </c>
      <c r="AD188" s="4">
        <v>13</v>
      </c>
      <c r="AE188" s="4">
        <v>13</v>
      </c>
      <c r="AF188" s="4">
        <v>5</v>
      </c>
      <c r="AG188" s="4">
        <v>5</v>
      </c>
      <c r="AH188" s="4">
        <v>3</v>
      </c>
      <c r="AI188" s="4">
        <v>3</v>
      </c>
      <c r="AJ188" s="4">
        <v>8</v>
      </c>
      <c r="AK188" s="4">
        <v>8</v>
      </c>
      <c r="AL188" s="4">
        <v>2</v>
      </c>
      <c r="AM188" s="4">
        <v>2</v>
      </c>
      <c r="AN188" s="4">
        <v>0</v>
      </c>
      <c r="AO188" s="4">
        <v>0</v>
      </c>
      <c r="AP188" s="3" t="s">
        <v>58</v>
      </c>
      <c r="AQ188" s="3" t="s">
        <v>68</v>
      </c>
      <c r="AR188" s="6" t="str">
        <f>HYPERLINK("http://catalog.hathitrust.org/Record/003203277","HathiTrust Record")</f>
        <v>HathiTrust Record</v>
      </c>
      <c r="AS188" s="6" t="str">
        <f>HYPERLINK("https://creighton-primo.hosted.exlibrisgroup.com/primo-explore/search?tab=default_tab&amp;search_scope=EVERYTHING&amp;vid=01CRU&amp;lang=en_US&amp;offset=0&amp;query=any,contains,991002797959702656","Catalog Record")</f>
        <v>Catalog Record</v>
      </c>
      <c r="AT188" s="6" t="str">
        <f>HYPERLINK("http://www.worldcat.org/oclc/36755750","WorldCat Record")</f>
        <v>WorldCat Record</v>
      </c>
      <c r="AU188" s="3" t="s">
        <v>2369</v>
      </c>
      <c r="AV188" s="3" t="s">
        <v>2370</v>
      </c>
      <c r="AW188" s="3" t="s">
        <v>2371</v>
      </c>
      <c r="AX188" s="3" t="s">
        <v>2371</v>
      </c>
      <c r="AY188" s="3" t="s">
        <v>2372</v>
      </c>
      <c r="AZ188" s="3" t="s">
        <v>73</v>
      </c>
      <c r="BB188" s="3" t="s">
        <v>2373</v>
      </c>
      <c r="BC188" s="3" t="s">
        <v>2374</v>
      </c>
      <c r="BD188" s="3" t="s">
        <v>2375</v>
      </c>
    </row>
    <row r="189" spans="1:56" ht="51" customHeight="1" x14ac:dyDescent="0.25">
      <c r="A189" s="7" t="s">
        <v>58</v>
      </c>
      <c r="B189" s="2" t="s">
        <v>2376</v>
      </c>
      <c r="C189" s="2" t="s">
        <v>2377</v>
      </c>
      <c r="D189" s="2" t="s">
        <v>2378</v>
      </c>
      <c r="F189" s="3" t="s">
        <v>58</v>
      </c>
      <c r="G189" s="3" t="s">
        <v>59</v>
      </c>
      <c r="H189" s="3" t="s">
        <v>58</v>
      </c>
      <c r="I189" s="3" t="s">
        <v>58</v>
      </c>
      <c r="J189" s="3" t="s">
        <v>60</v>
      </c>
      <c r="L189" s="2" t="s">
        <v>2379</v>
      </c>
      <c r="M189" s="3" t="s">
        <v>1061</v>
      </c>
      <c r="O189" s="3" t="s">
        <v>63</v>
      </c>
      <c r="P189" s="3" t="s">
        <v>584</v>
      </c>
      <c r="Q189" s="2" t="s">
        <v>2380</v>
      </c>
      <c r="R189" s="3" t="s">
        <v>65</v>
      </c>
      <c r="S189" s="4">
        <v>2</v>
      </c>
      <c r="T189" s="4">
        <v>2</v>
      </c>
      <c r="U189" s="5" t="s">
        <v>2381</v>
      </c>
      <c r="V189" s="5" t="s">
        <v>2381</v>
      </c>
      <c r="W189" s="5" t="s">
        <v>2382</v>
      </c>
      <c r="X189" s="5" t="s">
        <v>2382</v>
      </c>
      <c r="Y189" s="4">
        <v>291</v>
      </c>
      <c r="Z189" s="4">
        <v>216</v>
      </c>
      <c r="AA189" s="4">
        <v>216</v>
      </c>
      <c r="AB189" s="4">
        <v>1</v>
      </c>
      <c r="AC189" s="4">
        <v>1</v>
      </c>
      <c r="AD189" s="4">
        <v>12</v>
      </c>
      <c r="AE189" s="4">
        <v>12</v>
      </c>
      <c r="AF189" s="4">
        <v>4</v>
      </c>
      <c r="AG189" s="4">
        <v>4</v>
      </c>
      <c r="AH189" s="4">
        <v>3</v>
      </c>
      <c r="AI189" s="4">
        <v>3</v>
      </c>
      <c r="AJ189" s="4">
        <v>7</v>
      </c>
      <c r="AK189" s="4">
        <v>7</v>
      </c>
      <c r="AL189" s="4">
        <v>0</v>
      </c>
      <c r="AM189" s="4">
        <v>0</v>
      </c>
      <c r="AN189" s="4">
        <v>0</v>
      </c>
      <c r="AO189" s="4">
        <v>0</v>
      </c>
      <c r="AP189" s="3" t="s">
        <v>58</v>
      </c>
      <c r="AQ189" s="3" t="s">
        <v>58</v>
      </c>
      <c r="AS189" s="6" t="str">
        <f>HYPERLINK("https://creighton-primo.hosted.exlibrisgroup.com/primo-explore/search?tab=default_tab&amp;search_scope=EVERYTHING&amp;vid=01CRU&amp;lang=en_US&amp;offset=0&amp;query=any,contains,991003023979702656","Catalog Record")</f>
        <v>Catalog Record</v>
      </c>
      <c r="AT189" s="6" t="str">
        <f>HYPERLINK("http://www.worldcat.org/oclc/41278213","WorldCat Record")</f>
        <v>WorldCat Record</v>
      </c>
      <c r="AU189" s="3" t="s">
        <v>2383</v>
      </c>
      <c r="AV189" s="3" t="s">
        <v>2384</v>
      </c>
      <c r="AW189" s="3" t="s">
        <v>2385</v>
      </c>
      <c r="AX189" s="3" t="s">
        <v>2385</v>
      </c>
      <c r="AY189" s="3" t="s">
        <v>2386</v>
      </c>
      <c r="AZ189" s="3" t="s">
        <v>73</v>
      </c>
      <c r="BB189" s="3" t="s">
        <v>2387</v>
      </c>
      <c r="BC189" s="3" t="s">
        <v>2388</v>
      </c>
      <c r="BD189" s="3" t="s">
        <v>2389</v>
      </c>
    </row>
    <row r="190" spans="1:56" ht="51" customHeight="1" x14ac:dyDescent="0.25">
      <c r="A190" s="7" t="s">
        <v>58</v>
      </c>
      <c r="B190" s="2" t="s">
        <v>2390</v>
      </c>
      <c r="C190" s="2" t="s">
        <v>2391</v>
      </c>
      <c r="D190" s="2" t="s">
        <v>2392</v>
      </c>
      <c r="F190" s="3" t="s">
        <v>58</v>
      </c>
      <c r="G190" s="3" t="s">
        <v>59</v>
      </c>
      <c r="H190" s="3" t="s">
        <v>58</v>
      </c>
      <c r="I190" s="3" t="s">
        <v>58</v>
      </c>
      <c r="J190" s="3" t="s">
        <v>60</v>
      </c>
      <c r="K190" s="2" t="s">
        <v>1355</v>
      </c>
      <c r="L190" s="2" t="s">
        <v>2393</v>
      </c>
      <c r="M190" s="3" t="s">
        <v>2295</v>
      </c>
      <c r="O190" s="3" t="s">
        <v>63</v>
      </c>
      <c r="P190" s="3" t="s">
        <v>760</v>
      </c>
      <c r="R190" s="3" t="s">
        <v>65</v>
      </c>
      <c r="S190" s="4">
        <v>7</v>
      </c>
      <c r="T190" s="4">
        <v>7</v>
      </c>
      <c r="U190" s="5" t="s">
        <v>2394</v>
      </c>
      <c r="V190" s="5" t="s">
        <v>2394</v>
      </c>
      <c r="W190" s="5" t="s">
        <v>2395</v>
      </c>
      <c r="X190" s="5" t="s">
        <v>2395</v>
      </c>
      <c r="Y190" s="4">
        <v>739</v>
      </c>
      <c r="Z190" s="4">
        <v>617</v>
      </c>
      <c r="AA190" s="4">
        <v>697</v>
      </c>
      <c r="AB190" s="4">
        <v>7</v>
      </c>
      <c r="AC190" s="4">
        <v>8</v>
      </c>
      <c r="AD190" s="4">
        <v>33</v>
      </c>
      <c r="AE190" s="4">
        <v>37</v>
      </c>
      <c r="AF190" s="4">
        <v>13</v>
      </c>
      <c r="AG190" s="4">
        <v>15</v>
      </c>
      <c r="AH190" s="4">
        <v>8</v>
      </c>
      <c r="AI190" s="4">
        <v>9</v>
      </c>
      <c r="AJ190" s="4">
        <v>14</v>
      </c>
      <c r="AK190" s="4">
        <v>14</v>
      </c>
      <c r="AL190" s="4">
        <v>6</v>
      </c>
      <c r="AM190" s="4">
        <v>7</v>
      </c>
      <c r="AN190" s="4">
        <v>0</v>
      </c>
      <c r="AO190" s="4">
        <v>0</v>
      </c>
      <c r="AP190" s="3" t="s">
        <v>58</v>
      </c>
      <c r="AQ190" s="3" t="s">
        <v>58</v>
      </c>
      <c r="AS190" s="6" t="str">
        <f>HYPERLINK("https://creighton-primo.hosted.exlibrisgroup.com/primo-explore/search?tab=default_tab&amp;search_scope=EVERYTHING&amp;vid=01CRU&amp;lang=en_US&amp;offset=0&amp;query=any,contains,991004095689702656","Catalog Record")</f>
        <v>Catalog Record</v>
      </c>
      <c r="AT190" s="6" t="str">
        <f>HYPERLINK("http://www.worldcat.org/oclc/51216016","WorldCat Record")</f>
        <v>WorldCat Record</v>
      </c>
      <c r="AU190" s="3" t="s">
        <v>2396</v>
      </c>
      <c r="AV190" s="3" t="s">
        <v>2397</v>
      </c>
      <c r="AW190" s="3" t="s">
        <v>2398</v>
      </c>
      <c r="AX190" s="3" t="s">
        <v>2398</v>
      </c>
      <c r="AY190" s="3" t="s">
        <v>2399</v>
      </c>
      <c r="AZ190" s="3" t="s">
        <v>73</v>
      </c>
      <c r="BB190" s="3" t="s">
        <v>2400</v>
      </c>
      <c r="BC190" s="3" t="s">
        <v>2401</v>
      </c>
      <c r="BD190" s="3" t="s">
        <v>2402</v>
      </c>
    </row>
    <row r="191" spans="1:56" ht="51" customHeight="1" x14ac:dyDescent="0.25">
      <c r="A191" s="7" t="s">
        <v>58</v>
      </c>
      <c r="B191" s="2" t="s">
        <v>2403</v>
      </c>
      <c r="C191" s="2" t="s">
        <v>2404</v>
      </c>
      <c r="D191" s="2" t="s">
        <v>2405</v>
      </c>
      <c r="F191" s="3" t="s">
        <v>58</v>
      </c>
      <c r="G191" s="3" t="s">
        <v>59</v>
      </c>
      <c r="H191" s="3" t="s">
        <v>58</v>
      </c>
      <c r="I191" s="3" t="s">
        <v>58</v>
      </c>
      <c r="J191" s="3" t="s">
        <v>60</v>
      </c>
      <c r="K191" s="2" t="s">
        <v>2406</v>
      </c>
      <c r="L191" s="2" t="s">
        <v>2407</v>
      </c>
      <c r="M191" s="3" t="s">
        <v>196</v>
      </c>
      <c r="O191" s="3" t="s">
        <v>63</v>
      </c>
      <c r="P191" s="3" t="s">
        <v>214</v>
      </c>
      <c r="R191" s="3" t="s">
        <v>65</v>
      </c>
      <c r="S191" s="4">
        <v>3</v>
      </c>
      <c r="T191" s="4">
        <v>3</v>
      </c>
      <c r="U191" s="5" t="s">
        <v>2381</v>
      </c>
      <c r="V191" s="5" t="s">
        <v>2381</v>
      </c>
      <c r="W191" s="5" t="s">
        <v>2408</v>
      </c>
      <c r="X191" s="5" t="s">
        <v>2408</v>
      </c>
      <c r="Y191" s="4">
        <v>400</v>
      </c>
      <c r="Z191" s="4">
        <v>326</v>
      </c>
      <c r="AA191" s="4">
        <v>429</v>
      </c>
      <c r="AB191" s="4">
        <v>2</v>
      </c>
      <c r="AC191" s="4">
        <v>3</v>
      </c>
      <c r="AD191" s="4">
        <v>19</v>
      </c>
      <c r="AE191" s="4">
        <v>26</v>
      </c>
      <c r="AF191" s="4">
        <v>5</v>
      </c>
      <c r="AG191" s="4">
        <v>9</v>
      </c>
      <c r="AH191" s="4">
        <v>3</v>
      </c>
      <c r="AI191" s="4">
        <v>4</v>
      </c>
      <c r="AJ191" s="4">
        <v>13</v>
      </c>
      <c r="AK191" s="4">
        <v>17</v>
      </c>
      <c r="AL191" s="4">
        <v>1</v>
      </c>
      <c r="AM191" s="4">
        <v>2</v>
      </c>
      <c r="AN191" s="4">
        <v>0</v>
      </c>
      <c r="AO191" s="4">
        <v>0</v>
      </c>
      <c r="AP191" s="3" t="s">
        <v>58</v>
      </c>
      <c r="AQ191" s="3" t="s">
        <v>58</v>
      </c>
      <c r="AS191" s="6" t="str">
        <f>HYPERLINK("https://creighton-primo.hosted.exlibrisgroup.com/primo-explore/search?tab=default_tab&amp;search_scope=EVERYTHING&amp;vid=01CRU&amp;lang=en_US&amp;offset=0&amp;query=any,contains,991002492929702656","Catalog Record")</f>
        <v>Catalog Record</v>
      </c>
      <c r="AT191" s="6" t="str">
        <f>HYPERLINK("http://www.worldcat.org/oclc/32431464","WorldCat Record")</f>
        <v>WorldCat Record</v>
      </c>
      <c r="AU191" s="3" t="s">
        <v>2409</v>
      </c>
      <c r="AV191" s="3" t="s">
        <v>2410</v>
      </c>
      <c r="AW191" s="3" t="s">
        <v>2411</v>
      </c>
      <c r="AX191" s="3" t="s">
        <v>2411</v>
      </c>
      <c r="AY191" s="3" t="s">
        <v>2412</v>
      </c>
      <c r="AZ191" s="3" t="s">
        <v>73</v>
      </c>
      <c r="BB191" s="3" t="s">
        <v>2413</v>
      </c>
      <c r="BC191" s="3" t="s">
        <v>2414</v>
      </c>
      <c r="BD191" s="3" t="s">
        <v>2415</v>
      </c>
    </row>
    <row r="192" spans="1:56" ht="51" customHeight="1" x14ac:dyDescent="0.25">
      <c r="A192" s="7" t="s">
        <v>58</v>
      </c>
      <c r="B192" s="2" t="s">
        <v>2416</v>
      </c>
      <c r="C192" s="2" t="s">
        <v>2417</v>
      </c>
      <c r="D192" s="2" t="s">
        <v>2418</v>
      </c>
      <c r="F192" s="3" t="s">
        <v>58</v>
      </c>
      <c r="G192" s="3" t="s">
        <v>59</v>
      </c>
      <c r="H192" s="3" t="s">
        <v>58</v>
      </c>
      <c r="I192" s="3" t="s">
        <v>58</v>
      </c>
      <c r="J192" s="3" t="s">
        <v>60</v>
      </c>
      <c r="K192" s="2" t="s">
        <v>2419</v>
      </c>
      <c r="L192" s="2" t="s">
        <v>2420</v>
      </c>
      <c r="M192" s="3" t="s">
        <v>101</v>
      </c>
      <c r="O192" s="3" t="s">
        <v>63</v>
      </c>
      <c r="P192" s="3" t="s">
        <v>584</v>
      </c>
      <c r="Q192" s="2" t="s">
        <v>2421</v>
      </c>
      <c r="R192" s="3" t="s">
        <v>65</v>
      </c>
      <c r="S192" s="4">
        <v>2</v>
      </c>
      <c r="T192" s="4">
        <v>2</v>
      </c>
      <c r="U192" s="5" t="s">
        <v>2422</v>
      </c>
      <c r="V192" s="5" t="s">
        <v>2422</v>
      </c>
      <c r="W192" s="5" t="s">
        <v>112</v>
      </c>
      <c r="X192" s="5" t="s">
        <v>112</v>
      </c>
      <c r="Y192" s="4">
        <v>798</v>
      </c>
      <c r="Z192" s="4">
        <v>608</v>
      </c>
      <c r="AA192" s="4">
        <v>616</v>
      </c>
      <c r="AB192" s="4">
        <v>3</v>
      </c>
      <c r="AC192" s="4">
        <v>3</v>
      </c>
      <c r="AD192" s="4">
        <v>32</v>
      </c>
      <c r="AE192" s="4">
        <v>32</v>
      </c>
      <c r="AF192" s="4">
        <v>13</v>
      </c>
      <c r="AG192" s="4">
        <v>13</v>
      </c>
      <c r="AH192" s="4">
        <v>6</v>
      </c>
      <c r="AI192" s="4">
        <v>6</v>
      </c>
      <c r="AJ192" s="4">
        <v>19</v>
      </c>
      <c r="AK192" s="4">
        <v>19</v>
      </c>
      <c r="AL192" s="4">
        <v>2</v>
      </c>
      <c r="AM192" s="4">
        <v>2</v>
      </c>
      <c r="AN192" s="4">
        <v>0</v>
      </c>
      <c r="AO192" s="4">
        <v>0</v>
      </c>
      <c r="AP192" s="3" t="s">
        <v>58</v>
      </c>
      <c r="AQ192" s="3" t="s">
        <v>58</v>
      </c>
      <c r="AS192" s="6" t="str">
        <f>HYPERLINK("https://creighton-primo.hosted.exlibrisgroup.com/primo-explore/search?tab=default_tab&amp;search_scope=EVERYTHING&amp;vid=01CRU&amp;lang=en_US&amp;offset=0&amp;query=any,contains,991000366949702656","Catalog Record")</f>
        <v>Catalog Record</v>
      </c>
      <c r="AT192" s="6" t="str">
        <f>HYPERLINK("http://www.worldcat.org/oclc/10403853","WorldCat Record")</f>
        <v>WorldCat Record</v>
      </c>
      <c r="AU192" s="3" t="s">
        <v>2423</v>
      </c>
      <c r="AV192" s="3" t="s">
        <v>2424</v>
      </c>
      <c r="AW192" s="3" t="s">
        <v>2425</v>
      </c>
      <c r="AX192" s="3" t="s">
        <v>2425</v>
      </c>
      <c r="AY192" s="3" t="s">
        <v>2426</v>
      </c>
      <c r="AZ192" s="3" t="s">
        <v>73</v>
      </c>
      <c r="BB192" s="3" t="s">
        <v>2427</v>
      </c>
      <c r="BC192" s="3" t="s">
        <v>2428</v>
      </c>
      <c r="BD192" s="3" t="s">
        <v>2429</v>
      </c>
    </row>
    <row r="193" spans="1:56" ht="51" customHeight="1" x14ac:dyDescent="0.25">
      <c r="A193" s="7" t="s">
        <v>58</v>
      </c>
      <c r="B193" s="2" t="s">
        <v>2430</v>
      </c>
      <c r="C193" s="2" t="s">
        <v>2431</v>
      </c>
      <c r="D193" s="2" t="s">
        <v>2432</v>
      </c>
      <c r="F193" s="3" t="s">
        <v>58</v>
      </c>
      <c r="G193" s="3" t="s">
        <v>59</v>
      </c>
      <c r="H193" s="3" t="s">
        <v>58</v>
      </c>
      <c r="I193" s="3" t="s">
        <v>58</v>
      </c>
      <c r="J193" s="3" t="s">
        <v>60</v>
      </c>
      <c r="K193" s="2" t="s">
        <v>2433</v>
      </c>
      <c r="L193" s="2" t="s">
        <v>2434</v>
      </c>
      <c r="M193" s="3" t="s">
        <v>261</v>
      </c>
      <c r="O193" s="3" t="s">
        <v>63</v>
      </c>
      <c r="P193" s="3" t="s">
        <v>1917</v>
      </c>
      <c r="Q193" s="2" t="s">
        <v>2435</v>
      </c>
      <c r="R193" s="3" t="s">
        <v>65</v>
      </c>
      <c r="S193" s="4">
        <v>1</v>
      </c>
      <c r="T193" s="4">
        <v>1</v>
      </c>
      <c r="U193" s="5" t="s">
        <v>2436</v>
      </c>
      <c r="V193" s="5" t="s">
        <v>2436</v>
      </c>
      <c r="W193" s="5" t="s">
        <v>2436</v>
      </c>
      <c r="X193" s="5" t="s">
        <v>2436</v>
      </c>
      <c r="Y193" s="4">
        <v>240</v>
      </c>
      <c r="Z193" s="4">
        <v>211</v>
      </c>
      <c r="AA193" s="4">
        <v>224</v>
      </c>
      <c r="AB193" s="4">
        <v>1</v>
      </c>
      <c r="AC193" s="4">
        <v>1</v>
      </c>
      <c r="AD193" s="4">
        <v>7</v>
      </c>
      <c r="AE193" s="4">
        <v>8</v>
      </c>
      <c r="AF193" s="4">
        <v>1</v>
      </c>
      <c r="AG193" s="4">
        <v>2</v>
      </c>
      <c r="AH193" s="4">
        <v>4</v>
      </c>
      <c r="AI193" s="4">
        <v>4</v>
      </c>
      <c r="AJ193" s="4">
        <v>4</v>
      </c>
      <c r="AK193" s="4">
        <v>5</v>
      </c>
      <c r="AL193" s="4">
        <v>0</v>
      </c>
      <c r="AM193" s="4">
        <v>0</v>
      </c>
      <c r="AN193" s="4">
        <v>0</v>
      </c>
      <c r="AO193" s="4">
        <v>0</v>
      </c>
      <c r="AP193" s="3" t="s">
        <v>58</v>
      </c>
      <c r="AQ193" s="3" t="s">
        <v>68</v>
      </c>
      <c r="AR193" s="6" t="str">
        <f>HYPERLINK("http://catalog.hathitrust.org/Record/000019558","HathiTrust Record")</f>
        <v>HathiTrust Record</v>
      </c>
      <c r="AS193" s="6" t="str">
        <f>HYPERLINK("https://creighton-primo.hosted.exlibrisgroup.com/primo-explore/search?tab=default_tab&amp;search_scope=EVERYTHING&amp;vid=01CRU&amp;lang=en_US&amp;offset=0&amp;query=any,contains,991003495399702656","Catalog Record")</f>
        <v>Catalog Record</v>
      </c>
      <c r="AT193" s="6" t="str">
        <f>HYPERLINK("http://www.worldcat.org/oclc/1045990","WorldCat Record")</f>
        <v>WorldCat Record</v>
      </c>
      <c r="AU193" s="3" t="s">
        <v>2437</v>
      </c>
      <c r="AV193" s="3" t="s">
        <v>2438</v>
      </c>
      <c r="AW193" s="3" t="s">
        <v>2439</v>
      </c>
      <c r="AX193" s="3" t="s">
        <v>2439</v>
      </c>
      <c r="AY193" s="3" t="s">
        <v>2440</v>
      </c>
      <c r="AZ193" s="3" t="s">
        <v>73</v>
      </c>
      <c r="BB193" s="3" t="s">
        <v>2441</v>
      </c>
      <c r="BC193" s="3" t="s">
        <v>2442</v>
      </c>
      <c r="BD193" s="3" t="s">
        <v>2443</v>
      </c>
    </row>
    <row r="194" spans="1:56" ht="51" customHeight="1" x14ac:dyDescent="0.25">
      <c r="A194" s="7" t="s">
        <v>58</v>
      </c>
      <c r="B194" s="2" t="s">
        <v>2444</v>
      </c>
      <c r="C194" s="2" t="s">
        <v>2445</v>
      </c>
      <c r="D194" s="2" t="s">
        <v>2446</v>
      </c>
      <c r="F194" s="3" t="s">
        <v>58</v>
      </c>
      <c r="G194" s="3" t="s">
        <v>59</v>
      </c>
      <c r="H194" s="3" t="s">
        <v>58</v>
      </c>
      <c r="I194" s="3" t="s">
        <v>58</v>
      </c>
      <c r="J194" s="3" t="s">
        <v>60</v>
      </c>
      <c r="K194" s="2" t="s">
        <v>2447</v>
      </c>
      <c r="L194" s="2" t="s">
        <v>2448</v>
      </c>
      <c r="M194" s="3" t="s">
        <v>1720</v>
      </c>
      <c r="O194" s="3" t="s">
        <v>63</v>
      </c>
      <c r="P194" s="3" t="s">
        <v>571</v>
      </c>
      <c r="R194" s="3" t="s">
        <v>65</v>
      </c>
      <c r="S194" s="4">
        <v>3</v>
      </c>
      <c r="T194" s="4">
        <v>3</v>
      </c>
      <c r="U194" s="5" t="s">
        <v>2449</v>
      </c>
      <c r="V194" s="5" t="s">
        <v>2449</v>
      </c>
      <c r="W194" s="5" t="s">
        <v>235</v>
      </c>
      <c r="X194" s="5" t="s">
        <v>235</v>
      </c>
      <c r="Y194" s="4">
        <v>144</v>
      </c>
      <c r="Z194" s="4">
        <v>89</v>
      </c>
      <c r="AA194" s="4">
        <v>90</v>
      </c>
      <c r="AB194" s="4">
        <v>1</v>
      </c>
      <c r="AC194" s="4">
        <v>1</v>
      </c>
      <c r="AD194" s="4">
        <v>6</v>
      </c>
      <c r="AE194" s="4">
        <v>6</v>
      </c>
      <c r="AF194" s="4">
        <v>2</v>
      </c>
      <c r="AG194" s="4">
        <v>2</v>
      </c>
      <c r="AH194" s="4">
        <v>2</v>
      </c>
      <c r="AI194" s="4">
        <v>2</v>
      </c>
      <c r="AJ194" s="4">
        <v>4</v>
      </c>
      <c r="AK194" s="4">
        <v>4</v>
      </c>
      <c r="AL194" s="4">
        <v>0</v>
      </c>
      <c r="AM194" s="4">
        <v>0</v>
      </c>
      <c r="AN194" s="4">
        <v>0</v>
      </c>
      <c r="AO194" s="4">
        <v>0</v>
      </c>
      <c r="AP194" s="3" t="s">
        <v>58</v>
      </c>
      <c r="AQ194" s="3" t="s">
        <v>58</v>
      </c>
      <c r="AS194" s="6" t="str">
        <f>HYPERLINK("https://creighton-primo.hosted.exlibrisgroup.com/primo-explore/search?tab=default_tab&amp;search_scope=EVERYTHING&amp;vid=01CRU&amp;lang=en_US&amp;offset=0&amp;query=any,contains,991004467659702656","Catalog Record")</f>
        <v>Catalog Record</v>
      </c>
      <c r="AT194" s="6" t="str">
        <f>HYPERLINK("http://www.worldcat.org/oclc/11674035","WorldCat Record")</f>
        <v>WorldCat Record</v>
      </c>
      <c r="AU194" s="3" t="s">
        <v>2450</v>
      </c>
      <c r="AV194" s="3" t="s">
        <v>2451</v>
      </c>
      <c r="AW194" s="3" t="s">
        <v>2452</v>
      </c>
      <c r="AX194" s="3" t="s">
        <v>2452</v>
      </c>
      <c r="AY194" s="3" t="s">
        <v>2453</v>
      </c>
      <c r="AZ194" s="3" t="s">
        <v>73</v>
      </c>
      <c r="BC194" s="3" t="s">
        <v>2454</v>
      </c>
      <c r="BD194" s="3" t="s">
        <v>2455</v>
      </c>
    </row>
    <row r="195" spans="1:56" ht="51" customHeight="1" x14ac:dyDescent="0.25">
      <c r="A195" s="7" t="s">
        <v>58</v>
      </c>
      <c r="B195" s="2" t="s">
        <v>2456</v>
      </c>
      <c r="C195" s="2" t="s">
        <v>2457</v>
      </c>
      <c r="D195" s="2" t="s">
        <v>2458</v>
      </c>
      <c r="F195" s="3" t="s">
        <v>58</v>
      </c>
      <c r="G195" s="3" t="s">
        <v>59</v>
      </c>
      <c r="H195" s="3" t="s">
        <v>58</v>
      </c>
      <c r="I195" s="3" t="s">
        <v>58</v>
      </c>
      <c r="J195" s="3" t="s">
        <v>60</v>
      </c>
      <c r="L195" s="2" t="s">
        <v>2459</v>
      </c>
      <c r="M195" s="3" t="s">
        <v>842</v>
      </c>
      <c r="O195" s="3" t="s">
        <v>2030</v>
      </c>
      <c r="P195" s="3" t="s">
        <v>2031</v>
      </c>
      <c r="Q195" s="2" t="s">
        <v>2460</v>
      </c>
      <c r="R195" s="3" t="s">
        <v>65</v>
      </c>
      <c r="S195" s="4">
        <v>3</v>
      </c>
      <c r="T195" s="4">
        <v>3</v>
      </c>
      <c r="U195" s="5" t="s">
        <v>2461</v>
      </c>
      <c r="V195" s="5" t="s">
        <v>2461</v>
      </c>
      <c r="W195" s="5" t="s">
        <v>112</v>
      </c>
      <c r="X195" s="5" t="s">
        <v>112</v>
      </c>
      <c r="Y195" s="4">
        <v>5</v>
      </c>
      <c r="Z195" s="4">
        <v>3</v>
      </c>
      <c r="AA195" s="4">
        <v>3</v>
      </c>
      <c r="AB195" s="4">
        <v>1</v>
      </c>
      <c r="AC195" s="4">
        <v>1</v>
      </c>
      <c r="AD195" s="4">
        <v>0</v>
      </c>
      <c r="AE195" s="4">
        <v>0</v>
      </c>
      <c r="AF195" s="4">
        <v>0</v>
      </c>
      <c r="AG195" s="4">
        <v>0</v>
      </c>
      <c r="AH195" s="4">
        <v>0</v>
      </c>
      <c r="AI195" s="4">
        <v>0</v>
      </c>
      <c r="AJ195" s="4">
        <v>0</v>
      </c>
      <c r="AK195" s="4">
        <v>0</v>
      </c>
      <c r="AL195" s="4">
        <v>0</v>
      </c>
      <c r="AM195" s="4">
        <v>0</v>
      </c>
      <c r="AN195" s="4">
        <v>0</v>
      </c>
      <c r="AO195" s="4">
        <v>0</v>
      </c>
      <c r="AP195" s="3" t="s">
        <v>58</v>
      </c>
      <c r="AQ195" s="3" t="s">
        <v>58</v>
      </c>
      <c r="AS195" s="6" t="str">
        <f>HYPERLINK("https://creighton-primo.hosted.exlibrisgroup.com/primo-explore/search?tab=default_tab&amp;search_scope=EVERYTHING&amp;vid=01CRU&amp;lang=en_US&amp;offset=0&amp;query=any,contains,991000830369702656","Catalog Record")</f>
        <v>Catalog Record</v>
      </c>
      <c r="AT195" s="6" t="str">
        <f>HYPERLINK("http://www.worldcat.org/oclc/13449952","WorldCat Record")</f>
        <v>WorldCat Record</v>
      </c>
      <c r="AU195" s="3" t="s">
        <v>2462</v>
      </c>
      <c r="AV195" s="3" t="s">
        <v>2463</v>
      </c>
      <c r="AW195" s="3" t="s">
        <v>2464</v>
      </c>
      <c r="AX195" s="3" t="s">
        <v>2464</v>
      </c>
      <c r="AY195" s="3" t="s">
        <v>2465</v>
      </c>
      <c r="AZ195" s="3" t="s">
        <v>73</v>
      </c>
      <c r="BC195" s="3" t="s">
        <v>2466</v>
      </c>
      <c r="BD195" s="3" t="s">
        <v>2467</v>
      </c>
    </row>
    <row r="196" spans="1:56" ht="51" customHeight="1" x14ac:dyDescent="0.25">
      <c r="A196" s="7" t="s">
        <v>58</v>
      </c>
      <c r="B196" s="2" t="s">
        <v>2468</v>
      </c>
      <c r="C196" s="2" t="s">
        <v>2469</v>
      </c>
      <c r="D196" s="2" t="s">
        <v>2470</v>
      </c>
      <c r="F196" s="3" t="s">
        <v>58</v>
      </c>
      <c r="G196" s="3" t="s">
        <v>59</v>
      </c>
      <c r="H196" s="3" t="s">
        <v>58</v>
      </c>
      <c r="I196" s="3" t="s">
        <v>58</v>
      </c>
      <c r="J196" s="3" t="s">
        <v>60</v>
      </c>
      <c r="K196" s="2" t="s">
        <v>2471</v>
      </c>
      <c r="L196" s="2" t="s">
        <v>2472</v>
      </c>
      <c r="M196" s="3" t="s">
        <v>479</v>
      </c>
      <c r="N196" s="2" t="s">
        <v>338</v>
      </c>
      <c r="O196" s="3" t="s">
        <v>63</v>
      </c>
      <c r="P196" s="3" t="s">
        <v>214</v>
      </c>
      <c r="R196" s="3" t="s">
        <v>65</v>
      </c>
      <c r="S196" s="4">
        <v>2</v>
      </c>
      <c r="T196" s="4">
        <v>2</v>
      </c>
      <c r="U196" s="5" t="s">
        <v>2473</v>
      </c>
      <c r="V196" s="5" t="s">
        <v>2473</v>
      </c>
      <c r="W196" s="5" t="s">
        <v>2474</v>
      </c>
      <c r="X196" s="5" t="s">
        <v>2474</v>
      </c>
      <c r="Y196" s="4">
        <v>776</v>
      </c>
      <c r="Z196" s="4">
        <v>713</v>
      </c>
      <c r="AA196" s="4">
        <v>964</v>
      </c>
      <c r="AB196" s="4">
        <v>7</v>
      </c>
      <c r="AC196" s="4">
        <v>11</v>
      </c>
      <c r="AD196" s="4">
        <v>27</v>
      </c>
      <c r="AE196" s="4">
        <v>34</v>
      </c>
      <c r="AF196" s="4">
        <v>6</v>
      </c>
      <c r="AG196" s="4">
        <v>8</v>
      </c>
      <c r="AH196" s="4">
        <v>6</v>
      </c>
      <c r="AI196" s="4">
        <v>8</v>
      </c>
      <c r="AJ196" s="4">
        <v>16</v>
      </c>
      <c r="AK196" s="4">
        <v>17</v>
      </c>
      <c r="AL196" s="4">
        <v>6</v>
      </c>
      <c r="AM196" s="4">
        <v>9</v>
      </c>
      <c r="AN196" s="4">
        <v>0</v>
      </c>
      <c r="AO196" s="4">
        <v>0</v>
      </c>
      <c r="AP196" s="3" t="s">
        <v>58</v>
      </c>
      <c r="AQ196" s="3" t="s">
        <v>68</v>
      </c>
      <c r="AR196" s="6" t="str">
        <f>HYPERLINK("http://catalog.hathitrust.org/Record/002905725","HathiTrust Record")</f>
        <v>HathiTrust Record</v>
      </c>
      <c r="AS196" s="6" t="str">
        <f>HYPERLINK("https://creighton-primo.hosted.exlibrisgroup.com/primo-explore/search?tab=default_tab&amp;search_scope=EVERYTHING&amp;vid=01CRU&amp;lang=en_US&amp;offset=0&amp;query=any,contains,991002352179702656","Catalog Record")</f>
        <v>Catalog Record</v>
      </c>
      <c r="AT196" s="6" t="str">
        <f>HYPERLINK("http://www.worldcat.org/oclc/30624376","WorldCat Record")</f>
        <v>WorldCat Record</v>
      </c>
      <c r="AU196" s="3" t="s">
        <v>2475</v>
      </c>
      <c r="AV196" s="3" t="s">
        <v>2476</v>
      </c>
      <c r="AW196" s="3" t="s">
        <v>2477</v>
      </c>
      <c r="AX196" s="3" t="s">
        <v>2477</v>
      </c>
      <c r="AY196" s="3" t="s">
        <v>2478</v>
      </c>
      <c r="AZ196" s="3" t="s">
        <v>73</v>
      </c>
      <c r="BB196" s="3" t="s">
        <v>2479</v>
      </c>
      <c r="BC196" s="3" t="s">
        <v>2480</v>
      </c>
      <c r="BD196" s="3" t="s">
        <v>2481</v>
      </c>
    </row>
    <row r="197" spans="1:56" ht="51" customHeight="1" x14ac:dyDescent="0.25">
      <c r="A197" s="7" t="s">
        <v>58</v>
      </c>
      <c r="B197" s="2" t="s">
        <v>2482</v>
      </c>
      <c r="C197" s="2" t="s">
        <v>2483</v>
      </c>
      <c r="D197" s="2" t="s">
        <v>2484</v>
      </c>
      <c r="F197" s="3" t="s">
        <v>58</v>
      </c>
      <c r="G197" s="3" t="s">
        <v>59</v>
      </c>
      <c r="H197" s="3" t="s">
        <v>58</v>
      </c>
      <c r="I197" s="3" t="s">
        <v>58</v>
      </c>
      <c r="J197" s="3" t="s">
        <v>60</v>
      </c>
      <c r="K197" s="2" t="s">
        <v>2485</v>
      </c>
      <c r="L197" s="2" t="s">
        <v>2486</v>
      </c>
      <c r="M197" s="3" t="s">
        <v>397</v>
      </c>
      <c r="O197" s="3" t="s">
        <v>63</v>
      </c>
      <c r="P197" s="3" t="s">
        <v>214</v>
      </c>
      <c r="R197" s="3" t="s">
        <v>65</v>
      </c>
      <c r="S197" s="4">
        <v>18</v>
      </c>
      <c r="T197" s="4">
        <v>18</v>
      </c>
      <c r="U197" s="5" t="s">
        <v>1444</v>
      </c>
      <c r="V197" s="5" t="s">
        <v>1444</v>
      </c>
      <c r="W197" s="5" t="s">
        <v>112</v>
      </c>
      <c r="X197" s="5" t="s">
        <v>112</v>
      </c>
      <c r="Y197" s="4">
        <v>227</v>
      </c>
      <c r="Z197" s="4">
        <v>194</v>
      </c>
      <c r="AA197" s="4">
        <v>199</v>
      </c>
      <c r="AB197" s="4">
        <v>2</v>
      </c>
      <c r="AC197" s="4">
        <v>2</v>
      </c>
      <c r="AD197" s="4">
        <v>15</v>
      </c>
      <c r="AE197" s="4">
        <v>15</v>
      </c>
      <c r="AF197" s="4">
        <v>4</v>
      </c>
      <c r="AG197" s="4">
        <v>4</v>
      </c>
      <c r="AH197" s="4">
        <v>4</v>
      </c>
      <c r="AI197" s="4">
        <v>4</v>
      </c>
      <c r="AJ197" s="4">
        <v>9</v>
      </c>
      <c r="AK197" s="4">
        <v>9</v>
      </c>
      <c r="AL197" s="4">
        <v>1</v>
      </c>
      <c r="AM197" s="4">
        <v>1</v>
      </c>
      <c r="AN197" s="4">
        <v>0</v>
      </c>
      <c r="AO197" s="4">
        <v>0</v>
      </c>
      <c r="AP197" s="3" t="s">
        <v>58</v>
      </c>
      <c r="AQ197" s="3" t="s">
        <v>58</v>
      </c>
      <c r="AS197" s="6" t="str">
        <f>HYPERLINK("https://creighton-primo.hosted.exlibrisgroup.com/primo-explore/search?tab=default_tab&amp;search_scope=EVERYTHING&amp;vid=01CRU&amp;lang=en_US&amp;offset=0&amp;query=any,contains,991000772669702656","Catalog Record")</f>
        <v>Catalog Record</v>
      </c>
      <c r="AT197" s="6" t="str">
        <f>HYPERLINK("http://www.worldcat.org/oclc/13038489","WorldCat Record")</f>
        <v>WorldCat Record</v>
      </c>
      <c r="AU197" s="3" t="s">
        <v>2487</v>
      </c>
      <c r="AV197" s="3" t="s">
        <v>2488</v>
      </c>
      <c r="AW197" s="3" t="s">
        <v>2489</v>
      </c>
      <c r="AX197" s="3" t="s">
        <v>2489</v>
      </c>
      <c r="AY197" s="3" t="s">
        <v>2490</v>
      </c>
      <c r="AZ197" s="3" t="s">
        <v>73</v>
      </c>
      <c r="BB197" s="3" t="s">
        <v>2491</v>
      </c>
      <c r="BC197" s="3" t="s">
        <v>2492</v>
      </c>
      <c r="BD197" s="3" t="s">
        <v>2493</v>
      </c>
    </row>
    <row r="198" spans="1:56" ht="51" customHeight="1" x14ac:dyDescent="0.25">
      <c r="A198" s="7" t="s">
        <v>58</v>
      </c>
      <c r="B198" s="2" t="s">
        <v>2494</v>
      </c>
      <c r="C198" s="2" t="s">
        <v>2495</v>
      </c>
      <c r="D198" s="2" t="s">
        <v>2496</v>
      </c>
      <c r="F198" s="3" t="s">
        <v>58</v>
      </c>
      <c r="G198" s="3" t="s">
        <v>59</v>
      </c>
      <c r="H198" s="3" t="s">
        <v>58</v>
      </c>
      <c r="I198" s="3" t="s">
        <v>58</v>
      </c>
      <c r="J198" s="3" t="s">
        <v>60</v>
      </c>
      <c r="K198" s="2" t="s">
        <v>2497</v>
      </c>
      <c r="L198" s="2" t="s">
        <v>2498</v>
      </c>
      <c r="M198" s="3" t="s">
        <v>842</v>
      </c>
      <c r="O198" s="3" t="s">
        <v>63</v>
      </c>
      <c r="P198" s="3" t="s">
        <v>760</v>
      </c>
      <c r="R198" s="3" t="s">
        <v>65</v>
      </c>
      <c r="S198" s="4">
        <v>4</v>
      </c>
      <c r="T198" s="4">
        <v>4</v>
      </c>
      <c r="U198" s="5" t="s">
        <v>2499</v>
      </c>
      <c r="V198" s="5" t="s">
        <v>2499</v>
      </c>
      <c r="W198" s="5" t="s">
        <v>2282</v>
      </c>
      <c r="X198" s="5" t="s">
        <v>2282</v>
      </c>
      <c r="Y198" s="4">
        <v>309</v>
      </c>
      <c r="Z198" s="4">
        <v>270</v>
      </c>
      <c r="AA198" s="4">
        <v>276</v>
      </c>
      <c r="AB198" s="4">
        <v>1</v>
      </c>
      <c r="AC198" s="4">
        <v>1</v>
      </c>
      <c r="AD198" s="4">
        <v>13</v>
      </c>
      <c r="AE198" s="4">
        <v>13</v>
      </c>
      <c r="AF198" s="4">
        <v>5</v>
      </c>
      <c r="AG198" s="4">
        <v>5</v>
      </c>
      <c r="AH198" s="4">
        <v>5</v>
      </c>
      <c r="AI198" s="4">
        <v>5</v>
      </c>
      <c r="AJ198" s="4">
        <v>6</v>
      </c>
      <c r="AK198" s="4">
        <v>6</v>
      </c>
      <c r="AL198" s="4">
        <v>0</v>
      </c>
      <c r="AM198" s="4">
        <v>0</v>
      </c>
      <c r="AN198" s="4">
        <v>0</v>
      </c>
      <c r="AO198" s="4">
        <v>0</v>
      </c>
      <c r="AP198" s="3" t="s">
        <v>58</v>
      </c>
      <c r="AQ198" s="3" t="s">
        <v>68</v>
      </c>
      <c r="AR198" s="6" t="str">
        <f>HYPERLINK("http://catalog.hathitrust.org/Record/000763402","HathiTrust Record")</f>
        <v>HathiTrust Record</v>
      </c>
      <c r="AS198" s="6" t="str">
        <f>HYPERLINK("https://creighton-primo.hosted.exlibrisgroup.com/primo-explore/search?tab=default_tab&amp;search_scope=EVERYTHING&amp;vid=01CRU&amp;lang=en_US&amp;offset=0&amp;query=any,contains,991005079859702656","Catalog Record")</f>
        <v>Catalog Record</v>
      </c>
      <c r="AT198" s="6" t="str">
        <f>HYPERLINK("http://www.worldcat.org/oclc/7170385","WorldCat Record")</f>
        <v>WorldCat Record</v>
      </c>
      <c r="AU198" s="3" t="s">
        <v>2500</v>
      </c>
      <c r="AV198" s="3" t="s">
        <v>2501</v>
      </c>
      <c r="AW198" s="3" t="s">
        <v>2502</v>
      </c>
      <c r="AX198" s="3" t="s">
        <v>2502</v>
      </c>
      <c r="AY198" s="3" t="s">
        <v>2503</v>
      </c>
      <c r="AZ198" s="3" t="s">
        <v>73</v>
      </c>
      <c r="BB198" s="3" t="s">
        <v>2504</v>
      </c>
      <c r="BC198" s="3" t="s">
        <v>2505</v>
      </c>
      <c r="BD198" s="3" t="s">
        <v>2506</v>
      </c>
    </row>
    <row r="199" spans="1:56" ht="51" customHeight="1" x14ac:dyDescent="0.25">
      <c r="A199" s="7" t="s">
        <v>58</v>
      </c>
      <c r="B199" s="2" t="s">
        <v>2507</v>
      </c>
      <c r="C199" s="2" t="s">
        <v>2508</v>
      </c>
      <c r="D199" s="2" t="s">
        <v>2509</v>
      </c>
      <c r="F199" s="3" t="s">
        <v>58</v>
      </c>
      <c r="G199" s="3" t="s">
        <v>59</v>
      </c>
      <c r="H199" s="3" t="s">
        <v>58</v>
      </c>
      <c r="I199" s="3" t="s">
        <v>58</v>
      </c>
      <c r="J199" s="3" t="s">
        <v>60</v>
      </c>
      <c r="K199" s="2" t="s">
        <v>2510</v>
      </c>
      <c r="L199" s="2" t="s">
        <v>2511</v>
      </c>
      <c r="M199" s="3" t="s">
        <v>1399</v>
      </c>
      <c r="O199" s="3" t="s">
        <v>63</v>
      </c>
      <c r="P199" s="3" t="s">
        <v>584</v>
      </c>
      <c r="Q199" s="2" t="s">
        <v>2512</v>
      </c>
      <c r="R199" s="3" t="s">
        <v>65</v>
      </c>
      <c r="S199" s="4">
        <v>20</v>
      </c>
      <c r="T199" s="4">
        <v>20</v>
      </c>
      <c r="U199" s="5" t="s">
        <v>2513</v>
      </c>
      <c r="V199" s="5" t="s">
        <v>2513</v>
      </c>
      <c r="W199" s="5" t="s">
        <v>1273</v>
      </c>
      <c r="X199" s="5" t="s">
        <v>1273</v>
      </c>
      <c r="Y199" s="4">
        <v>290</v>
      </c>
      <c r="Z199" s="4">
        <v>194</v>
      </c>
      <c r="AA199" s="4">
        <v>195</v>
      </c>
      <c r="AB199" s="4">
        <v>2</v>
      </c>
      <c r="AC199" s="4">
        <v>2</v>
      </c>
      <c r="AD199" s="4">
        <v>10</v>
      </c>
      <c r="AE199" s="4">
        <v>10</v>
      </c>
      <c r="AF199" s="4">
        <v>2</v>
      </c>
      <c r="AG199" s="4">
        <v>2</v>
      </c>
      <c r="AH199" s="4">
        <v>4</v>
      </c>
      <c r="AI199" s="4">
        <v>4</v>
      </c>
      <c r="AJ199" s="4">
        <v>4</v>
      </c>
      <c r="AK199" s="4">
        <v>4</v>
      </c>
      <c r="AL199" s="4">
        <v>1</v>
      </c>
      <c r="AM199" s="4">
        <v>1</v>
      </c>
      <c r="AN199" s="4">
        <v>0</v>
      </c>
      <c r="AO199" s="4">
        <v>0</v>
      </c>
      <c r="AP199" s="3" t="s">
        <v>58</v>
      </c>
      <c r="AQ199" s="3" t="s">
        <v>68</v>
      </c>
      <c r="AR199" s="6" t="str">
        <f>HYPERLINK("http://catalog.hathitrust.org/Record/002164452","HathiTrust Record")</f>
        <v>HathiTrust Record</v>
      </c>
      <c r="AS199" s="6" t="str">
        <f>HYPERLINK("https://creighton-primo.hosted.exlibrisgroup.com/primo-explore/search?tab=default_tab&amp;search_scope=EVERYTHING&amp;vid=01CRU&amp;lang=en_US&amp;offset=0&amp;query=any,contains,991001399459702656","Catalog Record")</f>
        <v>Catalog Record</v>
      </c>
      <c r="AT199" s="6" t="str">
        <f>HYPERLINK("http://www.worldcat.org/oclc/18815413","WorldCat Record")</f>
        <v>WorldCat Record</v>
      </c>
      <c r="AU199" s="3" t="s">
        <v>2514</v>
      </c>
      <c r="AV199" s="3" t="s">
        <v>2515</v>
      </c>
      <c r="AW199" s="3" t="s">
        <v>2516</v>
      </c>
      <c r="AX199" s="3" t="s">
        <v>2516</v>
      </c>
      <c r="AY199" s="3" t="s">
        <v>2517</v>
      </c>
      <c r="AZ199" s="3" t="s">
        <v>73</v>
      </c>
      <c r="BB199" s="3" t="s">
        <v>2518</v>
      </c>
      <c r="BC199" s="3" t="s">
        <v>2519</v>
      </c>
      <c r="BD199" s="3" t="s">
        <v>2520</v>
      </c>
    </row>
    <row r="200" spans="1:56" ht="51" customHeight="1" x14ac:dyDescent="0.25">
      <c r="A200" s="7" t="s">
        <v>58</v>
      </c>
      <c r="B200" s="2" t="s">
        <v>2521</v>
      </c>
      <c r="C200" s="2" t="s">
        <v>2522</v>
      </c>
      <c r="D200" s="2" t="s">
        <v>2523</v>
      </c>
      <c r="F200" s="3" t="s">
        <v>58</v>
      </c>
      <c r="G200" s="3" t="s">
        <v>59</v>
      </c>
      <c r="H200" s="3" t="s">
        <v>58</v>
      </c>
      <c r="I200" s="3" t="s">
        <v>58</v>
      </c>
      <c r="J200" s="3" t="s">
        <v>60</v>
      </c>
      <c r="L200" s="2" t="s">
        <v>2524</v>
      </c>
      <c r="M200" s="3" t="s">
        <v>1061</v>
      </c>
      <c r="O200" s="3" t="s">
        <v>63</v>
      </c>
      <c r="P200" s="3" t="s">
        <v>214</v>
      </c>
      <c r="R200" s="3" t="s">
        <v>65</v>
      </c>
      <c r="S200" s="4">
        <v>1</v>
      </c>
      <c r="T200" s="4">
        <v>1</v>
      </c>
      <c r="U200" s="5" t="s">
        <v>2525</v>
      </c>
      <c r="V200" s="5" t="s">
        <v>2525</v>
      </c>
      <c r="W200" s="5" t="s">
        <v>2525</v>
      </c>
      <c r="X200" s="5" t="s">
        <v>2525</v>
      </c>
      <c r="Y200" s="4">
        <v>776</v>
      </c>
      <c r="Z200" s="4">
        <v>742</v>
      </c>
      <c r="AA200" s="4">
        <v>819</v>
      </c>
      <c r="AB200" s="4">
        <v>5</v>
      </c>
      <c r="AC200" s="4">
        <v>5</v>
      </c>
      <c r="AD200" s="4">
        <v>20</v>
      </c>
      <c r="AE200" s="4">
        <v>21</v>
      </c>
      <c r="AF200" s="4">
        <v>8</v>
      </c>
      <c r="AG200" s="4">
        <v>8</v>
      </c>
      <c r="AH200" s="4">
        <v>3</v>
      </c>
      <c r="AI200" s="4">
        <v>4</v>
      </c>
      <c r="AJ200" s="4">
        <v>10</v>
      </c>
      <c r="AK200" s="4">
        <v>11</v>
      </c>
      <c r="AL200" s="4">
        <v>2</v>
      </c>
      <c r="AM200" s="4">
        <v>2</v>
      </c>
      <c r="AN200" s="4">
        <v>0</v>
      </c>
      <c r="AO200" s="4">
        <v>0</v>
      </c>
      <c r="AP200" s="3" t="s">
        <v>58</v>
      </c>
      <c r="AQ200" s="3" t="s">
        <v>68</v>
      </c>
      <c r="AR200" s="6" t="str">
        <f>HYPERLINK("http://catalog.hathitrust.org/Record/003954869","HathiTrust Record")</f>
        <v>HathiTrust Record</v>
      </c>
      <c r="AS200" s="6" t="str">
        <f>HYPERLINK("https://creighton-primo.hosted.exlibrisgroup.com/primo-explore/search?tab=default_tab&amp;search_scope=EVERYTHING&amp;vid=01CRU&amp;lang=en_US&amp;offset=0&amp;query=any,contains,991005233609702656","Catalog Record")</f>
        <v>Catalog Record</v>
      </c>
      <c r="AT200" s="6" t="str">
        <f>HYPERLINK("http://www.worldcat.org/oclc/37629838","WorldCat Record")</f>
        <v>WorldCat Record</v>
      </c>
      <c r="AU200" s="3" t="s">
        <v>2526</v>
      </c>
      <c r="AV200" s="3" t="s">
        <v>2527</v>
      </c>
      <c r="AW200" s="3" t="s">
        <v>2528</v>
      </c>
      <c r="AX200" s="3" t="s">
        <v>2528</v>
      </c>
      <c r="AY200" s="3" t="s">
        <v>2529</v>
      </c>
      <c r="AZ200" s="3" t="s">
        <v>73</v>
      </c>
      <c r="BB200" s="3" t="s">
        <v>2530</v>
      </c>
      <c r="BC200" s="3" t="s">
        <v>2531</v>
      </c>
      <c r="BD200" s="3" t="s">
        <v>2532</v>
      </c>
    </row>
    <row r="201" spans="1:56" ht="51" customHeight="1" x14ac:dyDescent="0.25">
      <c r="A201" s="7" t="s">
        <v>58</v>
      </c>
      <c r="B201" s="2" t="s">
        <v>2533</v>
      </c>
      <c r="C201" s="2" t="s">
        <v>2534</v>
      </c>
      <c r="D201" s="2" t="s">
        <v>2535</v>
      </c>
      <c r="F201" s="3" t="s">
        <v>58</v>
      </c>
      <c r="G201" s="3" t="s">
        <v>59</v>
      </c>
      <c r="H201" s="3" t="s">
        <v>58</v>
      </c>
      <c r="I201" s="3" t="s">
        <v>58</v>
      </c>
      <c r="J201" s="3" t="s">
        <v>60</v>
      </c>
      <c r="L201" s="2" t="s">
        <v>2536</v>
      </c>
      <c r="M201" s="3" t="s">
        <v>1784</v>
      </c>
      <c r="O201" s="3" t="s">
        <v>63</v>
      </c>
      <c r="P201" s="3" t="s">
        <v>214</v>
      </c>
      <c r="R201" s="3" t="s">
        <v>65</v>
      </c>
      <c r="S201" s="4">
        <v>8</v>
      </c>
      <c r="T201" s="4">
        <v>8</v>
      </c>
      <c r="U201" s="5" t="s">
        <v>2537</v>
      </c>
      <c r="V201" s="5" t="s">
        <v>2537</v>
      </c>
      <c r="W201" s="5" t="s">
        <v>112</v>
      </c>
      <c r="X201" s="5" t="s">
        <v>112</v>
      </c>
      <c r="Y201" s="4">
        <v>796</v>
      </c>
      <c r="Z201" s="4">
        <v>740</v>
      </c>
      <c r="AA201" s="4">
        <v>825</v>
      </c>
      <c r="AB201" s="4">
        <v>5</v>
      </c>
      <c r="AC201" s="4">
        <v>5</v>
      </c>
      <c r="AD201" s="4">
        <v>24</v>
      </c>
      <c r="AE201" s="4">
        <v>26</v>
      </c>
      <c r="AF201" s="4">
        <v>14</v>
      </c>
      <c r="AG201" s="4">
        <v>15</v>
      </c>
      <c r="AH201" s="4">
        <v>5</v>
      </c>
      <c r="AI201" s="4">
        <v>6</v>
      </c>
      <c r="AJ201" s="4">
        <v>9</v>
      </c>
      <c r="AK201" s="4">
        <v>11</v>
      </c>
      <c r="AL201" s="4">
        <v>0</v>
      </c>
      <c r="AM201" s="4">
        <v>0</v>
      </c>
      <c r="AN201" s="4">
        <v>0</v>
      </c>
      <c r="AO201" s="4">
        <v>0</v>
      </c>
      <c r="AP201" s="3" t="s">
        <v>58</v>
      </c>
      <c r="AQ201" s="3" t="s">
        <v>68</v>
      </c>
      <c r="AR201" s="6" t="str">
        <f>HYPERLINK("http://catalog.hathitrust.org/Record/000685721","HathiTrust Record")</f>
        <v>HathiTrust Record</v>
      </c>
      <c r="AS201" s="6" t="str">
        <f>HYPERLINK("https://creighton-primo.hosted.exlibrisgroup.com/primo-explore/search?tab=default_tab&amp;search_scope=EVERYTHING&amp;vid=01CRU&amp;lang=en_US&amp;offset=0&amp;query=any,contains,991004677379702656","Catalog Record")</f>
        <v>Catalog Record</v>
      </c>
      <c r="AT201" s="6" t="str">
        <f>HYPERLINK("http://www.worldcat.org/oclc/4549408","WorldCat Record")</f>
        <v>WorldCat Record</v>
      </c>
      <c r="AU201" s="3" t="s">
        <v>2538</v>
      </c>
      <c r="AV201" s="3" t="s">
        <v>2539</v>
      </c>
      <c r="AW201" s="3" t="s">
        <v>2540</v>
      </c>
      <c r="AX201" s="3" t="s">
        <v>2540</v>
      </c>
      <c r="AY201" s="3" t="s">
        <v>2541</v>
      </c>
      <c r="AZ201" s="3" t="s">
        <v>73</v>
      </c>
      <c r="BB201" s="3" t="s">
        <v>2542</v>
      </c>
      <c r="BC201" s="3" t="s">
        <v>2543</v>
      </c>
      <c r="BD201" s="3" t="s">
        <v>2544</v>
      </c>
    </row>
    <row r="202" spans="1:56" ht="51" customHeight="1" x14ac:dyDescent="0.25">
      <c r="A202" s="7" t="s">
        <v>58</v>
      </c>
      <c r="B202" s="2" t="s">
        <v>2545</v>
      </c>
      <c r="C202" s="2" t="s">
        <v>2546</v>
      </c>
      <c r="D202" s="2" t="s">
        <v>2547</v>
      </c>
      <c r="F202" s="3" t="s">
        <v>58</v>
      </c>
      <c r="G202" s="3" t="s">
        <v>59</v>
      </c>
      <c r="H202" s="3" t="s">
        <v>58</v>
      </c>
      <c r="I202" s="3" t="s">
        <v>58</v>
      </c>
      <c r="J202" s="3" t="s">
        <v>60</v>
      </c>
      <c r="K202" s="2" t="s">
        <v>2548</v>
      </c>
      <c r="L202" s="2" t="s">
        <v>2549</v>
      </c>
      <c r="M202" s="3" t="s">
        <v>353</v>
      </c>
      <c r="N202" s="2" t="s">
        <v>870</v>
      </c>
      <c r="O202" s="3" t="s">
        <v>63</v>
      </c>
      <c r="P202" s="3" t="s">
        <v>214</v>
      </c>
      <c r="R202" s="3" t="s">
        <v>65</v>
      </c>
      <c r="S202" s="4">
        <v>4</v>
      </c>
      <c r="T202" s="4">
        <v>4</v>
      </c>
      <c r="U202" s="5" t="s">
        <v>2550</v>
      </c>
      <c r="V202" s="5" t="s">
        <v>2550</v>
      </c>
      <c r="W202" s="5" t="s">
        <v>585</v>
      </c>
      <c r="X202" s="5" t="s">
        <v>585</v>
      </c>
      <c r="Y202" s="4">
        <v>1874</v>
      </c>
      <c r="Z202" s="4">
        <v>1750</v>
      </c>
      <c r="AA202" s="4">
        <v>2122</v>
      </c>
      <c r="AB202" s="4">
        <v>7</v>
      </c>
      <c r="AC202" s="4">
        <v>9</v>
      </c>
      <c r="AD202" s="4">
        <v>44</v>
      </c>
      <c r="AE202" s="4">
        <v>49</v>
      </c>
      <c r="AF202" s="4">
        <v>20</v>
      </c>
      <c r="AG202" s="4">
        <v>22</v>
      </c>
      <c r="AH202" s="4">
        <v>9</v>
      </c>
      <c r="AI202" s="4">
        <v>9</v>
      </c>
      <c r="AJ202" s="4">
        <v>22</v>
      </c>
      <c r="AK202" s="4">
        <v>25</v>
      </c>
      <c r="AL202" s="4">
        <v>4</v>
      </c>
      <c r="AM202" s="4">
        <v>5</v>
      </c>
      <c r="AN202" s="4">
        <v>0</v>
      </c>
      <c r="AO202" s="4">
        <v>0</v>
      </c>
      <c r="AP202" s="3" t="s">
        <v>58</v>
      </c>
      <c r="AQ202" s="3" t="s">
        <v>58</v>
      </c>
      <c r="AS202" s="6" t="str">
        <f>HYPERLINK("https://creighton-primo.hosted.exlibrisgroup.com/primo-explore/search?tab=default_tab&amp;search_scope=EVERYTHING&amp;vid=01CRU&amp;lang=en_US&amp;offset=0&amp;query=any,contains,991001010669702656","Catalog Record")</f>
        <v>Catalog Record</v>
      </c>
      <c r="AT202" s="6" t="str">
        <f>HYPERLINK("http://www.worldcat.org/oclc/15282826","WorldCat Record")</f>
        <v>WorldCat Record</v>
      </c>
      <c r="AU202" s="3" t="s">
        <v>2551</v>
      </c>
      <c r="AV202" s="3" t="s">
        <v>2552</v>
      </c>
      <c r="AW202" s="3" t="s">
        <v>2553</v>
      </c>
      <c r="AX202" s="3" t="s">
        <v>2553</v>
      </c>
      <c r="AY202" s="3" t="s">
        <v>2554</v>
      </c>
      <c r="AZ202" s="3" t="s">
        <v>73</v>
      </c>
      <c r="BB202" s="3" t="s">
        <v>2555</v>
      </c>
      <c r="BC202" s="3" t="s">
        <v>2556</v>
      </c>
      <c r="BD202" s="3" t="s">
        <v>2557</v>
      </c>
    </row>
    <row r="203" spans="1:56" ht="51" customHeight="1" x14ac:dyDescent="0.25">
      <c r="A203" s="7" t="s">
        <v>58</v>
      </c>
      <c r="B203" s="2" t="s">
        <v>2558</v>
      </c>
      <c r="C203" s="2" t="s">
        <v>2559</v>
      </c>
      <c r="D203" s="2" t="s">
        <v>2560</v>
      </c>
      <c r="F203" s="3" t="s">
        <v>58</v>
      </c>
      <c r="G203" s="3" t="s">
        <v>59</v>
      </c>
      <c r="H203" s="3" t="s">
        <v>58</v>
      </c>
      <c r="I203" s="3" t="s">
        <v>58</v>
      </c>
      <c r="J203" s="3" t="s">
        <v>60</v>
      </c>
      <c r="K203" s="2" t="s">
        <v>2561</v>
      </c>
      <c r="L203" s="2" t="s">
        <v>2562</v>
      </c>
      <c r="M203" s="3" t="s">
        <v>2132</v>
      </c>
      <c r="O203" s="3" t="s">
        <v>63</v>
      </c>
      <c r="P203" s="3" t="s">
        <v>214</v>
      </c>
      <c r="R203" s="3" t="s">
        <v>65</v>
      </c>
      <c r="S203" s="4">
        <v>6</v>
      </c>
      <c r="T203" s="4">
        <v>6</v>
      </c>
      <c r="U203" s="5" t="s">
        <v>2563</v>
      </c>
      <c r="V203" s="5" t="s">
        <v>2563</v>
      </c>
      <c r="W203" s="5" t="s">
        <v>1599</v>
      </c>
      <c r="X203" s="5" t="s">
        <v>1599</v>
      </c>
      <c r="Y203" s="4">
        <v>364</v>
      </c>
      <c r="Z203" s="4">
        <v>323</v>
      </c>
      <c r="AA203" s="4">
        <v>345</v>
      </c>
      <c r="AB203" s="4">
        <v>2</v>
      </c>
      <c r="AC203" s="4">
        <v>2</v>
      </c>
      <c r="AD203" s="4">
        <v>32</v>
      </c>
      <c r="AE203" s="4">
        <v>32</v>
      </c>
      <c r="AF203" s="4">
        <v>10</v>
      </c>
      <c r="AG203" s="4">
        <v>10</v>
      </c>
      <c r="AH203" s="4">
        <v>8</v>
      </c>
      <c r="AI203" s="4">
        <v>8</v>
      </c>
      <c r="AJ203" s="4">
        <v>21</v>
      </c>
      <c r="AK203" s="4">
        <v>21</v>
      </c>
      <c r="AL203" s="4">
        <v>1</v>
      </c>
      <c r="AM203" s="4">
        <v>1</v>
      </c>
      <c r="AN203" s="4">
        <v>1</v>
      </c>
      <c r="AO203" s="4">
        <v>1</v>
      </c>
      <c r="AP203" s="3" t="s">
        <v>58</v>
      </c>
      <c r="AQ203" s="3" t="s">
        <v>68</v>
      </c>
      <c r="AR203" s="6" t="str">
        <f>HYPERLINK("http://catalog.hathitrust.org/Record/001242668","HathiTrust Record")</f>
        <v>HathiTrust Record</v>
      </c>
      <c r="AS203" s="6" t="str">
        <f>HYPERLINK("https://creighton-primo.hosted.exlibrisgroup.com/primo-explore/search?tab=default_tab&amp;search_scope=EVERYTHING&amp;vid=01CRU&amp;lang=en_US&amp;offset=0&amp;query=any,contains,991002680049702656","Catalog Record")</f>
        <v>Catalog Record</v>
      </c>
      <c r="AT203" s="6" t="str">
        <f>HYPERLINK("http://www.worldcat.org/oclc/398214","WorldCat Record")</f>
        <v>WorldCat Record</v>
      </c>
      <c r="AU203" s="3" t="s">
        <v>2564</v>
      </c>
      <c r="AV203" s="3" t="s">
        <v>2565</v>
      </c>
      <c r="AW203" s="3" t="s">
        <v>2566</v>
      </c>
      <c r="AX203" s="3" t="s">
        <v>2566</v>
      </c>
      <c r="AY203" s="3" t="s">
        <v>2567</v>
      </c>
      <c r="AZ203" s="3" t="s">
        <v>73</v>
      </c>
      <c r="BC203" s="3" t="s">
        <v>2568</v>
      </c>
      <c r="BD203" s="3" t="s">
        <v>2569</v>
      </c>
    </row>
    <row r="204" spans="1:56" ht="51" customHeight="1" x14ac:dyDescent="0.25">
      <c r="A204" s="7" t="s">
        <v>58</v>
      </c>
      <c r="B204" s="2" t="s">
        <v>2570</v>
      </c>
      <c r="C204" s="2" t="s">
        <v>2571</v>
      </c>
      <c r="D204" s="2" t="s">
        <v>2572</v>
      </c>
      <c r="E204" s="3" t="s">
        <v>223</v>
      </c>
      <c r="F204" s="3" t="s">
        <v>68</v>
      </c>
      <c r="G204" s="3" t="s">
        <v>59</v>
      </c>
      <c r="H204" s="3" t="s">
        <v>58</v>
      </c>
      <c r="I204" s="3" t="s">
        <v>58</v>
      </c>
      <c r="J204" s="3" t="s">
        <v>60</v>
      </c>
      <c r="K204" s="2" t="s">
        <v>2573</v>
      </c>
      <c r="L204" s="2" t="s">
        <v>2574</v>
      </c>
      <c r="M204" s="3" t="s">
        <v>884</v>
      </c>
      <c r="O204" s="3" t="s">
        <v>63</v>
      </c>
      <c r="P204" s="3" t="s">
        <v>2575</v>
      </c>
      <c r="R204" s="3" t="s">
        <v>65</v>
      </c>
      <c r="S204" s="4">
        <v>4</v>
      </c>
      <c r="T204" s="4">
        <v>4</v>
      </c>
      <c r="U204" s="5" t="s">
        <v>2576</v>
      </c>
      <c r="V204" s="5" t="s">
        <v>2576</v>
      </c>
      <c r="W204" s="5" t="s">
        <v>2034</v>
      </c>
      <c r="X204" s="5" t="s">
        <v>2034</v>
      </c>
      <c r="Y204" s="4">
        <v>348</v>
      </c>
      <c r="Z204" s="4">
        <v>304</v>
      </c>
      <c r="AA204" s="4">
        <v>524</v>
      </c>
      <c r="AB204" s="4">
        <v>4</v>
      </c>
      <c r="AC204" s="4">
        <v>4</v>
      </c>
      <c r="AD204" s="4">
        <v>33</v>
      </c>
      <c r="AE204" s="4">
        <v>37</v>
      </c>
      <c r="AF204" s="4">
        <v>9</v>
      </c>
      <c r="AG204" s="4">
        <v>12</v>
      </c>
      <c r="AH204" s="4">
        <v>7</v>
      </c>
      <c r="AI204" s="4">
        <v>7</v>
      </c>
      <c r="AJ204" s="4">
        <v>26</v>
      </c>
      <c r="AK204" s="4">
        <v>26</v>
      </c>
      <c r="AL204" s="4">
        <v>2</v>
      </c>
      <c r="AM204" s="4">
        <v>2</v>
      </c>
      <c r="AN204" s="4">
        <v>0</v>
      </c>
      <c r="AO204" s="4">
        <v>1</v>
      </c>
      <c r="AP204" s="3" t="s">
        <v>58</v>
      </c>
      <c r="AQ204" s="3" t="s">
        <v>68</v>
      </c>
      <c r="AR204" s="6" t="str">
        <f>HYPERLINK("http://catalog.hathitrust.org/Record/010085672","HathiTrust Record")</f>
        <v>HathiTrust Record</v>
      </c>
      <c r="AS204" s="6" t="str">
        <f>HYPERLINK("https://creighton-primo.hosted.exlibrisgroup.com/primo-explore/search?tab=default_tab&amp;search_scope=EVERYTHING&amp;vid=01CRU&amp;lang=en_US&amp;offset=0&amp;query=any,contains,991003840279702656","Catalog Record")</f>
        <v>Catalog Record</v>
      </c>
      <c r="AT204" s="6" t="str">
        <f>HYPERLINK("http://www.worldcat.org/oclc/1615468","WorldCat Record")</f>
        <v>WorldCat Record</v>
      </c>
      <c r="AU204" s="3" t="s">
        <v>2577</v>
      </c>
      <c r="AV204" s="3" t="s">
        <v>2578</v>
      </c>
      <c r="AW204" s="3" t="s">
        <v>2579</v>
      </c>
      <c r="AX204" s="3" t="s">
        <v>2579</v>
      </c>
      <c r="AY204" s="3" t="s">
        <v>2580</v>
      </c>
      <c r="AZ204" s="3" t="s">
        <v>73</v>
      </c>
      <c r="BC204" s="3" t="s">
        <v>2581</v>
      </c>
      <c r="BD204" s="3" t="s">
        <v>2582</v>
      </c>
    </row>
    <row r="205" spans="1:56" ht="51" customHeight="1" x14ac:dyDescent="0.25">
      <c r="A205" s="7" t="s">
        <v>58</v>
      </c>
      <c r="B205" s="2" t="s">
        <v>2570</v>
      </c>
      <c r="C205" s="2" t="s">
        <v>2571</v>
      </c>
      <c r="D205" s="2" t="s">
        <v>2572</v>
      </c>
      <c r="E205" s="3" t="s">
        <v>210</v>
      </c>
      <c r="F205" s="3" t="s">
        <v>68</v>
      </c>
      <c r="G205" s="3" t="s">
        <v>59</v>
      </c>
      <c r="H205" s="3" t="s">
        <v>58</v>
      </c>
      <c r="I205" s="3" t="s">
        <v>58</v>
      </c>
      <c r="J205" s="3" t="s">
        <v>60</v>
      </c>
      <c r="K205" s="2" t="s">
        <v>2573</v>
      </c>
      <c r="L205" s="2" t="s">
        <v>2574</v>
      </c>
      <c r="M205" s="3" t="s">
        <v>884</v>
      </c>
      <c r="O205" s="3" t="s">
        <v>63</v>
      </c>
      <c r="P205" s="3" t="s">
        <v>2575</v>
      </c>
      <c r="R205" s="3" t="s">
        <v>65</v>
      </c>
      <c r="S205" s="4">
        <v>0</v>
      </c>
      <c r="T205" s="4">
        <v>4</v>
      </c>
      <c r="V205" s="5" t="s">
        <v>2576</v>
      </c>
      <c r="W205" s="5" t="s">
        <v>2034</v>
      </c>
      <c r="X205" s="5" t="s">
        <v>2034</v>
      </c>
      <c r="Y205" s="4">
        <v>348</v>
      </c>
      <c r="Z205" s="4">
        <v>304</v>
      </c>
      <c r="AA205" s="4">
        <v>524</v>
      </c>
      <c r="AB205" s="4">
        <v>4</v>
      </c>
      <c r="AC205" s="4">
        <v>4</v>
      </c>
      <c r="AD205" s="4">
        <v>33</v>
      </c>
      <c r="AE205" s="4">
        <v>37</v>
      </c>
      <c r="AF205" s="4">
        <v>9</v>
      </c>
      <c r="AG205" s="4">
        <v>12</v>
      </c>
      <c r="AH205" s="4">
        <v>7</v>
      </c>
      <c r="AI205" s="4">
        <v>7</v>
      </c>
      <c r="AJ205" s="4">
        <v>26</v>
      </c>
      <c r="AK205" s="4">
        <v>26</v>
      </c>
      <c r="AL205" s="4">
        <v>2</v>
      </c>
      <c r="AM205" s="4">
        <v>2</v>
      </c>
      <c r="AN205" s="4">
        <v>0</v>
      </c>
      <c r="AO205" s="4">
        <v>1</v>
      </c>
      <c r="AP205" s="3" t="s">
        <v>58</v>
      </c>
      <c r="AQ205" s="3" t="s">
        <v>68</v>
      </c>
      <c r="AR205" s="6" t="str">
        <f>HYPERLINK("http://catalog.hathitrust.org/Record/010085672","HathiTrust Record")</f>
        <v>HathiTrust Record</v>
      </c>
      <c r="AS205" s="6" t="str">
        <f>HYPERLINK("https://creighton-primo.hosted.exlibrisgroup.com/primo-explore/search?tab=default_tab&amp;search_scope=EVERYTHING&amp;vid=01CRU&amp;lang=en_US&amp;offset=0&amp;query=any,contains,991003840279702656","Catalog Record")</f>
        <v>Catalog Record</v>
      </c>
      <c r="AT205" s="6" t="str">
        <f>HYPERLINK("http://www.worldcat.org/oclc/1615468","WorldCat Record")</f>
        <v>WorldCat Record</v>
      </c>
      <c r="AU205" s="3" t="s">
        <v>2577</v>
      </c>
      <c r="AV205" s="3" t="s">
        <v>2578</v>
      </c>
      <c r="AW205" s="3" t="s">
        <v>2579</v>
      </c>
      <c r="AX205" s="3" t="s">
        <v>2579</v>
      </c>
      <c r="AY205" s="3" t="s">
        <v>2580</v>
      </c>
      <c r="AZ205" s="3" t="s">
        <v>73</v>
      </c>
      <c r="BC205" s="3" t="s">
        <v>2583</v>
      </c>
      <c r="BD205" s="3" t="s">
        <v>2584</v>
      </c>
    </row>
    <row r="206" spans="1:56" ht="51" customHeight="1" x14ac:dyDescent="0.25">
      <c r="A206" s="7" t="s">
        <v>58</v>
      </c>
      <c r="B206" s="2" t="s">
        <v>2585</v>
      </c>
      <c r="C206" s="2" t="s">
        <v>2586</v>
      </c>
      <c r="D206" s="2" t="s">
        <v>2587</v>
      </c>
      <c r="F206" s="3" t="s">
        <v>58</v>
      </c>
      <c r="G206" s="3" t="s">
        <v>59</v>
      </c>
      <c r="H206" s="3" t="s">
        <v>58</v>
      </c>
      <c r="I206" s="3" t="s">
        <v>58</v>
      </c>
      <c r="J206" s="3" t="s">
        <v>60</v>
      </c>
      <c r="K206" s="2" t="s">
        <v>2588</v>
      </c>
      <c r="L206" s="2" t="s">
        <v>2589</v>
      </c>
      <c r="M206" s="3" t="s">
        <v>423</v>
      </c>
      <c r="O206" s="3" t="s">
        <v>63</v>
      </c>
      <c r="P206" s="3" t="s">
        <v>214</v>
      </c>
      <c r="R206" s="3" t="s">
        <v>65</v>
      </c>
      <c r="S206" s="4">
        <v>6</v>
      </c>
      <c r="T206" s="4">
        <v>6</v>
      </c>
      <c r="U206" s="5" t="s">
        <v>557</v>
      </c>
      <c r="V206" s="5" t="s">
        <v>557</v>
      </c>
      <c r="W206" s="5" t="s">
        <v>2590</v>
      </c>
      <c r="X206" s="5" t="s">
        <v>2590</v>
      </c>
      <c r="Y206" s="4">
        <v>363</v>
      </c>
      <c r="Z206" s="4">
        <v>344</v>
      </c>
      <c r="AA206" s="4">
        <v>674</v>
      </c>
      <c r="AB206" s="4">
        <v>5</v>
      </c>
      <c r="AC206" s="4">
        <v>5</v>
      </c>
      <c r="AD206" s="4">
        <v>14</v>
      </c>
      <c r="AE206" s="4">
        <v>27</v>
      </c>
      <c r="AF206" s="4">
        <v>5</v>
      </c>
      <c r="AG206" s="4">
        <v>10</v>
      </c>
      <c r="AH206" s="4">
        <v>4</v>
      </c>
      <c r="AI206" s="4">
        <v>8</v>
      </c>
      <c r="AJ206" s="4">
        <v>5</v>
      </c>
      <c r="AK206" s="4">
        <v>12</v>
      </c>
      <c r="AL206" s="4">
        <v>3</v>
      </c>
      <c r="AM206" s="4">
        <v>3</v>
      </c>
      <c r="AN206" s="4">
        <v>0</v>
      </c>
      <c r="AO206" s="4">
        <v>0</v>
      </c>
      <c r="AP206" s="3" t="s">
        <v>58</v>
      </c>
      <c r="AQ206" s="3" t="s">
        <v>68</v>
      </c>
      <c r="AR206" s="6" t="str">
        <f>HYPERLINK("http://catalog.hathitrust.org/Record/004006279","HathiTrust Record")</f>
        <v>HathiTrust Record</v>
      </c>
      <c r="AS206" s="6" t="str">
        <f>HYPERLINK("https://creighton-primo.hosted.exlibrisgroup.com/primo-explore/search?tab=default_tab&amp;search_scope=EVERYTHING&amp;vid=01CRU&amp;lang=en_US&amp;offset=0&amp;query=any,contains,991002899369702656","Catalog Record")</f>
        <v>Catalog Record</v>
      </c>
      <c r="AT206" s="6" t="str">
        <f>HYPERLINK("http://www.worldcat.org/oclc/38216614","WorldCat Record")</f>
        <v>WorldCat Record</v>
      </c>
      <c r="AU206" s="3" t="s">
        <v>2591</v>
      </c>
      <c r="AV206" s="3" t="s">
        <v>2592</v>
      </c>
      <c r="AW206" s="3" t="s">
        <v>2593</v>
      </c>
      <c r="AX206" s="3" t="s">
        <v>2593</v>
      </c>
      <c r="AY206" s="3" t="s">
        <v>2594</v>
      </c>
      <c r="AZ206" s="3" t="s">
        <v>73</v>
      </c>
      <c r="BB206" s="3" t="s">
        <v>2595</v>
      </c>
      <c r="BC206" s="3" t="s">
        <v>2596</v>
      </c>
      <c r="BD206" s="3" t="s">
        <v>2597</v>
      </c>
    </row>
    <row r="207" spans="1:56" ht="51" customHeight="1" x14ac:dyDescent="0.25">
      <c r="A207" s="7" t="s">
        <v>58</v>
      </c>
      <c r="B207" s="2" t="s">
        <v>2598</v>
      </c>
      <c r="C207" s="2" t="s">
        <v>2599</v>
      </c>
      <c r="D207" s="2" t="s">
        <v>2600</v>
      </c>
      <c r="F207" s="3" t="s">
        <v>58</v>
      </c>
      <c r="G207" s="3" t="s">
        <v>59</v>
      </c>
      <c r="H207" s="3" t="s">
        <v>58</v>
      </c>
      <c r="I207" s="3" t="s">
        <v>58</v>
      </c>
      <c r="J207" s="3" t="s">
        <v>60</v>
      </c>
      <c r="K207" s="2" t="s">
        <v>2338</v>
      </c>
      <c r="L207" s="2" t="s">
        <v>2601</v>
      </c>
      <c r="M207" s="3" t="s">
        <v>397</v>
      </c>
      <c r="N207" s="2" t="s">
        <v>1009</v>
      </c>
      <c r="O207" s="3" t="s">
        <v>63</v>
      </c>
      <c r="P207" s="3" t="s">
        <v>495</v>
      </c>
      <c r="R207" s="3" t="s">
        <v>65</v>
      </c>
      <c r="S207" s="4">
        <v>14</v>
      </c>
      <c r="T207" s="4">
        <v>14</v>
      </c>
      <c r="U207" s="5" t="s">
        <v>2602</v>
      </c>
      <c r="V207" s="5" t="s">
        <v>2602</v>
      </c>
      <c r="W207" s="5" t="s">
        <v>2603</v>
      </c>
      <c r="X207" s="5" t="s">
        <v>2603</v>
      </c>
      <c r="Y207" s="4">
        <v>550</v>
      </c>
      <c r="Z207" s="4">
        <v>500</v>
      </c>
      <c r="AA207" s="4">
        <v>514</v>
      </c>
      <c r="AB207" s="4">
        <v>3</v>
      </c>
      <c r="AC207" s="4">
        <v>3</v>
      </c>
      <c r="AD207" s="4">
        <v>26</v>
      </c>
      <c r="AE207" s="4">
        <v>26</v>
      </c>
      <c r="AF207" s="4">
        <v>10</v>
      </c>
      <c r="AG207" s="4">
        <v>10</v>
      </c>
      <c r="AH207" s="4">
        <v>9</v>
      </c>
      <c r="AI207" s="4">
        <v>9</v>
      </c>
      <c r="AJ207" s="4">
        <v>12</v>
      </c>
      <c r="AK207" s="4">
        <v>12</v>
      </c>
      <c r="AL207" s="4">
        <v>1</v>
      </c>
      <c r="AM207" s="4">
        <v>1</v>
      </c>
      <c r="AN207" s="4">
        <v>0</v>
      </c>
      <c r="AO207" s="4">
        <v>0</v>
      </c>
      <c r="AP207" s="3" t="s">
        <v>58</v>
      </c>
      <c r="AQ207" s="3" t="s">
        <v>58</v>
      </c>
      <c r="AS207" s="6" t="str">
        <f>HYPERLINK("https://creighton-primo.hosted.exlibrisgroup.com/primo-explore/search?tab=default_tab&amp;search_scope=EVERYTHING&amp;vid=01CRU&amp;lang=en_US&amp;offset=0&amp;query=any,contains,991000547359702656","Catalog Record")</f>
        <v>Catalog Record</v>
      </c>
      <c r="AT207" s="6" t="str">
        <f>HYPERLINK("http://www.worldcat.org/oclc/11519144","WorldCat Record")</f>
        <v>WorldCat Record</v>
      </c>
      <c r="AU207" s="3" t="s">
        <v>2604</v>
      </c>
      <c r="AV207" s="3" t="s">
        <v>2605</v>
      </c>
      <c r="AW207" s="3" t="s">
        <v>2606</v>
      </c>
      <c r="AX207" s="3" t="s">
        <v>2606</v>
      </c>
      <c r="AY207" s="3" t="s">
        <v>2607</v>
      </c>
      <c r="AZ207" s="3" t="s">
        <v>73</v>
      </c>
      <c r="BB207" s="3" t="s">
        <v>2608</v>
      </c>
      <c r="BC207" s="3" t="s">
        <v>2609</v>
      </c>
      <c r="BD207" s="3" t="s">
        <v>2610</v>
      </c>
    </row>
    <row r="208" spans="1:56" ht="51" customHeight="1" x14ac:dyDescent="0.25">
      <c r="A208" s="7" t="s">
        <v>58</v>
      </c>
      <c r="B208" s="2" t="s">
        <v>2611</v>
      </c>
      <c r="C208" s="2" t="s">
        <v>2612</v>
      </c>
      <c r="D208" s="2" t="s">
        <v>2613</v>
      </c>
      <c r="F208" s="3" t="s">
        <v>58</v>
      </c>
      <c r="G208" s="3" t="s">
        <v>59</v>
      </c>
      <c r="H208" s="3" t="s">
        <v>58</v>
      </c>
      <c r="I208" s="3" t="s">
        <v>58</v>
      </c>
      <c r="J208" s="3" t="s">
        <v>60</v>
      </c>
      <c r="K208" s="2" t="s">
        <v>2614</v>
      </c>
      <c r="L208" s="2" t="s">
        <v>2615</v>
      </c>
      <c r="M208" s="3" t="s">
        <v>368</v>
      </c>
      <c r="O208" s="3" t="s">
        <v>63</v>
      </c>
      <c r="P208" s="3" t="s">
        <v>816</v>
      </c>
      <c r="R208" s="3" t="s">
        <v>65</v>
      </c>
      <c r="S208" s="4">
        <v>12</v>
      </c>
      <c r="T208" s="4">
        <v>12</v>
      </c>
      <c r="U208" s="5" t="s">
        <v>2616</v>
      </c>
      <c r="V208" s="5" t="s">
        <v>2616</v>
      </c>
      <c r="W208" s="5" t="s">
        <v>2617</v>
      </c>
      <c r="X208" s="5" t="s">
        <v>2617</v>
      </c>
      <c r="Y208" s="4">
        <v>1397</v>
      </c>
      <c r="Z208" s="4">
        <v>1253</v>
      </c>
      <c r="AA208" s="4">
        <v>1294</v>
      </c>
      <c r="AB208" s="4">
        <v>8</v>
      </c>
      <c r="AC208" s="4">
        <v>9</v>
      </c>
      <c r="AD208" s="4">
        <v>47</v>
      </c>
      <c r="AE208" s="4">
        <v>48</v>
      </c>
      <c r="AF208" s="4">
        <v>23</v>
      </c>
      <c r="AG208" s="4">
        <v>23</v>
      </c>
      <c r="AH208" s="4">
        <v>9</v>
      </c>
      <c r="AI208" s="4">
        <v>10</v>
      </c>
      <c r="AJ208" s="4">
        <v>22</v>
      </c>
      <c r="AK208" s="4">
        <v>22</v>
      </c>
      <c r="AL208" s="4">
        <v>5</v>
      </c>
      <c r="AM208" s="4">
        <v>5</v>
      </c>
      <c r="AN208" s="4">
        <v>0</v>
      </c>
      <c r="AO208" s="4">
        <v>0</v>
      </c>
      <c r="AP208" s="3" t="s">
        <v>58</v>
      </c>
      <c r="AQ208" s="3" t="s">
        <v>58</v>
      </c>
      <c r="AS208" s="6" t="str">
        <f>HYPERLINK("https://creighton-primo.hosted.exlibrisgroup.com/primo-explore/search?tab=default_tab&amp;search_scope=EVERYTHING&amp;vid=01CRU&amp;lang=en_US&amp;offset=0&amp;query=any,contains,991004346899702656","Catalog Record")</f>
        <v>Catalog Record</v>
      </c>
      <c r="AT208" s="6" t="str">
        <f>HYPERLINK("http://www.worldcat.org/oclc/3103763","WorldCat Record")</f>
        <v>WorldCat Record</v>
      </c>
      <c r="AU208" s="3" t="s">
        <v>2618</v>
      </c>
      <c r="AV208" s="3" t="s">
        <v>2619</v>
      </c>
      <c r="AW208" s="3" t="s">
        <v>2620</v>
      </c>
      <c r="AX208" s="3" t="s">
        <v>2620</v>
      </c>
      <c r="AY208" s="3" t="s">
        <v>2621</v>
      </c>
      <c r="AZ208" s="3" t="s">
        <v>73</v>
      </c>
      <c r="BB208" s="3" t="s">
        <v>2622</v>
      </c>
      <c r="BC208" s="3" t="s">
        <v>2623</v>
      </c>
      <c r="BD208" s="3" t="s">
        <v>2624</v>
      </c>
    </row>
    <row r="209" spans="1:56" ht="51" customHeight="1" x14ac:dyDescent="0.25">
      <c r="A209" s="7" t="s">
        <v>58</v>
      </c>
      <c r="B209" s="2" t="s">
        <v>2625</v>
      </c>
      <c r="C209" s="2" t="s">
        <v>2626</v>
      </c>
      <c r="D209" s="2" t="s">
        <v>2627</v>
      </c>
      <c r="F209" s="3" t="s">
        <v>58</v>
      </c>
      <c r="G209" s="3" t="s">
        <v>59</v>
      </c>
      <c r="H209" s="3" t="s">
        <v>58</v>
      </c>
      <c r="I209" s="3" t="s">
        <v>58</v>
      </c>
      <c r="J209" s="3" t="s">
        <v>60</v>
      </c>
      <c r="K209" s="2" t="s">
        <v>2628</v>
      </c>
      <c r="L209" s="2" t="s">
        <v>2629</v>
      </c>
      <c r="M209" s="3" t="s">
        <v>183</v>
      </c>
      <c r="N209" s="2" t="s">
        <v>338</v>
      </c>
      <c r="O209" s="3" t="s">
        <v>63</v>
      </c>
      <c r="P209" s="3" t="s">
        <v>2630</v>
      </c>
      <c r="Q209" s="2" t="s">
        <v>2631</v>
      </c>
      <c r="R209" s="3" t="s">
        <v>65</v>
      </c>
      <c r="S209" s="4">
        <v>5</v>
      </c>
      <c r="T209" s="4">
        <v>5</v>
      </c>
      <c r="U209" s="5" t="s">
        <v>2632</v>
      </c>
      <c r="V209" s="5" t="s">
        <v>2632</v>
      </c>
      <c r="W209" s="5" t="s">
        <v>2633</v>
      </c>
      <c r="X209" s="5" t="s">
        <v>2633</v>
      </c>
      <c r="Y209" s="4">
        <v>102</v>
      </c>
      <c r="Z209" s="4">
        <v>91</v>
      </c>
      <c r="AA209" s="4">
        <v>93</v>
      </c>
      <c r="AB209" s="4">
        <v>1</v>
      </c>
      <c r="AC209" s="4">
        <v>1</v>
      </c>
      <c r="AD209" s="4">
        <v>5</v>
      </c>
      <c r="AE209" s="4">
        <v>5</v>
      </c>
      <c r="AF209" s="4">
        <v>2</v>
      </c>
      <c r="AG209" s="4">
        <v>2</v>
      </c>
      <c r="AH209" s="4">
        <v>1</v>
      </c>
      <c r="AI209" s="4">
        <v>1</v>
      </c>
      <c r="AJ209" s="4">
        <v>4</v>
      </c>
      <c r="AK209" s="4">
        <v>4</v>
      </c>
      <c r="AL209" s="4">
        <v>0</v>
      </c>
      <c r="AM209" s="4">
        <v>0</v>
      </c>
      <c r="AN209" s="4">
        <v>0</v>
      </c>
      <c r="AO209" s="4">
        <v>0</v>
      </c>
      <c r="AP209" s="3" t="s">
        <v>58</v>
      </c>
      <c r="AQ209" s="3" t="s">
        <v>58</v>
      </c>
      <c r="AS209" s="6" t="str">
        <f>HYPERLINK("https://creighton-primo.hosted.exlibrisgroup.com/primo-explore/search?tab=default_tab&amp;search_scope=EVERYTHING&amp;vid=01CRU&amp;lang=en_US&amp;offset=0&amp;query=any,contains,991004383139702656","Catalog Record")</f>
        <v>Catalog Record</v>
      </c>
      <c r="AT209" s="6" t="str">
        <f>HYPERLINK("http://www.worldcat.org/oclc/3229778","WorldCat Record")</f>
        <v>WorldCat Record</v>
      </c>
      <c r="AU209" s="3" t="s">
        <v>2634</v>
      </c>
      <c r="AV209" s="3" t="s">
        <v>2635</v>
      </c>
      <c r="AW209" s="3" t="s">
        <v>2636</v>
      </c>
      <c r="AX209" s="3" t="s">
        <v>2636</v>
      </c>
      <c r="AY209" s="3" t="s">
        <v>2637</v>
      </c>
      <c r="AZ209" s="3" t="s">
        <v>73</v>
      </c>
      <c r="BB209" s="3" t="s">
        <v>2638</v>
      </c>
      <c r="BC209" s="3" t="s">
        <v>2639</v>
      </c>
      <c r="BD209" s="3" t="s">
        <v>2640</v>
      </c>
    </row>
    <row r="210" spans="1:56" ht="51" customHeight="1" x14ac:dyDescent="0.25">
      <c r="A210" s="7" t="s">
        <v>58</v>
      </c>
      <c r="B210" s="2" t="s">
        <v>2641</v>
      </c>
      <c r="C210" s="2" t="s">
        <v>2642</v>
      </c>
      <c r="D210" s="2" t="s">
        <v>2643</v>
      </c>
      <c r="E210" s="3" t="s">
        <v>223</v>
      </c>
      <c r="F210" s="3" t="s">
        <v>58</v>
      </c>
      <c r="G210" s="3" t="s">
        <v>59</v>
      </c>
      <c r="H210" s="3" t="s">
        <v>58</v>
      </c>
      <c r="I210" s="3" t="s">
        <v>58</v>
      </c>
      <c r="J210" s="3" t="s">
        <v>60</v>
      </c>
      <c r="L210" s="2" t="s">
        <v>2644</v>
      </c>
      <c r="M210" s="3" t="s">
        <v>2132</v>
      </c>
      <c r="O210" s="3" t="s">
        <v>63</v>
      </c>
      <c r="P210" s="3" t="s">
        <v>84</v>
      </c>
      <c r="Q210" s="2" t="s">
        <v>2645</v>
      </c>
      <c r="R210" s="3" t="s">
        <v>65</v>
      </c>
      <c r="S210" s="4">
        <v>1</v>
      </c>
      <c r="T210" s="4">
        <v>1</v>
      </c>
      <c r="U210" s="5" t="s">
        <v>2576</v>
      </c>
      <c r="V210" s="5" t="s">
        <v>2576</v>
      </c>
      <c r="W210" s="5" t="s">
        <v>2646</v>
      </c>
      <c r="X210" s="5" t="s">
        <v>2646</v>
      </c>
      <c r="Y210" s="4">
        <v>333</v>
      </c>
      <c r="Z210" s="4">
        <v>305</v>
      </c>
      <c r="AA210" s="4">
        <v>356</v>
      </c>
      <c r="AB210" s="4">
        <v>3</v>
      </c>
      <c r="AC210" s="4">
        <v>3</v>
      </c>
      <c r="AD210" s="4">
        <v>18</v>
      </c>
      <c r="AE210" s="4">
        <v>19</v>
      </c>
      <c r="AF210" s="4">
        <v>4</v>
      </c>
      <c r="AG210" s="4">
        <v>5</v>
      </c>
      <c r="AH210" s="4">
        <v>8</v>
      </c>
      <c r="AI210" s="4">
        <v>8</v>
      </c>
      <c r="AJ210" s="4">
        <v>9</v>
      </c>
      <c r="AK210" s="4">
        <v>9</v>
      </c>
      <c r="AL210" s="4">
        <v>2</v>
      </c>
      <c r="AM210" s="4">
        <v>2</v>
      </c>
      <c r="AN210" s="4">
        <v>0</v>
      </c>
      <c r="AO210" s="4">
        <v>0</v>
      </c>
      <c r="AP210" s="3" t="s">
        <v>58</v>
      </c>
      <c r="AQ210" s="3" t="s">
        <v>58</v>
      </c>
      <c r="AS210" s="6" t="str">
        <f>HYPERLINK("https://creighton-primo.hosted.exlibrisgroup.com/primo-explore/search?tab=default_tab&amp;search_scope=EVERYTHING&amp;vid=01CRU&amp;lang=en_US&amp;offset=0&amp;query=any,contains,991003952139702656","Catalog Record")</f>
        <v>Catalog Record</v>
      </c>
      <c r="AT210" s="6" t="str">
        <f>HYPERLINK("http://www.worldcat.org/oclc/1958553","WorldCat Record")</f>
        <v>WorldCat Record</v>
      </c>
      <c r="AU210" s="3" t="s">
        <v>2647</v>
      </c>
      <c r="AV210" s="3" t="s">
        <v>2648</v>
      </c>
      <c r="AW210" s="3" t="s">
        <v>2649</v>
      </c>
      <c r="AX210" s="3" t="s">
        <v>2649</v>
      </c>
      <c r="AY210" s="3" t="s">
        <v>2650</v>
      </c>
      <c r="AZ210" s="3" t="s">
        <v>73</v>
      </c>
      <c r="BC210" s="3" t="s">
        <v>2651</v>
      </c>
      <c r="BD210" s="3" t="s">
        <v>2652</v>
      </c>
    </row>
    <row r="211" spans="1:56" ht="51" customHeight="1" x14ac:dyDescent="0.25">
      <c r="A211" s="7" t="s">
        <v>58</v>
      </c>
      <c r="B211" s="2" t="s">
        <v>2653</v>
      </c>
      <c r="C211" s="2" t="s">
        <v>2654</v>
      </c>
      <c r="D211" s="2" t="s">
        <v>2655</v>
      </c>
      <c r="E211" s="3" t="s">
        <v>2656</v>
      </c>
      <c r="F211" s="3" t="s">
        <v>58</v>
      </c>
      <c r="G211" s="3" t="s">
        <v>59</v>
      </c>
      <c r="H211" s="3" t="s">
        <v>58</v>
      </c>
      <c r="I211" s="3" t="s">
        <v>58</v>
      </c>
      <c r="J211" s="3" t="s">
        <v>60</v>
      </c>
      <c r="L211" s="2" t="s">
        <v>2657</v>
      </c>
      <c r="M211" s="3" t="s">
        <v>1784</v>
      </c>
      <c r="O211" s="3" t="s">
        <v>63</v>
      </c>
      <c r="P211" s="3" t="s">
        <v>571</v>
      </c>
      <c r="Q211" s="2" t="s">
        <v>2658</v>
      </c>
      <c r="R211" s="3" t="s">
        <v>65</v>
      </c>
      <c r="S211" s="4">
        <v>2</v>
      </c>
      <c r="T211" s="4">
        <v>2</v>
      </c>
      <c r="U211" s="5" t="s">
        <v>2550</v>
      </c>
      <c r="V211" s="5" t="s">
        <v>2550</v>
      </c>
      <c r="W211" s="5" t="s">
        <v>1599</v>
      </c>
      <c r="X211" s="5" t="s">
        <v>1599</v>
      </c>
      <c r="Y211" s="4">
        <v>119</v>
      </c>
      <c r="Z211" s="4">
        <v>100</v>
      </c>
      <c r="AA211" s="4">
        <v>101</v>
      </c>
      <c r="AB211" s="4">
        <v>2</v>
      </c>
      <c r="AC211" s="4">
        <v>2</v>
      </c>
      <c r="AD211" s="4">
        <v>7</v>
      </c>
      <c r="AE211" s="4">
        <v>8</v>
      </c>
      <c r="AF211" s="4">
        <v>1</v>
      </c>
      <c r="AG211" s="4">
        <v>2</v>
      </c>
      <c r="AH211" s="4">
        <v>4</v>
      </c>
      <c r="AI211" s="4">
        <v>4</v>
      </c>
      <c r="AJ211" s="4">
        <v>3</v>
      </c>
      <c r="AK211" s="4">
        <v>3</v>
      </c>
      <c r="AL211" s="4">
        <v>1</v>
      </c>
      <c r="AM211" s="4">
        <v>1</v>
      </c>
      <c r="AN211" s="4">
        <v>0</v>
      </c>
      <c r="AO211" s="4">
        <v>0</v>
      </c>
      <c r="AP211" s="3" t="s">
        <v>58</v>
      </c>
      <c r="AQ211" s="3" t="s">
        <v>58</v>
      </c>
      <c r="AS211" s="6" t="str">
        <f>HYPERLINK("https://creighton-primo.hosted.exlibrisgroup.com/primo-explore/search?tab=default_tab&amp;search_scope=EVERYTHING&amp;vid=01CRU&amp;lang=en_US&amp;offset=0&amp;query=any,contains,991004988189702656","Catalog Record")</f>
        <v>Catalog Record</v>
      </c>
      <c r="AT211" s="6" t="str">
        <f>HYPERLINK("http://www.worldcat.org/oclc/6477335","WorldCat Record")</f>
        <v>WorldCat Record</v>
      </c>
      <c r="AU211" s="3" t="s">
        <v>2659</v>
      </c>
      <c r="AV211" s="3" t="s">
        <v>2660</v>
      </c>
      <c r="AW211" s="3" t="s">
        <v>2661</v>
      </c>
      <c r="AX211" s="3" t="s">
        <v>2661</v>
      </c>
      <c r="AY211" s="3" t="s">
        <v>2662</v>
      </c>
      <c r="AZ211" s="3" t="s">
        <v>73</v>
      </c>
      <c r="BC211" s="3" t="s">
        <v>2663</v>
      </c>
      <c r="BD211" s="3" t="s">
        <v>2664</v>
      </c>
    </row>
    <row r="212" spans="1:56" ht="51" customHeight="1" x14ac:dyDescent="0.25">
      <c r="A212" s="7" t="s">
        <v>58</v>
      </c>
      <c r="B212" s="2" t="s">
        <v>2665</v>
      </c>
      <c r="C212" s="2" t="s">
        <v>2666</v>
      </c>
      <c r="D212" s="2" t="s">
        <v>2667</v>
      </c>
      <c r="E212" s="3" t="s">
        <v>2668</v>
      </c>
      <c r="F212" s="3" t="s">
        <v>58</v>
      </c>
      <c r="G212" s="3" t="s">
        <v>59</v>
      </c>
      <c r="H212" s="3" t="s">
        <v>58</v>
      </c>
      <c r="I212" s="3" t="s">
        <v>58</v>
      </c>
      <c r="J212" s="3" t="s">
        <v>60</v>
      </c>
      <c r="L212" s="2" t="s">
        <v>2657</v>
      </c>
      <c r="M212" s="3" t="s">
        <v>1784</v>
      </c>
      <c r="O212" s="3" t="s">
        <v>63</v>
      </c>
      <c r="P212" s="3" t="s">
        <v>84</v>
      </c>
      <c r="Q212" s="2" t="s">
        <v>2669</v>
      </c>
      <c r="R212" s="3" t="s">
        <v>65</v>
      </c>
      <c r="S212" s="4">
        <v>0</v>
      </c>
      <c r="T212" s="4">
        <v>0</v>
      </c>
      <c r="U212" s="5" t="s">
        <v>2670</v>
      </c>
      <c r="V212" s="5" t="s">
        <v>2670</v>
      </c>
      <c r="W212" s="5" t="s">
        <v>2671</v>
      </c>
      <c r="X212" s="5" t="s">
        <v>2671</v>
      </c>
      <c r="Y212" s="4">
        <v>114</v>
      </c>
      <c r="Z212" s="4">
        <v>91</v>
      </c>
      <c r="AA212" s="4">
        <v>127</v>
      </c>
      <c r="AB212" s="4">
        <v>2</v>
      </c>
      <c r="AC212" s="4">
        <v>2</v>
      </c>
      <c r="AD212" s="4">
        <v>6</v>
      </c>
      <c r="AE212" s="4">
        <v>6</v>
      </c>
      <c r="AF212" s="4">
        <v>1</v>
      </c>
      <c r="AG212" s="4">
        <v>1</v>
      </c>
      <c r="AH212" s="4">
        <v>3</v>
      </c>
      <c r="AI212" s="4">
        <v>3</v>
      </c>
      <c r="AJ212" s="4">
        <v>3</v>
      </c>
      <c r="AK212" s="4">
        <v>3</v>
      </c>
      <c r="AL212" s="4">
        <v>1</v>
      </c>
      <c r="AM212" s="4">
        <v>1</v>
      </c>
      <c r="AN212" s="4">
        <v>0</v>
      </c>
      <c r="AO212" s="4">
        <v>0</v>
      </c>
      <c r="AP212" s="3" t="s">
        <v>58</v>
      </c>
      <c r="AQ212" s="3" t="s">
        <v>58</v>
      </c>
      <c r="AS212" s="6" t="str">
        <f>HYPERLINK("https://creighton-primo.hosted.exlibrisgroup.com/primo-explore/search?tab=default_tab&amp;search_scope=EVERYTHING&amp;vid=01CRU&amp;lang=en_US&amp;offset=0&amp;query=any,contains,991004923979702656","Catalog Record")</f>
        <v>Catalog Record</v>
      </c>
      <c r="AT212" s="6" t="str">
        <f>HYPERLINK("http://www.worldcat.org/oclc/6072620","WorldCat Record")</f>
        <v>WorldCat Record</v>
      </c>
      <c r="AU212" s="3" t="s">
        <v>2672</v>
      </c>
      <c r="AV212" s="3" t="s">
        <v>2673</v>
      </c>
      <c r="AW212" s="3" t="s">
        <v>2674</v>
      </c>
      <c r="AX212" s="3" t="s">
        <v>2674</v>
      </c>
      <c r="AY212" s="3" t="s">
        <v>2675</v>
      </c>
      <c r="AZ212" s="3" t="s">
        <v>73</v>
      </c>
      <c r="BC212" s="3" t="s">
        <v>2676</v>
      </c>
      <c r="BD212" s="3" t="s">
        <v>2677</v>
      </c>
    </row>
    <row r="213" spans="1:56" ht="51" customHeight="1" x14ac:dyDescent="0.25">
      <c r="A213" s="7" t="s">
        <v>58</v>
      </c>
      <c r="B213" s="2" t="s">
        <v>2678</v>
      </c>
      <c r="C213" s="2" t="s">
        <v>2679</v>
      </c>
      <c r="D213" s="2" t="s">
        <v>2680</v>
      </c>
      <c r="E213" s="3" t="s">
        <v>294</v>
      </c>
      <c r="F213" s="3" t="s">
        <v>58</v>
      </c>
      <c r="G213" s="3" t="s">
        <v>59</v>
      </c>
      <c r="H213" s="3" t="s">
        <v>58</v>
      </c>
      <c r="I213" s="3" t="s">
        <v>58</v>
      </c>
      <c r="J213" s="3" t="s">
        <v>60</v>
      </c>
      <c r="L213" s="2" t="s">
        <v>2681</v>
      </c>
      <c r="M213" s="3" t="s">
        <v>261</v>
      </c>
      <c r="O213" s="3" t="s">
        <v>63</v>
      </c>
      <c r="P213" s="3" t="s">
        <v>84</v>
      </c>
      <c r="Q213" s="2" t="s">
        <v>2682</v>
      </c>
      <c r="R213" s="3" t="s">
        <v>65</v>
      </c>
      <c r="S213" s="4">
        <v>4</v>
      </c>
      <c r="T213" s="4">
        <v>4</v>
      </c>
      <c r="U213" s="5" t="s">
        <v>2683</v>
      </c>
      <c r="V213" s="5" t="s">
        <v>2683</v>
      </c>
      <c r="W213" s="5" t="s">
        <v>2646</v>
      </c>
      <c r="X213" s="5" t="s">
        <v>2646</v>
      </c>
      <c r="Y213" s="4">
        <v>319</v>
      </c>
      <c r="Z213" s="4">
        <v>287</v>
      </c>
      <c r="AA213" s="4">
        <v>300</v>
      </c>
      <c r="AB213" s="4">
        <v>3</v>
      </c>
      <c r="AC213" s="4">
        <v>3</v>
      </c>
      <c r="AD213" s="4">
        <v>19</v>
      </c>
      <c r="AE213" s="4">
        <v>19</v>
      </c>
      <c r="AF213" s="4">
        <v>7</v>
      </c>
      <c r="AG213" s="4">
        <v>7</v>
      </c>
      <c r="AH213" s="4">
        <v>6</v>
      </c>
      <c r="AI213" s="4">
        <v>6</v>
      </c>
      <c r="AJ213" s="4">
        <v>9</v>
      </c>
      <c r="AK213" s="4">
        <v>9</v>
      </c>
      <c r="AL213" s="4">
        <v>2</v>
      </c>
      <c r="AM213" s="4">
        <v>2</v>
      </c>
      <c r="AN213" s="4">
        <v>0</v>
      </c>
      <c r="AO213" s="4">
        <v>0</v>
      </c>
      <c r="AP213" s="3" t="s">
        <v>58</v>
      </c>
      <c r="AQ213" s="3" t="s">
        <v>58</v>
      </c>
      <c r="AS213" s="6" t="str">
        <f>HYPERLINK("https://creighton-primo.hosted.exlibrisgroup.com/primo-explore/search?tab=default_tab&amp;search_scope=EVERYTHING&amp;vid=01CRU&amp;lang=en_US&amp;offset=0&amp;query=any,contains,991003818569702656","Catalog Record")</f>
        <v>Catalog Record</v>
      </c>
      <c r="AT213" s="6" t="str">
        <f>HYPERLINK("http://www.worldcat.org/oclc/1551852","WorldCat Record")</f>
        <v>WorldCat Record</v>
      </c>
      <c r="AU213" s="3" t="s">
        <v>2684</v>
      </c>
      <c r="AV213" s="3" t="s">
        <v>2685</v>
      </c>
      <c r="AW213" s="3" t="s">
        <v>2686</v>
      </c>
      <c r="AX213" s="3" t="s">
        <v>2686</v>
      </c>
      <c r="AY213" s="3" t="s">
        <v>2687</v>
      </c>
      <c r="AZ213" s="3" t="s">
        <v>73</v>
      </c>
      <c r="BB213" s="3" t="s">
        <v>2688</v>
      </c>
      <c r="BC213" s="3" t="s">
        <v>2689</v>
      </c>
      <c r="BD213" s="3" t="s">
        <v>2690</v>
      </c>
    </row>
    <row r="214" spans="1:56" ht="51" customHeight="1" x14ac:dyDescent="0.25">
      <c r="A214" s="7" t="s">
        <v>58</v>
      </c>
      <c r="B214" s="2" t="s">
        <v>2691</v>
      </c>
      <c r="C214" s="2" t="s">
        <v>2692</v>
      </c>
      <c r="D214" s="2" t="s">
        <v>2693</v>
      </c>
      <c r="F214" s="3" t="s">
        <v>58</v>
      </c>
      <c r="G214" s="3" t="s">
        <v>59</v>
      </c>
      <c r="H214" s="3" t="s">
        <v>58</v>
      </c>
      <c r="I214" s="3" t="s">
        <v>58</v>
      </c>
      <c r="J214" s="3" t="s">
        <v>60</v>
      </c>
      <c r="K214" s="2" t="s">
        <v>1441</v>
      </c>
      <c r="L214" s="2" t="s">
        <v>2694</v>
      </c>
      <c r="M214" s="3" t="s">
        <v>745</v>
      </c>
      <c r="O214" s="3" t="s">
        <v>63</v>
      </c>
      <c r="P214" s="3" t="s">
        <v>495</v>
      </c>
      <c r="R214" s="3" t="s">
        <v>65</v>
      </c>
      <c r="S214" s="4">
        <v>3</v>
      </c>
      <c r="T214" s="4">
        <v>3</v>
      </c>
      <c r="U214" s="5" t="s">
        <v>2563</v>
      </c>
      <c r="V214" s="5" t="s">
        <v>2563</v>
      </c>
      <c r="W214" s="5" t="s">
        <v>235</v>
      </c>
      <c r="X214" s="5" t="s">
        <v>235</v>
      </c>
      <c r="Y214" s="4">
        <v>800</v>
      </c>
      <c r="Z214" s="4">
        <v>748</v>
      </c>
      <c r="AA214" s="4">
        <v>1154</v>
      </c>
      <c r="AB214" s="4">
        <v>8</v>
      </c>
      <c r="AC214" s="4">
        <v>9</v>
      </c>
      <c r="AD214" s="4">
        <v>26</v>
      </c>
      <c r="AE214" s="4">
        <v>46</v>
      </c>
      <c r="AF214" s="4">
        <v>8</v>
      </c>
      <c r="AG214" s="4">
        <v>21</v>
      </c>
      <c r="AH214" s="4">
        <v>7</v>
      </c>
      <c r="AI214" s="4">
        <v>10</v>
      </c>
      <c r="AJ214" s="4">
        <v>11</v>
      </c>
      <c r="AK214" s="4">
        <v>22</v>
      </c>
      <c r="AL214" s="4">
        <v>6</v>
      </c>
      <c r="AM214" s="4">
        <v>7</v>
      </c>
      <c r="AN214" s="4">
        <v>0</v>
      </c>
      <c r="AO214" s="4">
        <v>0</v>
      </c>
      <c r="AP214" s="3" t="s">
        <v>58</v>
      </c>
      <c r="AQ214" s="3" t="s">
        <v>68</v>
      </c>
      <c r="AR214" s="6" t="str">
        <f>HYPERLINK("http://catalog.hathitrust.org/Record/001409526","HathiTrust Record")</f>
        <v>HathiTrust Record</v>
      </c>
      <c r="AS214" s="6" t="str">
        <f>HYPERLINK("https://creighton-primo.hosted.exlibrisgroup.com/primo-explore/search?tab=default_tab&amp;search_scope=EVERYTHING&amp;vid=01CRU&amp;lang=en_US&amp;offset=0&amp;query=any,contains,991003307409702656","Catalog Record")</f>
        <v>Catalog Record</v>
      </c>
      <c r="AT214" s="6" t="str">
        <f>HYPERLINK("http://www.worldcat.org/oclc/830863","WorldCat Record")</f>
        <v>WorldCat Record</v>
      </c>
      <c r="AU214" s="3" t="s">
        <v>2695</v>
      </c>
      <c r="AV214" s="3" t="s">
        <v>2696</v>
      </c>
      <c r="AW214" s="3" t="s">
        <v>2697</v>
      </c>
      <c r="AX214" s="3" t="s">
        <v>2697</v>
      </c>
      <c r="AY214" s="3" t="s">
        <v>2698</v>
      </c>
      <c r="AZ214" s="3" t="s">
        <v>73</v>
      </c>
      <c r="BC214" s="3" t="s">
        <v>2699</v>
      </c>
      <c r="BD214" s="3" t="s">
        <v>2700</v>
      </c>
    </row>
    <row r="215" spans="1:56" ht="51" customHeight="1" x14ac:dyDescent="0.25">
      <c r="A215" s="7" t="s">
        <v>58</v>
      </c>
      <c r="B215" s="2" t="s">
        <v>2701</v>
      </c>
      <c r="C215" s="2" t="s">
        <v>2702</v>
      </c>
      <c r="D215" s="2" t="s">
        <v>2703</v>
      </c>
      <c r="F215" s="3" t="s">
        <v>58</v>
      </c>
      <c r="G215" s="3" t="s">
        <v>59</v>
      </c>
      <c r="H215" s="3" t="s">
        <v>58</v>
      </c>
      <c r="I215" s="3" t="s">
        <v>58</v>
      </c>
      <c r="J215" s="3" t="s">
        <v>60</v>
      </c>
      <c r="K215" s="2" t="s">
        <v>2704</v>
      </c>
      <c r="L215" s="2" t="s">
        <v>2705</v>
      </c>
      <c r="M215" s="3" t="s">
        <v>2706</v>
      </c>
      <c r="O215" s="3" t="s">
        <v>63</v>
      </c>
      <c r="P215" s="3" t="s">
        <v>214</v>
      </c>
      <c r="R215" s="3" t="s">
        <v>65</v>
      </c>
      <c r="S215" s="4">
        <v>2</v>
      </c>
      <c r="T215" s="4">
        <v>2</v>
      </c>
      <c r="U215" s="5" t="s">
        <v>557</v>
      </c>
      <c r="V215" s="5" t="s">
        <v>557</v>
      </c>
      <c r="W215" s="5" t="s">
        <v>2707</v>
      </c>
      <c r="X215" s="5" t="s">
        <v>2707</v>
      </c>
      <c r="Y215" s="4">
        <v>726</v>
      </c>
      <c r="Z215" s="4">
        <v>655</v>
      </c>
      <c r="AA215" s="4">
        <v>1014</v>
      </c>
      <c r="AB215" s="4">
        <v>5</v>
      </c>
      <c r="AC215" s="4">
        <v>7</v>
      </c>
      <c r="AD215" s="4">
        <v>25</v>
      </c>
      <c r="AE215" s="4">
        <v>28</v>
      </c>
      <c r="AF215" s="4">
        <v>11</v>
      </c>
      <c r="AG215" s="4">
        <v>13</v>
      </c>
      <c r="AH215" s="4">
        <v>3</v>
      </c>
      <c r="AI215" s="4">
        <v>3</v>
      </c>
      <c r="AJ215" s="4">
        <v>12</v>
      </c>
      <c r="AK215" s="4">
        <v>12</v>
      </c>
      <c r="AL215" s="4">
        <v>4</v>
      </c>
      <c r="AM215" s="4">
        <v>5</v>
      </c>
      <c r="AN215" s="4">
        <v>0</v>
      </c>
      <c r="AO215" s="4">
        <v>0</v>
      </c>
      <c r="AP215" s="3" t="s">
        <v>58</v>
      </c>
      <c r="AQ215" s="3" t="s">
        <v>68</v>
      </c>
      <c r="AR215" s="6" t="str">
        <f>HYPERLINK("http://catalog.hathitrust.org/Record/000583184","HathiTrust Record")</f>
        <v>HathiTrust Record</v>
      </c>
      <c r="AS215" s="6" t="str">
        <f>HYPERLINK("https://creighton-primo.hosted.exlibrisgroup.com/primo-explore/search?tab=default_tab&amp;search_scope=EVERYTHING&amp;vid=01CRU&amp;lang=en_US&amp;offset=0&amp;query=any,contains,991003100049702656","Catalog Record")</f>
        <v>Catalog Record</v>
      </c>
      <c r="AT215" s="6" t="str">
        <f>HYPERLINK("http://www.worldcat.org/oclc/649234","WorldCat Record")</f>
        <v>WorldCat Record</v>
      </c>
      <c r="AU215" s="3" t="s">
        <v>2708</v>
      </c>
      <c r="AV215" s="3" t="s">
        <v>2709</v>
      </c>
      <c r="AW215" s="3" t="s">
        <v>2710</v>
      </c>
      <c r="AX215" s="3" t="s">
        <v>2710</v>
      </c>
      <c r="AY215" s="3" t="s">
        <v>2711</v>
      </c>
      <c r="AZ215" s="3" t="s">
        <v>73</v>
      </c>
      <c r="BC215" s="3" t="s">
        <v>2712</v>
      </c>
      <c r="BD215" s="3" t="s">
        <v>2713</v>
      </c>
    </row>
    <row r="216" spans="1:56" ht="51" customHeight="1" x14ac:dyDescent="0.25">
      <c r="A216" s="7" t="s">
        <v>58</v>
      </c>
      <c r="B216" s="2" t="s">
        <v>2714</v>
      </c>
      <c r="C216" s="2" t="s">
        <v>2715</v>
      </c>
      <c r="D216" s="2" t="s">
        <v>2716</v>
      </c>
      <c r="F216" s="3" t="s">
        <v>58</v>
      </c>
      <c r="G216" s="3" t="s">
        <v>59</v>
      </c>
      <c r="H216" s="3" t="s">
        <v>58</v>
      </c>
      <c r="I216" s="3" t="s">
        <v>58</v>
      </c>
      <c r="J216" s="3" t="s">
        <v>60</v>
      </c>
      <c r="K216" s="2" t="s">
        <v>465</v>
      </c>
      <c r="L216" s="2" t="s">
        <v>2717</v>
      </c>
      <c r="M216" s="3" t="s">
        <v>183</v>
      </c>
      <c r="N216" s="2" t="s">
        <v>2091</v>
      </c>
      <c r="O216" s="3" t="s">
        <v>63</v>
      </c>
      <c r="P216" s="3" t="s">
        <v>760</v>
      </c>
      <c r="R216" s="3" t="s">
        <v>65</v>
      </c>
      <c r="S216" s="4">
        <v>3</v>
      </c>
      <c r="T216" s="4">
        <v>3</v>
      </c>
      <c r="U216" s="5" t="s">
        <v>2718</v>
      </c>
      <c r="V216" s="5" t="s">
        <v>2718</v>
      </c>
      <c r="W216" s="5" t="s">
        <v>585</v>
      </c>
      <c r="X216" s="5" t="s">
        <v>585</v>
      </c>
      <c r="Y216" s="4">
        <v>210</v>
      </c>
      <c r="Z216" s="4">
        <v>174</v>
      </c>
      <c r="AA216" s="4">
        <v>431</v>
      </c>
      <c r="AB216" s="4">
        <v>2</v>
      </c>
      <c r="AC216" s="4">
        <v>4</v>
      </c>
      <c r="AD216" s="4">
        <v>9</v>
      </c>
      <c r="AE216" s="4">
        <v>22</v>
      </c>
      <c r="AF216" s="4">
        <v>4</v>
      </c>
      <c r="AG216" s="4">
        <v>8</v>
      </c>
      <c r="AH216" s="4">
        <v>1</v>
      </c>
      <c r="AI216" s="4">
        <v>4</v>
      </c>
      <c r="AJ216" s="4">
        <v>4</v>
      </c>
      <c r="AK216" s="4">
        <v>12</v>
      </c>
      <c r="AL216" s="4">
        <v>1</v>
      </c>
      <c r="AM216" s="4">
        <v>2</v>
      </c>
      <c r="AN216" s="4">
        <v>0</v>
      </c>
      <c r="AO216" s="4">
        <v>0</v>
      </c>
      <c r="AP216" s="3" t="s">
        <v>58</v>
      </c>
      <c r="AQ216" s="3" t="s">
        <v>68</v>
      </c>
      <c r="AR216" s="6" t="str">
        <f>HYPERLINK("http://catalog.hathitrust.org/Record/001242689","HathiTrust Record")</f>
        <v>HathiTrust Record</v>
      </c>
      <c r="AS216" s="6" t="str">
        <f>HYPERLINK("https://creighton-primo.hosted.exlibrisgroup.com/primo-explore/search?tab=default_tab&amp;search_scope=EVERYTHING&amp;vid=01CRU&amp;lang=en_US&amp;offset=0&amp;query=any,contains,991004383329702656","Catalog Record")</f>
        <v>Catalog Record</v>
      </c>
      <c r="AT216" s="6" t="str">
        <f>HYPERLINK("http://www.worldcat.org/oclc/3123600","WorldCat Record")</f>
        <v>WorldCat Record</v>
      </c>
      <c r="AU216" s="3" t="s">
        <v>2719</v>
      </c>
      <c r="AV216" s="3" t="s">
        <v>2720</v>
      </c>
      <c r="AW216" s="3" t="s">
        <v>2721</v>
      </c>
      <c r="AX216" s="3" t="s">
        <v>2721</v>
      </c>
      <c r="AY216" s="3" t="s">
        <v>2722</v>
      </c>
      <c r="AZ216" s="3" t="s">
        <v>73</v>
      </c>
      <c r="BB216" s="3" t="s">
        <v>2723</v>
      </c>
      <c r="BC216" s="3" t="s">
        <v>2724</v>
      </c>
      <c r="BD216" s="3" t="s">
        <v>2725</v>
      </c>
    </row>
    <row r="217" spans="1:56" ht="51" customHeight="1" x14ac:dyDescent="0.25">
      <c r="A217" s="7" t="s">
        <v>58</v>
      </c>
      <c r="B217" s="2" t="s">
        <v>2726</v>
      </c>
      <c r="C217" s="2" t="s">
        <v>2727</v>
      </c>
      <c r="D217" s="2" t="s">
        <v>2728</v>
      </c>
      <c r="F217" s="3" t="s">
        <v>58</v>
      </c>
      <c r="G217" s="3" t="s">
        <v>59</v>
      </c>
      <c r="H217" s="3" t="s">
        <v>58</v>
      </c>
      <c r="I217" s="3" t="s">
        <v>58</v>
      </c>
      <c r="J217" s="3" t="s">
        <v>60</v>
      </c>
      <c r="K217" s="2" t="s">
        <v>2729</v>
      </c>
      <c r="L217" s="2" t="s">
        <v>2730</v>
      </c>
      <c r="M217" s="3" t="s">
        <v>1720</v>
      </c>
      <c r="O217" s="3" t="s">
        <v>63</v>
      </c>
      <c r="P217" s="3" t="s">
        <v>214</v>
      </c>
      <c r="R217" s="3" t="s">
        <v>65</v>
      </c>
      <c r="S217" s="4">
        <v>3</v>
      </c>
      <c r="T217" s="4">
        <v>3</v>
      </c>
      <c r="U217" s="5" t="s">
        <v>2731</v>
      </c>
      <c r="V217" s="5" t="s">
        <v>2731</v>
      </c>
      <c r="W217" s="5" t="s">
        <v>1599</v>
      </c>
      <c r="X217" s="5" t="s">
        <v>1599</v>
      </c>
      <c r="Y217" s="4">
        <v>399</v>
      </c>
      <c r="Z217" s="4">
        <v>372</v>
      </c>
      <c r="AA217" s="4">
        <v>380</v>
      </c>
      <c r="AB217" s="4">
        <v>3</v>
      </c>
      <c r="AC217" s="4">
        <v>3</v>
      </c>
      <c r="AD217" s="4">
        <v>14</v>
      </c>
      <c r="AE217" s="4">
        <v>14</v>
      </c>
      <c r="AF217" s="4">
        <v>6</v>
      </c>
      <c r="AG217" s="4">
        <v>6</v>
      </c>
      <c r="AH217" s="4">
        <v>3</v>
      </c>
      <c r="AI217" s="4">
        <v>3</v>
      </c>
      <c r="AJ217" s="4">
        <v>7</v>
      </c>
      <c r="AK217" s="4">
        <v>7</v>
      </c>
      <c r="AL217" s="4">
        <v>1</v>
      </c>
      <c r="AM217" s="4">
        <v>1</v>
      </c>
      <c r="AN217" s="4">
        <v>0</v>
      </c>
      <c r="AO217" s="4">
        <v>0</v>
      </c>
      <c r="AP217" s="3" t="s">
        <v>58</v>
      </c>
      <c r="AQ217" s="3" t="s">
        <v>58</v>
      </c>
      <c r="AR217" s="6" t="str">
        <f>HYPERLINK("http://catalog.hathitrust.org/Record/001242694","HathiTrust Record")</f>
        <v>HathiTrust Record</v>
      </c>
      <c r="AS217" s="6" t="str">
        <f>HYPERLINK("https://creighton-primo.hosted.exlibrisgroup.com/primo-explore/search?tab=default_tab&amp;search_scope=EVERYTHING&amp;vid=01CRU&amp;lang=en_US&amp;offset=0&amp;query=any,contains,991002699259702656","Catalog Record")</f>
        <v>Catalog Record</v>
      </c>
      <c r="AT217" s="6" t="str">
        <f>HYPERLINK("http://www.worldcat.org/oclc/404916","WorldCat Record")</f>
        <v>WorldCat Record</v>
      </c>
      <c r="AU217" s="3" t="s">
        <v>2732</v>
      </c>
      <c r="AV217" s="3" t="s">
        <v>2733</v>
      </c>
      <c r="AW217" s="3" t="s">
        <v>2734</v>
      </c>
      <c r="AX217" s="3" t="s">
        <v>2734</v>
      </c>
      <c r="AY217" s="3" t="s">
        <v>2735</v>
      </c>
      <c r="AZ217" s="3" t="s">
        <v>73</v>
      </c>
      <c r="BC217" s="3" t="s">
        <v>2736</v>
      </c>
      <c r="BD217" s="3" t="s">
        <v>2737</v>
      </c>
    </row>
    <row r="218" spans="1:56" ht="51" customHeight="1" x14ac:dyDescent="0.25">
      <c r="A218" s="7" t="s">
        <v>58</v>
      </c>
      <c r="B218" s="2" t="s">
        <v>2738</v>
      </c>
      <c r="C218" s="2" t="s">
        <v>2739</v>
      </c>
      <c r="D218" s="2" t="s">
        <v>2740</v>
      </c>
      <c r="F218" s="3" t="s">
        <v>58</v>
      </c>
      <c r="G218" s="3" t="s">
        <v>59</v>
      </c>
      <c r="H218" s="3" t="s">
        <v>58</v>
      </c>
      <c r="I218" s="3" t="s">
        <v>58</v>
      </c>
      <c r="J218" s="3" t="s">
        <v>60</v>
      </c>
      <c r="K218" s="2" t="s">
        <v>2741</v>
      </c>
      <c r="L218" s="2" t="s">
        <v>2742</v>
      </c>
      <c r="M218" s="3" t="s">
        <v>337</v>
      </c>
      <c r="N218" s="2" t="s">
        <v>1009</v>
      </c>
      <c r="O218" s="3" t="s">
        <v>63</v>
      </c>
      <c r="P218" s="3" t="s">
        <v>214</v>
      </c>
      <c r="R218" s="3" t="s">
        <v>65</v>
      </c>
      <c r="S218" s="4">
        <v>3</v>
      </c>
      <c r="T218" s="4">
        <v>3</v>
      </c>
      <c r="U218" s="5" t="s">
        <v>2743</v>
      </c>
      <c r="V218" s="5" t="s">
        <v>2743</v>
      </c>
      <c r="W218" s="5" t="s">
        <v>2744</v>
      </c>
      <c r="X218" s="5" t="s">
        <v>2744</v>
      </c>
      <c r="Y218" s="4">
        <v>385</v>
      </c>
      <c r="Z218" s="4">
        <v>307</v>
      </c>
      <c r="AA218" s="4">
        <v>375</v>
      </c>
      <c r="AB218" s="4">
        <v>4</v>
      </c>
      <c r="AC218" s="4">
        <v>4</v>
      </c>
      <c r="AD218" s="4">
        <v>13</v>
      </c>
      <c r="AE218" s="4">
        <v>13</v>
      </c>
      <c r="AF218" s="4">
        <v>4</v>
      </c>
      <c r="AG218" s="4">
        <v>4</v>
      </c>
      <c r="AH218" s="4">
        <v>4</v>
      </c>
      <c r="AI218" s="4">
        <v>4</v>
      </c>
      <c r="AJ218" s="4">
        <v>6</v>
      </c>
      <c r="AK218" s="4">
        <v>6</v>
      </c>
      <c r="AL218" s="4">
        <v>2</v>
      </c>
      <c r="AM218" s="4">
        <v>2</v>
      </c>
      <c r="AN218" s="4">
        <v>0</v>
      </c>
      <c r="AO218" s="4">
        <v>0</v>
      </c>
      <c r="AP218" s="3" t="s">
        <v>58</v>
      </c>
      <c r="AQ218" s="3" t="s">
        <v>68</v>
      </c>
      <c r="AR218" s="6" t="str">
        <f>HYPERLINK("http://catalog.hathitrust.org/Record/004234906","HathiTrust Record")</f>
        <v>HathiTrust Record</v>
      </c>
      <c r="AS218" s="6" t="str">
        <f>HYPERLINK("https://creighton-primo.hosted.exlibrisgroup.com/primo-explore/search?tab=default_tab&amp;search_scope=EVERYTHING&amp;vid=01CRU&amp;lang=en_US&amp;offset=0&amp;query=any,contains,991003798059702656","Catalog Record")</f>
        <v>Catalog Record</v>
      </c>
      <c r="AT218" s="6" t="str">
        <f>HYPERLINK("http://www.worldcat.org/oclc/46394464","WorldCat Record")</f>
        <v>WorldCat Record</v>
      </c>
      <c r="AU218" s="3" t="s">
        <v>2745</v>
      </c>
      <c r="AV218" s="3" t="s">
        <v>2746</v>
      </c>
      <c r="AW218" s="3" t="s">
        <v>2747</v>
      </c>
      <c r="AX218" s="3" t="s">
        <v>2747</v>
      </c>
      <c r="AY218" s="3" t="s">
        <v>2748</v>
      </c>
      <c r="AZ218" s="3" t="s">
        <v>73</v>
      </c>
      <c r="BB218" s="3" t="s">
        <v>2749</v>
      </c>
      <c r="BC218" s="3" t="s">
        <v>2750</v>
      </c>
      <c r="BD218" s="3" t="s">
        <v>2751</v>
      </c>
    </row>
    <row r="219" spans="1:56" ht="51" customHeight="1" x14ac:dyDescent="0.25">
      <c r="A219" s="7" t="s">
        <v>58</v>
      </c>
      <c r="B219" s="2" t="s">
        <v>2752</v>
      </c>
      <c r="C219" s="2" t="s">
        <v>2753</v>
      </c>
      <c r="D219" s="2" t="s">
        <v>2754</v>
      </c>
      <c r="F219" s="3" t="s">
        <v>58</v>
      </c>
      <c r="G219" s="3" t="s">
        <v>59</v>
      </c>
      <c r="H219" s="3" t="s">
        <v>58</v>
      </c>
      <c r="I219" s="3" t="s">
        <v>58</v>
      </c>
      <c r="J219" s="3" t="s">
        <v>60</v>
      </c>
      <c r="K219" s="2" t="s">
        <v>2755</v>
      </c>
      <c r="L219" s="2" t="s">
        <v>2756</v>
      </c>
      <c r="M219" s="3" t="s">
        <v>2757</v>
      </c>
      <c r="O219" s="3" t="s">
        <v>63</v>
      </c>
      <c r="P219" s="3" t="s">
        <v>571</v>
      </c>
      <c r="R219" s="3" t="s">
        <v>65</v>
      </c>
      <c r="S219" s="4">
        <v>1</v>
      </c>
      <c r="T219" s="4">
        <v>1</v>
      </c>
      <c r="U219" s="5" t="s">
        <v>2758</v>
      </c>
      <c r="V219" s="5" t="s">
        <v>2758</v>
      </c>
      <c r="W219" s="5" t="s">
        <v>1599</v>
      </c>
      <c r="X219" s="5" t="s">
        <v>1599</v>
      </c>
      <c r="Y219" s="4">
        <v>250</v>
      </c>
      <c r="Z219" s="4">
        <v>164</v>
      </c>
      <c r="AA219" s="4">
        <v>166</v>
      </c>
      <c r="AB219" s="4">
        <v>1</v>
      </c>
      <c r="AC219" s="4">
        <v>1</v>
      </c>
      <c r="AD219" s="4">
        <v>10</v>
      </c>
      <c r="AE219" s="4">
        <v>10</v>
      </c>
      <c r="AF219" s="4">
        <v>4</v>
      </c>
      <c r="AG219" s="4">
        <v>4</v>
      </c>
      <c r="AH219" s="4">
        <v>1</v>
      </c>
      <c r="AI219" s="4">
        <v>1</v>
      </c>
      <c r="AJ219" s="4">
        <v>7</v>
      </c>
      <c r="AK219" s="4">
        <v>7</v>
      </c>
      <c r="AL219" s="4">
        <v>0</v>
      </c>
      <c r="AM219" s="4">
        <v>0</v>
      </c>
      <c r="AN219" s="4">
        <v>0</v>
      </c>
      <c r="AO219" s="4">
        <v>0</v>
      </c>
      <c r="AP219" s="3" t="s">
        <v>58</v>
      </c>
      <c r="AQ219" s="3" t="s">
        <v>68</v>
      </c>
      <c r="AR219" s="6" t="str">
        <f>HYPERLINK("http://catalog.hathitrust.org/Record/001242712","HathiTrust Record")</f>
        <v>HathiTrust Record</v>
      </c>
      <c r="AS219" s="6" t="str">
        <f>HYPERLINK("https://creighton-primo.hosted.exlibrisgroup.com/primo-explore/search?tab=default_tab&amp;search_scope=EVERYTHING&amp;vid=01CRU&amp;lang=en_US&amp;offset=0&amp;query=any,contains,991003555289702656","Catalog Record")</f>
        <v>Catalog Record</v>
      </c>
      <c r="AT219" s="6" t="str">
        <f>HYPERLINK("http://www.worldcat.org/oclc/1123166","WorldCat Record")</f>
        <v>WorldCat Record</v>
      </c>
      <c r="AU219" s="3" t="s">
        <v>2759</v>
      </c>
      <c r="AV219" s="3" t="s">
        <v>2760</v>
      </c>
      <c r="AW219" s="3" t="s">
        <v>2761</v>
      </c>
      <c r="AX219" s="3" t="s">
        <v>2761</v>
      </c>
      <c r="AY219" s="3" t="s">
        <v>2762</v>
      </c>
      <c r="AZ219" s="3" t="s">
        <v>73</v>
      </c>
      <c r="BC219" s="3" t="s">
        <v>2763</v>
      </c>
      <c r="BD219" s="3" t="s">
        <v>2764</v>
      </c>
    </row>
    <row r="220" spans="1:56" ht="51" customHeight="1" x14ac:dyDescent="0.25">
      <c r="A220" s="7" t="s">
        <v>58</v>
      </c>
      <c r="B220" s="2" t="s">
        <v>2765</v>
      </c>
      <c r="C220" s="2" t="s">
        <v>2766</v>
      </c>
      <c r="D220" s="2" t="s">
        <v>2767</v>
      </c>
      <c r="F220" s="3" t="s">
        <v>58</v>
      </c>
      <c r="G220" s="3" t="s">
        <v>59</v>
      </c>
      <c r="H220" s="3" t="s">
        <v>58</v>
      </c>
      <c r="I220" s="3" t="s">
        <v>58</v>
      </c>
      <c r="J220" s="3" t="s">
        <v>60</v>
      </c>
      <c r="K220" s="2" t="s">
        <v>2768</v>
      </c>
      <c r="L220" s="2" t="s">
        <v>2769</v>
      </c>
      <c r="M220" s="3" t="s">
        <v>653</v>
      </c>
      <c r="O220" s="3" t="s">
        <v>63</v>
      </c>
      <c r="P220" s="3" t="s">
        <v>354</v>
      </c>
      <c r="R220" s="3" t="s">
        <v>65</v>
      </c>
      <c r="S220" s="4">
        <v>9</v>
      </c>
      <c r="T220" s="4">
        <v>9</v>
      </c>
      <c r="U220" s="5" t="s">
        <v>2770</v>
      </c>
      <c r="V220" s="5" t="s">
        <v>2770</v>
      </c>
      <c r="W220" s="5" t="s">
        <v>2771</v>
      </c>
      <c r="X220" s="5" t="s">
        <v>2771</v>
      </c>
      <c r="Y220" s="4">
        <v>682</v>
      </c>
      <c r="Z220" s="4">
        <v>634</v>
      </c>
      <c r="AA220" s="4">
        <v>639</v>
      </c>
      <c r="AB220" s="4">
        <v>3</v>
      </c>
      <c r="AC220" s="4">
        <v>3</v>
      </c>
      <c r="AD220" s="4">
        <v>32</v>
      </c>
      <c r="AE220" s="4">
        <v>32</v>
      </c>
      <c r="AF220" s="4">
        <v>16</v>
      </c>
      <c r="AG220" s="4">
        <v>16</v>
      </c>
      <c r="AH220" s="4">
        <v>8</v>
      </c>
      <c r="AI220" s="4">
        <v>8</v>
      </c>
      <c r="AJ220" s="4">
        <v>17</v>
      </c>
      <c r="AK220" s="4">
        <v>17</v>
      </c>
      <c r="AL220" s="4">
        <v>2</v>
      </c>
      <c r="AM220" s="4">
        <v>2</v>
      </c>
      <c r="AN220" s="4">
        <v>0</v>
      </c>
      <c r="AO220" s="4">
        <v>0</v>
      </c>
      <c r="AP220" s="3" t="s">
        <v>58</v>
      </c>
      <c r="AQ220" s="3" t="s">
        <v>68</v>
      </c>
      <c r="AR220" s="6" t="str">
        <f>HYPERLINK("http://catalog.hathitrust.org/Record/002534091","HathiTrust Record")</f>
        <v>HathiTrust Record</v>
      </c>
      <c r="AS220" s="6" t="str">
        <f>HYPERLINK("https://creighton-primo.hosted.exlibrisgroup.com/primo-explore/search?tab=default_tab&amp;search_scope=EVERYTHING&amp;vid=01CRU&amp;lang=en_US&amp;offset=0&amp;query=any,contains,991001939719702656","Catalog Record")</f>
        <v>Catalog Record</v>
      </c>
      <c r="AT220" s="6" t="str">
        <f>HYPERLINK("http://www.worldcat.org/oclc/24503299","WorldCat Record")</f>
        <v>WorldCat Record</v>
      </c>
      <c r="AU220" s="3" t="s">
        <v>2772</v>
      </c>
      <c r="AV220" s="3" t="s">
        <v>2773</v>
      </c>
      <c r="AW220" s="3" t="s">
        <v>2774</v>
      </c>
      <c r="AX220" s="3" t="s">
        <v>2774</v>
      </c>
      <c r="AY220" s="3" t="s">
        <v>2775</v>
      </c>
      <c r="AZ220" s="3" t="s">
        <v>73</v>
      </c>
      <c r="BB220" s="3" t="s">
        <v>2776</v>
      </c>
      <c r="BC220" s="3" t="s">
        <v>2777</v>
      </c>
      <c r="BD220" s="3" t="s">
        <v>2778</v>
      </c>
    </row>
    <row r="221" spans="1:56" ht="51" customHeight="1" x14ac:dyDescent="0.25">
      <c r="A221" s="7" t="s">
        <v>58</v>
      </c>
      <c r="B221" s="2" t="s">
        <v>2779</v>
      </c>
      <c r="C221" s="2" t="s">
        <v>2780</v>
      </c>
      <c r="D221" s="2" t="s">
        <v>2781</v>
      </c>
      <c r="F221" s="3" t="s">
        <v>58</v>
      </c>
      <c r="G221" s="3" t="s">
        <v>59</v>
      </c>
      <c r="H221" s="3" t="s">
        <v>58</v>
      </c>
      <c r="I221" s="3" t="s">
        <v>58</v>
      </c>
      <c r="J221" s="3" t="s">
        <v>60</v>
      </c>
      <c r="K221" s="2" t="s">
        <v>2782</v>
      </c>
      <c r="L221" s="2" t="s">
        <v>2783</v>
      </c>
      <c r="M221" s="3" t="s">
        <v>538</v>
      </c>
      <c r="O221" s="3" t="s">
        <v>63</v>
      </c>
      <c r="P221" s="3" t="s">
        <v>2784</v>
      </c>
      <c r="Q221" s="2" t="s">
        <v>2785</v>
      </c>
      <c r="R221" s="3" t="s">
        <v>65</v>
      </c>
      <c r="S221" s="4">
        <v>1</v>
      </c>
      <c r="T221" s="4">
        <v>1</v>
      </c>
      <c r="U221" s="5" t="s">
        <v>2077</v>
      </c>
      <c r="V221" s="5" t="s">
        <v>2077</v>
      </c>
      <c r="W221" s="5" t="s">
        <v>2786</v>
      </c>
      <c r="X221" s="5" t="s">
        <v>2786</v>
      </c>
      <c r="Y221" s="4">
        <v>233</v>
      </c>
      <c r="Z221" s="4">
        <v>184</v>
      </c>
      <c r="AA221" s="4">
        <v>319</v>
      </c>
      <c r="AB221" s="4">
        <v>2</v>
      </c>
      <c r="AC221" s="4">
        <v>2</v>
      </c>
      <c r="AD221" s="4">
        <v>10</v>
      </c>
      <c r="AE221" s="4">
        <v>15</v>
      </c>
      <c r="AF221" s="4">
        <v>2</v>
      </c>
      <c r="AG221" s="4">
        <v>3</v>
      </c>
      <c r="AH221" s="4">
        <v>4</v>
      </c>
      <c r="AI221" s="4">
        <v>4</v>
      </c>
      <c r="AJ221" s="4">
        <v>5</v>
      </c>
      <c r="AK221" s="4">
        <v>10</v>
      </c>
      <c r="AL221" s="4">
        <v>1</v>
      </c>
      <c r="AM221" s="4">
        <v>1</v>
      </c>
      <c r="AN221" s="4">
        <v>0</v>
      </c>
      <c r="AO221" s="4">
        <v>0</v>
      </c>
      <c r="AP221" s="3" t="s">
        <v>58</v>
      </c>
      <c r="AQ221" s="3" t="s">
        <v>68</v>
      </c>
      <c r="AR221" s="6" t="str">
        <f>HYPERLINK("http://catalog.hathitrust.org/Record/001242722","HathiTrust Record")</f>
        <v>HathiTrust Record</v>
      </c>
      <c r="AS221" s="6" t="str">
        <f>HYPERLINK("https://creighton-primo.hosted.exlibrisgroup.com/primo-explore/search?tab=default_tab&amp;search_scope=EVERYTHING&amp;vid=01CRU&amp;lang=en_US&amp;offset=0&amp;query=any,contains,991000627879702656","Catalog Record")</f>
        <v>Catalog Record</v>
      </c>
      <c r="AT221" s="6" t="str">
        <f>HYPERLINK("http://www.worldcat.org/oclc/104943","WorldCat Record")</f>
        <v>WorldCat Record</v>
      </c>
      <c r="AU221" s="3" t="s">
        <v>2787</v>
      </c>
      <c r="AV221" s="3" t="s">
        <v>2788</v>
      </c>
      <c r="AW221" s="3" t="s">
        <v>2789</v>
      </c>
      <c r="AX221" s="3" t="s">
        <v>2789</v>
      </c>
      <c r="AY221" s="3" t="s">
        <v>2790</v>
      </c>
      <c r="AZ221" s="3" t="s">
        <v>73</v>
      </c>
      <c r="BC221" s="3" t="s">
        <v>2791</v>
      </c>
      <c r="BD221" s="3" t="s">
        <v>2792</v>
      </c>
    </row>
    <row r="222" spans="1:56" ht="51" customHeight="1" x14ac:dyDescent="0.25">
      <c r="A222" s="7" t="s">
        <v>58</v>
      </c>
      <c r="B222" s="2" t="s">
        <v>2793</v>
      </c>
      <c r="C222" s="2" t="s">
        <v>2794</v>
      </c>
      <c r="D222" s="2" t="s">
        <v>2795</v>
      </c>
      <c r="F222" s="3" t="s">
        <v>58</v>
      </c>
      <c r="G222" s="3" t="s">
        <v>59</v>
      </c>
      <c r="H222" s="3" t="s">
        <v>58</v>
      </c>
      <c r="I222" s="3" t="s">
        <v>58</v>
      </c>
      <c r="J222" s="3" t="s">
        <v>60</v>
      </c>
      <c r="L222" s="2" t="s">
        <v>2796</v>
      </c>
      <c r="M222" s="3" t="s">
        <v>626</v>
      </c>
      <c r="O222" s="3" t="s">
        <v>63</v>
      </c>
      <c r="P222" s="3" t="s">
        <v>584</v>
      </c>
      <c r="Q222" s="2" t="s">
        <v>2797</v>
      </c>
      <c r="R222" s="3" t="s">
        <v>65</v>
      </c>
      <c r="S222" s="4">
        <v>0</v>
      </c>
      <c r="T222" s="4">
        <v>0</v>
      </c>
      <c r="U222" s="5" t="s">
        <v>2798</v>
      </c>
      <c r="V222" s="5" t="s">
        <v>2798</v>
      </c>
      <c r="W222" s="5" t="s">
        <v>2799</v>
      </c>
      <c r="X222" s="5" t="s">
        <v>2799</v>
      </c>
      <c r="Y222" s="4">
        <v>403</v>
      </c>
      <c r="Z222" s="4">
        <v>282</v>
      </c>
      <c r="AA222" s="4">
        <v>295</v>
      </c>
      <c r="AB222" s="4">
        <v>1</v>
      </c>
      <c r="AC222" s="4">
        <v>2</v>
      </c>
      <c r="AD222" s="4">
        <v>13</v>
      </c>
      <c r="AE222" s="4">
        <v>14</v>
      </c>
      <c r="AF222" s="4">
        <v>4</v>
      </c>
      <c r="AG222" s="4">
        <v>4</v>
      </c>
      <c r="AH222" s="4">
        <v>3</v>
      </c>
      <c r="AI222" s="4">
        <v>3</v>
      </c>
      <c r="AJ222" s="4">
        <v>8</v>
      </c>
      <c r="AK222" s="4">
        <v>8</v>
      </c>
      <c r="AL222" s="4">
        <v>0</v>
      </c>
      <c r="AM222" s="4">
        <v>1</v>
      </c>
      <c r="AN222" s="4">
        <v>0</v>
      </c>
      <c r="AO222" s="4">
        <v>0</v>
      </c>
      <c r="AP222" s="3" t="s">
        <v>68</v>
      </c>
      <c r="AQ222" s="3" t="s">
        <v>68</v>
      </c>
      <c r="AR222" s="6" t="str">
        <f>HYPERLINK("http://catalog.hathitrust.org/Record/004735337","HathiTrust Record")</f>
        <v>HathiTrust Record</v>
      </c>
      <c r="AS222" s="6" t="str">
        <f>HYPERLINK("https://creighton-primo.hosted.exlibrisgroup.com/primo-explore/search?tab=default_tab&amp;search_scope=EVERYTHING&amp;vid=01CRU&amp;lang=en_US&amp;offset=0&amp;query=any,contains,991000356049702656","Catalog Record")</f>
        <v>Catalog Record</v>
      </c>
      <c r="AT222" s="6" t="str">
        <f>HYPERLINK("http://www.worldcat.org/oclc/10327192","WorldCat Record")</f>
        <v>WorldCat Record</v>
      </c>
      <c r="AU222" s="3" t="s">
        <v>2800</v>
      </c>
      <c r="AV222" s="3" t="s">
        <v>2801</v>
      </c>
      <c r="AW222" s="3" t="s">
        <v>2802</v>
      </c>
      <c r="AX222" s="3" t="s">
        <v>2802</v>
      </c>
      <c r="AY222" s="3" t="s">
        <v>2803</v>
      </c>
      <c r="AZ222" s="3" t="s">
        <v>73</v>
      </c>
      <c r="BB222" s="3" t="s">
        <v>2804</v>
      </c>
      <c r="BC222" s="3" t="s">
        <v>2805</v>
      </c>
      <c r="BD222" s="3" t="s">
        <v>2806</v>
      </c>
    </row>
    <row r="223" spans="1:56" ht="51" customHeight="1" x14ac:dyDescent="0.25">
      <c r="A223" s="7" t="s">
        <v>58</v>
      </c>
      <c r="B223" s="2" t="s">
        <v>2807</v>
      </c>
      <c r="C223" s="2" t="s">
        <v>2808</v>
      </c>
      <c r="D223" s="2" t="s">
        <v>2809</v>
      </c>
      <c r="F223" s="3" t="s">
        <v>58</v>
      </c>
      <c r="G223" s="3" t="s">
        <v>59</v>
      </c>
      <c r="H223" s="3" t="s">
        <v>58</v>
      </c>
      <c r="I223" s="3" t="s">
        <v>58</v>
      </c>
      <c r="J223" s="3" t="s">
        <v>60</v>
      </c>
      <c r="L223" s="2" t="s">
        <v>2810</v>
      </c>
      <c r="M223" s="3" t="s">
        <v>1385</v>
      </c>
      <c r="N223" s="2" t="s">
        <v>2811</v>
      </c>
      <c r="O223" s="3" t="s">
        <v>63</v>
      </c>
      <c r="P223" s="3" t="s">
        <v>214</v>
      </c>
      <c r="R223" s="3" t="s">
        <v>65</v>
      </c>
      <c r="S223" s="4">
        <v>1</v>
      </c>
      <c r="T223" s="4">
        <v>1</v>
      </c>
      <c r="U223" s="5" t="s">
        <v>234</v>
      </c>
      <c r="V223" s="5" t="s">
        <v>234</v>
      </c>
      <c r="W223" s="5" t="s">
        <v>2812</v>
      </c>
      <c r="X223" s="5" t="s">
        <v>2812</v>
      </c>
      <c r="Y223" s="4">
        <v>73</v>
      </c>
      <c r="Z223" s="4">
        <v>63</v>
      </c>
      <c r="AA223" s="4">
        <v>410</v>
      </c>
      <c r="AB223" s="4">
        <v>2</v>
      </c>
      <c r="AC223" s="4">
        <v>4</v>
      </c>
      <c r="AD223" s="4">
        <v>4</v>
      </c>
      <c r="AE223" s="4">
        <v>11</v>
      </c>
      <c r="AF223" s="4">
        <v>1</v>
      </c>
      <c r="AG223" s="4">
        <v>2</v>
      </c>
      <c r="AH223" s="4">
        <v>2</v>
      </c>
      <c r="AI223" s="4">
        <v>4</v>
      </c>
      <c r="AJ223" s="4">
        <v>2</v>
      </c>
      <c r="AK223" s="4">
        <v>5</v>
      </c>
      <c r="AL223" s="4">
        <v>0</v>
      </c>
      <c r="AM223" s="4">
        <v>2</v>
      </c>
      <c r="AN223" s="4">
        <v>0</v>
      </c>
      <c r="AO223" s="4">
        <v>0</v>
      </c>
      <c r="AP223" s="3" t="s">
        <v>58</v>
      </c>
      <c r="AQ223" s="3" t="s">
        <v>58</v>
      </c>
      <c r="AS223" s="6" t="str">
        <f>HYPERLINK("https://creighton-primo.hosted.exlibrisgroup.com/primo-explore/search?tab=default_tab&amp;search_scope=EVERYTHING&amp;vid=01CRU&amp;lang=en_US&amp;offset=0&amp;query=any,contains,991003847089702656","Catalog Record")</f>
        <v>Catalog Record</v>
      </c>
      <c r="AT223" s="6" t="str">
        <f>HYPERLINK("http://www.worldcat.org/oclc/1632974","WorldCat Record")</f>
        <v>WorldCat Record</v>
      </c>
      <c r="AU223" s="3" t="s">
        <v>2813</v>
      </c>
      <c r="AV223" s="3" t="s">
        <v>2814</v>
      </c>
      <c r="AW223" s="3" t="s">
        <v>2815</v>
      </c>
      <c r="AX223" s="3" t="s">
        <v>2815</v>
      </c>
      <c r="AY223" s="3" t="s">
        <v>2816</v>
      </c>
      <c r="AZ223" s="3" t="s">
        <v>73</v>
      </c>
      <c r="BC223" s="3" t="s">
        <v>2817</v>
      </c>
      <c r="BD223" s="3" t="s">
        <v>2818</v>
      </c>
    </row>
    <row r="224" spans="1:56" ht="51" customHeight="1" x14ac:dyDescent="0.25">
      <c r="A224" s="7" t="s">
        <v>58</v>
      </c>
      <c r="B224" s="2" t="s">
        <v>2819</v>
      </c>
      <c r="C224" s="2" t="s">
        <v>2820</v>
      </c>
      <c r="D224" s="2" t="s">
        <v>2821</v>
      </c>
      <c r="F224" s="3" t="s">
        <v>58</v>
      </c>
      <c r="G224" s="3" t="s">
        <v>59</v>
      </c>
      <c r="H224" s="3" t="s">
        <v>58</v>
      </c>
      <c r="I224" s="3" t="s">
        <v>58</v>
      </c>
      <c r="J224" s="3" t="s">
        <v>60</v>
      </c>
      <c r="K224" s="2" t="s">
        <v>2822</v>
      </c>
      <c r="L224" s="2" t="s">
        <v>2823</v>
      </c>
      <c r="M224" s="3" t="s">
        <v>884</v>
      </c>
      <c r="O224" s="3" t="s">
        <v>63</v>
      </c>
      <c r="P224" s="3" t="s">
        <v>214</v>
      </c>
      <c r="R224" s="3" t="s">
        <v>65</v>
      </c>
      <c r="S224" s="4">
        <v>1</v>
      </c>
      <c r="T224" s="4">
        <v>1</v>
      </c>
      <c r="U224" s="5" t="s">
        <v>2824</v>
      </c>
      <c r="V224" s="5" t="s">
        <v>2824</v>
      </c>
      <c r="W224" s="5" t="s">
        <v>2825</v>
      </c>
      <c r="X224" s="5" t="s">
        <v>2825</v>
      </c>
      <c r="Y224" s="4">
        <v>498</v>
      </c>
      <c r="Z224" s="4">
        <v>436</v>
      </c>
      <c r="AA224" s="4">
        <v>1234</v>
      </c>
      <c r="AB224" s="4">
        <v>5</v>
      </c>
      <c r="AC224" s="4">
        <v>9</v>
      </c>
      <c r="AD224" s="4">
        <v>15</v>
      </c>
      <c r="AE224" s="4">
        <v>54</v>
      </c>
      <c r="AF224" s="4">
        <v>2</v>
      </c>
      <c r="AG224" s="4">
        <v>20</v>
      </c>
      <c r="AH224" s="4">
        <v>5</v>
      </c>
      <c r="AI224" s="4">
        <v>10</v>
      </c>
      <c r="AJ224" s="4">
        <v>6</v>
      </c>
      <c r="AK224" s="4">
        <v>25</v>
      </c>
      <c r="AL224" s="4">
        <v>4</v>
      </c>
      <c r="AM224" s="4">
        <v>7</v>
      </c>
      <c r="AN224" s="4">
        <v>0</v>
      </c>
      <c r="AO224" s="4">
        <v>6</v>
      </c>
      <c r="AP224" s="3" t="s">
        <v>58</v>
      </c>
      <c r="AQ224" s="3" t="s">
        <v>58</v>
      </c>
      <c r="AS224" s="6" t="str">
        <f>HYPERLINK("https://creighton-primo.hosted.exlibrisgroup.com/primo-explore/search?tab=default_tab&amp;search_scope=EVERYTHING&amp;vid=01CRU&amp;lang=en_US&amp;offset=0&amp;query=any,contains,991003425459702656","Catalog Record")</f>
        <v>Catalog Record</v>
      </c>
      <c r="AT224" s="6" t="str">
        <f>HYPERLINK("http://www.worldcat.org/oclc/964501","WorldCat Record")</f>
        <v>WorldCat Record</v>
      </c>
      <c r="AU224" s="3" t="s">
        <v>2826</v>
      </c>
      <c r="AV224" s="3" t="s">
        <v>2827</v>
      </c>
      <c r="AW224" s="3" t="s">
        <v>2828</v>
      </c>
      <c r="AX224" s="3" t="s">
        <v>2828</v>
      </c>
      <c r="AY224" s="3" t="s">
        <v>2829</v>
      </c>
      <c r="AZ224" s="3" t="s">
        <v>73</v>
      </c>
      <c r="BC224" s="3" t="s">
        <v>2830</v>
      </c>
      <c r="BD224" s="3" t="s">
        <v>2831</v>
      </c>
    </row>
    <row r="225" spans="1:56" ht="51" customHeight="1" x14ac:dyDescent="0.25">
      <c r="A225" s="7" t="s">
        <v>58</v>
      </c>
      <c r="B225" s="2" t="s">
        <v>2832</v>
      </c>
      <c r="C225" s="2" t="s">
        <v>2833</v>
      </c>
      <c r="D225" s="2" t="s">
        <v>2834</v>
      </c>
      <c r="F225" s="3" t="s">
        <v>58</v>
      </c>
      <c r="G225" s="3" t="s">
        <v>59</v>
      </c>
      <c r="H225" s="3" t="s">
        <v>58</v>
      </c>
      <c r="I225" s="3" t="s">
        <v>58</v>
      </c>
      <c r="J225" s="3" t="s">
        <v>60</v>
      </c>
      <c r="K225" s="2" t="s">
        <v>2835</v>
      </c>
      <c r="L225" s="2" t="s">
        <v>2836</v>
      </c>
      <c r="M225" s="3" t="s">
        <v>83</v>
      </c>
      <c r="N225" s="2" t="s">
        <v>2837</v>
      </c>
      <c r="O225" s="3" t="s">
        <v>63</v>
      </c>
      <c r="P225" s="3" t="s">
        <v>214</v>
      </c>
      <c r="R225" s="3" t="s">
        <v>65</v>
      </c>
      <c r="S225" s="4">
        <v>4</v>
      </c>
      <c r="T225" s="4">
        <v>4</v>
      </c>
      <c r="U225" s="5" t="s">
        <v>2838</v>
      </c>
      <c r="V225" s="5" t="s">
        <v>2838</v>
      </c>
      <c r="W225" s="5" t="s">
        <v>2839</v>
      </c>
      <c r="X225" s="5" t="s">
        <v>2839</v>
      </c>
      <c r="Y225" s="4">
        <v>780</v>
      </c>
      <c r="Z225" s="4">
        <v>700</v>
      </c>
      <c r="AA225" s="4">
        <v>778</v>
      </c>
      <c r="AB225" s="4">
        <v>4</v>
      </c>
      <c r="AC225" s="4">
        <v>5</v>
      </c>
      <c r="AD225" s="4">
        <v>20</v>
      </c>
      <c r="AE225" s="4">
        <v>23</v>
      </c>
      <c r="AF225" s="4">
        <v>9</v>
      </c>
      <c r="AG225" s="4">
        <v>10</v>
      </c>
      <c r="AH225" s="4">
        <v>6</v>
      </c>
      <c r="AI225" s="4">
        <v>7</v>
      </c>
      <c r="AJ225" s="4">
        <v>8</v>
      </c>
      <c r="AK225" s="4">
        <v>8</v>
      </c>
      <c r="AL225" s="4">
        <v>2</v>
      </c>
      <c r="AM225" s="4">
        <v>3</v>
      </c>
      <c r="AN225" s="4">
        <v>0</v>
      </c>
      <c r="AO225" s="4">
        <v>0</v>
      </c>
      <c r="AP225" s="3" t="s">
        <v>58</v>
      </c>
      <c r="AQ225" s="3" t="s">
        <v>68</v>
      </c>
      <c r="AR225" s="6" t="str">
        <f>HYPERLINK("http://catalog.hathitrust.org/Record/000176841","HathiTrust Record")</f>
        <v>HathiTrust Record</v>
      </c>
      <c r="AS225" s="6" t="str">
        <f>HYPERLINK("https://creighton-primo.hosted.exlibrisgroup.com/primo-explore/search?tab=default_tab&amp;search_scope=EVERYTHING&amp;vid=01CRU&amp;lang=en_US&amp;offset=0&amp;query=any,contains,991004568029702656","Catalog Record")</f>
        <v>Catalog Record</v>
      </c>
      <c r="AT225" s="6" t="str">
        <f>HYPERLINK("http://www.worldcat.org/oclc/4004996","WorldCat Record")</f>
        <v>WorldCat Record</v>
      </c>
      <c r="AU225" s="3" t="s">
        <v>2840</v>
      </c>
      <c r="AV225" s="3" t="s">
        <v>2841</v>
      </c>
      <c r="AW225" s="3" t="s">
        <v>2842</v>
      </c>
      <c r="AX225" s="3" t="s">
        <v>2842</v>
      </c>
      <c r="AY225" s="3" t="s">
        <v>2843</v>
      </c>
      <c r="AZ225" s="3" t="s">
        <v>73</v>
      </c>
      <c r="BB225" s="3" t="s">
        <v>2844</v>
      </c>
      <c r="BC225" s="3" t="s">
        <v>2845</v>
      </c>
      <c r="BD225" s="3" t="s">
        <v>2846</v>
      </c>
    </row>
    <row r="226" spans="1:56" ht="51" customHeight="1" x14ac:dyDescent="0.25">
      <c r="A226" s="7" t="s">
        <v>58</v>
      </c>
      <c r="B226" s="2" t="s">
        <v>2847</v>
      </c>
      <c r="C226" s="2" t="s">
        <v>2848</v>
      </c>
      <c r="D226" s="2" t="s">
        <v>2849</v>
      </c>
      <c r="F226" s="3" t="s">
        <v>58</v>
      </c>
      <c r="G226" s="3" t="s">
        <v>59</v>
      </c>
      <c r="H226" s="3" t="s">
        <v>58</v>
      </c>
      <c r="I226" s="3" t="s">
        <v>58</v>
      </c>
      <c r="J226" s="3" t="s">
        <v>60</v>
      </c>
      <c r="K226" s="2" t="s">
        <v>2850</v>
      </c>
      <c r="L226" s="2" t="s">
        <v>2851</v>
      </c>
      <c r="M226" s="3" t="s">
        <v>1385</v>
      </c>
      <c r="O226" s="3" t="s">
        <v>63</v>
      </c>
      <c r="P226" s="3" t="s">
        <v>2061</v>
      </c>
      <c r="R226" s="3" t="s">
        <v>65</v>
      </c>
      <c r="S226" s="4">
        <v>3</v>
      </c>
      <c r="T226" s="4">
        <v>3</v>
      </c>
      <c r="U226" s="5" t="s">
        <v>2852</v>
      </c>
      <c r="V226" s="5" t="s">
        <v>2852</v>
      </c>
      <c r="W226" s="5" t="s">
        <v>235</v>
      </c>
      <c r="X226" s="5" t="s">
        <v>235</v>
      </c>
      <c r="Y226" s="4">
        <v>354</v>
      </c>
      <c r="Z226" s="4">
        <v>297</v>
      </c>
      <c r="AA226" s="4">
        <v>304</v>
      </c>
      <c r="AB226" s="4">
        <v>5</v>
      </c>
      <c r="AC226" s="4">
        <v>5</v>
      </c>
      <c r="AD226" s="4">
        <v>9</v>
      </c>
      <c r="AE226" s="4">
        <v>9</v>
      </c>
      <c r="AF226" s="4">
        <v>0</v>
      </c>
      <c r="AG226" s="4">
        <v>0</v>
      </c>
      <c r="AH226" s="4">
        <v>3</v>
      </c>
      <c r="AI226" s="4">
        <v>3</v>
      </c>
      <c r="AJ226" s="4">
        <v>4</v>
      </c>
      <c r="AK226" s="4">
        <v>4</v>
      </c>
      <c r="AL226" s="4">
        <v>4</v>
      </c>
      <c r="AM226" s="4">
        <v>4</v>
      </c>
      <c r="AN226" s="4">
        <v>0</v>
      </c>
      <c r="AO226" s="4">
        <v>0</v>
      </c>
      <c r="AP226" s="3" t="s">
        <v>58</v>
      </c>
      <c r="AQ226" s="3" t="s">
        <v>68</v>
      </c>
      <c r="AR226" s="6" t="str">
        <f>HYPERLINK("http://catalog.hathitrust.org/Record/001242760","HathiTrust Record")</f>
        <v>HathiTrust Record</v>
      </c>
      <c r="AS226" s="6" t="str">
        <f>HYPERLINK("https://creighton-primo.hosted.exlibrisgroup.com/primo-explore/search?tab=default_tab&amp;search_scope=EVERYTHING&amp;vid=01CRU&amp;lang=en_US&amp;offset=0&amp;query=any,contains,991003607879702656","Catalog Record")</f>
        <v>Catalog Record</v>
      </c>
      <c r="AT226" s="6" t="str">
        <f>HYPERLINK("http://www.worldcat.org/oclc/1188936","WorldCat Record")</f>
        <v>WorldCat Record</v>
      </c>
      <c r="AU226" s="3" t="s">
        <v>2853</v>
      </c>
      <c r="AV226" s="3" t="s">
        <v>2854</v>
      </c>
      <c r="AW226" s="3" t="s">
        <v>2855</v>
      </c>
      <c r="AX226" s="3" t="s">
        <v>2855</v>
      </c>
      <c r="AY226" s="3" t="s">
        <v>2856</v>
      </c>
      <c r="AZ226" s="3" t="s">
        <v>73</v>
      </c>
      <c r="BB226" s="3" t="s">
        <v>2857</v>
      </c>
      <c r="BC226" s="3" t="s">
        <v>2858</v>
      </c>
      <c r="BD226" s="3" t="s">
        <v>2859</v>
      </c>
    </row>
    <row r="227" spans="1:56" ht="51" customHeight="1" x14ac:dyDescent="0.25">
      <c r="A227" s="7" t="s">
        <v>58</v>
      </c>
      <c r="B227" s="2" t="s">
        <v>2860</v>
      </c>
      <c r="C227" s="2" t="s">
        <v>2861</v>
      </c>
      <c r="D227" s="2" t="s">
        <v>2862</v>
      </c>
      <c r="F227" s="3" t="s">
        <v>58</v>
      </c>
      <c r="G227" s="3" t="s">
        <v>59</v>
      </c>
      <c r="H227" s="3" t="s">
        <v>58</v>
      </c>
      <c r="I227" s="3" t="s">
        <v>58</v>
      </c>
      <c r="J227" s="3" t="s">
        <v>60</v>
      </c>
      <c r="K227" s="2" t="s">
        <v>2863</v>
      </c>
      <c r="L227" s="2" t="s">
        <v>2864</v>
      </c>
      <c r="M227" s="3" t="s">
        <v>261</v>
      </c>
      <c r="O227" s="3" t="s">
        <v>63</v>
      </c>
      <c r="P227" s="3" t="s">
        <v>510</v>
      </c>
      <c r="R227" s="3" t="s">
        <v>65</v>
      </c>
      <c r="S227" s="4">
        <v>1</v>
      </c>
      <c r="T227" s="4">
        <v>1</v>
      </c>
      <c r="U227" s="5" t="s">
        <v>2865</v>
      </c>
      <c r="V227" s="5" t="s">
        <v>2865</v>
      </c>
      <c r="W227" s="5" t="s">
        <v>235</v>
      </c>
      <c r="X227" s="5" t="s">
        <v>235</v>
      </c>
      <c r="Y227" s="4">
        <v>471</v>
      </c>
      <c r="Z227" s="4">
        <v>412</v>
      </c>
      <c r="AA227" s="4">
        <v>455</v>
      </c>
      <c r="AB227" s="4">
        <v>2</v>
      </c>
      <c r="AC227" s="4">
        <v>3</v>
      </c>
      <c r="AD227" s="4">
        <v>20</v>
      </c>
      <c r="AE227" s="4">
        <v>23</v>
      </c>
      <c r="AF227" s="4">
        <v>9</v>
      </c>
      <c r="AG227" s="4">
        <v>9</v>
      </c>
      <c r="AH227" s="4">
        <v>6</v>
      </c>
      <c r="AI227" s="4">
        <v>6</v>
      </c>
      <c r="AJ227" s="4">
        <v>11</v>
      </c>
      <c r="AK227" s="4">
        <v>13</v>
      </c>
      <c r="AL227" s="4">
        <v>1</v>
      </c>
      <c r="AM227" s="4">
        <v>2</v>
      </c>
      <c r="AN227" s="4">
        <v>0</v>
      </c>
      <c r="AO227" s="4">
        <v>0</v>
      </c>
      <c r="AP227" s="3" t="s">
        <v>58</v>
      </c>
      <c r="AQ227" s="3" t="s">
        <v>58</v>
      </c>
      <c r="AS227" s="6" t="str">
        <f>HYPERLINK("https://creighton-primo.hosted.exlibrisgroup.com/primo-explore/search?tab=default_tab&amp;search_scope=EVERYTHING&amp;vid=01CRU&amp;lang=en_US&amp;offset=0&amp;query=any,contains,991003580369702656","Catalog Record")</f>
        <v>Catalog Record</v>
      </c>
      <c r="AT227" s="6" t="str">
        <f>HYPERLINK("http://www.worldcat.org/oclc/1161438","WorldCat Record")</f>
        <v>WorldCat Record</v>
      </c>
      <c r="AU227" s="3" t="s">
        <v>2866</v>
      </c>
      <c r="AV227" s="3" t="s">
        <v>2867</v>
      </c>
      <c r="AW227" s="3" t="s">
        <v>2868</v>
      </c>
      <c r="AX227" s="3" t="s">
        <v>2868</v>
      </c>
      <c r="AY227" s="3" t="s">
        <v>2869</v>
      </c>
      <c r="AZ227" s="3" t="s">
        <v>73</v>
      </c>
      <c r="BB227" s="3" t="s">
        <v>2870</v>
      </c>
      <c r="BC227" s="3" t="s">
        <v>2871</v>
      </c>
      <c r="BD227" s="3" t="s">
        <v>2872</v>
      </c>
    </row>
    <row r="228" spans="1:56" ht="51" customHeight="1" x14ac:dyDescent="0.25">
      <c r="A228" s="7" t="s">
        <v>58</v>
      </c>
      <c r="B228" s="2" t="s">
        <v>2873</v>
      </c>
      <c r="C228" s="2" t="s">
        <v>2874</v>
      </c>
      <c r="D228" s="2" t="s">
        <v>2875</v>
      </c>
      <c r="F228" s="3" t="s">
        <v>58</v>
      </c>
      <c r="G228" s="3" t="s">
        <v>59</v>
      </c>
      <c r="H228" s="3" t="s">
        <v>58</v>
      </c>
      <c r="I228" s="3" t="s">
        <v>58</v>
      </c>
      <c r="J228" s="3" t="s">
        <v>60</v>
      </c>
      <c r="K228" s="2" t="s">
        <v>2876</v>
      </c>
      <c r="L228" s="2" t="s">
        <v>2877</v>
      </c>
      <c r="M228" s="3" t="s">
        <v>951</v>
      </c>
      <c r="N228" s="2" t="s">
        <v>2878</v>
      </c>
      <c r="O228" s="3" t="s">
        <v>63</v>
      </c>
      <c r="P228" s="3" t="s">
        <v>214</v>
      </c>
      <c r="R228" s="3" t="s">
        <v>65</v>
      </c>
      <c r="S228" s="4">
        <v>3</v>
      </c>
      <c r="T228" s="4">
        <v>3</v>
      </c>
      <c r="U228" s="5" t="s">
        <v>2879</v>
      </c>
      <c r="V228" s="5" t="s">
        <v>2879</v>
      </c>
      <c r="W228" s="5" t="s">
        <v>2880</v>
      </c>
      <c r="X228" s="5" t="s">
        <v>2880</v>
      </c>
      <c r="Y228" s="4">
        <v>453</v>
      </c>
      <c r="Z228" s="4">
        <v>391</v>
      </c>
      <c r="AA228" s="4">
        <v>419</v>
      </c>
      <c r="AB228" s="4">
        <v>2</v>
      </c>
      <c r="AC228" s="4">
        <v>2</v>
      </c>
      <c r="AD228" s="4">
        <v>13</v>
      </c>
      <c r="AE228" s="4">
        <v>14</v>
      </c>
      <c r="AF228" s="4">
        <v>4</v>
      </c>
      <c r="AG228" s="4">
        <v>4</v>
      </c>
      <c r="AH228" s="4">
        <v>3</v>
      </c>
      <c r="AI228" s="4">
        <v>4</v>
      </c>
      <c r="AJ228" s="4">
        <v>8</v>
      </c>
      <c r="AK228" s="4">
        <v>9</v>
      </c>
      <c r="AL228" s="4">
        <v>1</v>
      </c>
      <c r="AM228" s="4">
        <v>1</v>
      </c>
      <c r="AN228" s="4">
        <v>0</v>
      </c>
      <c r="AO228" s="4">
        <v>0</v>
      </c>
      <c r="AP228" s="3" t="s">
        <v>58</v>
      </c>
      <c r="AQ228" s="3" t="s">
        <v>58</v>
      </c>
      <c r="AS228" s="6" t="str">
        <f>HYPERLINK("https://creighton-primo.hosted.exlibrisgroup.com/primo-explore/search?tab=default_tab&amp;search_scope=EVERYTHING&amp;vid=01CRU&amp;lang=en_US&amp;offset=0&amp;query=any,contains,991003015669702656","Catalog Record")</f>
        <v>Catalog Record</v>
      </c>
      <c r="AT228" s="6" t="str">
        <f>HYPERLINK("http://www.worldcat.org/oclc/41017446","WorldCat Record")</f>
        <v>WorldCat Record</v>
      </c>
      <c r="AU228" s="3" t="s">
        <v>2881</v>
      </c>
      <c r="AV228" s="3" t="s">
        <v>2882</v>
      </c>
      <c r="AW228" s="3" t="s">
        <v>2883</v>
      </c>
      <c r="AX228" s="3" t="s">
        <v>2883</v>
      </c>
      <c r="AY228" s="3" t="s">
        <v>2884</v>
      </c>
      <c r="AZ228" s="3" t="s">
        <v>73</v>
      </c>
      <c r="BB228" s="3" t="s">
        <v>2885</v>
      </c>
      <c r="BC228" s="3" t="s">
        <v>2886</v>
      </c>
      <c r="BD228" s="3" t="s">
        <v>2887</v>
      </c>
    </row>
    <row r="229" spans="1:56" ht="51" customHeight="1" x14ac:dyDescent="0.25">
      <c r="A229" s="7" t="s">
        <v>58</v>
      </c>
      <c r="B229" s="2" t="s">
        <v>2888</v>
      </c>
      <c r="C229" s="2" t="s">
        <v>2889</v>
      </c>
      <c r="D229" s="2" t="s">
        <v>2890</v>
      </c>
      <c r="F229" s="3" t="s">
        <v>58</v>
      </c>
      <c r="G229" s="3" t="s">
        <v>59</v>
      </c>
      <c r="H229" s="3" t="s">
        <v>58</v>
      </c>
      <c r="I229" s="3" t="s">
        <v>58</v>
      </c>
      <c r="J229" s="3" t="s">
        <v>60</v>
      </c>
      <c r="K229" s="2" t="s">
        <v>2891</v>
      </c>
      <c r="L229" s="2" t="s">
        <v>2892</v>
      </c>
      <c r="M229" s="3" t="s">
        <v>800</v>
      </c>
      <c r="O229" s="3" t="s">
        <v>63</v>
      </c>
      <c r="P229" s="3" t="s">
        <v>584</v>
      </c>
      <c r="R229" s="3" t="s">
        <v>65</v>
      </c>
      <c r="S229" s="4">
        <v>2</v>
      </c>
      <c r="T229" s="4">
        <v>2</v>
      </c>
      <c r="U229" s="5" t="s">
        <v>2893</v>
      </c>
      <c r="V229" s="5" t="s">
        <v>2893</v>
      </c>
      <c r="W229" s="5" t="s">
        <v>2894</v>
      </c>
      <c r="X229" s="5" t="s">
        <v>2894</v>
      </c>
      <c r="Y229" s="4">
        <v>215</v>
      </c>
      <c r="Z229" s="4">
        <v>140</v>
      </c>
      <c r="AA229" s="4">
        <v>141</v>
      </c>
      <c r="AB229" s="4">
        <v>1</v>
      </c>
      <c r="AC229" s="4">
        <v>1</v>
      </c>
      <c r="AD229" s="4">
        <v>7</v>
      </c>
      <c r="AE229" s="4">
        <v>7</v>
      </c>
      <c r="AF229" s="4">
        <v>1</v>
      </c>
      <c r="AG229" s="4">
        <v>1</v>
      </c>
      <c r="AH229" s="4">
        <v>3</v>
      </c>
      <c r="AI229" s="4">
        <v>3</v>
      </c>
      <c r="AJ229" s="4">
        <v>5</v>
      </c>
      <c r="AK229" s="4">
        <v>5</v>
      </c>
      <c r="AL229" s="4">
        <v>0</v>
      </c>
      <c r="AM229" s="4">
        <v>0</v>
      </c>
      <c r="AN229" s="4">
        <v>0</v>
      </c>
      <c r="AO229" s="4">
        <v>0</v>
      </c>
      <c r="AP229" s="3" t="s">
        <v>58</v>
      </c>
      <c r="AQ229" s="3" t="s">
        <v>68</v>
      </c>
      <c r="AR229" s="6" t="str">
        <f>HYPERLINK("http://catalog.hathitrust.org/Record/002989820","HathiTrust Record")</f>
        <v>HathiTrust Record</v>
      </c>
      <c r="AS229" s="6" t="str">
        <f>HYPERLINK("https://creighton-primo.hosted.exlibrisgroup.com/primo-explore/search?tab=default_tab&amp;search_scope=EVERYTHING&amp;vid=01CRU&amp;lang=en_US&amp;offset=0&amp;query=any,contains,991002540969702656","Catalog Record")</f>
        <v>Catalog Record</v>
      </c>
      <c r="AT229" s="6" t="str">
        <f>HYPERLINK("http://www.worldcat.org/oclc/33018689","WorldCat Record")</f>
        <v>WorldCat Record</v>
      </c>
      <c r="AU229" s="3" t="s">
        <v>2895</v>
      </c>
      <c r="AV229" s="3" t="s">
        <v>2896</v>
      </c>
      <c r="AW229" s="3" t="s">
        <v>2897</v>
      </c>
      <c r="AX229" s="3" t="s">
        <v>2897</v>
      </c>
      <c r="AY229" s="3" t="s">
        <v>2898</v>
      </c>
      <c r="AZ229" s="3" t="s">
        <v>73</v>
      </c>
      <c r="BB229" s="3" t="s">
        <v>2899</v>
      </c>
      <c r="BC229" s="3" t="s">
        <v>2900</v>
      </c>
      <c r="BD229" s="3" t="s">
        <v>2901</v>
      </c>
    </row>
    <row r="230" spans="1:56" ht="51" customHeight="1" x14ac:dyDescent="0.25">
      <c r="A230" s="7" t="s">
        <v>58</v>
      </c>
      <c r="B230" s="2" t="s">
        <v>2902</v>
      </c>
      <c r="C230" s="2" t="s">
        <v>2903</v>
      </c>
      <c r="D230" s="2" t="s">
        <v>2904</v>
      </c>
      <c r="F230" s="3" t="s">
        <v>58</v>
      </c>
      <c r="G230" s="3" t="s">
        <v>59</v>
      </c>
      <c r="H230" s="3" t="s">
        <v>58</v>
      </c>
      <c r="I230" s="3" t="s">
        <v>58</v>
      </c>
      <c r="J230" s="3" t="s">
        <v>60</v>
      </c>
      <c r="K230" s="2" t="s">
        <v>2905</v>
      </c>
      <c r="L230" s="2" t="s">
        <v>2906</v>
      </c>
      <c r="M230" s="3" t="s">
        <v>1385</v>
      </c>
      <c r="O230" s="3" t="s">
        <v>63</v>
      </c>
      <c r="P230" s="3" t="s">
        <v>495</v>
      </c>
      <c r="R230" s="3" t="s">
        <v>65</v>
      </c>
      <c r="S230" s="4">
        <v>3</v>
      </c>
      <c r="T230" s="4">
        <v>3</v>
      </c>
      <c r="U230" s="5" t="s">
        <v>2865</v>
      </c>
      <c r="V230" s="5" t="s">
        <v>2865</v>
      </c>
      <c r="W230" s="5" t="s">
        <v>235</v>
      </c>
      <c r="X230" s="5" t="s">
        <v>235</v>
      </c>
      <c r="Y230" s="4">
        <v>678</v>
      </c>
      <c r="Z230" s="4">
        <v>593</v>
      </c>
      <c r="AA230" s="4">
        <v>598</v>
      </c>
      <c r="AB230" s="4">
        <v>7</v>
      </c>
      <c r="AC230" s="4">
        <v>7</v>
      </c>
      <c r="AD230" s="4">
        <v>20</v>
      </c>
      <c r="AE230" s="4">
        <v>20</v>
      </c>
      <c r="AF230" s="4">
        <v>8</v>
      </c>
      <c r="AG230" s="4">
        <v>8</v>
      </c>
      <c r="AH230" s="4">
        <v>3</v>
      </c>
      <c r="AI230" s="4">
        <v>3</v>
      </c>
      <c r="AJ230" s="4">
        <v>7</v>
      </c>
      <c r="AK230" s="4">
        <v>7</v>
      </c>
      <c r="AL230" s="4">
        <v>4</v>
      </c>
      <c r="AM230" s="4">
        <v>4</v>
      </c>
      <c r="AN230" s="4">
        <v>0</v>
      </c>
      <c r="AO230" s="4">
        <v>0</v>
      </c>
      <c r="AP230" s="3" t="s">
        <v>58</v>
      </c>
      <c r="AQ230" s="3" t="s">
        <v>68</v>
      </c>
      <c r="AR230" s="6" t="str">
        <f>HYPERLINK("http://catalog.hathitrust.org/Record/001242774","HathiTrust Record")</f>
        <v>HathiTrust Record</v>
      </c>
      <c r="AS230" s="6" t="str">
        <f>HYPERLINK("https://creighton-primo.hosted.exlibrisgroup.com/primo-explore/search?tab=default_tab&amp;search_scope=EVERYTHING&amp;vid=01CRU&amp;lang=en_US&amp;offset=0&amp;query=any,contains,991003171799702656","Catalog Record")</f>
        <v>Catalog Record</v>
      </c>
      <c r="AT230" s="6" t="str">
        <f>HYPERLINK("http://www.worldcat.org/oclc/707372","WorldCat Record")</f>
        <v>WorldCat Record</v>
      </c>
      <c r="AU230" s="3" t="s">
        <v>2907</v>
      </c>
      <c r="AV230" s="3" t="s">
        <v>2908</v>
      </c>
      <c r="AW230" s="3" t="s">
        <v>2909</v>
      </c>
      <c r="AX230" s="3" t="s">
        <v>2909</v>
      </c>
      <c r="AY230" s="3" t="s">
        <v>2910</v>
      </c>
      <c r="AZ230" s="3" t="s">
        <v>73</v>
      </c>
      <c r="BB230" s="3" t="s">
        <v>2911</v>
      </c>
      <c r="BC230" s="3" t="s">
        <v>2912</v>
      </c>
      <c r="BD230" s="3" t="s">
        <v>2913</v>
      </c>
    </row>
    <row r="231" spans="1:56" ht="51" customHeight="1" x14ac:dyDescent="0.25">
      <c r="A231" s="7" t="s">
        <v>58</v>
      </c>
      <c r="B231" s="2" t="s">
        <v>2914</v>
      </c>
      <c r="C231" s="2" t="s">
        <v>2915</v>
      </c>
      <c r="D231" s="2" t="s">
        <v>2916</v>
      </c>
      <c r="F231" s="3" t="s">
        <v>58</v>
      </c>
      <c r="G231" s="3" t="s">
        <v>59</v>
      </c>
      <c r="H231" s="3" t="s">
        <v>58</v>
      </c>
      <c r="I231" s="3" t="s">
        <v>58</v>
      </c>
      <c r="J231" s="3" t="s">
        <v>60</v>
      </c>
      <c r="K231" s="2" t="s">
        <v>2917</v>
      </c>
      <c r="L231" s="2" t="s">
        <v>2918</v>
      </c>
      <c r="M231" s="3" t="s">
        <v>1385</v>
      </c>
      <c r="O231" s="3" t="s">
        <v>63</v>
      </c>
      <c r="P231" s="3" t="s">
        <v>214</v>
      </c>
      <c r="Q231" s="2" t="s">
        <v>2919</v>
      </c>
      <c r="R231" s="3" t="s">
        <v>65</v>
      </c>
      <c r="S231" s="4">
        <v>3</v>
      </c>
      <c r="T231" s="4">
        <v>3</v>
      </c>
      <c r="U231" s="5" t="s">
        <v>2920</v>
      </c>
      <c r="V231" s="5" t="s">
        <v>2920</v>
      </c>
      <c r="W231" s="5" t="s">
        <v>235</v>
      </c>
      <c r="X231" s="5" t="s">
        <v>235</v>
      </c>
      <c r="Y231" s="4">
        <v>361</v>
      </c>
      <c r="Z231" s="4">
        <v>316</v>
      </c>
      <c r="AA231" s="4">
        <v>338</v>
      </c>
      <c r="AB231" s="4">
        <v>5</v>
      </c>
      <c r="AC231" s="4">
        <v>5</v>
      </c>
      <c r="AD231" s="4">
        <v>14</v>
      </c>
      <c r="AE231" s="4">
        <v>15</v>
      </c>
      <c r="AF231" s="4">
        <v>3</v>
      </c>
      <c r="AG231" s="4">
        <v>3</v>
      </c>
      <c r="AH231" s="4">
        <v>3</v>
      </c>
      <c r="AI231" s="4">
        <v>3</v>
      </c>
      <c r="AJ231" s="4">
        <v>6</v>
      </c>
      <c r="AK231" s="4">
        <v>7</v>
      </c>
      <c r="AL231" s="4">
        <v>4</v>
      </c>
      <c r="AM231" s="4">
        <v>4</v>
      </c>
      <c r="AN231" s="4">
        <v>0</v>
      </c>
      <c r="AO231" s="4">
        <v>0</v>
      </c>
      <c r="AP231" s="3" t="s">
        <v>58</v>
      </c>
      <c r="AQ231" s="3" t="s">
        <v>68</v>
      </c>
      <c r="AR231" s="6" t="str">
        <f>HYPERLINK("http://catalog.hathitrust.org/Record/001242783","HathiTrust Record")</f>
        <v>HathiTrust Record</v>
      </c>
      <c r="AS231" s="6" t="str">
        <f>HYPERLINK("https://creighton-primo.hosted.exlibrisgroup.com/primo-explore/search?tab=default_tab&amp;search_scope=EVERYTHING&amp;vid=01CRU&amp;lang=en_US&amp;offset=0&amp;query=any,contains,991003210549702656","Catalog Record")</f>
        <v>Catalog Record</v>
      </c>
      <c r="AT231" s="6" t="str">
        <f>HYPERLINK("http://www.worldcat.org/oclc/736836","WorldCat Record")</f>
        <v>WorldCat Record</v>
      </c>
      <c r="AU231" s="3" t="s">
        <v>2921</v>
      </c>
      <c r="AV231" s="3" t="s">
        <v>2922</v>
      </c>
      <c r="AW231" s="3" t="s">
        <v>2923</v>
      </c>
      <c r="AX231" s="3" t="s">
        <v>2923</v>
      </c>
      <c r="AY231" s="3" t="s">
        <v>2924</v>
      </c>
      <c r="AZ231" s="3" t="s">
        <v>73</v>
      </c>
      <c r="BC231" s="3" t="s">
        <v>2925</v>
      </c>
      <c r="BD231" s="3" t="s">
        <v>2926</v>
      </c>
    </row>
    <row r="232" spans="1:56" ht="51" customHeight="1" x14ac:dyDescent="0.25">
      <c r="A232" s="7" t="s">
        <v>58</v>
      </c>
      <c r="B232" s="2" t="s">
        <v>2927</v>
      </c>
      <c r="C232" s="2" t="s">
        <v>2928</v>
      </c>
      <c r="D232" s="2" t="s">
        <v>2929</v>
      </c>
      <c r="F232" s="3" t="s">
        <v>58</v>
      </c>
      <c r="G232" s="3" t="s">
        <v>59</v>
      </c>
      <c r="H232" s="3" t="s">
        <v>58</v>
      </c>
      <c r="I232" s="3" t="s">
        <v>58</v>
      </c>
      <c r="J232" s="3" t="s">
        <v>60</v>
      </c>
      <c r="K232" s="2" t="s">
        <v>2930</v>
      </c>
      <c r="L232" s="2" t="s">
        <v>2931</v>
      </c>
      <c r="M232" s="3" t="s">
        <v>1784</v>
      </c>
      <c r="O232" s="3" t="s">
        <v>63</v>
      </c>
      <c r="P232" s="3" t="s">
        <v>214</v>
      </c>
      <c r="Q232" s="2" t="s">
        <v>2932</v>
      </c>
      <c r="R232" s="3" t="s">
        <v>65</v>
      </c>
      <c r="S232" s="4">
        <v>6</v>
      </c>
      <c r="T232" s="4">
        <v>6</v>
      </c>
      <c r="U232" s="5" t="s">
        <v>2933</v>
      </c>
      <c r="V232" s="5" t="s">
        <v>2933</v>
      </c>
      <c r="W232" s="5" t="s">
        <v>2839</v>
      </c>
      <c r="X232" s="5" t="s">
        <v>2839</v>
      </c>
      <c r="Y232" s="4">
        <v>367</v>
      </c>
      <c r="Z232" s="4">
        <v>255</v>
      </c>
      <c r="AA232" s="4">
        <v>276</v>
      </c>
      <c r="AB232" s="4">
        <v>2</v>
      </c>
      <c r="AC232" s="4">
        <v>2</v>
      </c>
      <c r="AD232" s="4">
        <v>8</v>
      </c>
      <c r="AE232" s="4">
        <v>10</v>
      </c>
      <c r="AF232" s="4">
        <v>1</v>
      </c>
      <c r="AG232" s="4">
        <v>2</v>
      </c>
      <c r="AH232" s="4">
        <v>3</v>
      </c>
      <c r="AI232" s="4">
        <v>4</v>
      </c>
      <c r="AJ232" s="4">
        <v>4</v>
      </c>
      <c r="AK232" s="4">
        <v>4</v>
      </c>
      <c r="AL232" s="4">
        <v>1</v>
      </c>
      <c r="AM232" s="4">
        <v>1</v>
      </c>
      <c r="AN232" s="4">
        <v>0</v>
      </c>
      <c r="AO232" s="4">
        <v>0</v>
      </c>
      <c r="AP232" s="3" t="s">
        <v>58</v>
      </c>
      <c r="AQ232" s="3" t="s">
        <v>68</v>
      </c>
      <c r="AR232" s="6" t="str">
        <f>HYPERLINK("http://catalog.hathitrust.org/Record/000259329","HathiTrust Record")</f>
        <v>HathiTrust Record</v>
      </c>
      <c r="AS232" s="6" t="str">
        <f>HYPERLINK("https://creighton-primo.hosted.exlibrisgroup.com/primo-explore/search?tab=default_tab&amp;search_scope=EVERYTHING&amp;vid=01CRU&amp;lang=en_US&amp;offset=0&amp;query=any,contains,991004688569702656","Catalog Record")</f>
        <v>Catalog Record</v>
      </c>
      <c r="AT232" s="6" t="str">
        <f>HYPERLINK("http://www.worldcat.org/oclc/4593671","WorldCat Record")</f>
        <v>WorldCat Record</v>
      </c>
      <c r="AU232" s="3" t="s">
        <v>2934</v>
      </c>
      <c r="AV232" s="3" t="s">
        <v>2935</v>
      </c>
      <c r="AW232" s="3" t="s">
        <v>2936</v>
      </c>
      <c r="AX232" s="3" t="s">
        <v>2936</v>
      </c>
      <c r="AY232" s="3" t="s">
        <v>2937</v>
      </c>
      <c r="AZ232" s="3" t="s">
        <v>73</v>
      </c>
      <c r="BB232" s="3" t="s">
        <v>2938</v>
      </c>
      <c r="BC232" s="3" t="s">
        <v>2939</v>
      </c>
      <c r="BD232" s="3" t="s">
        <v>2940</v>
      </c>
    </row>
    <row r="233" spans="1:56" ht="51" customHeight="1" x14ac:dyDescent="0.25">
      <c r="A233" s="7" t="s">
        <v>58</v>
      </c>
      <c r="B233" s="2" t="s">
        <v>2941</v>
      </c>
      <c r="C233" s="2" t="s">
        <v>2942</v>
      </c>
      <c r="D233" s="2" t="s">
        <v>2943</v>
      </c>
      <c r="E233" s="3" t="s">
        <v>210</v>
      </c>
      <c r="F233" s="3" t="s">
        <v>68</v>
      </c>
      <c r="G233" s="3" t="s">
        <v>59</v>
      </c>
      <c r="H233" s="3" t="s">
        <v>58</v>
      </c>
      <c r="I233" s="3" t="s">
        <v>58</v>
      </c>
      <c r="J233" s="3" t="s">
        <v>60</v>
      </c>
      <c r="L233" s="2" t="s">
        <v>2944</v>
      </c>
      <c r="M233" s="3" t="s">
        <v>261</v>
      </c>
      <c r="O233" s="3" t="s">
        <v>63</v>
      </c>
      <c r="P233" s="3" t="s">
        <v>354</v>
      </c>
      <c r="R233" s="3" t="s">
        <v>65</v>
      </c>
      <c r="S233" s="4">
        <v>3</v>
      </c>
      <c r="T233" s="4">
        <v>8</v>
      </c>
      <c r="U233" s="5" t="s">
        <v>2945</v>
      </c>
      <c r="V233" s="5" t="s">
        <v>2945</v>
      </c>
      <c r="W233" s="5" t="s">
        <v>2946</v>
      </c>
      <c r="X233" s="5" t="s">
        <v>540</v>
      </c>
      <c r="Y233" s="4">
        <v>590</v>
      </c>
      <c r="Z233" s="4">
        <v>523</v>
      </c>
      <c r="AA233" s="4">
        <v>546</v>
      </c>
      <c r="AB233" s="4">
        <v>6</v>
      </c>
      <c r="AC233" s="4">
        <v>6</v>
      </c>
      <c r="AD233" s="4">
        <v>32</v>
      </c>
      <c r="AE233" s="4">
        <v>32</v>
      </c>
      <c r="AF233" s="4">
        <v>6</v>
      </c>
      <c r="AG233" s="4">
        <v>6</v>
      </c>
      <c r="AH233" s="4">
        <v>6</v>
      </c>
      <c r="AI233" s="4">
        <v>6</v>
      </c>
      <c r="AJ233" s="4">
        <v>11</v>
      </c>
      <c r="AK233" s="4">
        <v>11</v>
      </c>
      <c r="AL233" s="4">
        <v>5</v>
      </c>
      <c r="AM233" s="4">
        <v>5</v>
      </c>
      <c r="AN233" s="4">
        <v>8</v>
      </c>
      <c r="AO233" s="4">
        <v>8</v>
      </c>
      <c r="AP233" s="3" t="s">
        <v>58</v>
      </c>
      <c r="AQ233" s="3" t="s">
        <v>68</v>
      </c>
      <c r="AR233" s="6" t="str">
        <f>HYPERLINK("http://catalog.hathitrust.org/Record/000187695","HathiTrust Record")</f>
        <v>HathiTrust Record</v>
      </c>
      <c r="AS233" s="6" t="str">
        <f>HYPERLINK("https://creighton-primo.hosted.exlibrisgroup.com/primo-explore/search?tab=default_tab&amp;search_scope=EVERYTHING&amp;vid=01CRU&amp;lang=en_US&amp;offset=0&amp;query=any,contains,991003589699702656","Catalog Record")</f>
        <v>Catalog Record</v>
      </c>
      <c r="AT233" s="6" t="str">
        <f>HYPERLINK("http://www.worldcat.org/oclc/1171894","WorldCat Record")</f>
        <v>WorldCat Record</v>
      </c>
      <c r="AU233" s="3" t="s">
        <v>2947</v>
      </c>
      <c r="AV233" s="3" t="s">
        <v>2948</v>
      </c>
      <c r="AW233" s="3" t="s">
        <v>2949</v>
      </c>
      <c r="AX233" s="3" t="s">
        <v>2949</v>
      </c>
      <c r="AY233" s="3" t="s">
        <v>2950</v>
      </c>
      <c r="AZ233" s="3" t="s">
        <v>73</v>
      </c>
      <c r="BB233" s="3" t="s">
        <v>2951</v>
      </c>
      <c r="BC233" s="3" t="s">
        <v>2952</v>
      </c>
      <c r="BD233" s="3" t="s">
        <v>2953</v>
      </c>
    </row>
    <row r="234" spans="1:56" ht="51" customHeight="1" x14ac:dyDescent="0.25">
      <c r="A234" s="7" t="s">
        <v>58</v>
      </c>
      <c r="B234" s="2" t="s">
        <v>2941</v>
      </c>
      <c r="C234" s="2" t="s">
        <v>2942</v>
      </c>
      <c r="D234" s="2" t="s">
        <v>2943</v>
      </c>
      <c r="E234" s="3" t="s">
        <v>279</v>
      </c>
      <c r="F234" s="3" t="s">
        <v>68</v>
      </c>
      <c r="G234" s="3" t="s">
        <v>59</v>
      </c>
      <c r="H234" s="3" t="s">
        <v>58</v>
      </c>
      <c r="I234" s="3" t="s">
        <v>58</v>
      </c>
      <c r="J234" s="3" t="s">
        <v>60</v>
      </c>
      <c r="L234" s="2" t="s">
        <v>2944</v>
      </c>
      <c r="M234" s="3" t="s">
        <v>261</v>
      </c>
      <c r="O234" s="3" t="s">
        <v>63</v>
      </c>
      <c r="P234" s="3" t="s">
        <v>354</v>
      </c>
      <c r="R234" s="3" t="s">
        <v>65</v>
      </c>
      <c r="S234" s="4">
        <v>2</v>
      </c>
      <c r="T234" s="4">
        <v>8</v>
      </c>
      <c r="U234" s="5" t="s">
        <v>2954</v>
      </c>
      <c r="V234" s="5" t="s">
        <v>2945</v>
      </c>
      <c r="W234" s="5" t="s">
        <v>2955</v>
      </c>
      <c r="X234" s="5" t="s">
        <v>540</v>
      </c>
      <c r="Y234" s="4">
        <v>590</v>
      </c>
      <c r="Z234" s="4">
        <v>523</v>
      </c>
      <c r="AA234" s="4">
        <v>546</v>
      </c>
      <c r="AB234" s="4">
        <v>6</v>
      </c>
      <c r="AC234" s="4">
        <v>6</v>
      </c>
      <c r="AD234" s="4">
        <v>32</v>
      </c>
      <c r="AE234" s="4">
        <v>32</v>
      </c>
      <c r="AF234" s="4">
        <v>6</v>
      </c>
      <c r="AG234" s="4">
        <v>6</v>
      </c>
      <c r="AH234" s="4">
        <v>6</v>
      </c>
      <c r="AI234" s="4">
        <v>6</v>
      </c>
      <c r="AJ234" s="4">
        <v>11</v>
      </c>
      <c r="AK234" s="4">
        <v>11</v>
      </c>
      <c r="AL234" s="4">
        <v>5</v>
      </c>
      <c r="AM234" s="4">
        <v>5</v>
      </c>
      <c r="AN234" s="4">
        <v>8</v>
      </c>
      <c r="AO234" s="4">
        <v>8</v>
      </c>
      <c r="AP234" s="3" t="s">
        <v>58</v>
      </c>
      <c r="AQ234" s="3" t="s">
        <v>68</v>
      </c>
      <c r="AR234" s="6" t="str">
        <f>HYPERLINK("http://catalog.hathitrust.org/Record/000187695","HathiTrust Record")</f>
        <v>HathiTrust Record</v>
      </c>
      <c r="AS234" s="6" t="str">
        <f>HYPERLINK("https://creighton-primo.hosted.exlibrisgroup.com/primo-explore/search?tab=default_tab&amp;search_scope=EVERYTHING&amp;vid=01CRU&amp;lang=en_US&amp;offset=0&amp;query=any,contains,991003589699702656","Catalog Record")</f>
        <v>Catalog Record</v>
      </c>
      <c r="AT234" s="6" t="str">
        <f>HYPERLINK("http://www.worldcat.org/oclc/1171894","WorldCat Record")</f>
        <v>WorldCat Record</v>
      </c>
      <c r="AU234" s="3" t="s">
        <v>2947</v>
      </c>
      <c r="AV234" s="3" t="s">
        <v>2948</v>
      </c>
      <c r="AW234" s="3" t="s">
        <v>2949</v>
      </c>
      <c r="AX234" s="3" t="s">
        <v>2949</v>
      </c>
      <c r="AY234" s="3" t="s">
        <v>2950</v>
      </c>
      <c r="AZ234" s="3" t="s">
        <v>73</v>
      </c>
      <c r="BB234" s="3" t="s">
        <v>2951</v>
      </c>
      <c r="BC234" s="3" t="s">
        <v>2956</v>
      </c>
      <c r="BD234" s="3" t="s">
        <v>2957</v>
      </c>
    </row>
    <row r="235" spans="1:56" ht="51" customHeight="1" x14ac:dyDescent="0.25">
      <c r="A235" s="7" t="s">
        <v>58</v>
      </c>
      <c r="B235" s="2" t="s">
        <v>2941</v>
      </c>
      <c r="C235" s="2" t="s">
        <v>2942</v>
      </c>
      <c r="D235" s="2" t="s">
        <v>2943</v>
      </c>
      <c r="E235" s="3" t="s">
        <v>223</v>
      </c>
      <c r="F235" s="3" t="s">
        <v>68</v>
      </c>
      <c r="G235" s="3" t="s">
        <v>59</v>
      </c>
      <c r="H235" s="3" t="s">
        <v>58</v>
      </c>
      <c r="I235" s="3" t="s">
        <v>58</v>
      </c>
      <c r="J235" s="3" t="s">
        <v>60</v>
      </c>
      <c r="L235" s="2" t="s">
        <v>2944</v>
      </c>
      <c r="M235" s="3" t="s">
        <v>261</v>
      </c>
      <c r="O235" s="3" t="s">
        <v>63</v>
      </c>
      <c r="P235" s="3" t="s">
        <v>354</v>
      </c>
      <c r="R235" s="3" t="s">
        <v>65</v>
      </c>
      <c r="S235" s="4">
        <v>3</v>
      </c>
      <c r="T235" s="4">
        <v>8</v>
      </c>
      <c r="U235" s="5" t="s">
        <v>2958</v>
      </c>
      <c r="V235" s="5" t="s">
        <v>2945</v>
      </c>
      <c r="W235" s="5" t="s">
        <v>540</v>
      </c>
      <c r="X235" s="5" t="s">
        <v>540</v>
      </c>
      <c r="Y235" s="4">
        <v>590</v>
      </c>
      <c r="Z235" s="4">
        <v>523</v>
      </c>
      <c r="AA235" s="4">
        <v>546</v>
      </c>
      <c r="AB235" s="4">
        <v>6</v>
      </c>
      <c r="AC235" s="4">
        <v>6</v>
      </c>
      <c r="AD235" s="4">
        <v>32</v>
      </c>
      <c r="AE235" s="4">
        <v>32</v>
      </c>
      <c r="AF235" s="4">
        <v>6</v>
      </c>
      <c r="AG235" s="4">
        <v>6</v>
      </c>
      <c r="AH235" s="4">
        <v>6</v>
      </c>
      <c r="AI235" s="4">
        <v>6</v>
      </c>
      <c r="AJ235" s="4">
        <v>11</v>
      </c>
      <c r="AK235" s="4">
        <v>11</v>
      </c>
      <c r="AL235" s="4">
        <v>5</v>
      </c>
      <c r="AM235" s="4">
        <v>5</v>
      </c>
      <c r="AN235" s="4">
        <v>8</v>
      </c>
      <c r="AO235" s="4">
        <v>8</v>
      </c>
      <c r="AP235" s="3" t="s">
        <v>58</v>
      </c>
      <c r="AQ235" s="3" t="s">
        <v>68</v>
      </c>
      <c r="AR235" s="6" t="str">
        <f>HYPERLINK("http://catalog.hathitrust.org/Record/000187695","HathiTrust Record")</f>
        <v>HathiTrust Record</v>
      </c>
      <c r="AS235" s="6" t="str">
        <f>HYPERLINK("https://creighton-primo.hosted.exlibrisgroup.com/primo-explore/search?tab=default_tab&amp;search_scope=EVERYTHING&amp;vid=01CRU&amp;lang=en_US&amp;offset=0&amp;query=any,contains,991003589699702656","Catalog Record")</f>
        <v>Catalog Record</v>
      </c>
      <c r="AT235" s="6" t="str">
        <f>HYPERLINK("http://www.worldcat.org/oclc/1171894","WorldCat Record")</f>
        <v>WorldCat Record</v>
      </c>
      <c r="AU235" s="3" t="s">
        <v>2947</v>
      </c>
      <c r="AV235" s="3" t="s">
        <v>2948</v>
      </c>
      <c r="AW235" s="3" t="s">
        <v>2949</v>
      </c>
      <c r="AX235" s="3" t="s">
        <v>2949</v>
      </c>
      <c r="AY235" s="3" t="s">
        <v>2950</v>
      </c>
      <c r="AZ235" s="3" t="s">
        <v>73</v>
      </c>
      <c r="BB235" s="3" t="s">
        <v>2951</v>
      </c>
      <c r="BC235" s="3" t="s">
        <v>2959</v>
      </c>
      <c r="BD235" s="3" t="s">
        <v>2960</v>
      </c>
    </row>
    <row r="236" spans="1:56" ht="51" customHeight="1" x14ac:dyDescent="0.25">
      <c r="A236" s="7" t="s">
        <v>58</v>
      </c>
      <c r="B236" s="2" t="s">
        <v>2961</v>
      </c>
      <c r="C236" s="2" t="s">
        <v>2962</v>
      </c>
      <c r="D236" s="2" t="s">
        <v>2963</v>
      </c>
      <c r="F236" s="3" t="s">
        <v>58</v>
      </c>
      <c r="G236" s="3" t="s">
        <v>59</v>
      </c>
      <c r="H236" s="3" t="s">
        <v>58</v>
      </c>
      <c r="I236" s="3" t="s">
        <v>58</v>
      </c>
      <c r="J236" s="3" t="s">
        <v>60</v>
      </c>
      <c r="L236" s="2" t="s">
        <v>2964</v>
      </c>
      <c r="M236" s="3" t="s">
        <v>1544</v>
      </c>
      <c r="O236" s="3" t="s">
        <v>63</v>
      </c>
      <c r="P236" s="3" t="s">
        <v>786</v>
      </c>
      <c r="R236" s="3" t="s">
        <v>65</v>
      </c>
      <c r="S236" s="4">
        <v>14</v>
      </c>
      <c r="T236" s="4">
        <v>14</v>
      </c>
      <c r="U236" s="5" t="s">
        <v>2965</v>
      </c>
      <c r="V236" s="5" t="s">
        <v>2965</v>
      </c>
      <c r="W236" s="5" t="s">
        <v>2966</v>
      </c>
      <c r="X236" s="5" t="s">
        <v>2966</v>
      </c>
      <c r="Y236" s="4">
        <v>170</v>
      </c>
      <c r="Z236" s="4">
        <v>105</v>
      </c>
      <c r="AA236" s="4">
        <v>106</v>
      </c>
      <c r="AB236" s="4">
        <v>2</v>
      </c>
      <c r="AC236" s="4">
        <v>2</v>
      </c>
      <c r="AD236" s="4">
        <v>6</v>
      </c>
      <c r="AE236" s="4">
        <v>6</v>
      </c>
      <c r="AF236" s="4">
        <v>0</v>
      </c>
      <c r="AG236" s="4">
        <v>0</v>
      </c>
      <c r="AH236" s="4">
        <v>1</v>
      </c>
      <c r="AI236" s="4">
        <v>1</v>
      </c>
      <c r="AJ236" s="4">
        <v>3</v>
      </c>
      <c r="AK236" s="4">
        <v>3</v>
      </c>
      <c r="AL236" s="4">
        <v>1</v>
      </c>
      <c r="AM236" s="4">
        <v>1</v>
      </c>
      <c r="AN236" s="4">
        <v>2</v>
      </c>
      <c r="AO236" s="4">
        <v>2</v>
      </c>
      <c r="AP236" s="3" t="s">
        <v>58</v>
      </c>
      <c r="AQ236" s="3" t="s">
        <v>68</v>
      </c>
      <c r="AR236" s="6" t="str">
        <f>HYPERLINK("http://catalog.hathitrust.org/Record/002579498","HathiTrust Record")</f>
        <v>HathiTrust Record</v>
      </c>
      <c r="AS236" s="6" t="str">
        <f>HYPERLINK("https://creighton-primo.hosted.exlibrisgroup.com/primo-explore/search?tab=default_tab&amp;search_scope=EVERYTHING&amp;vid=01CRU&amp;lang=en_US&amp;offset=0&amp;query=any,contains,991001886559702656","Catalog Record")</f>
        <v>Catalog Record</v>
      </c>
      <c r="AT236" s="6" t="str">
        <f>HYPERLINK("http://www.worldcat.org/oclc/23767413","WorldCat Record")</f>
        <v>WorldCat Record</v>
      </c>
      <c r="AU236" s="3" t="s">
        <v>2967</v>
      </c>
      <c r="AV236" s="3" t="s">
        <v>2968</v>
      </c>
      <c r="AW236" s="3" t="s">
        <v>2969</v>
      </c>
      <c r="AX236" s="3" t="s">
        <v>2969</v>
      </c>
      <c r="AY236" s="3" t="s">
        <v>2970</v>
      </c>
      <c r="AZ236" s="3" t="s">
        <v>73</v>
      </c>
      <c r="BB236" s="3" t="s">
        <v>2971</v>
      </c>
      <c r="BC236" s="3" t="s">
        <v>2972</v>
      </c>
      <c r="BD236" s="3" t="s">
        <v>2973</v>
      </c>
    </row>
    <row r="237" spans="1:56" ht="51" customHeight="1" x14ac:dyDescent="0.25">
      <c r="A237" s="7" t="s">
        <v>58</v>
      </c>
      <c r="B237" s="2" t="s">
        <v>2974</v>
      </c>
      <c r="C237" s="2" t="s">
        <v>2975</v>
      </c>
      <c r="D237" s="2" t="s">
        <v>2976</v>
      </c>
      <c r="E237" s="3" t="s">
        <v>210</v>
      </c>
      <c r="F237" s="3" t="s">
        <v>58</v>
      </c>
      <c r="G237" s="3" t="s">
        <v>59</v>
      </c>
      <c r="H237" s="3" t="s">
        <v>58</v>
      </c>
      <c r="I237" s="3" t="s">
        <v>58</v>
      </c>
      <c r="J237" s="3" t="s">
        <v>60</v>
      </c>
      <c r="L237" s="2" t="s">
        <v>2977</v>
      </c>
      <c r="M237" s="3" t="s">
        <v>479</v>
      </c>
      <c r="O237" s="3" t="s">
        <v>63</v>
      </c>
      <c r="P237" s="3" t="s">
        <v>214</v>
      </c>
      <c r="Q237" s="2" t="s">
        <v>2978</v>
      </c>
      <c r="R237" s="3" t="s">
        <v>65</v>
      </c>
      <c r="S237" s="4">
        <v>6</v>
      </c>
      <c r="T237" s="4">
        <v>6</v>
      </c>
      <c r="U237" s="5" t="s">
        <v>2958</v>
      </c>
      <c r="V237" s="5" t="s">
        <v>2958</v>
      </c>
      <c r="W237" s="5" t="s">
        <v>2979</v>
      </c>
      <c r="X237" s="5" t="s">
        <v>2979</v>
      </c>
      <c r="Y237" s="4">
        <v>141</v>
      </c>
      <c r="Z237" s="4">
        <v>106</v>
      </c>
      <c r="AA237" s="4">
        <v>106</v>
      </c>
      <c r="AB237" s="4">
        <v>1</v>
      </c>
      <c r="AC237" s="4">
        <v>1</v>
      </c>
      <c r="AD237" s="4">
        <v>5</v>
      </c>
      <c r="AE237" s="4">
        <v>5</v>
      </c>
      <c r="AF237" s="4">
        <v>2</v>
      </c>
      <c r="AG237" s="4">
        <v>2</v>
      </c>
      <c r="AH237" s="4">
        <v>2</v>
      </c>
      <c r="AI237" s="4">
        <v>2</v>
      </c>
      <c r="AJ237" s="4">
        <v>4</v>
      </c>
      <c r="AK237" s="4">
        <v>4</v>
      </c>
      <c r="AL237" s="4">
        <v>0</v>
      </c>
      <c r="AM237" s="4">
        <v>0</v>
      </c>
      <c r="AN237" s="4">
        <v>0</v>
      </c>
      <c r="AO237" s="4">
        <v>0</v>
      </c>
      <c r="AP237" s="3" t="s">
        <v>58</v>
      </c>
      <c r="AQ237" s="3" t="s">
        <v>58</v>
      </c>
      <c r="AS237" s="6" t="str">
        <f>HYPERLINK("https://creighton-primo.hosted.exlibrisgroup.com/primo-explore/search?tab=default_tab&amp;search_scope=EVERYTHING&amp;vid=01CRU&amp;lang=en_US&amp;offset=0&amp;query=any,contains,991002282269702656","Catalog Record")</f>
        <v>Catalog Record</v>
      </c>
      <c r="AT237" s="6" t="str">
        <f>HYPERLINK("http://www.worldcat.org/oclc/29595113","WorldCat Record")</f>
        <v>WorldCat Record</v>
      </c>
      <c r="AU237" s="3" t="s">
        <v>2980</v>
      </c>
      <c r="AV237" s="3" t="s">
        <v>2981</v>
      </c>
      <c r="AW237" s="3" t="s">
        <v>2982</v>
      </c>
      <c r="AX237" s="3" t="s">
        <v>2982</v>
      </c>
      <c r="AY237" s="3" t="s">
        <v>2983</v>
      </c>
      <c r="AZ237" s="3" t="s">
        <v>73</v>
      </c>
      <c r="BB237" s="3" t="s">
        <v>2984</v>
      </c>
      <c r="BC237" s="3" t="s">
        <v>2985</v>
      </c>
      <c r="BD237" s="3" t="s">
        <v>2986</v>
      </c>
    </row>
    <row r="238" spans="1:56" ht="51" customHeight="1" x14ac:dyDescent="0.25">
      <c r="A238" s="7" t="s">
        <v>58</v>
      </c>
      <c r="B238" s="2" t="s">
        <v>2987</v>
      </c>
      <c r="C238" s="2" t="s">
        <v>2988</v>
      </c>
      <c r="D238" s="2" t="s">
        <v>2989</v>
      </c>
      <c r="E238" s="3" t="s">
        <v>309</v>
      </c>
      <c r="F238" s="3" t="s">
        <v>58</v>
      </c>
      <c r="G238" s="3" t="s">
        <v>59</v>
      </c>
      <c r="H238" s="3" t="s">
        <v>58</v>
      </c>
      <c r="I238" s="3" t="s">
        <v>58</v>
      </c>
      <c r="J238" s="3" t="s">
        <v>60</v>
      </c>
      <c r="L238" s="2" t="s">
        <v>2977</v>
      </c>
      <c r="M238" s="3" t="s">
        <v>479</v>
      </c>
      <c r="O238" s="3" t="s">
        <v>63</v>
      </c>
      <c r="P238" s="3" t="s">
        <v>214</v>
      </c>
      <c r="Q238" s="2" t="s">
        <v>2990</v>
      </c>
      <c r="R238" s="3" t="s">
        <v>65</v>
      </c>
      <c r="S238" s="4">
        <v>7</v>
      </c>
      <c r="T238" s="4">
        <v>7</v>
      </c>
      <c r="U238" s="5" t="s">
        <v>2991</v>
      </c>
      <c r="V238" s="5" t="s">
        <v>2991</v>
      </c>
      <c r="W238" s="5" t="s">
        <v>2979</v>
      </c>
      <c r="X238" s="5" t="s">
        <v>2979</v>
      </c>
      <c r="Y238" s="4">
        <v>146</v>
      </c>
      <c r="Z238" s="4">
        <v>110</v>
      </c>
      <c r="AA238" s="4">
        <v>110</v>
      </c>
      <c r="AB238" s="4">
        <v>1</v>
      </c>
      <c r="AC238" s="4">
        <v>1</v>
      </c>
      <c r="AD238" s="4">
        <v>7</v>
      </c>
      <c r="AE238" s="4">
        <v>7</v>
      </c>
      <c r="AF238" s="4">
        <v>2</v>
      </c>
      <c r="AG238" s="4">
        <v>2</v>
      </c>
      <c r="AH238" s="4">
        <v>4</v>
      </c>
      <c r="AI238" s="4">
        <v>4</v>
      </c>
      <c r="AJ238" s="4">
        <v>4</v>
      </c>
      <c r="AK238" s="4">
        <v>4</v>
      </c>
      <c r="AL238" s="4">
        <v>0</v>
      </c>
      <c r="AM238" s="4">
        <v>0</v>
      </c>
      <c r="AN238" s="4">
        <v>0</v>
      </c>
      <c r="AO238" s="4">
        <v>0</v>
      </c>
      <c r="AP238" s="3" t="s">
        <v>58</v>
      </c>
      <c r="AQ238" s="3" t="s">
        <v>58</v>
      </c>
      <c r="AS238" s="6" t="str">
        <f>HYPERLINK("https://creighton-primo.hosted.exlibrisgroup.com/primo-explore/search?tab=default_tab&amp;search_scope=EVERYTHING&amp;vid=01CRU&amp;lang=en_US&amp;offset=0&amp;query=any,contains,991002285049702656","Catalog Record")</f>
        <v>Catalog Record</v>
      </c>
      <c r="AT238" s="6" t="str">
        <f>HYPERLINK("http://www.worldcat.org/oclc/29634359","WorldCat Record")</f>
        <v>WorldCat Record</v>
      </c>
      <c r="AU238" s="3" t="s">
        <v>2992</v>
      </c>
      <c r="AV238" s="3" t="s">
        <v>2993</v>
      </c>
      <c r="AW238" s="3" t="s">
        <v>2994</v>
      </c>
      <c r="AX238" s="3" t="s">
        <v>2994</v>
      </c>
      <c r="AY238" s="3" t="s">
        <v>2995</v>
      </c>
      <c r="AZ238" s="3" t="s">
        <v>73</v>
      </c>
      <c r="BB238" s="3" t="s">
        <v>2996</v>
      </c>
      <c r="BC238" s="3" t="s">
        <v>2997</v>
      </c>
      <c r="BD238" s="3" t="s">
        <v>2998</v>
      </c>
    </row>
    <row r="239" spans="1:56" ht="51" customHeight="1" x14ac:dyDescent="0.25">
      <c r="A239" s="7" t="s">
        <v>58</v>
      </c>
      <c r="B239" s="2" t="s">
        <v>2999</v>
      </c>
      <c r="C239" s="2" t="s">
        <v>3000</v>
      </c>
      <c r="D239" s="2" t="s">
        <v>3001</v>
      </c>
      <c r="E239" s="3" t="s">
        <v>317</v>
      </c>
      <c r="F239" s="3" t="s">
        <v>58</v>
      </c>
      <c r="G239" s="3" t="s">
        <v>59</v>
      </c>
      <c r="H239" s="3" t="s">
        <v>58</v>
      </c>
      <c r="I239" s="3" t="s">
        <v>58</v>
      </c>
      <c r="J239" s="3" t="s">
        <v>60</v>
      </c>
      <c r="L239" s="2" t="s">
        <v>2977</v>
      </c>
      <c r="M239" s="3" t="s">
        <v>479</v>
      </c>
      <c r="O239" s="3" t="s">
        <v>63</v>
      </c>
      <c r="P239" s="3" t="s">
        <v>214</v>
      </c>
      <c r="Q239" s="2" t="s">
        <v>3002</v>
      </c>
      <c r="R239" s="3" t="s">
        <v>65</v>
      </c>
      <c r="S239" s="4">
        <v>3</v>
      </c>
      <c r="T239" s="4">
        <v>3</v>
      </c>
      <c r="U239" s="5" t="s">
        <v>3003</v>
      </c>
      <c r="V239" s="5" t="s">
        <v>3003</v>
      </c>
      <c r="W239" s="5" t="s">
        <v>2979</v>
      </c>
      <c r="X239" s="5" t="s">
        <v>2979</v>
      </c>
      <c r="Y239" s="4">
        <v>141</v>
      </c>
      <c r="Z239" s="4">
        <v>109</v>
      </c>
      <c r="AA239" s="4">
        <v>109</v>
      </c>
      <c r="AB239" s="4">
        <v>1</v>
      </c>
      <c r="AC239" s="4">
        <v>1</v>
      </c>
      <c r="AD239" s="4">
        <v>6</v>
      </c>
      <c r="AE239" s="4">
        <v>6</v>
      </c>
      <c r="AF239" s="4">
        <v>2</v>
      </c>
      <c r="AG239" s="4">
        <v>2</v>
      </c>
      <c r="AH239" s="4">
        <v>3</v>
      </c>
      <c r="AI239" s="4">
        <v>3</v>
      </c>
      <c r="AJ239" s="4">
        <v>4</v>
      </c>
      <c r="AK239" s="4">
        <v>4</v>
      </c>
      <c r="AL239" s="4">
        <v>0</v>
      </c>
      <c r="AM239" s="4">
        <v>0</v>
      </c>
      <c r="AN239" s="4">
        <v>0</v>
      </c>
      <c r="AO239" s="4">
        <v>0</v>
      </c>
      <c r="AP239" s="3" t="s">
        <v>58</v>
      </c>
      <c r="AQ239" s="3" t="s">
        <v>58</v>
      </c>
      <c r="AS239" s="6" t="str">
        <f>HYPERLINK("https://creighton-primo.hosted.exlibrisgroup.com/primo-explore/search?tab=default_tab&amp;search_scope=EVERYTHING&amp;vid=01CRU&amp;lang=en_US&amp;offset=0&amp;query=any,contains,991002285409702656","Catalog Record")</f>
        <v>Catalog Record</v>
      </c>
      <c r="AT239" s="6" t="str">
        <f>HYPERLINK("http://www.worldcat.org/oclc/29635226","WorldCat Record")</f>
        <v>WorldCat Record</v>
      </c>
      <c r="AU239" s="3" t="s">
        <v>3004</v>
      </c>
      <c r="AV239" s="3" t="s">
        <v>3005</v>
      </c>
      <c r="AW239" s="3" t="s">
        <v>3006</v>
      </c>
      <c r="AX239" s="3" t="s">
        <v>3006</v>
      </c>
      <c r="AY239" s="3" t="s">
        <v>3007</v>
      </c>
      <c r="AZ239" s="3" t="s">
        <v>73</v>
      </c>
      <c r="BB239" s="3" t="s">
        <v>3008</v>
      </c>
      <c r="BC239" s="3" t="s">
        <v>3009</v>
      </c>
      <c r="BD239" s="3" t="s">
        <v>3010</v>
      </c>
    </row>
    <row r="240" spans="1:56" ht="51" customHeight="1" x14ac:dyDescent="0.25">
      <c r="A240" s="7" t="s">
        <v>58</v>
      </c>
      <c r="B240" s="2" t="s">
        <v>3011</v>
      </c>
      <c r="C240" s="2" t="s">
        <v>3012</v>
      </c>
      <c r="D240" s="2" t="s">
        <v>3013</v>
      </c>
      <c r="E240" s="3" t="s">
        <v>294</v>
      </c>
      <c r="F240" s="3" t="s">
        <v>58</v>
      </c>
      <c r="G240" s="3" t="s">
        <v>59</v>
      </c>
      <c r="H240" s="3" t="s">
        <v>58</v>
      </c>
      <c r="I240" s="3" t="s">
        <v>58</v>
      </c>
      <c r="J240" s="3" t="s">
        <v>60</v>
      </c>
      <c r="L240" s="2" t="s">
        <v>3014</v>
      </c>
      <c r="M240" s="3" t="s">
        <v>479</v>
      </c>
      <c r="O240" s="3" t="s">
        <v>63</v>
      </c>
      <c r="P240" s="3" t="s">
        <v>214</v>
      </c>
      <c r="Q240" s="2" t="s">
        <v>3015</v>
      </c>
      <c r="R240" s="3" t="s">
        <v>65</v>
      </c>
      <c r="S240" s="4">
        <v>3</v>
      </c>
      <c r="T240" s="4">
        <v>3</v>
      </c>
      <c r="U240" s="5" t="s">
        <v>3016</v>
      </c>
      <c r="V240" s="5" t="s">
        <v>3016</v>
      </c>
      <c r="W240" s="5" t="s">
        <v>2979</v>
      </c>
      <c r="X240" s="5" t="s">
        <v>2979</v>
      </c>
      <c r="Y240" s="4">
        <v>139</v>
      </c>
      <c r="Z240" s="4">
        <v>104</v>
      </c>
      <c r="AA240" s="4">
        <v>104</v>
      </c>
      <c r="AB240" s="4">
        <v>1</v>
      </c>
      <c r="AC240" s="4">
        <v>1</v>
      </c>
      <c r="AD240" s="4">
        <v>6</v>
      </c>
      <c r="AE240" s="4">
        <v>6</v>
      </c>
      <c r="AF240" s="4">
        <v>2</v>
      </c>
      <c r="AG240" s="4">
        <v>2</v>
      </c>
      <c r="AH240" s="4">
        <v>3</v>
      </c>
      <c r="AI240" s="4">
        <v>3</v>
      </c>
      <c r="AJ240" s="4">
        <v>4</v>
      </c>
      <c r="AK240" s="4">
        <v>4</v>
      </c>
      <c r="AL240" s="4">
        <v>0</v>
      </c>
      <c r="AM240" s="4">
        <v>0</v>
      </c>
      <c r="AN240" s="4">
        <v>0</v>
      </c>
      <c r="AO240" s="4">
        <v>0</v>
      </c>
      <c r="AP240" s="3" t="s">
        <v>58</v>
      </c>
      <c r="AQ240" s="3" t="s">
        <v>58</v>
      </c>
      <c r="AS240" s="6" t="str">
        <f>HYPERLINK("https://creighton-primo.hosted.exlibrisgroup.com/primo-explore/search?tab=default_tab&amp;search_scope=EVERYTHING&amp;vid=01CRU&amp;lang=en_US&amp;offset=0&amp;query=any,contains,991002291649702656","Catalog Record")</f>
        <v>Catalog Record</v>
      </c>
      <c r="AT240" s="6" t="str">
        <f>HYPERLINK("http://www.worldcat.org/oclc/29703018","WorldCat Record")</f>
        <v>WorldCat Record</v>
      </c>
      <c r="AU240" s="3" t="s">
        <v>3017</v>
      </c>
      <c r="AV240" s="3" t="s">
        <v>3018</v>
      </c>
      <c r="AW240" s="3" t="s">
        <v>3019</v>
      </c>
      <c r="AX240" s="3" t="s">
        <v>3019</v>
      </c>
      <c r="AY240" s="3" t="s">
        <v>3020</v>
      </c>
      <c r="AZ240" s="3" t="s">
        <v>73</v>
      </c>
      <c r="BB240" s="3" t="s">
        <v>3021</v>
      </c>
      <c r="BC240" s="3" t="s">
        <v>3022</v>
      </c>
      <c r="BD240" s="3" t="s">
        <v>3023</v>
      </c>
    </row>
    <row r="241" spans="1:56" ht="51" customHeight="1" x14ac:dyDescent="0.25">
      <c r="A241" s="7" t="s">
        <v>58</v>
      </c>
      <c r="B241" s="2" t="s">
        <v>3024</v>
      </c>
      <c r="C241" s="2" t="s">
        <v>3025</v>
      </c>
      <c r="D241" s="2" t="s">
        <v>3026</v>
      </c>
      <c r="F241" s="3" t="s">
        <v>58</v>
      </c>
      <c r="G241" s="3" t="s">
        <v>59</v>
      </c>
      <c r="H241" s="3" t="s">
        <v>68</v>
      </c>
      <c r="I241" s="3" t="s">
        <v>58</v>
      </c>
      <c r="J241" s="3" t="s">
        <v>60</v>
      </c>
      <c r="K241" s="2" t="s">
        <v>3027</v>
      </c>
      <c r="L241" s="2" t="s">
        <v>3028</v>
      </c>
      <c r="M241" s="3" t="s">
        <v>1061</v>
      </c>
      <c r="O241" s="3" t="s">
        <v>63</v>
      </c>
      <c r="P241" s="3" t="s">
        <v>214</v>
      </c>
      <c r="R241" s="3" t="s">
        <v>65</v>
      </c>
      <c r="S241" s="4">
        <v>3</v>
      </c>
      <c r="T241" s="4">
        <v>3</v>
      </c>
      <c r="U241" s="5" t="s">
        <v>2933</v>
      </c>
      <c r="V241" s="5" t="s">
        <v>2933</v>
      </c>
      <c r="W241" s="5" t="s">
        <v>3029</v>
      </c>
      <c r="X241" s="5" t="s">
        <v>3029</v>
      </c>
      <c r="Y241" s="4">
        <v>348</v>
      </c>
      <c r="Z241" s="4">
        <v>285</v>
      </c>
      <c r="AA241" s="4">
        <v>303</v>
      </c>
      <c r="AB241" s="4">
        <v>4</v>
      </c>
      <c r="AC241" s="4">
        <v>4</v>
      </c>
      <c r="AD241" s="4">
        <v>15</v>
      </c>
      <c r="AE241" s="4">
        <v>18</v>
      </c>
      <c r="AF241" s="4">
        <v>2</v>
      </c>
      <c r="AG241" s="4">
        <v>3</v>
      </c>
      <c r="AH241" s="4">
        <v>3</v>
      </c>
      <c r="AI241" s="4">
        <v>3</v>
      </c>
      <c r="AJ241" s="4">
        <v>8</v>
      </c>
      <c r="AK241" s="4">
        <v>8</v>
      </c>
      <c r="AL241" s="4">
        <v>2</v>
      </c>
      <c r="AM241" s="4">
        <v>2</v>
      </c>
      <c r="AN241" s="4">
        <v>4</v>
      </c>
      <c r="AO241" s="4">
        <v>6</v>
      </c>
      <c r="AP241" s="3" t="s">
        <v>58</v>
      </c>
      <c r="AQ241" s="3" t="s">
        <v>68</v>
      </c>
      <c r="AR241" s="6" t="str">
        <f>HYPERLINK("http://catalog.hathitrust.org/Record/003120814","HathiTrust Record")</f>
        <v>HathiTrust Record</v>
      </c>
      <c r="AS241" s="6" t="str">
        <f>HYPERLINK("https://creighton-primo.hosted.exlibrisgroup.com/primo-explore/search?tab=default_tab&amp;search_scope=EVERYTHING&amp;vid=01CRU&amp;lang=en_US&amp;offset=0&amp;query=any,contains,991001673179702656","Catalog Record")</f>
        <v>Catalog Record</v>
      </c>
      <c r="AT241" s="6" t="str">
        <f>HYPERLINK("http://www.worldcat.org/oclc/35280864","WorldCat Record")</f>
        <v>WorldCat Record</v>
      </c>
      <c r="AU241" s="3" t="s">
        <v>3030</v>
      </c>
      <c r="AV241" s="3" t="s">
        <v>3031</v>
      </c>
      <c r="AW241" s="3" t="s">
        <v>3032</v>
      </c>
      <c r="AX241" s="3" t="s">
        <v>3032</v>
      </c>
      <c r="AY241" s="3" t="s">
        <v>3033</v>
      </c>
      <c r="AZ241" s="3" t="s">
        <v>73</v>
      </c>
      <c r="BB241" s="3" t="s">
        <v>3034</v>
      </c>
      <c r="BC241" s="3" t="s">
        <v>3035</v>
      </c>
      <c r="BD241" s="3" t="s">
        <v>3036</v>
      </c>
    </row>
    <row r="242" spans="1:56" ht="51" customHeight="1" x14ac:dyDescent="0.25">
      <c r="A242" s="7" t="s">
        <v>58</v>
      </c>
      <c r="B242" s="2" t="s">
        <v>3037</v>
      </c>
      <c r="C242" s="2" t="s">
        <v>3038</v>
      </c>
      <c r="D242" s="2" t="s">
        <v>3039</v>
      </c>
      <c r="F242" s="3" t="s">
        <v>58</v>
      </c>
      <c r="G242" s="3" t="s">
        <v>59</v>
      </c>
      <c r="H242" s="3" t="s">
        <v>58</v>
      </c>
      <c r="I242" s="3" t="s">
        <v>58</v>
      </c>
      <c r="J242" s="3" t="s">
        <v>60</v>
      </c>
      <c r="K242" s="2" t="s">
        <v>3040</v>
      </c>
      <c r="L242" s="2" t="s">
        <v>3041</v>
      </c>
      <c r="M242" s="3" t="s">
        <v>626</v>
      </c>
      <c r="O242" s="3" t="s">
        <v>63</v>
      </c>
      <c r="P242" s="3" t="s">
        <v>816</v>
      </c>
      <c r="Q242" s="2" t="s">
        <v>3042</v>
      </c>
      <c r="R242" s="3" t="s">
        <v>65</v>
      </c>
      <c r="S242" s="4">
        <v>6</v>
      </c>
      <c r="T242" s="4">
        <v>6</v>
      </c>
      <c r="U242" s="5" t="s">
        <v>3003</v>
      </c>
      <c r="V242" s="5" t="s">
        <v>3003</v>
      </c>
      <c r="W242" s="5" t="s">
        <v>2282</v>
      </c>
      <c r="X242" s="5" t="s">
        <v>2282</v>
      </c>
      <c r="Y242" s="4">
        <v>396</v>
      </c>
      <c r="Z242" s="4">
        <v>358</v>
      </c>
      <c r="AA242" s="4">
        <v>439</v>
      </c>
      <c r="AB242" s="4">
        <v>4</v>
      </c>
      <c r="AC242" s="4">
        <v>4</v>
      </c>
      <c r="AD242" s="4">
        <v>15</v>
      </c>
      <c r="AE242" s="4">
        <v>20</v>
      </c>
      <c r="AF242" s="4">
        <v>4</v>
      </c>
      <c r="AG242" s="4">
        <v>8</v>
      </c>
      <c r="AH242" s="4">
        <v>6</v>
      </c>
      <c r="AI242" s="4">
        <v>7</v>
      </c>
      <c r="AJ242" s="4">
        <v>4</v>
      </c>
      <c r="AK242" s="4">
        <v>7</v>
      </c>
      <c r="AL242" s="4">
        <v>3</v>
      </c>
      <c r="AM242" s="4">
        <v>3</v>
      </c>
      <c r="AN242" s="4">
        <v>0</v>
      </c>
      <c r="AO242" s="4">
        <v>0</v>
      </c>
      <c r="AP242" s="3" t="s">
        <v>58</v>
      </c>
      <c r="AQ242" s="3" t="s">
        <v>68</v>
      </c>
      <c r="AR242" s="6" t="str">
        <f>HYPERLINK("http://catalog.hathitrust.org/Record/000578755","HathiTrust Record")</f>
        <v>HathiTrust Record</v>
      </c>
      <c r="AS242" s="6" t="str">
        <f>HYPERLINK("https://creighton-primo.hosted.exlibrisgroup.com/primo-explore/search?tab=default_tab&amp;search_scope=EVERYTHING&amp;vid=01CRU&amp;lang=en_US&amp;offset=0&amp;query=any,contains,991000404439702656","Catalog Record")</f>
        <v>Catalog Record</v>
      </c>
      <c r="AT242" s="6" t="str">
        <f>HYPERLINK("http://www.worldcat.org/oclc/12235105","WorldCat Record")</f>
        <v>WorldCat Record</v>
      </c>
      <c r="AU242" s="3" t="s">
        <v>3043</v>
      </c>
      <c r="AV242" s="3" t="s">
        <v>3044</v>
      </c>
      <c r="AW242" s="3" t="s">
        <v>3045</v>
      </c>
      <c r="AX242" s="3" t="s">
        <v>3045</v>
      </c>
      <c r="AY242" s="3" t="s">
        <v>3046</v>
      </c>
      <c r="AZ242" s="3" t="s">
        <v>73</v>
      </c>
      <c r="BB242" s="3" t="s">
        <v>3047</v>
      </c>
      <c r="BC242" s="3" t="s">
        <v>3048</v>
      </c>
      <c r="BD242" s="3" t="s">
        <v>3049</v>
      </c>
    </row>
    <row r="243" spans="1:56" ht="51" customHeight="1" x14ac:dyDescent="0.25">
      <c r="A243" s="7" t="s">
        <v>58</v>
      </c>
      <c r="B243" s="2" t="s">
        <v>3050</v>
      </c>
      <c r="C243" s="2" t="s">
        <v>3051</v>
      </c>
      <c r="D243" s="2" t="s">
        <v>3052</v>
      </c>
      <c r="F243" s="3" t="s">
        <v>58</v>
      </c>
      <c r="G243" s="3" t="s">
        <v>59</v>
      </c>
      <c r="H243" s="3" t="s">
        <v>58</v>
      </c>
      <c r="I243" s="3" t="s">
        <v>58</v>
      </c>
      <c r="J243" s="3" t="s">
        <v>60</v>
      </c>
      <c r="K243" s="2" t="s">
        <v>3053</v>
      </c>
      <c r="L243" s="2" t="s">
        <v>3054</v>
      </c>
      <c r="M243" s="3" t="s">
        <v>62</v>
      </c>
      <c r="O243" s="3" t="s">
        <v>63</v>
      </c>
      <c r="P243" s="3" t="s">
        <v>214</v>
      </c>
      <c r="R243" s="3" t="s">
        <v>65</v>
      </c>
      <c r="S243" s="4">
        <v>2</v>
      </c>
      <c r="T243" s="4">
        <v>2</v>
      </c>
      <c r="U243" s="5" t="s">
        <v>3055</v>
      </c>
      <c r="V243" s="5" t="s">
        <v>3055</v>
      </c>
      <c r="W243" s="5" t="s">
        <v>3056</v>
      </c>
      <c r="X243" s="5" t="s">
        <v>3056</v>
      </c>
      <c r="Y243" s="4">
        <v>720</v>
      </c>
      <c r="Z243" s="4">
        <v>627</v>
      </c>
      <c r="AA243" s="4">
        <v>630</v>
      </c>
      <c r="AB243" s="4">
        <v>9</v>
      </c>
      <c r="AC243" s="4">
        <v>9</v>
      </c>
      <c r="AD243" s="4">
        <v>27</v>
      </c>
      <c r="AE243" s="4">
        <v>27</v>
      </c>
      <c r="AF243" s="4">
        <v>8</v>
      </c>
      <c r="AG243" s="4">
        <v>8</v>
      </c>
      <c r="AH243" s="4">
        <v>5</v>
      </c>
      <c r="AI243" s="4">
        <v>5</v>
      </c>
      <c r="AJ243" s="4">
        <v>12</v>
      </c>
      <c r="AK243" s="4">
        <v>12</v>
      </c>
      <c r="AL243" s="4">
        <v>7</v>
      </c>
      <c r="AM243" s="4">
        <v>7</v>
      </c>
      <c r="AN243" s="4">
        <v>1</v>
      </c>
      <c r="AO243" s="4">
        <v>1</v>
      </c>
      <c r="AP243" s="3" t="s">
        <v>58</v>
      </c>
      <c r="AQ243" s="3" t="s">
        <v>68</v>
      </c>
      <c r="AR243" s="6" t="str">
        <f>HYPERLINK("http://catalog.hathitrust.org/Record/001242792","HathiTrust Record")</f>
        <v>HathiTrust Record</v>
      </c>
      <c r="AS243" s="6" t="str">
        <f>HYPERLINK("https://creighton-primo.hosted.exlibrisgroup.com/primo-explore/search?tab=default_tab&amp;search_scope=EVERYTHING&amp;vid=01CRU&amp;lang=en_US&amp;offset=0&amp;query=any,contains,991000934999702656","Catalog Record")</f>
        <v>Catalog Record</v>
      </c>
      <c r="AT243" s="6" t="str">
        <f>HYPERLINK("http://www.worldcat.org/oclc/164157","WorldCat Record")</f>
        <v>WorldCat Record</v>
      </c>
      <c r="AU243" s="3" t="s">
        <v>3057</v>
      </c>
      <c r="AV243" s="3" t="s">
        <v>3058</v>
      </c>
      <c r="AW243" s="3" t="s">
        <v>3059</v>
      </c>
      <c r="AX243" s="3" t="s">
        <v>3059</v>
      </c>
      <c r="AY243" s="3" t="s">
        <v>3060</v>
      </c>
      <c r="AZ243" s="3" t="s">
        <v>73</v>
      </c>
      <c r="BC243" s="3" t="s">
        <v>3061</v>
      </c>
      <c r="BD243" s="3" t="s">
        <v>3062</v>
      </c>
    </row>
    <row r="244" spans="1:56" ht="51" customHeight="1" x14ac:dyDescent="0.25">
      <c r="A244" s="7" t="s">
        <v>58</v>
      </c>
      <c r="B244" s="2" t="s">
        <v>3063</v>
      </c>
      <c r="C244" s="2" t="s">
        <v>3064</v>
      </c>
      <c r="D244" s="2" t="s">
        <v>3065</v>
      </c>
      <c r="F244" s="3" t="s">
        <v>58</v>
      </c>
      <c r="G244" s="3" t="s">
        <v>59</v>
      </c>
      <c r="H244" s="3" t="s">
        <v>58</v>
      </c>
      <c r="I244" s="3" t="s">
        <v>58</v>
      </c>
      <c r="J244" s="3" t="s">
        <v>60</v>
      </c>
      <c r="K244" s="2" t="s">
        <v>3066</v>
      </c>
      <c r="L244" s="2" t="s">
        <v>3067</v>
      </c>
      <c r="M244" s="3" t="s">
        <v>2186</v>
      </c>
      <c r="N244" s="2" t="s">
        <v>338</v>
      </c>
      <c r="O244" s="3" t="s">
        <v>63</v>
      </c>
      <c r="P244" s="3" t="s">
        <v>214</v>
      </c>
      <c r="R244" s="3" t="s">
        <v>65</v>
      </c>
      <c r="S244" s="4">
        <v>2</v>
      </c>
      <c r="T244" s="4">
        <v>2</v>
      </c>
      <c r="U244" s="5" t="s">
        <v>1516</v>
      </c>
      <c r="V244" s="5" t="s">
        <v>1516</v>
      </c>
      <c r="W244" s="5" t="s">
        <v>3068</v>
      </c>
      <c r="X244" s="5" t="s">
        <v>3068</v>
      </c>
      <c r="Y244" s="4">
        <v>1296</v>
      </c>
      <c r="Z244" s="4">
        <v>1226</v>
      </c>
      <c r="AA244" s="4">
        <v>1281</v>
      </c>
      <c r="AB244" s="4">
        <v>12</v>
      </c>
      <c r="AC244" s="4">
        <v>13</v>
      </c>
      <c r="AD244" s="4">
        <v>20</v>
      </c>
      <c r="AE244" s="4">
        <v>22</v>
      </c>
      <c r="AF244" s="4">
        <v>10</v>
      </c>
      <c r="AG244" s="4">
        <v>10</v>
      </c>
      <c r="AH244" s="4">
        <v>3</v>
      </c>
      <c r="AI244" s="4">
        <v>4</v>
      </c>
      <c r="AJ244" s="4">
        <v>7</v>
      </c>
      <c r="AK244" s="4">
        <v>9</v>
      </c>
      <c r="AL244" s="4">
        <v>4</v>
      </c>
      <c r="AM244" s="4">
        <v>4</v>
      </c>
      <c r="AN244" s="4">
        <v>0</v>
      </c>
      <c r="AO244" s="4">
        <v>0</v>
      </c>
      <c r="AP244" s="3" t="s">
        <v>58</v>
      </c>
      <c r="AQ244" s="3" t="s">
        <v>58</v>
      </c>
      <c r="AS244" s="6" t="str">
        <f>HYPERLINK("https://creighton-primo.hosted.exlibrisgroup.com/primo-explore/search?tab=default_tab&amp;search_scope=EVERYTHING&amp;vid=01CRU&amp;lang=en_US&amp;offset=0&amp;query=any,contains,991005250049702656","Catalog Record")</f>
        <v>Catalog Record</v>
      </c>
      <c r="AT244" s="6" t="str">
        <f>HYPERLINK("http://www.worldcat.org/oclc/68786813","WorldCat Record")</f>
        <v>WorldCat Record</v>
      </c>
      <c r="AU244" s="3" t="s">
        <v>3069</v>
      </c>
      <c r="AV244" s="3" t="s">
        <v>3070</v>
      </c>
      <c r="AW244" s="3" t="s">
        <v>3071</v>
      </c>
      <c r="AX244" s="3" t="s">
        <v>3071</v>
      </c>
      <c r="AY244" s="3" t="s">
        <v>3072</v>
      </c>
      <c r="AZ244" s="3" t="s">
        <v>73</v>
      </c>
      <c r="BB244" s="3" t="s">
        <v>3073</v>
      </c>
      <c r="BC244" s="3" t="s">
        <v>3074</v>
      </c>
      <c r="BD244" s="3" t="s">
        <v>3075</v>
      </c>
    </row>
    <row r="245" spans="1:56" ht="51" customHeight="1" x14ac:dyDescent="0.25">
      <c r="A245" s="7" t="s">
        <v>58</v>
      </c>
      <c r="B245" s="2" t="s">
        <v>3076</v>
      </c>
      <c r="C245" s="2" t="s">
        <v>3077</v>
      </c>
      <c r="D245" s="2" t="s">
        <v>3078</v>
      </c>
      <c r="F245" s="3" t="s">
        <v>58</v>
      </c>
      <c r="G245" s="3" t="s">
        <v>59</v>
      </c>
      <c r="H245" s="3" t="s">
        <v>58</v>
      </c>
      <c r="I245" s="3" t="s">
        <v>58</v>
      </c>
      <c r="J245" s="3" t="s">
        <v>60</v>
      </c>
      <c r="K245" s="2" t="s">
        <v>3079</v>
      </c>
      <c r="L245" s="2" t="s">
        <v>3080</v>
      </c>
      <c r="M245" s="3" t="s">
        <v>183</v>
      </c>
      <c r="O245" s="3" t="s">
        <v>63</v>
      </c>
      <c r="P245" s="3" t="s">
        <v>214</v>
      </c>
      <c r="R245" s="3" t="s">
        <v>65</v>
      </c>
      <c r="S245" s="4">
        <v>5</v>
      </c>
      <c r="T245" s="4">
        <v>5</v>
      </c>
      <c r="U245" s="5" t="s">
        <v>3081</v>
      </c>
      <c r="V245" s="5" t="s">
        <v>3081</v>
      </c>
      <c r="W245" s="5" t="s">
        <v>235</v>
      </c>
      <c r="X245" s="5" t="s">
        <v>235</v>
      </c>
      <c r="Y245" s="4">
        <v>656</v>
      </c>
      <c r="Z245" s="4">
        <v>566</v>
      </c>
      <c r="AA245" s="4">
        <v>647</v>
      </c>
      <c r="AB245" s="4">
        <v>4</v>
      </c>
      <c r="AC245" s="4">
        <v>4</v>
      </c>
      <c r="AD245" s="4">
        <v>27</v>
      </c>
      <c r="AE245" s="4">
        <v>31</v>
      </c>
      <c r="AF245" s="4">
        <v>11</v>
      </c>
      <c r="AG245" s="4">
        <v>11</v>
      </c>
      <c r="AH245" s="4">
        <v>7</v>
      </c>
      <c r="AI245" s="4">
        <v>7</v>
      </c>
      <c r="AJ245" s="4">
        <v>12</v>
      </c>
      <c r="AK245" s="4">
        <v>15</v>
      </c>
      <c r="AL245" s="4">
        <v>3</v>
      </c>
      <c r="AM245" s="4">
        <v>3</v>
      </c>
      <c r="AN245" s="4">
        <v>1</v>
      </c>
      <c r="AO245" s="4">
        <v>2</v>
      </c>
      <c r="AP245" s="3" t="s">
        <v>58</v>
      </c>
      <c r="AQ245" s="3" t="s">
        <v>68</v>
      </c>
      <c r="AR245" s="6" t="str">
        <f>HYPERLINK("http://catalog.hathitrust.org/Record/000127604","HathiTrust Record")</f>
        <v>HathiTrust Record</v>
      </c>
      <c r="AS245" s="6" t="str">
        <f>HYPERLINK("https://creighton-primo.hosted.exlibrisgroup.com/primo-explore/search?tab=default_tab&amp;search_scope=EVERYTHING&amp;vid=01CRU&amp;lang=en_US&amp;offset=0&amp;query=any,contains,991004185439702656","Catalog Record")</f>
        <v>Catalog Record</v>
      </c>
      <c r="AT245" s="6" t="str">
        <f>HYPERLINK("http://www.worldcat.org/oclc/2614797","WorldCat Record")</f>
        <v>WorldCat Record</v>
      </c>
      <c r="AU245" s="3" t="s">
        <v>3082</v>
      </c>
      <c r="AV245" s="3" t="s">
        <v>3083</v>
      </c>
      <c r="AW245" s="3" t="s">
        <v>3084</v>
      </c>
      <c r="AX245" s="3" t="s">
        <v>3084</v>
      </c>
      <c r="AY245" s="3" t="s">
        <v>3085</v>
      </c>
      <c r="AZ245" s="3" t="s">
        <v>73</v>
      </c>
      <c r="BB245" s="3" t="s">
        <v>3086</v>
      </c>
      <c r="BC245" s="3" t="s">
        <v>3087</v>
      </c>
      <c r="BD245" s="3" t="s">
        <v>3088</v>
      </c>
    </row>
    <row r="246" spans="1:56" ht="51" customHeight="1" x14ac:dyDescent="0.25">
      <c r="A246" s="7" t="s">
        <v>58</v>
      </c>
      <c r="B246" s="2" t="s">
        <v>3089</v>
      </c>
      <c r="C246" s="2" t="s">
        <v>3090</v>
      </c>
      <c r="D246" s="2" t="s">
        <v>3091</v>
      </c>
      <c r="F246" s="3" t="s">
        <v>58</v>
      </c>
      <c r="G246" s="3" t="s">
        <v>59</v>
      </c>
      <c r="H246" s="3" t="s">
        <v>58</v>
      </c>
      <c r="I246" s="3" t="s">
        <v>58</v>
      </c>
      <c r="J246" s="3" t="s">
        <v>60</v>
      </c>
      <c r="K246" s="2" t="s">
        <v>3092</v>
      </c>
      <c r="L246" s="2" t="s">
        <v>3093</v>
      </c>
      <c r="M246" s="3" t="s">
        <v>353</v>
      </c>
      <c r="O246" s="3" t="s">
        <v>63</v>
      </c>
      <c r="P246" s="3" t="s">
        <v>214</v>
      </c>
      <c r="Q246" s="2" t="s">
        <v>3094</v>
      </c>
      <c r="R246" s="3" t="s">
        <v>65</v>
      </c>
      <c r="S246" s="4">
        <v>8</v>
      </c>
      <c r="T246" s="4">
        <v>8</v>
      </c>
      <c r="U246" s="5" t="s">
        <v>3095</v>
      </c>
      <c r="V246" s="5" t="s">
        <v>3095</v>
      </c>
      <c r="W246" s="5" t="s">
        <v>3096</v>
      </c>
      <c r="X246" s="5" t="s">
        <v>3096</v>
      </c>
      <c r="Y246" s="4">
        <v>310</v>
      </c>
      <c r="Z246" s="4">
        <v>238</v>
      </c>
      <c r="AA246" s="4">
        <v>567</v>
      </c>
      <c r="AB246" s="4">
        <v>4</v>
      </c>
      <c r="AC246" s="4">
        <v>5</v>
      </c>
      <c r="AD246" s="4">
        <v>9</v>
      </c>
      <c r="AE246" s="4">
        <v>14</v>
      </c>
      <c r="AF246" s="4">
        <v>0</v>
      </c>
      <c r="AG246" s="4">
        <v>3</v>
      </c>
      <c r="AH246" s="4">
        <v>3</v>
      </c>
      <c r="AI246" s="4">
        <v>4</v>
      </c>
      <c r="AJ246" s="4">
        <v>4</v>
      </c>
      <c r="AK246" s="4">
        <v>6</v>
      </c>
      <c r="AL246" s="4">
        <v>3</v>
      </c>
      <c r="AM246" s="4">
        <v>4</v>
      </c>
      <c r="AN246" s="4">
        <v>0</v>
      </c>
      <c r="AO246" s="4">
        <v>0</v>
      </c>
      <c r="AP246" s="3" t="s">
        <v>58</v>
      </c>
      <c r="AQ246" s="3" t="s">
        <v>68</v>
      </c>
      <c r="AR246" s="6" t="str">
        <f>HYPERLINK("http://catalog.hathitrust.org/Record/000816104","HathiTrust Record")</f>
        <v>HathiTrust Record</v>
      </c>
      <c r="AS246" s="6" t="str">
        <f>HYPERLINK("https://creighton-primo.hosted.exlibrisgroup.com/primo-explore/search?tab=default_tab&amp;search_scope=EVERYTHING&amp;vid=01CRU&amp;lang=en_US&amp;offset=0&amp;query=any,contains,991000858279702656","Catalog Record")</f>
        <v>Catalog Record</v>
      </c>
      <c r="AT246" s="6" t="str">
        <f>HYPERLINK("http://www.worldcat.org/oclc/13667666","WorldCat Record")</f>
        <v>WorldCat Record</v>
      </c>
      <c r="AU246" s="3" t="s">
        <v>3097</v>
      </c>
      <c r="AV246" s="3" t="s">
        <v>3098</v>
      </c>
      <c r="AW246" s="3" t="s">
        <v>3099</v>
      </c>
      <c r="AX246" s="3" t="s">
        <v>3099</v>
      </c>
      <c r="AY246" s="3" t="s">
        <v>3100</v>
      </c>
      <c r="AZ246" s="3" t="s">
        <v>73</v>
      </c>
      <c r="BB246" s="3" t="s">
        <v>3101</v>
      </c>
      <c r="BC246" s="3" t="s">
        <v>3102</v>
      </c>
      <c r="BD246" s="3" t="s">
        <v>3103</v>
      </c>
    </row>
    <row r="247" spans="1:56" ht="51" customHeight="1" x14ac:dyDescent="0.25">
      <c r="A247" s="7" t="s">
        <v>58</v>
      </c>
      <c r="B247" s="2" t="s">
        <v>3104</v>
      </c>
      <c r="C247" s="2" t="s">
        <v>3105</v>
      </c>
      <c r="D247" s="2" t="s">
        <v>3106</v>
      </c>
      <c r="F247" s="3" t="s">
        <v>58</v>
      </c>
      <c r="G247" s="3" t="s">
        <v>59</v>
      </c>
      <c r="H247" s="3" t="s">
        <v>58</v>
      </c>
      <c r="I247" s="3" t="s">
        <v>58</v>
      </c>
      <c r="J247" s="3" t="s">
        <v>60</v>
      </c>
      <c r="K247" s="2" t="s">
        <v>3107</v>
      </c>
      <c r="L247" s="2" t="s">
        <v>3108</v>
      </c>
      <c r="M247" s="3" t="s">
        <v>154</v>
      </c>
      <c r="O247" s="3" t="s">
        <v>63</v>
      </c>
      <c r="P247" s="3" t="s">
        <v>3109</v>
      </c>
      <c r="R247" s="3" t="s">
        <v>65</v>
      </c>
      <c r="S247" s="4">
        <v>5</v>
      </c>
      <c r="T247" s="4">
        <v>5</v>
      </c>
      <c r="U247" s="5" t="s">
        <v>3110</v>
      </c>
      <c r="V247" s="5" t="s">
        <v>3110</v>
      </c>
      <c r="W247" s="5" t="s">
        <v>3111</v>
      </c>
      <c r="X247" s="5" t="s">
        <v>3111</v>
      </c>
      <c r="Y247" s="4">
        <v>51</v>
      </c>
      <c r="Z247" s="4">
        <v>45</v>
      </c>
      <c r="AA247" s="4">
        <v>486</v>
      </c>
      <c r="AB247" s="4">
        <v>1</v>
      </c>
      <c r="AC247" s="4">
        <v>2</v>
      </c>
      <c r="AD247" s="4">
        <v>0</v>
      </c>
      <c r="AE247" s="4">
        <v>15</v>
      </c>
      <c r="AF247" s="4">
        <v>0</v>
      </c>
      <c r="AG247" s="4">
        <v>7</v>
      </c>
      <c r="AH247" s="4">
        <v>0</v>
      </c>
      <c r="AI247" s="4">
        <v>5</v>
      </c>
      <c r="AJ247" s="4">
        <v>0</v>
      </c>
      <c r="AK247" s="4">
        <v>7</v>
      </c>
      <c r="AL247" s="4">
        <v>0</v>
      </c>
      <c r="AM247" s="4">
        <v>1</v>
      </c>
      <c r="AN247" s="4">
        <v>0</v>
      </c>
      <c r="AO247" s="4">
        <v>0</v>
      </c>
      <c r="AP247" s="3" t="s">
        <v>58</v>
      </c>
      <c r="AQ247" s="3" t="s">
        <v>58</v>
      </c>
      <c r="AS247" s="6" t="str">
        <f>HYPERLINK("https://creighton-primo.hosted.exlibrisgroup.com/primo-explore/search?tab=default_tab&amp;search_scope=EVERYTHING&amp;vid=01CRU&amp;lang=en_US&amp;offset=0&amp;query=any,contains,991001393849702656","Catalog Record")</f>
        <v>Catalog Record</v>
      </c>
      <c r="AT247" s="6" t="str">
        <f>HYPERLINK("http://www.worldcat.org/oclc/18779950","WorldCat Record")</f>
        <v>WorldCat Record</v>
      </c>
      <c r="AU247" s="3" t="s">
        <v>3112</v>
      </c>
      <c r="AV247" s="3" t="s">
        <v>3113</v>
      </c>
      <c r="AW247" s="3" t="s">
        <v>3114</v>
      </c>
      <c r="AX247" s="3" t="s">
        <v>3114</v>
      </c>
      <c r="AY247" s="3" t="s">
        <v>3115</v>
      </c>
      <c r="AZ247" s="3" t="s">
        <v>73</v>
      </c>
      <c r="BB247" s="3" t="s">
        <v>3116</v>
      </c>
      <c r="BC247" s="3" t="s">
        <v>3117</v>
      </c>
      <c r="BD247" s="3" t="s">
        <v>3118</v>
      </c>
    </row>
    <row r="248" spans="1:56" ht="51" customHeight="1" x14ac:dyDescent="0.25">
      <c r="A248" s="7" t="s">
        <v>58</v>
      </c>
      <c r="B248" s="2" t="s">
        <v>3119</v>
      </c>
      <c r="C248" s="2" t="s">
        <v>3120</v>
      </c>
      <c r="D248" s="2" t="s">
        <v>3121</v>
      </c>
      <c r="F248" s="3" t="s">
        <v>58</v>
      </c>
      <c r="G248" s="3" t="s">
        <v>59</v>
      </c>
      <c r="H248" s="3" t="s">
        <v>58</v>
      </c>
      <c r="I248" s="3" t="s">
        <v>58</v>
      </c>
      <c r="J248" s="3" t="s">
        <v>60</v>
      </c>
      <c r="K248" s="2" t="s">
        <v>3122</v>
      </c>
      <c r="L248" s="2" t="s">
        <v>3123</v>
      </c>
      <c r="M248" s="3" t="s">
        <v>368</v>
      </c>
      <c r="O248" s="3" t="s">
        <v>63</v>
      </c>
      <c r="P248" s="3" t="s">
        <v>584</v>
      </c>
      <c r="R248" s="3" t="s">
        <v>65</v>
      </c>
      <c r="S248" s="4">
        <v>4</v>
      </c>
      <c r="T248" s="4">
        <v>4</v>
      </c>
      <c r="U248" s="5" t="s">
        <v>2933</v>
      </c>
      <c r="V248" s="5" t="s">
        <v>2933</v>
      </c>
      <c r="W248" s="5" t="s">
        <v>235</v>
      </c>
      <c r="X248" s="5" t="s">
        <v>235</v>
      </c>
      <c r="Y248" s="4">
        <v>354</v>
      </c>
      <c r="Z248" s="4">
        <v>266</v>
      </c>
      <c r="AA248" s="4">
        <v>337</v>
      </c>
      <c r="AB248" s="4">
        <v>3</v>
      </c>
      <c r="AC248" s="4">
        <v>3</v>
      </c>
      <c r="AD248" s="4">
        <v>9</v>
      </c>
      <c r="AE248" s="4">
        <v>12</v>
      </c>
      <c r="AF248" s="4">
        <v>2</v>
      </c>
      <c r="AG248" s="4">
        <v>4</v>
      </c>
      <c r="AH248" s="4">
        <v>2</v>
      </c>
      <c r="AI248" s="4">
        <v>3</v>
      </c>
      <c r="AJ248" s="4">
        <v>5</v>
      </c>
      <c r="AK248" s="4">
        <v>5</v>
      </c>
      <c r="AL248" s="4">
        <v>2</v>
      </c>
      <c r="AM248" s="4">
        <v>2</v>
      </c>
      <c r="AN248" s="4">
        <v>0</v>
      </c>
      <c r="AO248" s="4">
        <v>0</v>
      </c>
      <c r="AP248" s="3" t="s">
        <v>58</v>
      </c>
      <c r="AQ248" s="3" t="s">
        <v>68</v>
      </c>
      <c r="AR248" s="6" t="str">
        <f>HYPERLINK("http://catalog.hathitrust.org/Record/000213743","HathiTrust Record")</f>
        <v>HathiTrust Record</v>
      </c>
      <c r="AS248" s="6" t="str">
        <f>HYPERLINK("https://creighton-primo.hosted.exlibrisgroup.com/primo-explore/search?tab=default_tab&amp;search_scope=EVERYTHING&amp;vid=01CRU&amp;lang=en_US&amp;offset=0&amp;query=any,contains,991004297129702656","Catalog Record")</f>
        <v>Catalog Record</v>
      </c>
      <c r="AT248" s="6" t="str">
        <f>HYPERLINK("http://www.worldcat.org/oclc/2965846","WorldCat Record")</f>
        <v>WorldCat Record</v>
      </c>
      <c r="AU248" s="3" t="s">
        <v>3124</v>
      </c>
      <c r="AV248" s="3" t="s">
        <v>3125</v>
      </c>
      <c r="AW248" s="3" t="s">
        <v>3126</v>
      </c>
      <c r="AX248" s="3" t="s">
        <v>3126</v>
      </c>
      <c r="AY248" s="3" t="s">
        <v>3127</v>
      </c>
      <c r="AZ248" s="3" t="s">
        <v>73</v>
      </c>
      <c r="BB248" s="3" t="s">
        <v>3128</v>
      </c>
      <c r="BC248" s="3" t="s">
        <v>3129</v>
      </c>
      <c r="BD248" s="3" t="s">
        <v>3130</v>
      </c>
    </row>
    <row r="249" spans="1:56" ht="51" customHeight="1" x14ac:dyDescent="0.25">
      <c r="A249" s="7" t="s">
        <v>58</v>
      </c>
      <c r="B249" s="2" t="s">
        <v>3131</v>
      </c>
      <c r="C249" s="2" t="s">
        <v>3132</v>
      </c>
      <c r="D249" s="2" t="s">
        <v>3133</v>
      </c>
      <c r="F249" s="3" t="s">
        <v>58</v>
      </c>
      <c r="G249" s="3" t="s">
        <v>59</v>
      </c>
      <c r="H249" s="3" t="s">
        <v>58</v>
      </c>
      <c r="I249" s="3" t="s">
        <v>58</v>
      </c>
      <c r="J249" s="3" t="s">
        <v>60</v>
      </c>
      <c r="K249" s="2" t="s">
        <v>3134</v>
      </c>
      <c r="L249" s="2" t="s">
        <v>3135</v>
      </c>
      <c r="M249" s="3" t="s">
        <v>1091</v>
      </c>
      <c r="O249" s="3" t="s">
        <v>63</v>
      </c>
      <c r="P249" s="3" t="s">
        <v>354</v>
      </c>
      <c r="R249" s="3" t="s">
        <v>65</v>
      </c>
      <c r="S249" s="4">
        <v>3</v>
      </c>
      <c r="T249" s="4">
        <v>3</v>
      </c>
      <c r="U249" s="5" t="s">
        <v>3136</v>
      </c>
      <c r="V249" s="5" t="s">
        <v>3136</v>
      </c>
      <c r="W249" s="5" t="s">
        <v>3137</v>
      </c>
      <c r="X249" s="5" t="s">
        <v>3137</v>
      </c>
      <c r="Y249" s="4">
        <v>120</v>
      </c>
      <c r="Z249" s="4">
        <v>115</v>
      </c>
      <c r="AA249" s="4">
        <v>115</v>
      </c>
      <c r="AB249" s="4">
        <v>1</v>
      </c>
      <c r="AC249" s="4">
        <v>1</v>
      </c>
      <c r="AD249" s="4">
        <v>6</v>
      </c>
      <c r="AE249" s="4">
        <v>6</v>
      </c>
      <c r="AF249" s="4">
        <v>3</v>
      </c>
      <c r="AG249" s="4">
        <v>3</v>
      </c>
      <c r="AH249" s="4">
        <v>2</v>
      </c>
      <c r="AI249" s="4">
        <v>2</v>
      </c>
      <c r="AJ249" s="4">
        <v>2</v>
      </c>
      <c r="AK249" s="4">
        <v>2</v>
      </c>
      <c r="AL249" s="4">
        <v>0</v>
      </c>
      <c r="AM249" s="4">
        <v>0</v>
      </c>
      <c r="AN249" s="4">
        <v>0</v>
      </c>
      <c r="AO249" s="4">
        <v>0</v>
      </c>
      <c r="AP249" s="3" t="s">
        <v>58</v>
      </c>
      <c r="AQ249" s="3" t="s">
        <v>58</v>
      </c>
      <c r="AS249" s="6" t="str">
        <f>HYPERLINK("https://creighton-primo.hosted.exlibrisgroup.com/primo-explore/search?tab=default_tab&amp;search_scope=EVERYTHING&amp;vid=01CRU&amp;lang=en_US&amp;offset=0&amp;query=any,contains,991003849199702656","Catalog Record")</f>
        <v>Catalog Record</v>
      </c>
      <c r="AT249" s="6" t="str">
        <f>HYPERLINK("http://www.worldcat.org/oclc/49264478","WorldCat Record")</f>
        <v>WorldCat Record</v>
      </c>
      <c r="AU249" s="3" t="s">
        <v>3138</v>
      </c>
      <c r="AV249" s="3" t="s">
        <v>3139</v>
      </c>
      <c r="AW249" s="3" t="s">
        <v>3140</v>
      </c>
      <c r="AX249" s="3" t="s">
        <v>3140</v>
      </c>
      <c r="AY249" s="3" t="s">
        <v>3141</v>
      </c>
      <c r="AZ249" s="3" t="s">
        <v>73</v>
      </c>
      <c r="BB249" s="3" t="s">
        <v>3142</v>
      </c>
      <c r="BC249" s="3" t="s">
        <v>3143</v>
      </c>
      <c r="BD249" s="3" t="s">
        <v>3144</v>
      </c>
    </row>
    <row r="250" spans="1:56" ht="51" customHeight="1" x14ac:dyDescent="0.25">
      <c r="A250" s="7" t="s">
        <v>58</v>
      </c>
      <c r="B250" s="2" t="s">
        <v>3145</v>
      </c>
      <c r="C250" s="2" t="s">
        <v>3146</v>
      </c>
      <c r="D250" s="2" t="s">
        <v>3147</v>
      </c>
      <c r="F250" s="3" t="s">
        <v>58</v>
      </c>
      <c r="G250" s="3" t="s">
        <v>59</v>
      </c>
      <c r="H250" s="3" t="s">
        <v>58</v>
      </c>
      <c r="I250" s="3" t="s">
        <v>58</v>
      </c>
      <c r="J250" s="3" t="s">
        <v>60</v>
      </c>
      <c r="K250" s="2" t="s">
        <v>3148</v>
      </c>
      <c r="L250" s="2" t="s">
        <v>2420</v>
      </c>
      <c r="M250" s="3" t="s">
        <v>101</v>
      </c>
      <c r="O250" s="3" t="s">
        <v>63</v>
      </c>
      <c r="P250" s="3" t="s">
        <v>584</v>
      </c>
      <c r="Q250" s="2" t="s">
        <v>3149</v>
      </c>
      <c r="R250" s="3" t="s">
        <v>65</v>
      </c>
      <c r="S250" s="4">
        <v>12</v>
      </c>
      <c r="T250" s="4">
        <v>12</v>
      </c>
      <c r="U250" s="5" t="s">
        <v>3150</v>
      </c>
      <c r="V250" s="5" t="s">
        <v>3150</v>
      </c>
      <c r="W250" s="5" t="s">
        <v>3151</v>
      </c>
      <c r="X250" s="5" t="s">
        <v>3151</v>
      </c>
      <c r="Y250" s="4">
        <v>1186</v>
      </c>
      <c r="Z250" s="4">
        <v>944</v>
      </c>
      <c r="AA250" s="4">
        <v>948</v>
      </c>
      <c r="AB250" s="4">
        <v>6</v>
      </c>
      <c r="AC250" s="4">
        <v>6</v>
      </c>
      <c r="AD250" s="4">
        <v>38</v>
      </c>
      <c r="AE250" s="4">
        <v>38</v>
      </c>
      <c r="AF250" s="4">
        <v>16</v>
      </c>
      <c r="AG250" s="4">
        <v>16</v>
      </c>
      <c r="AH250" s="4">
        <v>8</v>
      </c>
      <c r="AI250" s="4">
        <v>8</v>
      </c>
      <c r="AJ250" s="4">
        <v>18</v>
      </c>
      <c r="AK250" s="4">
        <v>18</v>
      </c>
      <c r="AL250" s="4">
        <v>5</v>
      </c>
      <c r="AM250" s="4">
        <v>5</v>
      </c>
      <c r="AN250" s="4">
        <v>1</v>
      </c>
      <c r="AO250" s="4">
        <v>1</v>
      </c>
      <c r="AP250" s="3" t="s">
        <v>58</v>
      </c>
      <c r="AQ250" s="3" t="s">
        <v>58</v>
      </c>
      <c r="AS250" s="6" t="str">
        <f>HYPERLINK("https://creighton-primo.hosted.exlibrisgroup.com/primo-explore/search?tab=default_tab&amp;search_scope=EVERYTHING&amp;vid=01CRU&amp;lang=en_US&amp;offset=0&amp;query=any,contains,991000282739702656","Catalog Record")</f>
        <v>Catalog Record</v>
      </c>
      <c r="AT250" s="6" t="str">
        <f>HYPERLINK("http://www.worldcat.org/oclc/9919629","WorldCat Record")</f>
        <v>WorldCat Record</v>
      </c>
      <c r="AU250" s="3" t="s">
        <v>3152</v>
      </c>
      <c r="AV250" s="3" t="s">
        <v>3153</v>
      </c>
      <c r="AW250" s="3" t="s">
        <v>3154</v>
      </c>
      <c r="AX250" s="3" t="s">
        <v>3154</v>
      </c>
      <c r="AY250" s="3" t="s">
        <v>3155</v>
      </c>
      <c r="AZ250" s="3" t="s">
        <v>73</v>
      </c>
      <c r="BB250" s="3" t="s">
        <v>3156</v>
      </c>
      <c r="BC250" s="3" t="s">
        <v>3157</v>
      </c>
      <c r="BD250" s="3" t="s">
        <v>3158</v>
      </c>
    </row>
    <row r="251" spans="1:56" ht="51" customHeight="1" x14ac:dyDescent="0.25">
      <c r="A251" s="7" t="s">
        <v>58</v>
      </c>
      <c r="B251" s="2" t="s">
        <v>3159</v>
      </c>
      <c r="C251" s="2" t="s">
        <v>3160</v>
      </c>
      <c r="D251" s="2" t="s">
        <v>3161</v>
      </c>
      <c r="F251" s="3" t="s">
        <v>58</v>
      </c>
      <c r="G251" s="3" t="s">
        <v>59</v>
      </c>
      <c r="H251" s="3" t="s">
        <v>58</v>
      </c>
      <c r="I251" s="3" t="s">
        <v>58</v>
      </c>
      <c r="J251" s="3" t="s">
        <v>60</v>
      </c>
      <c r="K251" s="2" t="s">
        <v>3162</v>
      </c>
      <c r="L251" s="2" t="s">
        <v>3163</v>
      </c>
      <c r="M251" s="3" t="s">
        <v>1357</v>
      </c>
      <c r="O251" s="3" t="s">
        <v>63</v>
      </c>
      <c r="P251" s="3" t="s">
        <v>214</v>
      </c>
      <c r="R251" s="3" t="s">
        <v>65</v>
      </c>
      <c r="S251" s="4">
        <v>2</v>
      </c>
      <c r="T251" s="4">
        <v>2</v>
      </c>
      <c r="U251" s="5" t="s">
        <v>3164</v>
      </c>
      <c r="V251" s="5" t="s">
        <v>3164</v>
      </c>
      <c r="W251" s="5" t="s">
        <v>2825</v>
      </c>
      <c r="X251" s="5" t="s">
        <v>2825</v>
      </c>
      <c r="Y251" s="4">
        <v>419</v>
      </c>
      <c r="Z251" s="4">
        <v>375</v>
      </c>
      <c r="AA251" s="4">
        <v>528</v>
      </c>
      <c r="AB251" s="4">
        <v>3</v>
      </c>
      <c r="AC251" s="4">
        <v>4</v>
      </c>
      <c r="AD251" s="4">
        <v>12</v>
      </c>
      <c r="AE251" s="4">
        <v>19</v>
      </c>
      <c r="AF251" s="4">
        <v>4</v>
      </c>
      <c r="AG251" s="4">
        <v>9</v>
      </c>
      <c r="AH251" s="4">
        <v>4</v>
      </c>
      <c r="AI251" s="4">
        <v>5</v>
      </c>
      <c r="AJ251" s="4">
        <v>4</v>
      </c>
      <c r="AK251" s="4">
        <v>7</v>
      </c>
      <c r="AL251" s="4">
        <v>2</v>
      </c>
      <c r="AM251" s="4">
        <v>3</v>
      </c>
      <c r="AN251" s="4">
        <v>0</v>
      </c>
      <c r="AO251" s="4">
        <v>0</v>
      </c>
      <c r="AP251" s="3" t="s">
        <v>58</v>
      </c>
      <c r="AQ251" s="3" t="s">
        <v>68</v>
      </c>
      <c r="AR251" s="6" t="str">
        <f>HYPERLINK("http://catalog.hathitrust.org/Record/004409396","HathiTrust Record")</f>
        <v>HathiTrust Record</v>
      </c>
      <c r="AS251" s="6" t="str">
        <f>HYPERLINK("https://creighton-primo.hosted.exlibrisgroup.com/primo-explore/search?tab=default_tab&amp;search_scope=EVERYTHING&amp;vid=01CRU&amp;lang=en_US&amp;offset=0&amp;query=any,contains,991000674109702656","Catalog Record")</f>
        <v>Catalog Record</v>
      </c>
      <c r="AT251" s="6" t="str">
        <f>HYPERLINK("http://www.worldcat.org/oclc/119997","WorldCat Record")</f>
        <v>WorldCat Record</v>
      </c>
      <c r="AU251" s="3" t="s">
        <v>3165</v>
      </c>
      <c r="AV251" s="3" t="s">
        <v>3166</v>
      </c>
      <c r="AW251" s="3" t="s">
        <v>3167</v>
      </c>
      <c r="AX251" s="3" t="s">
        <v>3167</v>
      </c>
      <c r="AY251" s="3" t="s">
        <v>3168</v>
      </c>
      <c r="AZ251" s="3" t="s">
        <v>73</v>
      </c>
      <c r="BC251" s="3" t="s">
        <v>3169</v>
      </c>
      <c r="BD251" s="3" t="s">
        <v>3170</v>
      </c>
    </row>
    <row r="252" spans="1:56" ht="51" customHeight="1" x14ac:dyDescent="0.25">
      <c r="A252" s="7" t="s">
        <v>58</v>
      </c>
      <c r="B252" s="2" t="s">
        <v>3171</v>
      </c>
      <c r="C252" s="2" t="s">
        <v>3172</v>
      </c>
      <c r="D252" s="2" t="s">
        <v>3173</v>
      </c>
      <c r="F252" s="3" t="s">
        <v>58</v>
      </c>
      <c r="G252" s="3" t="s">
        <v>59</v>
      </c>
      <c r="H252" s="3" t="s">
        <v>58</v>
      </c>
      <c r="I252" s="3" t="s">
        <v>58</v>
      </c>
      <c r="J252" s="3" t="s">
        <v>60</v>
      </c>
      <c r="L252" s="2" t="s">
        <v>3174</v>
      </c>
      <c r="M252" s="3" t="s">
        <v>479</v>
      </c>
      <c r="O252" s="3" t="s">
        <v>63</v>
      </c>
      <c r="P252" s="3" t="s">
        <v>2630</v>
      </c>
      <c r="R252" s="3" t="s">
        <v>65</v>
      </c>
      <c r="S252" s="4">
        <v>2</v>
      </c>
      <c r="T252" s="4">
        <v>2</v>
      </c>
      <c r="U252" s="5" t="s">
        <v>3175</v>
      </c>
      <c r="V252" s="5" t="s">
        <v>3175</v>
      </c>
      <c r="W252" s="5" t="s">
        <v>3176</v>
      </c>
      <c r="X252" s="5" t="s">
        <v>3176</v>
      </c>
      <c r="Y252" s="4">
        <v>220</v>
      </c>
      <c r="Z252" s="4">
        <v>171</v>
      </c>
      <c r="AA252" s="4">
        <v>183</v>
      </c>
      <c r="AB252" s="4">
        <v>2</v>
      </c>
      <c r="AC252" s="4">
        <v>2</v>
      </c>
      <c r="AD252" s="4">
        <v>11</v>
      </c>
      <c r="AE252" s="4">
        <v>11</v>
      </c>
      <c r="AF252" s="4">
        <v>2</v>
      </c>
      <c r="AG252" s="4">
        <v>2</v>
      </c>
      <c r="AH252" s="4">
        <v>3</v>
      </c>
      <c r="AI252" s="4">
        <v>3</v>
      </c>
      <c r="AJ252" s="4">
        <v>7</v>
      </c>
      <c r="AK252" s="4">
        <v>7</v>
      </c>
      <c r="AL252" s="4">
        <v>1</v>
      </c>
      <c r="AM252" s="4">
        <v>1</v>
      </c>
      <c r="AN252" s="4">
        <v>0</v>
      </c>
      <c r="AO252" s="4">
        <v>0</v>
      </c>
      <c r="AP252" s="3" t="s">
        <v>58</v>
      </c>
      <c r="AQ252" s="3" t="s">
        <v>68</v>
      </c>
      <c r="AR252" s="6" t="str">
        <f>HYPERLINK("http://catalog.hathitrust.org/Record/002892286","HathiTrust Record")</f>
        <v>HathiTrust Record</v>
      </c>
      <c r="AS252" s="6" t="str">
        <f>HYPERLINK("https://creighton-primo.hosted.exlibrisgroup.com/primo-explore/search?tab=default_tab&amp;search_scope=EVERYTHING&amp;vid=01CRU&amp;lang=en_US&amp;offset=0&amp;query=any,contains,991002370039702656","Catalog Record")</f>
        <v>Catalog Record</v>
      </c>
      <c r="AT252" s="6" t="str">
        <f>HYPERLINK("http://www.worldcat.org/oclc/30810136","WorldCat Record")</f>
        <v>WorldCat Record</v>
      </c>
      <c r="AU252" s="3" t="s">
        <v>3177</v>
      </c>
      <c r="AV252" s="3" t="s">
        <v>3178</v>
      </c>
      <c r="AW252" s="3" t="s">
        <v>3179</v>
      </c>
      <c r="AX252" s="3" t="s">
        <v>3179</v>
      </c>
      <c r="AY252" s="3" t="s">
        <v>3180</v>
      </c>
      <c r="AZ252" s="3" t="s">
        <v>73</v>
      </c>
      <c r="BB252" s="3" t="s">
        <v>3181</v>
      </c>
      <c r="BC252" s="3" t="s">
        <v>3182</v>
      </c>
      <c r="BD252" s="3" t="s">
        <v>3183</v>
      </c>
    </row>
    <row r="253" spans="1:56" ht="51" customHeight="1" x14ac:dyDescent="0.25">
      <c r="A253" s="7" t="s">
        <v>58</v>
      </c>
      <c r="B253" s="2" t="s">
        <v>3184</v>
      </c>
      <c r="C253" s="2" t="s">
        <v>3185</v>
      </c>
      <c r="D253" s="2" t="s">
        <v>3186</v>
      </c>
      <c r="F253" s="3" t="s">
        <v>58</v>
      </c>
      <c r="G253" s="3" t="s">
        <v>59</v>
      </c>
      <c r="H253" s="3" t="s">
        <v>58</v>
      </c>
      <c r="I253" s="3" t="s">
        <v>58</v>
      </c>
      <c r="J253" s="3" t="s">
        <v>60</v>
      </c>
      <c r="K253" s="2" t="s">
        <v>3187</v>
      </c>
      <c r="L253" s="2" t="s">
        <v>3188</v>
      </c>
      <c r="M253" s="3" t="s">
        <v>815</v>
      </c>
      <c r="O253" s="3" t="s">
        <v>63</v>
      </c>
      <c r="P253" s="3" t="s">
        <v>354</v>
      </c>
      <c r="R253" s="3" t="s">
        <v>65</v>
      </c>
      <c r="S253" s="4">
        <v>1</v>
      </c>
      <c r="T253" s="4">
        <v>1</v>
      </c>
      <c r="U253" s="5" t="s">
        <v>3189</v>
      </c>
      <c r="V253" s="5" t="s">
        <v>3189</v>
      </c>
      <c r="W253" s="5" t="s">
        <v>3189</v>
      </c>
      <c r="X253" s="5" t="s">
        <v>3189</v>
      </c>
      <c r="Y253" s="4">
        <v>509</v>
      </c>
      <c r="Z253" s="4">
        <v>430</v>
      </c>
      <c r="AA253" s="4">
        <v>454</v>
      </c>
      <c r="AB253" s="4">
        <v>2</v>
      </c>
      <c r="AC253" s="4">
        <v>2</v>
      </c>
      <c r="AD253" s="4">
        <v>9</v>
      </c>
      <c r="AE253" s="4">
        <v>9</v>
      </c>
      <c r="AF253" s="4">
        <v>3</v>
      </c>
      <c r="AG253" s="4">
        <v>3</v>
      </c>
      <c r="AH253" s="4">
        <v>3</v>
      </c>
      <c r="AI253" s="4">
        <v>3</v>
      </c>
      <c r="AJ253" s="4">
        <v>6</v>
      </c>
      <c r="AK253" s="4">
        <v>6</v>
      </c>
      <c r="AL253" s="4">
        <v>1</v>
      </c>
      <c r="AM253" s="4">
        <v>1</v>
      </c>
      <c r="AN253" s="4">
        <v>0</v>
      </c>
      <c r="AO253" s="4">
        <v>0</v>
      </c>
      <c r="AP253" s="3" t="s">
        <v>58</v>
      </c>
      <c r="AQ253" s="3" t="s">
        <v>68</v>
      </c>
      <c r="AR253" s="6" t="str">
        <f>HYPERLINK("http://catalog.hathitrust.org/Record/005878532","HathiTrust Record")</f>
        <v>HathiTrust Record</v>
      </c>
      <c r="AS253" s="6" t="str">
        <f>HYPERLINK("https://creighton-primo.hosted.exlibrisgroup.com/primo-explore/search?tab=default_tab&amp;search_scope=EVERYTHING&amp;vid=01CRU&amp;lang=en_US&amp;offset=0&amp;query=any,contains,991005390969702656","Catalog Record")</f>
        <v>Catalog Record</v>
      </c>
      <c r="AT253" s="6" t="str">
        <f>HYPERLINK("http://www.worldcat.org/oclc/226356091","WorldCat Record")</f>
        <v>WorldCat Record</v>
      </c>
      <c r="AU253" s="3" t="s">
        <v>3190</v>
      </c>
      <c r="AV253" s="3" t="s">
        <v>3191</v>
      </c>
      <c r="AW253" s="3" t="s">
        <v>3192</v>
      </c>
      <c r="AX253" s="3" t="s">
        <v>3192</v>
      </c>
      <c r="AY253" s="3" t="s">
        <v>3193</v>
      </c>
      <c r="AZ253" s="3" t="s">
        <v>73</v>
      </c>
      <c r="BB253" s="3" t="s">
        <v>3194</v>
      </c>
      <c r="BC253" s="3" t="s">
        <v>3195</v>
      </c>
      <c r="BD253" s="3" t="s">
        <v>3196</v>
      </c>
    </row>
    <row r="254" spans="1:56" ht="51" customHeight="1" x14ac:dyDescent="0.25">
      <c r="A254" s="7" t="s">
        <v>58</v>
      </c>
      <c r="B254" s="2" t="s">
        <v>3197</v>
      </c>
      <c r="C254" s="2" t="s">
        <v>3198</v>
      </c>
      <c r="D254" s="2" t="s">
        <v>3199</v>
      </c>
      <c r="F254" s="3" t="s">
        <v>58</v>
      </c>
      <c r="G254" s="3" t="s">
        <v>59</v>
      </c>
      <c r="H254" s="3" t="s">
        <v>58</v>
      </c>
      <c r="I254" s="3" t="s">
        <v>58</v>
      </c>
      <c r="J254" s="3" t="s">
        <v>60</v>
      </c>
      <c r="L254" s="2" t="s">
        <v>3200</v>
      </c>
      <c r="M254" s="3" t="s">
        <v>653</v>
      </c>
      <c r="O254" s="3" t="s">
        <v>63</v>
      </c>
      <c r="P254" s="3" t="s">
        <v>214</v>
      </c>
      <c r="R254" s="3" t="s">
        <v>65</v>
      </c>
      <c r="S254" s="4">
        <v>10</v>
      </c>
      <c r="T254" s="4">
        <v>10</v>
      </c>
      <c r="U254" s="5" t="s">
        <v>3150</v>
      </c>
      <c r="V254" s="5" t="s">
        <v>3150</v>
      </c>
      <c r="W254" s="5" t="s">
        <v>3201</v>
      </c>
      <c r="X254" s="5" t="s">
        <v>3201</v>
      </c>
      <c r="Y254" s="4">
        <v>289</v>
      </c>
      <c r="Z254" s="4">
        <v>228</v>
      </c>
      <c r="AA254" s="4">
        <v>855</v>
      </c>
      <c r="AB254" s="4">
        <v>1</v>
      </c>
      <c r="AC254" s="4">
        <v>30</v>
      </c>
      <c r="AD254" s="4">
        <v>7</v>
      </c>
      <c r="AE254" s="4">
        <v>24</v>
      </c>
      <c r="AF254" s="4">
        <v>1</v>
      </c>
      <c r="AG254" s="4">
        <v>6</v>
      </c>
      <c r="AH254" s="4">
        <v>3</v>
      </c>
      <c r="AI254" s="4">
        <v>3</v>
      </c>
      <c r="AJ254" s="4">
        <v>6</v>
      </c>
      <c r="AK254" s="4">
        <v>8</v>
      </c>
      <c r="AL254" s="4">
        <v>0</v>
      </c>
      <c r="AM254" s="4">
        <v>11</v>
      </c>
      <c r="AN254" s="4">
        <v>0</v>
      </c>
      <c r="AO254" s="4">
        <v>0</v>
      </c>
      <c r="AP254" s="3" t="s">
        <v>58</v>
      </c>
      <c r="AQ254" s="3" t="s">
        <v>68</v>
      </c>
      <c r="AR254" s="6" t="str">
        <f>HYPERLINK("http://catalog.hathitrust.org/Record/002499038","HathiTrust Record")</f>
        <v>HathiTrust Record</v>
      </c>
      <c r="AS254" s="6" t="str">
        <f>HYPERLINK("https://creighton-primo.hosted.exlibrisgroup.com/primo-explore/search?tab=default_tab&amp;search_scope=EVERYTHING&amp;vid=01CRU&amp;lang=en_US&amp;offset=0&amp;query=any,contains,991001822009702656","Catalog Record")</f>
        <v>Catalog Record</v>
      </c>
      <c r="AT254" s="6" t="str">
        <f>HYPERLINK("http://www.worldcat.org/oclc/22892671","WorldCat Record")</f>
        <v>WorldCat Record</v>
      </c>
      <c r="AU254" s="3" t="s">
        <v>3202</v>
      </c>
      <c r="AV254" s="3" t="s">
        <v>3203</v>
      </c>
      <c r="AW254" s="3" t="s">
        <v>3204</v>
      </c>
      <c r="AX254" s="3" t="s">
        <v>3204</v>
      </c>
      <c r="AY254" s="3" t="s">
        <v>3205</v>
      </c>
      <c r="AZ254" s="3" t="s">
        <v>73</v>
      </c>
      <c r="BB254" s="3" t="s">
        <v>3206</v>
      </c>
      <c r="BC254" s="3" t="s">
        <v>3207</v>
      </c>
      <c r="BD254" s="3" t="s">
        <v>3208</v>
      </c>
    </row>
    <row r="255" spans="1:56" ht="51" customHeight="1" x14ac:dyDescent="0.25">
      <c r="A255" s="7" t="s">
        <v>58</v>
      </c>
      <c r="B255" s="2" t="s">
        <v>3209</v>
      </c>
      <c r="C255" s="2" t="s">
        <v>3210</v>
      </c>
      <c r="D255" s="2" t="s">
        <v>3211</v>
      </c>
      <c r="F255" s="3" t="s">
        <v>58</v>
      </c>
      <c r="G255" s="3" t="s">
        <v>59</v>
      </c>
      <c r="H255" s="3" t="s">
        <v>58</v>
      </c>
      <c r="I255" s="3" t="s">
        <v>58</v>
      </c>
      <c r="J255" s="3" t="s">
        <v>60</v>
      </c>
      <c r="K255" s="2" t="s">
        <v>3212</v>
      </c>
      <c r="L255" s="2" t="s">
        <v>3213</v>
      </c>
      <c r="M255" s="3" t="s">
        <v>653</v>
      </c>
      <c r="O255" s="3" t="s">
        <v>63</v>
      </c>
      <c r="P255" s="3" t="s">
        <v>214</v>
      </c>
      <c r="Q255" s="2" t="s">
        <v>3214</v>
      </c>
      <c r="R255" s="3" t="s">
        <v>65</v>
      </c>
      <c r="S255" s="4">
        <v>4</v>
      </c>
      <c r="T255" s="4">
        <v>4</v>
      </c>
      <c r="U255" s="5" t="s">
        <v>2865</v>
      </c>
      <c r="V255" s="5" t="s">
        <v>2865</v>
      </c>
      <c r="W255" s="5" t="s">
        <v>3215</v>
      </c>
      <c r="X255" s="5" t="s">
        <v>3215</v>
      </c>
      <c r="Y255" s="4">
        <v>190</v>
      </c>
      <c r="Z255" s="4">
        <v>151</v>
      </c>
      <c r="AA255" s="4">
        <v>563</v>
      </c>
      <c r="AB255" s="4">
        <v>2</v>
      </c>
      <c r="AC255" s="4">
        <v>5</v>
      </c>
      <c r="AD255" s="4">
        <v>11</v>
      </c>
      <c r="AE255" s="4">
        <v>21</v>
      </c>
      <c r="AF255" s="4">
        <v>3</v>
      </c>
      <c r="AG255" s="4">
        <v>8</v>
      </c>
      <c r="AH255" s="4">
        <v>4</v>
      </c>
      <c r="AI255" s="4">
        <v>5</v>
      </c>
      <c r="AJ255" s="4">
        <v>7</v>
      </c>
      <c r="AK255" s="4">
        <v>10</v>
      </c>
      <c r="AL255" s="4">
        <v>1</v>
      </c>
      <c r="AM255" s="4">
        <v>4</v>
      </c>
      <c r="AN255" s="4">
        <v>0</v>
      </c>
      <c r="AO255" s="4">
        <v>0</v>
      </c>
      <c r="AP255" s="3" t="s">
        <v>58</v>
      </c>
      <c r="AQ255" s="3" t="s">
        <v>68</v>
      </c>
      <c r="AR255" s="6" t="str">
        <f>HYPERLINK("http://catalog.hathitrust.org/Record/002543285","HathiTrust Record")</f>
        <v>HathiTrust Record</v>
      </c>
      <c r="AS255" s="6" t="str">
        <f>HYPERLINK("https://creighton-primo.hosted.exlibrisgroup.com/primo-explore/search?tab=default_tab&amp;search_scope=EVERYTHING&amp;vid=01CRU&amp;lang=en_US&amp;offset=0&amp;query=any,contains,991001887729702656","Catalog Record")</f>
        <v>Catalog Record</v>
      </c>
      <c r="AT255" s="6" t="str">
        <f>HYPERLINK("http://www.worldcat.org/oclc/23769134","WorldCat Record")</f>
        <v>WorldCat Record</v>
      </c>
      <c r="AU255" s="3" t="s">
        <v>3216</v>
      </c>
      <c r="AV255" s="3" t="s">
        <v>3217</v>
      </c>
      <c r="AW255" s="3" t="s">
        <v>3218</v>
      </c>
      <c r="AX255" s="3" t="s">
        <v>3218</v>
      </c>
      <c r="AY255" s="3" t="s">
        <v>3219</v>
      </c>
      <c r="AZ255" s="3" t="s">
        <v>73</v>
      </c>
      <c r="BB255" s="3" t="s">
        <v>3220</v>
      </c>
      <c r="BC255" s="3" t="s">
        <v>3221</v>
      </c>
      <c r="BD255" s="3" t="s">
        <v>3222</v>
      </c>
    </row>
    <row r="256" spans="1:56" ht="51" customHeight="1" x14ac:dyDescent="0.25">
      <c r="A256" s="7" t="s">
        <v>58</v>
      </c>
      <c r="B256" s="2" t="s">
        <v>3223</v>
      </c>
      <c r="C256" s="2" t="s">
        <v>3224</v>
      </c>
      <c r="D256" s="2" t="s">
        <v>3225</v>
      </c>
      <c r="F256" s="3" t="s">
        <v>58</v>
      </c>
      <c r="G256" s="3" t="s">
        <v>59</v>
      </c>
      <c r="H256" s="3" t="s">
        <v>58</v>
      </c>
      <c r="I256" s="3" t="s">
        <v>58</v>
      </c>
      <c r="J256" s="3" t="s">
        <v>60</v>
      </c>
      <c r="L256" s="2" t="s">
        <v>3226</v>
      </c>
      <c r="M256" s="3" t="s">
        <v>479</v>
      </c>
      <c r="O256" s="3" t="s">
        <v>63</v>
      </c>
      <c r="P256" s="3" t="s">
        <v>214</v>
      </c>
      <c r="R256" s="3" t="s">
        <v>65</v>
      </c>
      <c r="S256" s="4">
        <v>3</v>
      </c>
      <c r="T256" s="4">
        <v>3</v>
      </c>
      <c r="U256" s="5" t="s">
        <v>3227</v>
      </c>
      <c r="V256" s="5" t="s">
        <v>3227</v>
      </c>
      <c r="W256" s="5" t="s">
        <v>3228</v>
      </c>
      <c r="X256" s="5" t="s">
        <v>3228</v>
      </c>
      <c r="Y256" s="4">
        <v>213</v>
      </c>
      <c r="Z256" s="4">
        <v>177</v>
      </c>
      <c r="AA256" s="4">
        <v>191</v>
      </c>
      <c r="AB256" s="4">
        <v>3</v>
      </c>
      <c r="AC256" s="4">
        <v>3</v>
      </c>
      <c r="AD256" s="4">
        <v>9</v>
      </c>
      <c r="AE256" s="4">
        <v>10</v>
      </c>
      <c r="AF256" s="4">
        <v>2</v>
      </c>
      <c r="AG256" s="4">
        <v>2</v>
      </c>
      <c r="AH256" s="4">
        <v>1</v>
      </c>
      <c r="AI256" s="4">
        <v>2</v>
      </c>
      <c r="AJ256" s="4">
        <v>4</v>
      </c>
      <c r="AK256" s="4">
        <v>5</v>
      </c>
      <c r="AL256" s="4">
        <v>2</v>
      </c>
      <c r="AM256" s="4">
        <v>2</v>
      </c>
      <c r="AN256" s="4">
        <v>1</v>
      </c>
      <c r="AO256" s="4">
        <v>1</v>
      </c>
      <c r="AP256" s="3" t="s">
        <v>58</v>
      </c>
      <c r="AQ256" s="3" t="s">
        <v>58</v>
      </c>
      <c r="AS256" s="6" t="str">
        <f>HYPERLINK("https://creighton-primo.hosted.exlibrisgroup.com/primo-explore/search?tab=default_tab&amp;search_scope=EVERYTHING&amp;vid=01CRU&amp;lang=en_US&amp;offset=0&amp;query=any,contains,991002402709702656","Catalog Record")</f>
        <v>Catalog Record</v>
      </c>
      <c r="AT256" s="6" t="str">
        <f>HYPERLINK("http://www.worldcat.org/oclc/31240551","WorldCat Record")</f>
        <v>WorldCat Record</v>
      </c>
      <c r="AU256" s="3" t="s">
        <v>3229</v>
      </c>
      <c r="AV256" s="3" t="s">
        <v>3230</v>
      </c>
      <c r="AW256" s="3" t="s">
        <v>3231</v>
      </c>
      <c r="AX256" s="3" t="s">
        <v>3231</v>
      </c>
      <c r="AY256" s="3" t="s">
        <v>3232</v>
      </c>
      <c r="AZ256" s="3" t="s">
        <v>73</v>
      </c>
      <c r="BB256" s="3" t="s">
        <v>3233</v>
      </c>
      <c r="BC256" s="3" t="s">
        <v>3234</v>
      </c>
      <c r="BD256" s="3" t="s">
        <v>3235</v>
      </c>
    </row>
    <row r="257" spans="1:56" ht="51" customHeight="1" x14ac:dyDescent="0.25">
      <c r="A257" s="7" t="s">
        <v>58</v>
      </c>
      <c r="B257" s="2" t="s">
        <v>3236</v>
      </c>
      <c r="C257" s="2" t="s">
        <v>3237</v>
      </c>
      <c r="D257" s="2" t="s">
        <v>3238</v>
      </c>
      <c r="F257" s="3" t="s">
        <v>58</v>
      </c>
      <c r="G257" s="3" t="s">
        <v>59</v>
      </c>
      <c r="H257" s="3" t="s">
        <v>58</v>
      </c>
      <c r="I257" s="3" t="s">
        <v>58</v>
      </c>
      <c r="J257" s="3" t="s">
        <v>60</v>
      </c>
      <c r="K257" s="2" t="s">
        <v>3239</v>
      </c>
      <c r="L257" s="2" t="s">
        <v>3240</v>
      </c>
      <c r="M257" s="3" t="s">
        <v>353</v>
      </c>
      <c r="O257" s="3" t="s">
        <v>63</v>
      </c>
      <c r="P257" s="3" t="s">
        <v>584</v>
      </c>
      <c r="R257" s="3" t="s">
        <v>65</v>
      </c>
      <c r="S257" s="4">
        <v>9</v>
      </c>
      <c r="T257" s="4">
        <v>9</v>
      </c>
      <c r="U257" s="5" t="s">
        <v>3241</v>
      </c>
      <c r="V257" s="5" t="s">
        <v>3241</v>
      </c>
      <c r="W257" s="5" t="s">
        <v>3242</v>
      </c>
      <c r="X257" s="5" t="s">
        <v>3242</v>
      </c>
      <c r="Y257" s="4">
        <v>424</v>
      </c>
      <c r="Z257" s="4">
        <v>297</v>
      </c>
      <c r="AA257" s="4">
        <v>303</v>
      </c>
      <c r="AB257" s="4">
        <v>3</v>
      </c>
      <c r="AC257" s="4">
        <v>3</v>
      </c>
      <c r="AD257" s="4">
        <v>17</v>
      </c>
      <c r="AE257" s="4">
        <v>17</v>
      </c>
      <c r="AF257" s="4">
        <v>4</v>
      </c>
      <c r="AG257" s="4">
        <v>4</v>
      </c>
      <c r="AH257" s="4">
        <v>6</v>
      </c>
      <c r="AI257" s="4">
        <v>6</v>
      </c>
      <c r="AJ257" s="4">
        <v>10</v>
      </c>
      <c r="AK257" s="4">
        <v>10</v>
      </c>
      <c r="AL257" s="4">
        <v>2</v>
      </c>
      <c r="AM257" s="4">
        <v>2</v>
      </c>
      <c r="AN257" s="4">
        <v>0</v>
      </c>
      <c r="AO257" s="4">
        <v>0</v>
      </c>
      <c r="AP257" s="3" t="s">
        <v>58</v>
      </c>
      <c r="AQ257" s="3" t="s">
        <v>68</v>
      </c>
      <c r="AR257" s="6" t="str">
        <f>HYPERLINK("http://catalog.hathitrust.org/Record/000851783","HathiTrust Record")</f>
        <v>HathiTrust Record</v>
      </c>
      <c r="AS257" s="6" t="str">
        <f>HYPERLINK("https://creighton-primo.hosted.exlibrisgroup.com/primo-explore/search?tab=default_tab&amp;search_scope=EVERYTHING&amp;vid=01CRU&amp;lang=en_US&amp;offset=0&amp;query=any,contains,991000962139702656","Catalog Record")</f>
        <v>Catalog Record</v>
      </c>
      <c r="AT257" s="6" t="str">
        <f>HYPERLINK("http://www.worldcat.org/oclc/14819296","WorldCat Record")</f>
        <v>WorldCat Record</v>
      </c>
      <c r="AU257" s="3" t="s">
        <v>3243</v>
      </c>
      <c r="AV257" s="3" t="s">
        <v>3244</v>
      </c>
      <c r="AW257" s="3" t="s">
        <v>3245</v>
      </c>
      <c r="AX257" s="3" t="s">
        <v>3245</v>
      </c>
      <c r="AY257" s="3" t="s">
        <v>3246</v>
      </c>
      <c r="AZ257" s="3" t="s">
        <v>73</v>
      </c>
      <c r="BB257" s="3" t="s">
        <v>3247</v>
      </c>
      <c r="BC257" s="3" t="s">
        <v>3248</v>
      </c>
      <c r="BD257" s="3" t="s">
        <v>3249</v>
      </c>
    </row>
    <row r="258" spans="1:56" ht="51" customHeight="1" x14ac:dyDescent="0.25">
      <c r="A258" s="7" t="s">
        <v>58</v>
      </c>
      <c r="B258" s="2" t="s">
        <v>3250</v>
      </c>
      <c r="C258" s="2" t="s">
        <v>3251</v>
      </c>
      <c r="D258" s="2" t="s">
        <v>3252</v>
      </c>
      <c r="F258" s="3" t="s">
        <v>58</v>
      </c>
      <c r="G258" s="3" t="s">
        <v>59</v>
      </c>
      <c r="H258" s="3" t="s">
        <v>58</v>
      </c>
      <c r="I258" s="3" t="s">
        <v>58</v>
      </c>
      <c r="J258" s="3" t="s">
        <v>60</v>
      </c>
      <c r="K258" s="2" t="s">
        <v>3253</v>
      </c>
      <c r="L258" s="2" t="s">
        <v>3254</v>
      </c>
      <c r="M258" s="3" t="s">
        <v>800</v>
      </c>
      <c r="O258" s="3" t="s">
        <v>63</v>
      </c>
      <c r="P258" s="3" t="s">
        <v>1231</v>
      </c>
      <c r="R258" s="3" t="s">
        <v>65</v>
      </c>
      <c r="S258" s="4">
        <v>11</v>
      </c>
      <c r="T258" s="4">
        <v>11</v>
      </c>
      <c r="U258" s="5" t="s">
        <v>3003</v>
      </c>
      <c r="V258" s="5" t="s">
        <v>3003</v>
      </c>
      <c r="W258" s="5" t="s">
        <v>3255</v>
      </c>
      <c r="X258" s="5" t="s">
        <v>3255</v>
      </c>
      <c r="Y258" s="4">
        <v>316</v>
      </c>
      <c r="Z258" s="4">
        <v>254</v>
      </c>
      <c r="AA258" s="4">
        <v>254</v>
      </c>
      <c r="AB258" s="4">
        <v>3</v>
      </c>
      <c r="AC258" s="4">
        <v>3</v>
      </c>
      <c r="AD258" s="4">
        <v>17</v>
      </c>
      <c r="AE258" s="4">
        <v>17</v>
      </c>
      <c r="AF258" s="4">
        <v>4</v>
      </c>
      <c r="AG258" s="4">
        <v>4</v>
      </c>
      <c r="AH258" s="4">
        <v>5</v>
      </c>
      <c r="AI258" s="4">
        <v>5</v>
      </c>
      <c r="AJ258" s="4">
        <v>11</v>
      </c>
      <c r="AK258" s="4">
        <v>11</v>
      </c>
      <c r="AL258" s="4">
        <v>2</v>
      </c>
      <c r="AM258" s="4">
        <v>2</v>
      </c>
      <c r="AN258" s="4">
        <v>0</v>
      </c>
      <c r="AO258" s="4">
        <v>0</v>
      </c>
      <c r="AP258" s="3" t="s">
        <v>58</v>
      </c>
      <c r="AQ258" s="3" t="s">
        <v>58</v>
      </c>
      <c r="AS258" s="6" t="str">
        <f>HYPERLINK("https://creighton-primo.hosted.exlibrisgroup.com/primo-explore/search?tab=default_tab&amp;search_scope=EVERYTHING&amp;vid=01CRU&amp;lang=en_US&amp;offset=0&amp;query=any,contains,991005420839702656","Catalog Record")</f>
        <v>Catalog Record</v>
      </c>
      <c r="AT258" s="6" t="str">
        <f>HYPERLINK("http://www.worldcat.org/oclc/32275068","WorldCat Record")</f>
        <v>WorldCat Record</v>
      </c>
      <c r="AU258" s="3" t="s">
        <v>3256</v>
      </c>
      <c r="AV258" s="3" t="s">
        <v>3257</v>
      </c>
      <c r="AW258" s="3" t="s">
        <v>3258</v>
      </c>
      <c r="AX258" s="3" t="s">
        <v>3258</v>
      </c>
      <c r="AY258" s="3" t="s">
        <v>3259</v>
      </c>
      <c r="AZ258" s="3" t="s">
        <v>73</v>
      </c>
      <c r="BB258" s="3" t="s">
        <v>3260</v>
      </c>
      <c r="BC258" s="3" t="s">
        <v>3261</v>
      </c>
      <c r="BD258" s="3" t="s">
        <v>3262</v>
      </c>
    </row>
    <row r="259" spans="1:56" ht="51" customHeight="1" x14ac:dyDescent="0.25">
      <c r="A259" s="7" t="s">
        <v>58</v>
      </c>
      <c r="B259" s="2" t="s">
        <v>3263</v>
      </c>
      <c r="C259" s="2" t="s">
        <v>3264</v>
      </c>
      <c r="D259" s="2" t="s">
        <v>3265</v>
      </c>
      <c r="F259" s="3" t="s">
        <v>58</v>
      </c>
      <c r="G259" s="3" t="s">
        <v>59</v>
      </c>
      <c r="H259" s="3" t="s">
        <v>58</v>
      </c>
      <c r="I259" s="3" t="s">
        <v>58</v>
      </c>
      <c r="J259" s="3" t="s">
        <v>60</v>
      </c>
      <c r="K259" s="2" t="s">
        <v>3266</v>
      </c>
      <c r="L259" s="2" t="s">
        <v>3267</v>
      </c>
      <c r="M259" s="3" t="s">
        <v>800</v>
      </c>
      <c r="O259" s="3" t="s">
        <v>63</v>
      </c>
      <c r="P259" s="3" t="s">
        <v>3109</v>
      </c>
      <c r="R259" s="3" t="s">
        <v>65</v>
      </c>
      <c r="S259" s="4">
        <v>4</v>
      </c>
      <c r="T259" s="4">
        <v>4</v>
      </c>
      <c r="U259" s="5" t="s">
        <v>3268</v>
      </c>
      <c r="V259" s="5" t="s">
        <v>3268</v>
      </c>
      <c r="W259" s="5" t="s">
        <v>3269</v>
      </c>
      <c r="X259" s="5" t="s">
        <v>3269</v>
      </c>
      <c r="Y259" s="4">
        <v>327</v>
      </c>
      <c r="Z259" s="4">
        <v>288</v>
      </c>
      <c r="AA259" s="4">
        <v>289</v>
      </c>
      <c r="AB259" s="4">
        <v>3</v>
      </c>
      <c r="AC259" s="4">
        <v>3</v>
      </c>
      <c r="AD259" s="4">
        <v>15</v>
      </c>
      <c r="AE259" s="4">
        <v>15</v>
      </c>
      <c r="AF259" s="4">
        <v>5</v>
      </c>
      <c r="AG259" s="4">
        <v>5</v>
      </c>
      <c r="AH259" s="4">
        <v>4</v>
      </c>
      <c r="AI259" s="4">
        <v>4</v>
      </c>
      <c r="AJ259" s="4">
        <v>10</v>
      </c>
      <c r="AK259" s="4">
        <v>10</v>
      </c>
      <c r="AL259" s="4">
        <v>2</v>
      </c>
      <c r="AM259" s="4">
        <v>2</v>
      </c>
      <c r="AN259" s="4">
        <v>0</v>
      </c>
      <c r="AO259" s="4">
        <v>0</v>
      </c>
      <c r="AP259" s="3" t="s">
        <v>58</v>
      </c>
      <c r="AQ259" s="3" t="s">
        <v>68</v>
      </c>
      <c r="AR259" s="6" t="str">
        <f>HYPERLINK("http://catalog.hathitrust.org/Record/002989290","HathiTrust Record")</f>
        <v>HathiTrust Record</v>
      </c>
      <c r="AS259" s="6" t="str">
        <f>HYPERLINK("https://creighton-primo.hosted.exlibrisgroup.com/primo-explore/search?tab=default_tab&amp;search_scope=EVERYTHING&amp;vid=01CRU&amp;lang=en_US&amp;offset=0&amp;query=any,contains,991002449739702656","Catalog Record")</f>
        <v>Catalog Record</v>
      </c>
      <c r="AT259" s="6" t="str">
        <f>HYPERLINK("http://www.worldcat.org/oclc/31938228","WorldCat Record")</f>
        <v>WorldCat Record</v>
      </c>
      <c r="AU259" s="3" t="s">
        <v>3270</v>
      </c>
      <c r="AV259" s="3" t="s">
        <v>3271</v>
      </c>
      <c r="AW259" s="3" t="s">
        <v>3272</v>
      </c>
      <c r="AX259" s="3" t="s">
        <v>3272</v>
      </c>
      <c r="AY259" s="3" t="s">
        <v>3273</v>
      </c>
      <c r="AZ259" s="3" t="s">
        <v>73</v>
      </c>
      <c r="BB259" s="3" t="s">
        <v>3274</v>
      </c>
      <c r="BC259" s="3" t="s">
        <v>3275</v>
      </c>
      <c r="BD259" s="3" t="s">
        <v>3276</v>
      </c>
    </row>
    <row r="260" spans="1:56" ht="51" customHeight="1" x14ac:dyDescent="0.25">
      <c r="A260" s="7" t="s">
        <v>58</v>
      </c>
      <c r="B260" s="2" t="s">
        <v>3277</v>
      </c>
      <c r="C260" s="2" t="s">
        <v>3278</v>
      </c>
      <c r="D260" s="2" t="s">
        <v>3279</v>
      </c>
      <c r="F260" s="3" t="s">
        <v>58</v>
      </c>
      <c r="G260" s="3" t="s">
        <v>59</v>
      </c>
      <c r="H260" s="3" t="s">
        <v>58</v>
      </c>
      <c r="I260" s="3" t="s">
        <v>58</v>
      </c>
      <c r="J260" s="3" t="s">
        <v>60</v>
      </c>
      <c r="K260" s="2" t="s">
        <v>3280</v>
      </c>
      <c r="L260" s="2" t="s">
        <v>3281</v>
      </c>
      <c r="M260" s="3" t="s">
        <v>996</v>
      </c>
      <c r="O260" s="3" t="s">
        <v>63</v>
      </c>
      <c r="P260" s="3" t="s">
        <v>214</v>
      </c>
      <c r="R260" s="3" t="s">
        <v>65</v>
      </c>
      <c r="S260" s="4">
        <v>6</v>
      </c>
      <c r="T260" s="4">
        <v>6</v>
      </c>
      <c r="U260" s="5" t="s">
        <v>3282</v>
      </c>
      <c r="V260" s="5" t="s">
        <v>3282</v>
      </c>
      <c r="W260" s="5" t="s">
        <v>3283</v>
      </c>
      <c r="X260" s="5" t="s">
        <v>3283</v>
      </c>
      <c r="Y260" s="4">
        <v>373</v>
      </c>
      <c r="Z260" s="4">
        <v>347</v>
      </c>
      <c r="AA260" s="4">
        <v>903</v>
      </c>
      <c r="AB260" s="4">
        <v>4</v>
      </c>
      <c r="AC260" s="4">
        <v>6</v>
      </c>
      <c r="AD260" s="4">
        <v>15</v>
      </c>
      <c r="AE260" s="4">
        <v>47</v>
      </c>
      <c r="AF260" s="4">
        <v>3</v>
      </c>
      <c r="AG260" s="4">
        <v>22</v>
      </c>
      <c r="AH260" s="4">
        <v>5</v>
      </c>
      <c r="AI260" s="4">
        <v>9</v>
      </c>
      <c r="AJ260" s="4">
        <v>5</v>
      </c>
      <c r="AK260" s="4">
        <v>21</v>
      </c>
      <c r="AL260" s="4">
        <v>3</v>
      </c>
      <c r="AM260" s="4">
        <v>5</v>
      </c>
      <c r="AN260" s="4">
        <v>0</v>
      </c>
      <c r="AO260" s="4">
        <v>0</v>
      </c>
      <c r="AP260" s="3" t="s">
        <v>58</v>
      </c>
      <c r="AQ260" s="3" t="s">
        <v>68</v>
      </c>
      <c r="AR260" s="6" t="str">
        <f>HYPERLINK("http://catalog.hathitrust.org/Record/001242845","HathiTrust Record")</f>
        <v>HathiTrust Record</v>
      </c>
      <c r="AS260" s="6" t="str">
        <f>HYPERLINK("https://creighton-primo.hosted.exlibrisgroup.com/primo-explore/search?tab=default_tab&amp;search_scope=EVERYTHING&amp;vid=01CRU&amp;lang=en_US&amp;offset=0&amp;query=any,contains,991002201799702656","Catalog Record")</f>
        <v>Catalog Record</v>
      </c>
      <c r="AT260" s="6" t="str">
        <f>HYPERLINK("http://www.worldcat.org/oclc/284566","WorldCat Record")</f>
        <v>WorldCat Record</v>
      </c>
      <c r="AU260" s="3" t="s">
        <v>3284</v>
      </c>
      <c r="AV260" s="3" t="s">
        <v>3285</v>
      </c>
      <c r="AW260" s="3" t="s">
        <v>3286</v>
      </c>
      <c r="AX260" s="3" t="s">
        <v>3286</v>
      </c>
      <c r="AY260" s="3" t="s">
        <v>3287</v>
      </c>
      <c r="AZ260" s="3" t="s">
        <v>73</v>
      </c>
      <c r="BB260" s="3" t="s">
        <v>3288</v>
      </c>
      <c r="BC260" s="3" t="s">
        <v>3289</v>
      </c>
      <c r="BD260" s="3" t="s">
        <v>3290</v>
      </c>
    </row>
    <row r="261" spans="1:56" ht="51" customHeight="1" x14ac:dyDescent="0.25">
      <c r="A261" s="7" t="s">
        <v>58</v>
      </c>
      <c r="B261" s="2" t="s">
        <v>3291</v>
      </c>
      <c r="C261" s="2" t="s">
        <v>3292</v>
      </c>
      <c r="D261" s="2" t="s">
        <v>3293</v>
      </c>
      <c r="F261" s="3" t="s">
        <v>58</v>
      </c>
      <c r="G261" s="3" t="s">
        <v>59</v>
      </c>
      <c r="H261" s="3" t="s">
        <v>58</v>
      </c>
      <c r="I261" s="3" t="s">
        <v>58</v>
      </c>
      <c r="J261" s="3" t="s">
        <v>60</v>
      </c>
      <c r="K261" s="2" t="s">
        <v>3294</v>
      </c>
      <c r="L261" s="2" t="s">
        <v>3295</v>
      </c>
      <c r="M261" s="3" t="s">
        <v>653</v>
      </c>
      <c r="N261" s="2" t="s">
        <v>338</v>
      </c>
      <c r="O261" s="3" t="s">
        <v>63</v>
      </c>
      <c r="P261" s="3" t="s">
        <v>214</v>
      </c>
      <c r="R261" s="3" t="s">
        <v>65</v>
      </c>
      <c r="S261" s="4">
        <v>3</v>
      </c>
      <c r="T261" s="4">
        <v>3</v>
      </c>
      <c r="U261" s="5" t="s">
        <v>3296</v>
      </c>
      <c r="V261" s="5" t="s">
        <v>3296</v>
      </c>
      <c r="W261" s="5" t="s">
        <v>3297</v>
      </c>
      <c r="X261" s="5" t="s">
        <v>3297</v>
      </c>
      <c r="Y261" s="4">
        <v>597</v>
      </c>
      <c r="Z261" s="4">
        <v>540</v>
      </c>
      <c r="AA261" s="4">
        <v>555</v>
      </c>
      <c r="AB261" s="4">
        <v>5</v>
      </c>
      <c r="AC261" s="4">
        <v>5</v>
      </c>
      <c r="AD261" s="4">
        <v>19</v>
      </c>
      <c r="AE261" s="4">
        <v>19</v>
      </c>
      <c r="AF261" s="4">
        <v>5</v>
      </c>
      <c r="AG261" s="4">
        <v>5</v>
      </c>
      <c r="AH261" s="4">
        <v>6</v>
      </c>
      <c r="AI261" s="4">
        <v>6</v>
      </c>
      <c r="AJ261" s="4">
        <v>9</v>
      </c>
      <c r="AK261" s="4">
        <v>9</v>
      </c>
      <c r="AL261" s="4">
        <v>3</v>
      </c>
      <c r="AM261" s="4">
        <v>3</v>
      </c>
      <c r="AN261" s="4">
        <v>0</v>
      </c>
      <c r="AO261" s="4">
        <v>0</v>
      </c>
      <c r="AP261" s="3" t="s">
        <v>58</v>
      </c>
      <c r="AQ261" s="3" t="s">
        <v>58</v>
      </c>
      <c r="AS261" s="6" t="str">
        <f>HYPERLINK("https://creighton-primo.hosted.exlibrisgroup.com/primo-explore/search?tab=default_tab&amp;search_scope=EVERYTHING&amp;vid=01CRU&amp;lang=en_US&amp;offset=0&amp;query=any,contains,991001874489702656","Catalog Record")</f>
        <v>Catalog Record</v>
      </c>
      <c r="AT261" s="6" t="str">
        <f>HYPERLINK("http://www.worldcat.org/oclc/23654765","WorldCat Record")</f>
        <v>WorldCat Record</v>
      </c>
      <c r="AU261" s="3" t="s">
        <v>3298</v>
      </c>
      <c r="AV261" s="3" t="s">
        <v>3299</v>
      </c>
      <c r="AW261" s="3" t="s">
        <v>3300</v>
      </c>
      <c r="AX261" s="3" t="s">
        <v>3300</v>
      </c>
      <c r="AY261" s="3" t="s">
        <v>3301</v>
      </c>
      <c r="AZ261" s="3" t="s">
        <v>73</v>
      </c>
      <c r="BB261" s="3" t="s">
        <v>3302</v>
      </c>
      <c r="BC261" s="3" t="s">
        <v>3303</v>
      </c>
      <c r="BD261" s="3" t="s">
        <v>3304</v>
      </c>
    </row>
    <row r="262" spans="1:56" ht="51" customHeight="1" x14ac:dyDescent="0.25">
      <c r="A262" s="7" t="s">
        <v>58</v>
      </c>
      <c r="B262" s="2" t="s">
        <v>3305</v>
      </c>
      <c r="C262" s="2" t="s">
        <v>3306</v>
      </c>
      <c r="D262" s="2" t="s">
        <v>3307</v>
      </c>
      <c r="F262" s="3" t="s">
        <v>58</v>
      </c>
      <c r="G262" s="3" t="s">
        <v>59</v>
      </c>
      <c r="H262" s="3" t="s">
        <v>58</v>
      </c>
      <c r="I262" s="3" t="s">
        <v>58</v>
      </c>
      <c r="J262" s="3" t="s">
        <v>60</v>
      </c>
      <c r="L262" s="2" t="s">
        <v>3308</v>
      </c>
      <c r="M262" s="3" t="s">
        <v>479</v>
      </c>
      <c r="O262" s="3" t="s">
        <v>63</v>
      </c>
      <c r="P262" s="3" t="s">
        <v>214</v>
      </c>
      <c r="R262" s="3" t="s">
        <v>65</v>
      </c>
      <c r="S262" s="4">
        <v>5</v>
      </c>
      <c r="T262" s="4">
        <v>5</v>
      </c>
      <c r="U262" s="5" t="s">
        <v>3309</v>
      </c>
      <c r="V262" s="5" t="s">
        <v>3309</v>
      </c>
      <c r="W262" s="5" t="s">
        <v>3310</v>
      </c>
      <c r="X262" s="5" t="s">
        <v>3310</v>
      </c>
      <c r="Y262" s="4">
        <v>451</v>
      </c>
      <c r="Z262" s="4">
        <v>409</v>
      </c>
      <c r="AA262" s="4">
        <v>423</v>
      </c>
      <c r="AB262" s="4">
        <v>5</v>
      </c>
      <c r="AC262" s="4">
        <v>5</v>
      </c>
      <c r="AD262" s="4">
        <v>13</v>
      </c>
      <c r="AE262" s="4">
        <v>13</v>
      </c>
      <c r="AF262" s="4">
        <v>3</v>
      </c>
      <c r="AG262" s="4">
        <v>3</v>
      </c>
      <c r="AH262" s="4">
        <v>5</v>
      </c>
      <c r="AI262" s="4">
        <v>5</v>
      </c>
      <c r="AJ262" s="4">
        <v>5</v>
      </c>
      <c r="AK262" s="4">
        <v>5</v>
      </c>
      <c r="AL262" s="4">
        <v>3</v>
      </c>
      <c r="AM262" s="4">
        <v>3</v>
      </c>
      <c r="AN262" s="4">
        <v>0</v>
      </c>
      <c r="AO262" s="4">
        <v>0</v>
      </c>
      <c r="AP262" s="3" t="s">
        <v>58</v>
      </c>
      <c r="AQ262" s="3" t="s">
        <v>58</v>
      </c>
      <c r="AS262" s="6" t="str">
        <f>HYPERLINK("https://creighton-primo.hosted.exlibrisgroup.com/primo-explore/search?tab=default_tab&amp;search_scope=EVERYTHING&amp;vid=01CRU&amp;lang=en_US&amp;offset=0&amp;query=any,contains,991003981269702656","Catalog Record")</f>
        <v>Catalog Record</v>
      </c>
      <c r="AT262" s="6" t="str">
        <f>HYPERLINK("http://www.worldcat.org/oclc/28020404","WorldCat Record")</f>
        <v>WorldCat Record</v>
      </c>
      <c r="AU262" s="3" t="s">
        <v>3311</v>
      </c>
      <c r="AV262" s="3" t="s">
        <v>3312</v>
      </c>
      <c r="AW262" s="3" t="s">
        <v>3313</v>
      </c>
      <c r="AX262" s="3" t="s">
        <v>3313</v>
      </c>
      <c r="AY262" s="3" t="s">
        <v>3314</v>
      </c>
      <c r="AZ262" s="3" t="s">
        <v>73</v>
      </c>
      <c r="BB262" s="3" t="s">
        <v>3315</v>
      </c>
      <c r="BC262" s="3" t="s">
        <v>3316</v>
      </c>
      <c r="BD262" s="3" t="s">
        <v>3317</v>
      </c>
    </row>
    <row r="263" spans="1:56" ht="51" customHeight="1" x14ac:dyDescent="0.25">
      <c r="A263" s="7" t="s">
        <v>58</v>
      </c>
      <c r="B263" s="2" t="s">
        <v>3318</v>
      </c>
      <c r="C263" s="2" t="s">
        <v>3319</v>
      </c>
      <c r="D263" s="2" t="s">
        <v>3320</v>
      </c>
      <c r="F263" s="3" t="s">
        <v>58</v>
      </c>
      <c r="G263" s="3" t="s">
        <v>59</v>
      </c>
      <c r="H263" s="3" t="s">
        <v>58</v>
      </c>
      <c r="I263" s="3" t="s">
        <v>58</v>
      </c>
      <c r="J263" s="3" t="s">
        <v>60</v>
      </c>
      <c r="K263" s="2" t="s">
        <v>3321</v>
      </c>
      <c r="L263" s="2" t="s">
        <v>3322</v>
      </c>
      <c r="M263" s="3" t="s">
        <v>261</v>
      </c>
      <c r="O263" s="3" t="s">
        <v>63</v>
      </c>
      <c r="P263" s="3" t="s">
        <v>3323</v>
      </c>
      <c r="R263" s="3" t="s">
        <v>65</v>
      </c>
      <c r="S263" s="4">
        <v>1</v>
      </c>
      <c r="T263" s="4">
        <v>1</v>
      </c>
      <c r="U263" s="5" t="s">
        <v>3324</v>
      </c>
      <c r="V263" s="5" t="s">
        <v>3324</v>
      </c>
      <c r="W263" s="5" t="s">
        <v>235</v>
      </c>
      <c r="X263" s="5" t="s">
        <v>235</v>
      </c>
      <c r="Y263" s="4">
        <v>217</v>
      </c>
      <c r="Z263" s="4">
        <v>164</v>
      </c>
      <c r="AA263" s="4">
        <v>168</v>
      </c>
      <c r="AB263" s="4">
        <v>2</v>
      </c>
      <c r="AC263" s="4">
        <v>2</v>
      </c>
      <c r="AD263" s="4">
        <v>3</v>
      </c>
      <c r="AE263" s="4">
        <v>3</v>
      </c>
      <c r="AF263" s="4">
        <v>0</v>
      </c>
      <c r="AG263" s="4">
        <v>0</v>
      </c>
      <c r="AH263" s="4">
        <v>1</v>
      </c>
      <c r="AI263" s="4">
        <v>1</v>
      </c>
      <c r="AJ263" s="4">
        <v>2</v>
      </c>
      <c r="AK263" s="4">
        <v>2</v>
      </c>
      <c r="AL263" s="4">
        <v>1</v>
      </c>
      <c r="AM263" s="4">
        <v>1</v>
      </c>
      <c r="AN263" s="4">
        <v>0</v>
      </c>
      <c r="AO263" s="4">
        <v>0</v>
      </c>
      <c r="AP263" s="3" t="s">
        <v>58</v>
      </c>
      <c r="AQ263" s="3" t="s">
        <v>68</v>
      </c>
      <c r="AR263" s="6" t="str">
        <f>HYPERLINK("http://catalog.hathitrust.org/Record/000035533","HathiTrust Record")</f>
        <v>HathiTrust Record</v>
      </c>
      <c r="AS263" s="6" t="str">
        <f>HYPERLINK("https://creighton-primo.hosted.exlibrisgroup.com/primo-explore/search?tab=default_tab&amp;search_scope=EVERYTHING&amp;vid=01CRU&amp;lang=en_US&amp;offset=0&amp;query=any,contains,991003830579702656","Catalog Record")</f>
        <v>Catalog Record</v>
      </c>
      <c r="AT263" s="6" t="str">
        <f>HYPERLINK("http://www.worldcat.org/oclc/1584562","WorldCat Record")</f>
        <v>WorldCat Record</v>
      </c>
      <c r="AU263" s="3" t="s">
        <v>3325</v>
      </c>
      <c r="AV263" s="3" t="s">
        <v>3326</v>
      </c>
      <c r="AW263" s="3" t="s">
        <v>3327</v>
      </c>
      <c r="AX263" s="3" t="s">
        <v>3327</v>
      </c>
      <c r="AY263" s="3" t="s">
        <v>3328</v>
      </c>
      <c r="AZ263" s="3" t="s">
        <v>73</v>
      </c>
      <c r="BC263" s="3" t="s">
        <v>3329</v>
      </c>
      <c r="BD263" s="3" t="s">
        <v>3330</v>
      </c>
    </row>
    <row r="264" spans="1:56" ht="51" customHeight="1" x14ac:dyDescent="0.25">
      <c r="A264" s="7" t="s">
        <v>58</v>
      </c>
      <c r="B264" s="2" t="s">
        <v>3331</v>
      </c>
      <c r="C264" s="2" t="s">
        <v>3332</v>
      </c>
      <c r="D264" s="2" t="s">
        <v>3333</v>
      </c>
      <c r="F264" s="3" t="s">
        <v>58</v>
      </c>
      <c r="G264" s="3" t="s">
        <v>59</v>
      </c>
      <c r="H264" s="3" t="s">
        <v>58</v>
      </c>
      <c r="I264" s="3" t="s">
        <v>58</v>
      </c>
      <c r="J264" s="3" t="s">
        <v>60</v>
      </c>
      <c r="K264" s="2" t="s">
        <v>3321</v>
      </c>
      <c r="L264" s="2" t="s">
        <v>3334</v>
      </c>
      <c r="M264" s="3" t="s">
        <v>261</v>
      </c>
      <c r="O264" s="3" t="s">
        <v>63</v>
      </c>
      <c r="P264" s="3" t="s">
        <v>214</v>
      </c>
      <c r="R264" s="3" t="s">
        <v>65</v>
      </c>
      <c r="S264" s="4">
        <v>3</v>
      </c>
      <c r="T264" s="4">
        <v>3</v>
      </c>
      <c r="U264" s="5" t="s">
        <v>639</v>
      </c>
      <c r="V264" s="5" t="s">
        <v>639</v>
      </c>
      <c r="W264" s="5" t="s">
        <v>3335</v>
      </c>
      <c r="X264" s="5" t="s">
        <v>3335</v>
      </c>
      <c r="Y264" s="4">
        <v>639</v>
      </c>
      <c r="Z264" s="4">
        <v>547</v>
      </c>
      <c r="AA264" s="4">
        <v>554</v>
      </c>
      <c r="AB264" s="4">
        <v>5</v>
      </c>
      <c r="AC264" s="4">
        <v>5</v>
      </c>
      <c r="AD264" s="4">
        <v>21</v>
      </c>
      <c r="AE264" s="4">
        <v>21</v>
      </c>
      <c r="AF264" s="4">
        <v>6</v>
      </c>
      <c r="AG264" s="4">
        <v>6</v>
      </c>
      <c r="AH264" s="4">
        <v>5</v>
      </c>
      <c r="AI264" s="4">
        <v>5</v>
      </c>
      <c r="AJ264" s="4">
        <v>12</v>
      </c>
      <c r="AK264" s="4">
        <v>12</v>
      </c>
      <c r="AL264" s="4">
        <v>4</v>
      </c>
      <c r="AM264" s="4">
        <v>4</v>
      </c>
      <c r="AN264" s="4">
        <v>0</v>
      </c>
      <c r="AO264" s="4">
        <v>0</v>
      </c>
      <c r="AP264" s="3" t="s">
        <v>58</v>
      </c>
      <c r="AQ264" s="3" t="s">
        <v>68</v>
      </c>
      <c r="AR264" s="6" t="str">
        <f>HYPERLINK("http://catalog.hathitrust.org/Record/000023334","HathiTrust Record")</f>
        <v>HathiTrust Record</v>
      </c>
      <c r="AS264" s="6" t="str">
        <f>HYPERLINK("https://creighton-primo.hosted.exlibrisgroup.com/primo-explore/search?tab=default_tab&amp;search_scope=EVERYTHING&amp;vid=01CRU&amp;lang=en_US&amp;offset=0&amp;query=any,contains,991003746459702656","Catalog Record")</f>
        <v>Catalog Record</v>
      </c>
      <c r="AT264" s="6" t="str">
        <f>HYPERLINK("http://www.worldcat.org/oclc/1418708","WorldCat Record")</f>
        <v>WorldCat Record</v>
      </c>
      <c r="AU264" s="3" t="s">
        <v>3336</v>
      </c>
      <c r="AV264" s="3" t="s">
        <v>3337</v>
      </c>
      <c r="AW264" s="3" t="s">
        <v>3338</v>
      </c>
      <c r="AX264" s="3" t="s">
        <v>3338</v>
      </c>
      <c r="AY264" s="3" t="s">
        <v>3339</v>
      </c>
      <c r="AZ264" s="3" t="s">
        <v>73</v>
      </c>
      <c r="BB264" s="3" t="s">
        <v>3340</v>
      </c>
      <c r="BC264" s="3" t="s">
        <v>3341</v>
      </c>
      <c r="BD264" s="3" t="s">
        <v>3342</v>
      </c>
    </row>
    <row r="265" spans="1:56" ht="51" customHeight="1" x14ac:dyDescent="0.25">
      <c r="A265" s="7" t="s">
        <v>58</v>
      </c>
      <c r="B265" s="2" t="s">
        <v>3343</v>
      </c>
      <c r="C265" s="2" t="s">
        <v>3344</v>
      </c>
      <c r="D265" s="2" t="s">
        <v>3345</v>
      </c>
      <c r="F265" s="3" t="s">
        <v>58</v>
      </c>
      <c r="G265" s="3" t="s">
        <v>59</v>
      </c>
      <c r="H265" s="3" t="s">
        <v>58</v>
      </c>
      <c r="I265" s="3" t="s">
        <v>58</v>
      </c>
      <c r="J265" s="3" t="s">
        <v>60</v>
      </c>
      <c r="L265" s="2" t="s">
        <v>3346</v>
      </c>
      <c r="M265" s="3" t="s">
        <v>261</v>
      </c>
      <c r="O265" s="3" t="s">
        <v>63</v>
      </c>
      <c r="P265" s="3" t="s">
        <v>584</v>
      </c>
      <c r="R265" s="3" t="s">
        <v>65</v>
      </c>
      <c r="S265" s="4">
        <v>6</v>
      </c>
      <c r="T265" s="4">
        <v>6</v>
      </c>
      <c r="U265" s="5" t="s">
        <v>3347</v>
      </c>
      <c r="V265" s="5" t="s">
        <v>3347</v>
      </c>
      <c r="W265" s="5" t="s">
        <v>3348</v>
      </c>
      <c r="X265" s="5" t="s">
        <v>3348</v>
      </c>
      <c r="Y265" s="4">
        <v>106</v>
      </c>
      <c r="Z265" s="4">
        <v>53</v>
      </c>
      <c r="AA265" s="4">
        <v>83</v>
      </c>
      <c r="AB265" s="4">
        <v>2</v>
      </c>
      <c r="AC265" s="4">
        <v>3</v>
      </c>
      <c r="AD265" s="4">
        <v>2</v>
      </c>
      <c r="AE265" s="4">
        <v>6</v>
      </c>
      <c r="AF265" s="4">
        <v>1</v>
      </c>
      <c r="AG265" s="4">
        <v>2</v>
      </c>
      <c r="AH265" s="4">
        <v>0</v>
      </c>
      <c r="AI265" s="4">
        <v>1</v>
      </c>
      <c r="AJ265" s="4">
        <v>1</v>
      </c>
      <c r="AK265" s="4">
        <v>4</v>
      </c>
      <c r="AL265" s="4">
        <v>1</v>
      </c>
      <c r="AM265" s="4">
        <v>2</v>
      </c>
      <c r="AN265" s="4">
        <v>0</v>
      </c>
      <c r="AO265" s="4">
        <v>0</v>
      </c>
      <c r="AP265" s="3" t="s">
        <v>58</v>
      </c>
      <c r="AQ265" s="3" t="s">
        <v>68</v>
      </c>
      <c r="AR265" s="6" t="str">
        <f>HYPERLINK("http://catalog.hathitrust.org/Record/007116390","HathiTrust Record")</f>
        <v>HathiTrust Record</v>
      </c>
      <c r="AS265" s="6" t="str">
        <f>HYPERLINK("https://creighton-primo.hosted.exlibrisgroup.com/primo-explore/search?tab=default_tab&amp;search_scope=EVERYTHING&amp;vid=01CRU&amp;lang=en_US&amp;offset=0&amp;query=any,contains,991004282379702656","Catalog Record")</f>
        <v>Catalog Record</v>
      </c>
      <c r="AT265" s="6" t="str">
        <f>HYPERLINK("http://www.worldcat.org/oclc/2912847","WorldCat Record")</f>
        <v>WorldCat Record</v>
      </c>
      <c r="AU265" s="3" t="s">
        <v>3349</v>
      </c>
      <c r="AV265" s="3" t="s">
        <v>3350</v>
      </c>
      <c r="AW265" s="3" t="s">
        <v>3351</v>
      </c>
      <c r="AX265" s="3" t="s">
        <v>3351</v>
      </c>
      <c r="AY265" s="3" t="s">
        <v>3352</v>
      </c>
      <c r="AZ265" s="3" t="s">
        <v>73</v>
      </c>
      <c r="BB265" s="3" t="s">
        <v>3353</v>
      </c>
      <c r="BC265" s="3" t="s">
        <v>3354</v>
      </c>
      <c r="BD265" s="3" t="s">
        <v>3355</v>
      </c>
    </row>
    <row r="266" spans="1:56" ht="51" customHeight="1" x14ac:dyDescent="0.25">
      <c r="A266" s="7" t="s">
        <v>58</v>
      </c>
      <c r="B266" s="2" t="s">
        <v>3356</v>
      </c>
      <c r="C266" s="2" t="s">
        <v>3357</v>
      </c>
      <c r="D266" s="2" t="s">
        <v>3358</v>
      </c>
      <c r="F266" s="3" t="s">
        <v>58</v>
      </c>
      <c r="G266" s="3" t="s">
        <v>59</v>
      </c>
      <c r="H266" s="3" t="s">
        <v>58</v>
      </c>
      <c r="I266" s="3" t="s">
        <v>58</v>
      </c>
      <c r="J266" s="3" t="s">
        <v>60</v>
      </c>
      <c r="K266" s="2" t="s">
        <v>3359</v>
      </c>
      <c r="L266" s="2" t="s">
        <v>3200</v>
      </c>
      <c r="M266" s="3" t="s">
        <v>653</v>
      </c>
      <c r="O266" s="3" t="s">
        <v>63</v>
      </c>
      <c r="P266" s="3" t="s">
        <v>214</v>
      </c>
      <c r="R266" s="3" t="s">
        <v>65</v>
      </c>
      <c r="S266" s="4">
        <v>5</v>
      </c>
      <c r="T266" s="4">
        <v>5</v>
      </c>
      <c r="U266" s="5" t="s">
        <v>3360</v>
      </c>
      <c r="V266" s="5" t="s">
        <v>3360</v>
      </c>
      <c r="W266" s="5" t="s">
        <v>3361</v>
      </c>
      <c r="X266" s="5" t="s">
        <v>3361</v>
      </c>
      <c r="Y266" s="4">
        <v>268</v>
      </c>
      <c r="Z266" s="4">
        <v>208</v>
      </c>
      <c r="AA266" s="4">
        <v>209</v>
      </c>
      <c r="AB266" s="4">
        <v>2</v>
      </c>
      <c r="AC266" s="4">
        <v>2</v>
      </c>
      <c r="AD266" s="4">
        <v>13</v>
      </c>
      <c r="AE266" s="4">
        <v>13</v>
      </c>
      <c r="AF266" s="4">
        <v>4</v>
      </c>
      <c r="AG266" s="4">
        <v>4</v>
      </c>
      <c r="AH266" s="4">
        <v>3</v>
      </c>
      <c r="AI266" s="4">
        <v>3</v>
      </c>
      <c r="AJ266" s="4">
        <v>8</v>
      </c>
      <c r="AK266" s="4">
        <v>8</v>
      </c>
      <c r="AL266" s="4">
        <v>1</v>
      </c>
      <c r="AM266" s="4">
        <v>1</v>
      </c>
      <c r="AN266" s="4">
        <v>1</v>
      </c>
      <c r="AO266" s="4">
        <v>1</v>
      </c>
      <c r="AP266" s="3" t="s">
        <v>58</v>
      </c>
      <c r="AQ266" s="3" t="s">
        <v>68</v>
      </c>
      <c r="AR266" s="6" t="str">
        <f>HYPERLINK("http://catalog.hathitrust.org/Record/002461402","HathiTrust Record")</f>
        <v>HathiTrust Record</v>
      </c>
      <c r="AS266" s="6" t="str">
        <f>HYPERLINK("https://creighton-primo.hosted.exlibrisgroup.com/primo-explore/search?tab=default_tab&amp;search_scope=EVERYTHING&amp;vid=01CRU&amp;lang=en_US&amp;offset=0&amp;query=any,contains,991001813879702656","Catalog Record")</f>
        <v>Catalog Record</v>
      </c>
      <c r="AT266" s="6" t="str">
        <f>HYPERLINK("http://www.worldcat.org/oclc/22767320","WorldCat Record")</f>
        <v>WorldCat Record</v>
      </c>
      <c r="AU266" s="3" t="s">
        <v>3362</v>
      </c>
      <c r="AV266" s="3" t="s">
        <v>3363</v>
      </c>
      <c r="AW266" s="3" t="s">
        <v>3364</v>
      </c>
      <c r="AX266" s="3" t="s">
        <v>3364</v>
      </c>
      <c r="AY266" s="3" t="s">
        <v>3365</v>
      </c>
      <c r="AZ266" s="3" t="s">
        <v>73</v>
      </c>
      <c r="BB266" s="3" t="s">
        <v>3366</v>
      </c>
      <c r="BC266" s="3" t="s">
        <v>3367</v>
      </c>
      <c r="BD266" s="3" t="s">
        <v>3368</v>
      </c>
    </row>
    <row r="267" spans="1:56" ht="51" customHeight="1" x14ac:dyDescent="0.25">
      <c r="A267" s="7" t="s">
        <v>58</v>
      </c>
      <c r="B267" s="2" t="s">
        <v>3369</v>
      </c>
      <c r="C267" s="2" t="s">
        <v>3370</v>
      </c>
      <c r="D267" s="2" t="s">
        <v>3371</v>
      </c>
      <c r="F267" s="3" t="s">
        <v>58</v>
      </c>
      <c r="G267" s="3" t="s">
        <v>59</v>
      </c>
      <c r="H267" s="3" t="s">
        <v>58</v>
      </c>
      <c r="I267" s="3" t="s">
        <v>58</v>
      </c>
      <c r="J267" s="3" t="s">
        <v>60</v>
      </c>
      <c r="K267" s="2" t="s">
        <v>3372</v>
      </c>
      <c r="L267" s="2" t="s">
        <v>3373</v>
      </c>
      <c r="M267" s="3" t="s">
        <v>1061</v>
      </c>
      <c r="O267" s="3" t="s">
        <v>63</v>
      </c>
      <c r="P267" s="3" t="s">
        <v>214</v>
      </c>
      <c r="R267" s="3" t="s">
        <v>65</v>
      </c>
      <c r="S267" s="4">
        <v>10</v>
      </c>
      <c r="T267" s="4">
        <v>10</v>
      </c>
      <c r="U267" s="5" t="s">
        <v>3374</v>
      </c>
      <c r="V267" s="5" t="s">
        <v>3374</v>
      </c>
      <c r="W267" s="5" t="s">
        <v>3375</v>
      </c>
      <c r="X267" s="5" t="s">
        <v>3375</v>
      </c>
      <c r="Y267" s="4">
        <v>754</v>
      </c>
      <c r="Z267" s="4">
        <v>650</v>
      </c>
      <c r="AA267" s="4">
        <v>656</v>
      </c>
      <c r="AB267" s="4">
        <v>8</v>
      </c>
      <c r="AC267" s="4">
        <v>8</v>
      </c>
      <c r="AD267" s="4">
        <v>33</v>
      </c>
      <c r="AE267" s="4">
        <v>33</v>
      </c>
      <c r="AF267" s="4">
        <v>12</v>
      </c>
      <c r="AG267" s="4">
        <v>12</v>
      </c>
      <c r="AH267" s="4">
        <v>7</v>
      </c>
      <c r="AI267" s="4">
        <v>7</v>
      </c>
      <c r="AJ267" s="4">
        <v>16</v>
      </c>
      <c r="AK267" s="4">
        <v>16</v>
      </c>
      <c r="AL267" s="4">
        <v>6</v>
      </c>
      <c r="AM267" s="4">
        <v>6</v>
      </c>
      <c r="AN267" s="4">
        <v>1</v>
      </c>
      <c r="AO267" s="4">
        <v>1</v>
      </c>
      <c r="AP267" s="3" t="s">
        <v>58</v>
      </c>
      <c r="AQ267" s="3" t="s">
        <v>58</v>
      </c>
      <c r="AS267" s="6" t="str">
        <f>HYPERLINK("https://creighton-primo.hosted.exlibrisgroup.com/primo-explore/search?tab=default_tab&amp;search_scope=EVERYTHING&amp;vid=01CRU&amp;lang=en_US&amp;offset=0&amp;query=any,contains,991002776109702656","Catalog Record")</f>
        <v>Catalog Record</v>
      </c>
      <c r="AT267" s="6" t="str">
        <f>HYPERLINK("http://www.worldcat.org/oclc/36458021","WorldCat Record")</f>
        <v>WorldCat Record</v>
      </c>
      <c r="AU267" s="3" t="s">
        <v>3376</v>
      </c>
      <c r="AV267" s="3" t="s">
        <v>3377</v>
      </c>
      <c r="AW267" s="3" t="s">
        <v>3378</v>
      </c>
      <c r="AX267" s="3" t="s">
        <v>3378</v>
      </c>
      <c r="AY267" s="3" t="s">
        <v>3379</v>
      </c>
      <c r="AZ267" s="3" t="s">
        <v>73</v>
      </c>
      <c r="BB267" s="3" t="s">
        <v>3380</v>
      </c>
      <c r="BC267" s="3" t="s">
        <v>3381</v>
      </c>
      <c r="BD267" s="3" t="s">
        <v>3382</v>
      </c>
    </row>
    <row r="268" spans="1:56" ht="51" customHeight="1" x14ac:dyDescent="0.25">
      <c r="A268" s="7" t="s">
        <v>58</v>
      </c>
      <c r="B268" s="2" t="s">
        <v>3383</v>
      </c>
      <c r="C268" s="2" t="s">
        <v>3384</v>
      </c>
      <c r="D268" s="2" t="s">
        <v>3385</v>
      </c>
      <c r="F268" s="3" t="s">
        <v>58</v>
      </c>
      <c r="G268" s="3" t="s">
        <v>59</v>
      </c>
      <c r="H268" s="3" t="s">
        <v>58</v>
      </c>
      <c r="I268" s="3" t="s">
        <v>58</v>
      </c>
      <c r="J268" s="3" t="s">
        <v>60</v>
      </c>
      <c r="K268" s="2" t="s">
        <v>3386</v>
      </c>
      <c r="L268" s="2" t="s">
        <v>3387</v>
      </c>
      <c r="M268" s="3" t="s">
        <v>382</v>
      </c>
      <c r="O268" s="3" t="s">
        <v>63</v>
      </c>
      <c r="P268" s="3" t="s">
        <v>584</v>
      </c>
      <c r="Q268" s="2" t="s">
        <v>3388</v>
      </c>
      <c r="R268" s="3" t="s">
        <v>65</v>
      </c>
      <c r="S268" s="4">
        <v>2</v>
      </c>
      <c r="T268" s="4">
        <v>2</v>
      </c>
      <c r="U268" s="5" t="s">
        <v>3389</v>
      </c>
      <c r="V268" s="5" t="s">
        <v>3389</v>
      </c>
      <c r="W268" s="5" t="s">
        <v>3390</v>
      </c>
      <c r="X268" s="5" t="s">
        <v>3390</v>
      </c>
      <c r="Y268" s="4">
        <v>235</v>
      </c>
      <c r="Z268" s="4">
        <v>171</v>
      </c>
      <c r="AA268" s="4">
        <v>171</v>
      </c>
      <c r="AB268" s="4">
        <v>1</v>
      </c>
      <c r="AC268" s="4">
        <v>1</v>
      </c>
      <c r="AD268" s="4">
        <v>11</v>
      </c>
      <c r="AE268" s="4">
        <v>11</v>
      </c>
      <c r="AF268" s="4">
        <v>2</v>
      </c>
      <c r="AG268" s="4">
        <v>2</v>
      </c>
      <c r="AH268" s="4">
        <v>4</v>
      </c>
      <c r="AI268" s="4">
        <v>4</v>
      </c>
      <c r="AJ268" s="4">
        <v>4</v>
      </c>
      <c r="AK268" s="4">
        <v>4</v>
      </c>
      <c r="AL268" s="4">
        <v>0</v>
      </c>
      <c r="AM268" s="4">
        <v>0</v>
      </c>
      <c r="AN268" s="4">
        <v>5</v>
      </c>
      <c r="AO268" s="4">
        <v>5</v>
      </c>
      <c r="AP268" s="3" t="s">
        <v>58</v>
      </c>
      <c r="AQ268" s="3" t="s">
        <v>58</v>
      </c>
      <c r="AS268" s="6" t="str">
        <f>HYPERLINK("https://creighton-primo.hosted.exlibrisgroup.com/primo-explore/search?tab=default_tab&amp;search_scope=EVERYTHING&amp;vid=01CRU&amp;lang=en_US&amp;offset=0&amp;query=any,contains,991003204899702656","Catalog Record")</f>
        <v>Catalog Record</v>
      </c>
      <c r="AT268" s="6" t="str">
        <f>HYPERLINK("http://www.worldcat.org/oclc/40609042","WorldCat Record")</f>
        <v>WorldCat Record</v>
      </c>
      <c r="AU268" s="3" t="s">
        <v>3391</v>
      </c>
      <c r="AV268" s="3" t="s">
        <v>3392</v>
      </c>
      <c r="AW268" s="3" t="s">
        <v>3393</v>
      </c>
      <c r="AX268" s="3" t="s">
        <v>3393</v>
      </c>
      <c r="AY268" s="3" t="s">
        <v>3394</v>
      </c>
      <c r="AZ268" s="3" t="s">
        <v>73</v>
      </c>
      <c r="BB268" s="3" t="s">
        <v>3395</v>
      </c>
      <c r="BC268" s="3" t="s">
        <v>3396</v>
      </c>
      <c r="BD268" s="3" t="s">
        <v>3397</v>
      </c>
    </row>
    <row r="269" spans="1:56" ht="51" customHeight="1" x14ac:dyDescent="0.25">
      <c r="A269" s="7" t="s">
        <v>58</v>
      </c>
      <c r="B269" s="2" t="s">
        <v>3398</v>
      </c>
      <c r="C269" s="2" t="s">
        <v>3399</v>
      </c>
      <c r="D269" s="2" t="s">
        <v>3400</v>
      </c>
      <c r="F269" s="3" t="s">
        <v>58</v>
      </c>
      <c r="G269" s="3" t="s">
        <v>59</v>
      </c>
      <c r="H269" s="3" t="s">
        <v>58</v>
      </c>
      <c r="I269" s="3" t="s">
        <v>58</v>
      </c>
      <c r="J269" s="3" t="s">
        <v>60</v>
      </c>
      <c r="K269" s="2" t="s">
        <v>3401</v>
      </c>
      <c r="L269" s="2" t="s">
        <v>3402</v>
      </c>
      <c r="M269" s="3" t="s">
        <v>1153</v>
      </c>
      <c r="O269" s="3" t="s">
        <v>63</v>
      </c>
      <c r="P269" s="3" t="s">
        <v>3403</v>
      </c>
      <c r="R269" s="3" t="s">
        <v>65</v>
      </c>
      <c r="S269" s="4">
        <v>2</v>
      </c>
      <c r="T269" s="4">
        <v>2</v>
      </c>
      <c r="U269" s="5" t="s">
        <v>3404</v>
      </c>
      <c r="V269" s="5" t="s">
        <v>3404</v>
      </c>
      <c r="W269" s="5" t="s">
        <v>3405</v>
      </c>
      <c r="X269" s="5" t="s">
        <v>3405</v>
      </c>
      <c r="Y269" s="4">
        <v>390</v>
      </c>
      <c r="Z269" s="4">
        <v>326</v>
      </c>
      <c r="AA269" s="4">
        <v>465</v>
      </c>
      <c r="AB269" s="4">
        <v>2</v>
      </c>
      <c r="AC269" s="4">
        <v>2</v>
      </c>
      <c r="AD269" s="4">
        <v>14</v>
      </c>
      <c r="AE269" s="4">
        <v>19</v>
      </c>
      <c r="AF269" s="4">
        <v>6</v>
      </c>
      <c r="AG269" s="4">
        <v>7</v>
      </c>
      <c r="AH269" s="4">
        <v>3</v>
      </c>
      <c r="AI269" s="4">
        <v>3</v>
      </c>
      <c r="AJ269" s="4">
        <v>6</v>
      </c>
      <c r="AK269" s="4">
        <v>9</v>
      </c>
      <c r="AL269" s="4">
        <v>1</v>
      </c>
      <c r="AM269" s="4">
        <v>1</v>
      </c>
      <c r="AN269" s="4">
        <v>2</v>
      </c>
      <c r="AO269" s="4">
        <v>3</v>
      </c>
      <c r="AP269" s="3" t="s">
        <v>58</v>
      </c>
      <c r="AQ269" s="3" t="s">
        <v>68</v>
      </c>
      <c r="AR269" s="6" t="str">
        <f>HYPERLINK("http://catalog.hathitrust.org/Record/009381668","HathiTrust Record")</f>
        <v>HathiTrust Record</v>
      </c>
      <c r="AS269" s="6" t="str">
        <f>HYPERLINK("https://creighton-primo.hosted.exlibrisgroup.com/primo-explore/search?tab=default_tab&amp;search_scope=EVERYTHING&amp;vid=01CRU&amp;lang=en_US&amp;offset=0&amp;query=any,contains,991002885309702656","Catalog Record")</f>
        <v>Catalog Record</v>
      </c>
      <c r="AT269" s="6" t="str">
        <f>HYPERLINK("http://www.worldcat.org/oclc/508033","WorldCat Record")</f>
        <v>WorldCat Record</v>
      </c>
      <c r="AU269" s="3" t="s">
        <v>3406</v>
      </c>
      <c r="AV269" s="3" t="s">
        <v>3407</v>
      </c>
      <c r="AW269" s="3" t="s">
        <v>3408</v>
      </c>
      <c r="AX269" s="3" t="s">
        <v>3408</v>
      </c>
      <c r="AY269" s="3" t="s">
        <v>3409</v>
      </c>
      <c r="AZ269" s="3" t="s">
        <v>73</v>
      </c>
      <c r="BC269" s="3" t="s">
        <v>3410</v>
      </c>
      <c r="BD269" s="3" t="s">
        <v>3411</v>
      </c>
    </row>
    <row r="270" spans="1:56" ht="51" customHeight="1" x14ac:dyDescent="0.25">
      <c r="A270" s="7" t="s">
        <v>58</v>
      </c>
      <c r="B270" s="2" t="s">
        <v>3412</v>
      </c>
      <c r="C270" s="2" t="s">
        <v>3413</v>
      </c>
      <c r="D270" s="2" t="s">
        <v>3414</v>
      </c>
      <c r="F270" s="3" t="s">
        <v>58</v>
      </c>
      <c r="G270" s="3" t="s">
        <v>59</v>
      </c>
      <c r="H270" s="3" t="s">
        <v>58</v>
      </c>
      <c r="I270" s="3" t="s">
        <v>58</v>
      </c>
      <c r="J270" s="3" t="s">
        <v>60</v>
      </c>
      <c r="K270" s="2" t="s">
        <v>3415</v>
      </c>
      <c r="L270" s="2" t="s">
        <v>3416</v>
      </c>
      <c r="M270" s="3" t="s">
        <v>397</v>
      </c>
      <c r="N270" s="2" t="s">
        <v>3417</v>
      </c>
      <c r="O270" s="3" t="s">
        <v>63</v>
      </c>
      <c r="P270" s="3" t="s">
        <v>214</v>
      </c>
      <c r="Q270" s="2" t="s">
        <v>3418</v>
      </c>
      <c r="R270" s="3" t="s">
        <v>65</v>
      </c>
      <c r="S270" s="4">
        <v>6</v>
      </c>
      <c r="T270" s="4">
        <v>6</v>
      </c>
      <c r="U270" s="5" t="s">
        <v>3419</v>
      </c>
      <c r="V270" s="5" t="s">
        <v>3419</v>
      </c>
      <c r="W270" s="5" t="s">
        <v>2839</v>
      </c>
      <c r="X270" s="5" t="s">
        <v>2839</v>
      </c>
      <c r="Y270" s="4">
        <v>625</v>
      </c>
      <c r="Z270" s="4">
        <v>544</v>
      </c>
      <c r="AA270" s="4">
        <v>1467</v>
      </c>
      <c r="AB270" s="4">
        <v>5</v>
      </c>
      <c r="AC270" s="4">
        <v>17</v>
      </c>
      <c r="AD270" s="4">
        <v>22</v>
      </c>
      <c r="AE270" s="4">
        <v>58</v>
      </c>
      <c r="AF270" s="4">
        <v>7</v>
      </c>
      <c r="AG270" s="4">
        <v>22</v>
      </c>
      <c r="AH270" s="4">
        <v>4</v>
      </c>
      <c r="AI270" s="4">
        <v>8</v>
      </c>
      <c r="AJ270" s="4">
        <v>12</v>
      </c>
      <c r="AK270" s="4">
        <v>23</v>
      </c>
      <c r="AL270" s="4">
        <v>4</v>
      </c>
      <c r="AM270" s="4">
        <v>13</v>
      </c>
      <c r="AN270" s="4">
        <v>1</v>
      </c>
      <c r="AO270" s="4">
        <v>3</v>
      </c>
      <c r="AP270" s="3" t="s">
        <v>58</v>
      </c>
      <c r="AQ270" s="3" t="s">
        <v>58</v>
      </c>
      <c r="AS270" s="6" t="str">
        <f>HYPERLINK("https://creighton-primo.hosted.exlibrisgroup.com/primo-explore/search?tab=default_tab&amp;search_scope=EVERYTHING&amp;vid=01CRU&amp;lang=en_US&amp;offset=0&amp;query=any,contains,991000723439702656","Catalog Record")</f>
        <v>Catalog Record</v>
      </c>
      <c r="AT270" s="6" t="str">
        <f>HYPERLINK("http://www.worldcat.org/oclc/12673355","WorldCat Record")</f>
        <v>WorldCat Record</v>
      </c>
      <c r="AU270" s="3" t="s">
        <v>3420</v>
      </c>
      <c r="AV270" s="3" t="s">
        <v>3421</v>
      </c>
      <c r="AW270" s="3" t="s">
        <v>3422</v>
      </c>
      <c r="AX270" s="3" t="s">
        <v>3422</v>
      </c>
      <c r="AY270" s="3" t="s">
        <v>3423</v>
      </c>
      <c r="AZ270" s="3" t="s">
        <v>73</v>
      </c>
      <c r="BB270" s="3" t="s">
        <v>3424</v>
      </c>
      <c r="BC270" s="3" t="s">
        <v>3425</v>
      </c>
      <c r="BD270" s="3" t="s">
        <v>3426</v>
      </c>
    </row>
    <row r="271" spans="1:56" ht="51" customHeight="1" x14ac:dyDescent="0.25">
      <c r="A271" s="7" t="s">
        <v>58</v>
      </c>
      <c r="B271" s="2" t="s">
        <v>3427</v>
      </c>
      <c r="C271" s="2" t="s">
        <v>3428</v>
      </c>
      <c r="D271" s="2" t="s">
        <v>3429</v>
      </c>
      <c r="F271" s="3" t="s">
        <v>58</v>
      </c>
      <c r="G271" s="3" t="s">
        <v>59</v>
      </c>
      <c r="H271" s="3" t="s">
        <v>58</v>
      </c>
      <c r="I271" s="3" t="s">
        <v>58</v>
      </c>
      <c r="J271" s="3" t="s">
        <v>60</v>
      </c>
      <c r="K271" s="2" t="s">
        <v>3430</v>
      </c>
      <c r="L271" s="2" t="s">
        <v>3431</v>
      </c>
      <c r="M271" s="3" t="s">
        <v>653</v>
      </c>
      <c r="O271" s="3" t="s">
        <v>63</v>
      </c>
      <c r="P271" s="3" t="s">
        <v>214</v>
      </c>
      <c r="R271" s="3" t="s">
        <v>65</v>
      </c>
      <c r="S271" s="4">
        <v>4</v>
      </c>
      <c r="T271" s="4">
        <v>4</v>
      </c>
      <c r="U271" s="5" t="s">
        <v>3432</v>
      </c>
      <c r="V271" s="5" t="s">
        <v>3432</v>
      </c>
      <c r="W271" s="5" t="s">
        <v>3433</v>
      </c>
      <c r="X271" s="5" t="s">
        <v>3433</v>
      </c>
      <c r="Y271" s="4">
        <v>411</v>
      </c>
      <c r="Z271" s="4">
        <v>374</v>
      </c>
      <c r="AA271" s="4">
        <v>420</v>
      </c>
      <c r="AB271" s="4">
        <v>2</v>
      </c>
      <c r="AC271" s="4">
        <v>2</v>
      </c>
      <c r="AD271" s="4">
        <v>13</v>
      </c>
      <c r="AE271" s="4">
        <v>14</v>
      </c>
      <c r="AF271" s="4">
        <v>7</v>
      </c>
      <c r="AG271" s="4">
        <v>7</v>
      </c>
      <c r="AH271" s="4">
        <v>5</v>
      </c>
      <c r="AI271" s="4">
        <v>5</v>
      </c>
      <c r="AJ271" s="4">
        <v>5</v>
      </c>
      <c r="AK271" s="4">
        <v>6</v>
      </c>
      <c r="AL271" s="4">
        <v>1</v>
      </c>
      <c r="AM271" s="4">
        <v>1</v>
      </c>
      <c r="AN271" s="4">
        <v>1</v>
      </c>
      <c r="AO271" s="4">
        <v>1</v>
      </c>
      <c r="AP271" s="3" t="s">
        <v>58</v>
      </c>
      <c r="AQ271" s="3" t="s">
        <v>68</v>
      </c>
      <c r="AR271" s="6" t="str">
        <f>HYPERLINK("http://catalog.hathitrust.org/Record/002553056","HathiTrust Record")</f>
        <v>HathiTrust Record</v>
      </c>
      <c r="AS271" s="6" t="str">
        <f>HYPERLINK("https://creighton-primo.hosted.exlibrisgroup.com/primo-explore/search?tab=default_tab&amp;search_scope=EVERYTHING&amp;vid=01CRU&amp;lang=en_US&amp;offset=0&amp;query=any,contains,991001947569702656","Catalog Record")</f>
        <v>Catalog Record</v>
      </c>
      <c r="AT271" s="6" t="str">
        <f>HYPERLINK("http://www.worldcat.org/oclc/24627293","WorldCat Record")</f>
        <v>WorldCat Record</v>
      </c>
      <c r="AU271" s="3" t="s">
        <v>3434</v>
      </c>
      <c r="AV271" s="3" t="s">
        <v>3435</v>
      </c>
      <c r="AW271" s="3" t="s">
        <v>3436</v>
      </c>
      <c r="AX271" s="3" t="s">
        <v>3436</v>
      </c>
      <c r="AY271" s="3" t="s">
        <v>3437</v>
      </c>
      <c r="AZ271" s="3" t="s">
        <v>73</v>
      </c>
      <c r="BB271" s="3" t="s">
        <v>3438</v>
      </c>
      <c r="BC271" s="3" t="s">
        <v>3439</v>
      </c>
      <c r="BD271" s="3" t="s">
        <v>3440</v>
      </c>
    </row>
    <row r="272" spans="1:56" ht="51" customHeight="1" x14ac:dyDescent="0.25">
      <c r="A272" s="7" t="s">
        <v>58</v>
      </c>
      <c r="B272" s="2" t="s">
        <v>3441</v>
      </c>
      <c r="C272" s="2" t="s">
        <v>3442</v>
      </c>
      <c r="D272" s="2" t="s">
        <v>3443</v>
      </c>
      <c r="F272" s="3" t="s">
        <v>58</v>
      </c>
      <c r="G272" s="3" t="s">
        <v>59</v>
      </c>
      <c r="H272" s="3" t="s">
        <v>58</v>
      </c>
      <c r="I272" s="3" t="s">
        <v>58</v>
      </c>
      <c r="J272" s="3" t="s">
        <v>60</v>
      </c>
      <c r="K272" s="2" t="s">
        <v>3444</v>
      </c>
      <c r="L272" s="2" t="s">
        <v>3445</v>
      </c>
      <c r="M272" s="3" t="s">
        <v>855</v>
      </c>
      <c r="O272" s="3" t="s">
        <v>63</v>
      </c>
      <c r="P272" s="3" t="s">
        <v>214</v>
      </c>
      <c r="R272" s="3" t="s">
        <v>65</v>
      </c>
      <c r="S272" s="4">
        <v>4</v>
      </c>
      <c r="T272" s="4">
        <v>4</v>
      </c>
      <c r="U272" s="5" t="s">
        <v>3390</v>
      </c>
      <c r="V272" s="5" t="s">
        <v>3390</v>
      </c>
      <c r="W272" s="5" t="s">
        <v>3446</v>
      </c>
      <c r="X272" s="5" t="s">
        <v>3446</v>
      </c>
      <c r="Y272" s="4">
        <v>1075</v>
      </c>
      <c r="Z272" s="4">
        <v>952</v>
      </c>
      <c r="AA272" s="4">
        <v>1036</v>
      </c>
      <c r="AB272" s="4">
        <v>9</v>
      </c>
      <c r="AC272" s="4">
        <v>9</v>
      </c>
      <c r="AD272" s="4">
        <v>30</v>
      </c>
      <c r="AE272" s="4">
        <v>32</v>
      </c>
      <c r="AF272" s="4">
        <v>13</v>
      </c>
      <c r="AG272" s="4">
        <v>13</v>
      </c>
      <c r="AH272" s="4">
        <v>7</v>
      </c>
      <c r="AI272" s="4">
        <v>8</v>
      </c>
      <c r="AJ272" s="4">
        <v>14</v>
      </c>
      <c r="AK272" s="4">
        <v>16</v>
      </c>
      <c r="AL272" s="4">
        <v>3</v>
      </c>
      <c r="AM272" s="4">
        <v>3</v>
      </c>
      <c r="AN272" s="4">
        <v>0</v>
      </c>
      <c r="AO272" s="4">
        <v>0</v>
      </c>
      <c r="AP272" s="3" t="s">
        <v>58</v>
      </c>
      <c r="AQ272" s="3" t="s">
        <v>68</v>
      </c>
      <c r="AR272" s="6" t="str">
        <f>HYPERLINK("http://catalog.hathitrust.org/Record/002600771","HathiTrust Record")</f>
        <v>HathiTrust Record</v>
      </c>
      <c r="AS272" s="6" t="str">
        <f>HYPERLINK("https://creighton-primo.hosted.exlibrisgroup.com/primo-explore/search?tab=default_tab&amp;search_scope=EVERYTHING&amp;vid=01CRU&amp;lang=en_US&amp;offset=0&amp;query=any,contains,991002050739702656","Catalog Record")</f>
        <v>Catalog Record</v>
      </c>
      <c r="AT272" s="6" t="str">
        <f>HYPERLINK("http://www.worldcat.org/oclc/26161730","WorldCat Record")</f>
        <v>WorldCat Record</v>
      </c>
      <c r="AU272" s="3" t="s">
        <v>3447</v>
      </c>
      <c r="AV272" s="3" t="s">
        <v>3448</v>
      </c>
      <c r="AW272" s="3" t="s">
        <v>3449</v>
      </c>
      <c r="AX272" s="3" t="s">
        <v>3449</v>
      </c>
      <c r="AY272" s="3" t="s">
        <v>3450</v>
      </c>
      <c r="AZ272" s="3" t="s">
        <v>73</v>
      </c>
      <c r="BB272" s="3" t="s">
        <v>3451</v>
      </c>
      <c r="BC272" s="3" t="s">
        <v>3452</v>
      </c>
      <c r="BD272" s="3" t="s">
        <v>3453</v>
      </c>
    </row>
    <row r="273" spans="1:56" ht="51" customHeight="1" x14ac:dyDescent="0.25">
      <c r="A273" s="7" t="s">
        <v>58</v>
      </c>
      <c r="B273" s="2" t="s">
        <v>3454</v>
      </c>
      <c r="C273" s="2" t="s">
        <v>3455</v>
      </c>
      <c r="D273" s="2" t="s">
        <v>3456</v>
      </c>
      <c r="F273" s="3" t="s">
        <v>58</v>
      </c>
      <c r="G273" s="3" t="s">
        <v>59</v>
      </c>
      <c r="H273" s="3" t="s">
        <v>58</v>
      </c>
      <c r="I273" s="3" t="s">
        <v>58</v>
      </c>
      <c r="J273" s="3" t="s">
        <v>60</v>
      </c>
      <c r="K273" s="2" t="s">
        <v>3457</v>
      </c>
      <c r="L273" s="2" t="s">
        <v>3458</v>
      </c>
      <c r="M273" s="3" t="s">
        <v>524</v>
      </c>
      <c r="O273" s="3" t="s">
        <v>63</v>
      </c>
      <c r="P273" s="3" t="s">
        <v>214</v>
      </c>
      <c r="R273" s="3" t="s">
        <v>65</v>
      </c>
      <c r="S273" s="4">
        <v>1</v>
      </c>
      <c r="T273" s="4">
        <v>1</v>
      </c>
      <c r="U273" s="5" t="s">
        <v>3459</v>
      </c>
      <c r="V273" s="5" t="s">
        <v>3459</v>
      </c>
      <c r="W273" s="5" t="s">
        <v>1273</v>
      </c>
      <c r="X273" s="5" t="s">
        <v>1273</v>
      </c>
      <c r="Y273" s="4">
        <v>281</v>
      </c>
      <c r="Z273" s="4">
        <v>248</v>
      </c>
      <c r="AA273" s="4">
        <v>313</v>
      </c>
      <c r="AB273" s="4">
        <v>1</v>
      </c>
      <c r="AC273" s="4">
        <v>3</v>
      </c>
      <c r="AD273" s="4">
        <v>15</v>
      </c>
      <c r="AE273" s="4">
        <v>18</v>
      </c>
      <c r="AF273" s="4">
        <v>5</v>
      </c>
      <c r="AG273" s="4">
        <v>5</v>
      </c>
      <c r="AH273" s="4">
        <v>3</v>
      </c>
      <c r="AI273" s="4">
        <v>4</v>
      </c>
      <c r="AJ273" s="4">
        <v>8</v>
      </c>
      <c r="AK273" s="4">
        <v>9</v>
      </c>
      <c r="AL273" s="4">
        <v>0</v>
      </c>
      <c r="AM273" s="4">
        <v>2</v>
      </c>
      <c r="AN273" s="4">
        <v>0</v>
      </c>
      <c r="AO273" s="4">
        <v>0</v>
      </c>
      <c r="AP273" s="3" t="s">
        <v>58</v>
      </c>
      <c r="AQ273" s="3" t="s">
        <v>58</v>
      </c>
      <c r="AS273" s="6" t="str">
        <f>HYPERLINK("https://creighton-primo.hosted.exlibrisgroup.com/primo-explore/search?tab=default_tab&amp;search_scope=EVERYTHING&amp;vid=01CRU&amp;lang=en_US&amp;offset=0&amp;query=any,contains,991000925839702656","Catalog Record")</f>
        <v>Catalog Record</v>
      </c>
      <c r="AT273" s="6" t="str">
        <f>HYPERLINK("http://www.worldcat.org/oclc/14240124","WorldCat Record")</f>
        <v>WorldCat Record</v>
      </c>
      <c r="AU273" s="3" t="s">
        <v>3460</v>
      </c>
      <c r="AV273" s="3" t="s">
        <v>3461</v>
      </c>
      <c r="AW273" s="3" t="s">
        <v>3462</v>
      </c>
      <c r="AX273" s="3" t="s">
        <v>3462</v>
      </c>
      <c r="AY273" s="3" t="s">
        <v>3463</v>
      </c>
      <c r="AZ273" s="3" t="s">
        <v>73</v>
      </c>
      <c r="BB273" s="3" t="s">
        <v>3464</v>
      </c>
      <c r="BC273" s="3" t="s">
        <v>3465</v>
      </c>
      <c r="BD273" s="3" t="s">
        <v>3466</v>
      </c>
    </row>
    <row r="274" spans="1:56" ht="51" customHeight="1" x14ac:dyDescent="0.25">
      <c r="A274" s="7" t="s">
        <v>58</v>
      </c>
      <c r="B274" s="2" t="s">
        <v>3467</v>
      </c>
      <c r="C274" s="2" t="s">
        <v>3468</v>
      </c>
      <c r="D274" s="2" t="s">
        <v>3469</v>
      </c>
      <c r="F274" s="3" t="s">
        <v>58</v>
      </c>
      <c r="G274" s="3" t="s">
        <v>59</v>
      </c>
      <c r="H274" s="3" t="s">
        <v>58</v>
      </c>
      <c r="I274" s="3" t="s">
        <v>58</v>
      </c>
      <c r="J274" s="3" t="s">
        <v>60</v>
      </c>
      <c r="K274" s="2" t="s">
        <v>3470</v>
      </c>
      <c r="L274" s="2" t="s">
        <v>3471</v>
      </c>
      <c r="M274" s="3" t="s">
        <v>368</v>
      </c>
      <c r="O274" s="3" t="s">
        <v>63</v>
      </c>
      <c r="P274" s="3" t="s">
        <v>2061</v>
      </c>
      <c r="R274" s="3" t="s">
        <v>65</v>
      </c>
      <c r="S274" s="4">
        <v>2</v>
      </c>
      <c r="T274" s="4">
        <v>2</v>
      </c>
      <c r="U274" s="5" t="s">
        <v>3472</v>
      </c>
      <c r="V274" s="5" t="s">
        <v>3472</v>
      </c>
      <c r="W274" s="5" t="s">
        <v>3348</v>
      </c>
      <c r="X274" s="5" t="s">
        <v>3348</v>
      </c>
      <c r="Y274" s="4">
        <v>722</v>
      </c>
      <c r="Z274" s="4">
        <v>579</v>
      </c>
      <c r="AA274" s="4">
        <v>649</v>
      </c>
      <c r="AB274" s="4">
        <v>3</v>
      </c>
      <c r="AC274" s="4">
        <v>4</v>
      </c>
      <c r="AD274" s="4">
        <v>23</v>
      </c>
      <c r="AE274" s="4">
        <v>29</v>
      </c>
      <c r="AF274" s="4">
        <v>10</v>
      </c>
      <c r="AG274" s="4">
        <v>12</v>
      </c>
      <c r="AH274" s="4">
        <v>7</v>
      </c>
      <c r="AI274" s="4">
        <v>7</v>
      </c>
      <c r="AJ274" s="4">
        <v>11</v>
      </c>
      <c r="AK274" s="4">
        <v>15</v>
      </c>
      <c r="AL274" s="4">
        <v>2</v>
      </c>
      <c r="AM274" s="4">
        <v>3</v>
      </c>
      <c r="AN274" s="4">
        <v>0</v>
      </c>
      <c r="AO274" s="4">
        <v>0</v>
      </c>
      <c r="AP274" s="3" t="s">
        <v>58</v>
      </c>
      <c r="AQ274" s="3" t="s">
        <v>68</v>
      </c>
      <c r="AR274" s="6" t="str">
        <f>HYPERLINK("http://catalog.hathitrust.org/Record/000172187","HathiTrust Record")</f>
        <v>HathiTrust Record</v>
      </c>
      <c r="AS274" s="6" t="str">
        <f>HYPERLINK("https://creighton-primo.hosted.exlibrisgroup.com/primo-explore/search?tab=default_tab&amp;search_scope=EVERYTHING&amp;vid=01CRU&amp;lang=en_US&amp;offset=0&amp;query=any,contains,991004233049702656","Catalog Record")</f>
        <v>Catalog Record</v>
      </c>
      <c r="AT274" s="6" t="str">
        <f>HYPERLINK("http://www.worldcat.org/oclc/2755209","WorldCat Record")</f>
        <v>WorldCat Record</v>
      </c>
      <c r="AU274" s="3" t="s">
        <v>3473</v>
      </c>
      <c r="AV274" s="3" t="s">
        <v>3474</v>
      </c>
      <c r="AW274" s="3" t="s">
        <v>3475</v>
      </c>
      <c r="AX274" s="3" t="s">
        <v>3475</v>
      </c>
      <c r="AY274" s="3" t="s">
        <v>3476</v>
      </c>
      <c r="AZ274" s="3" t="s">
        <v>73</v>
      </c>
      <c r="BB274" s="3" t="s">
        <v>3477</v>
      </c>
      <c r="BC274" s="3" t="s">
        <v>3478</v>
      </c>
      <c r="BD274" s="3" t="s">
        <v>3479</v>
      </c>
    </row>
    <row r="275" spans="1:56" ht="51" customHeight="1" x14ac:dyDescent="0.25">
      <c r="A275" s="7" t="s">
        <v>58</v>
      </c>
      <c r="B275" s="2" t="s">
        <v>3480</v>
      </c>
      <c r="C275" s="2" t="s">
        <v>3481</v>
      </c>
      <c r="D275" s="2" t="s">
        <v>3482</v>
      </c>
      <c r="F275" s="3" t="s">
        <v>58</v>
      </c>
      <c r="G275" s="3" t="s">
        <v>59</v>
      </c>
      <c r="H275" s="3" t="s">
        <v>58</v>
      </c>
      <c r="I275" s="3" t="s">
        <v>58</v>
      </c>
      <c r="J275" s="3" t="s">
        <v>60</v>
      </c>
      <c r="K275" s="2" t="s">
        <v>3483</v>
      </c>
      <c r="L275" s="2" t="s">
        <v>3484</v>
      </c>
      <c r="M275" s="3" t="s">
        <v>154</v>
      </c>
      <c r="O275" s="3" t="s">
        <v>63</v>
      </c>
      <c r="P275" s="3" t="s">
        <v>2061</v>
      </c>
      <c r="R275" s="3" t="s">
        <v>65</v>
      </c>
      <c r="S275" s="4">
        <v>15</v>
      </c>
      <c r="T275" s="4">
        <v>15</v>
      </c>
      <c r="U275" s="5" t="s">
        <v>3485</v>
      </c>
      <c r="V275" s="5" t="s">
        <v>3485</v>
      </c>
      <c r="W275" s="5" t="s">
        <v>3486</v>
      </c>
      <c r="X275" s="5" t="s">
        <v>3486</v>
      </c>
      <c r="Y275" s="4">
        <v>544</v>
      </c>
      <c r="Z275" s="4">
        <v>488</v>
      </c>
      <c r="AA275" s="4">
        <v>545</v>
      </c>
      <c r="AB275" s="4">
        <v>2</v>
      </c>
      <c r="AC275" s="4">
        <v>4</v>
      </c>
      <c r="AD275" s="4">
        <v>16</v>
      </c>
      <c r="AE275" s="4">
        <v>20</v>
      </c>
      <c r="AF275" s="4">
        <v>4</v>
      </c>
      <c r="AG275" s="4">
        <v>4</v>
      </c>
      <c r="AH275" s="4">
        <v>5</v>
      </c>
      <c r="AI275" s="4">
        <v>6</v>
      </c>
      <c r="AJ275" s="4">
        <v>7</v>
      </c>
      <c r="AK275" s="4">
        <v>9</v>
      </c>
      <c r="AL275" s="4">
        <v>1</v>
      </c>
      <c r="AM275" s="4">
        <v>3</v>
      </c>
      <c r="AN275" s="4">
        <v>1</v>
      </c>
      <c r="AO275" s="4">
        <v>1</v>
      </c>
      <c r="AP275" s="3" t="s">
        <v>58</v>
      </c>
      <c r="AQ275" s="3" t="s">
        <v>58</v>
      </c>
      <c r="AS275" s="6" t="str">
        <f>HYPERLINK("https://creighton-primo.hosted.exlibrisgroup.com/primo-explore/search?tab=default_tab&amp;search_scope=EVERYTHING&amp;vid=01CRU&amp;lang=en_US&amp;offset=0&amp;query=any,contains,991001662019702656","Catalog Record")</f>
        <v>Catalog Record</v>
      </c>
      <c r="AT275" s="6" t="str">
        <f>HYPERLINK("http://www.worldcat.org/oclc/21187363","WorldCat Record")</f>
        <v>WorldCat Record</v>
      </c>
      <c r="AU275" s="3" t="s">
        <v>3487</v>
      </c>
      <c r="AV275" s="3" t="s">
        <v>3488</v>
      </c>
      <c r="AW275" s="3" t="s">
        <v>3489</v>
      </c>
      <c r="AX275" s="3" t="s">
        <v>3489</v>
      </c>
      <c r="AY275" s="3" t="s">
        <v>3490</v>
      </c>
      <c r="AZ275" s="3" t="s">
        <v>73</v>
      </c>
      <c r="BB275" s="3" t="s">
        <v>3491</v>
      </c>
      <c r="BC275" s="3" t="s">
        <v>3492</v>
      </c>
      <c r="BD275" s="3" t="s">
        <v>3493</v>
      </c>
    </row>
    <row r="276" spans="1:56" ht="51" customHeight="1" x14ac:dyDescent="0.25">
      <c r="A276" s="7" t="s">
        <v>58</v>
      </c>
      <c r="B276" s="2" t="s">
        <v>3494</v>
      </c>
      <c r="C276" s="2" t="s">
        <v>3495</v>
      </c>
      <c r="D276" s="2" t="s">
        <v>3496</v>
      </c>
      <c r="F276" s="3" t="s">
        <v>58</v>
      </c>
      <c r="G276" s="3" t="s">
        <v>59</v>
      </c>
      <c r="H276" s="3" t="s">
        <v>58</v>
      </c>
      <c r="I276" s="3" t="s">
        <v>68</v>
      </c>
      <c r="J276" s="3" t="s">
        <v>60</v>
      </c>
      <c r="K276" s="2" t="s">
        <v>3497</v>
      </c>
      <c r="L276" s="2" t="s">
        <v>3498</v>
      </c>
      <c r="M276" s="3" t="s">
        <v>154</v>
      </c>
      <c r="N276" s="2" t="s">
        <v>2091</v>
      </c>
      <c r="O276" s="3" t="s">
        <v>63</v>
      </c>
      <c r="P276" s="3" t="s">
        <v>214</v>
      </c>
      <c r="R276" s="3" t="s">
        <v>65</v>
      </c>
      <c r="S276" s="4">
        <v>1</v>
      </c>
      <c r="T276" s="4">
        <v>1</v>
      </c>
      <c r="U276" s="5" t="s">
        <v>3499</v>
      </c>
      <c r="V276" s="5" t="s">
        <v>3499</v>
      </c>
      <c r="W276" s="5" t="s">
        <v>3500</v>
      </c>
      <c r="X276" s="5" t="s">
        <v>3500</v>
      </c>
      <c r="Y276" s="4">
        <v>354</v>
      </c>
      <c r="Z276" s="4">
        <v>324</v>
      </c>
      <c r="AA276" s="4">
        <v>868</v>
      </c>
      <c r="AB276" s="4">
        <v>4</v>
      </c>
      <c r="AC276" s="4">
        <v>4</v>
      </c>
      <c r="AD276" s="4">
        <v>12</v>
      </c>
      <c r="AE276" s="4">
        <v>29</v>
      </c>
      <c r="AF276" s="4">
        <v>1</v>
      </c>
      <c r="AG276" s="4">
        <v>10</v>
      </c>
      <c r="AH276" s="4">
        <v>3</v>
      </c>
      <c r="AI276" s="4">
        <v>7</v>
      </c>
      <c r="AJ276" s="4">
        <v>6</v>
      </c>
      <c r="AK276" s="4">
        <v>15</v>
      </c>
      <c r="AL276" s="4">
        <v>3</v>
      </c>
      <c r="AM276" s="4">
        <v>3</v>
      </c>
      <c r="AN276" s="4">
        <v>1</v>
      </c>
      <c r="AO276" s="4">
        <v>1</v>
      </c>
      <c r="AP276" s="3" t="s">
        <v>58</v>
      </c>
      <c r="AQ276" s="3" t="s">
        <v>58</v>
      </c>
      <c r="AS276" s="6" t="str">
        <f>HYPERLINK("https://creighton-primo.hosted.exlibrisgroup.com/primo-explore/search?tab=default_tab&amp;search_scope=EVERYTHING&amp;vid=01CRU&amp;lang=en_US&amp;offset=0&amp;query=any,contains,991001468459702656","Catalog Record")</f>
        <v>Catalog Record</v>
      </c>
      <c r="AT276" s="6" t="str">
        <f>HYPERLINK("http://www.worldcat.org/oclc/19517274","WorldCat Record")</f>
        <v>WorldCat Record</v>
      </c>
      <c r="AU276" s="3" t="s">
        <v>3501</v>
      </c>
      <c r="AV276" s="3" t="s">
        <v>3502</v>
      </c>
      <c r="AW276" s="3" t="s">
        <v>3503</v>
      </c>
      <c r="AX276" s="3" t="s">
        <v>3503</v>
      </c>
      <c r="AY276" s="3" t="s">
        <v>3504</v>
      </c>
      <c r="AZ276" s="3" t="s">
        <v>73</v>
      </c>
      <c r="BB276" s="3" t="s">
        <v>3505</v>
      </c>
      <c r="BC276" s="3" t="s">
        <v>3506</v>
      </c>
      <c r="BD276" s="3" t="s">
        <v>3507</v>
      </c>
    </row>
    <row r="277" spans="1:56" ht="51" customHeight="1" x14ac:dyDescent="0.25">
      <c r="A277" s="7" t="s">
        <v>58</v>
      </c>
      <c r="B277" s="2" t="s">
        <v>3508</v>
      </c>
      <c r="C277" s="2" t="s">
        <v>3509</v>
      </c>
      <c r="D277" s="2" t="s">
        <v>3510</v>
      </c>
      <c r="F277" s="3" t="s">
        <v>58</v>
      </c>
      <c r="G277" s="3" t="s">
        <v>59</v>
      </c>
      <c r="H277" s="3" t="s">
        <v>58</v>
      </c>
      <c r="I277" s="3" t="s">
        <v>58</v>
      </c>
      <c r="J277" s="3" t="s">
        <v>60</v>
      </c>
      <c r="L277" s="2" t="s">
        <v>3511</v>
      </c>
      <c r="M277" s="3" t="s">
        <v>759</v>
      </c>
      <c r="O277" s="3" t="s">
        <v>63</v>
      </c>
      <c r="P277" s="3" t="s">
        <v>214</v>
      </c>
      <c r="R277" s="3" t="s">
        <v>65</v>
      </c>
      <c r="S277" s="4">
        <v>6</v>
      </c>
      <c r="T277" s="4">
        <v>6</v>
      </c>
      <c r="U277" s="5" t="s">
        <v>3512</v>
      </c>
      <c r="V277" s="5" t="s">
        <v>3512</v>
      </c>
      <c r="W277" s="5" t="s">
        <v>3513</v>
      </c>
      <c r="X277" s="5" t="s">
        <v>3513</v>
      </c>
      <c r="Y277" s="4">
        <v>432</v>
      </c>
      <c r="Z277" s="4">
        <v>392</v>
      </c>
      <c r="AA277" s="4">
        <v>431</v>
      </c>
      <c r="AB277" s="4">
        <v>4</v>
      </c>
      <c r="AC277" s="4">
        <v>4</v>
      </c>
      <c r="AD277" s="4">
        <v>17</v>
      </c>
      <c r="AE277" s="4">
        <v>20</v>
      </c>
      <c r="AF277" s="4">
        <v>7</v>
      </c>
      <c r="AG277" s="4">
        <v>8</v>
      </c>
      <c r="AH277" s="4">
        <v>5</v>
      </c>
      <c r="AI277" s="4">
        <v>5</v>
      </c>
      <c r="AJ277" s="4">
        <v>6</v>
      </c>
      <c r="AK277" s="4">
        <v>9</v>
      </c>
      <c r="AL277" s="4">
        <v>3</v>
      </c>
      <c r="AM277" s="4">
        <v>3</v>
      </c>
      <c r="AN277" s="4">
        <v>0</v>
      </c>
      <c r="AO277" s="4">
        <v>0</v>
      </c>
      <c r="AP277" s="3" t="s">
        <v>58</v>
      </c>
      <c r="AQ277" s="3" t="s">
        <v>58</v>
      </c>
      <c r="AS277" s="6" t="str">
        <f>HYPERLINK("https://creighton-primo.hosted.exlibrisgroup.com/primo-explore/search?tab=default_tab&amp;search_scope=EVERYTHING&amp;vid=01CRU&amp;lang=en_US&amp;offset=0&amp;query=any,contains,991005020199702656","Catalog Record")</f>
        <v>Catalog Record</v>
      </c>
      <c r="AT277" s="6" t="str">
        <f>HYPERLINK("http://www.worldcat.org/oclc/6648923","WorldCat Record")</f>
        <v>WorldCat Record</v>
      </c>
      <c r="AU277" s="3" t="s">
        <v>3514</v>
      </c>
      <c r="AV277" s="3" t="s">
        <v>3515</v>
      </c>
      <c r="AW277" s="3" t="s">
        <v>3516</v>
      </c>
      <c r="AX277" s="3" t="s">
        <v>3516</v>
      </c>
      <c r="AY277" s="3" t="s">
        <v>3517</v>
      </c>
      <c r="AZ277" s="3" t="s">
        <v>73</v>
      </c>
      <c r="BB277" s="3" t="s">
        <v>3518</v>
      </c>
      <c r="BC277" s="3" t="s">
        <v>3519</v>
      </c>
      <c r="BD277" s="3" t="s">
        <v>3520</v>
      </c>
    </row>
    <row r="278" spans="1:56" ht="51" customHeight="1" x14ac:dyDescent="0.25">
      <c r="A278" s="7" t="s">
        <v>58</v>
      </c>
      <c r="B278" s="2" t="s">
        <v>3521</v>
      </c>
      <c r="C278" s="2" t="s">
        <v>3522</v>
      </c>
      <c r="D278" s="2" t="s">
        <v>3523</v>
      </c>
      <c r="F278" s="3" t="s">
        <v>58</v>
      </c>
      <c r="G278" s="3" t="s">
        <v>59</v>
      </c>
      <c r="H278" s="3" t="s">
        <v>58</v>
      </c>
      <c r="I278" s="3" t="s">
        <v>58</v>
      </c>
      <c r="J278" s="3" t="s">
        <v>60</v>
      </c>
      <c r="L278" s="2" t="s">
        <v>3524</v>
      </c>
      <c r="M278" s="3" t="s">
        <v>524</v>
      </c>
      <c r="O278" s="3" t="s">
        <v>63</v>
      </c>
      <c r="P278" s="3" t="s">
        <v>214</v>
      </c>
      <c r="R278" s="3" t="s">
        <v>65</v>
      </c>
      <c r="S278" s="4">
        <v>4</v>
      </c>
      <c r="T278" s="4">
        <v>4</v>
      </c>
      <c r="U278" s="5" t="s">
        <v>3525</v>
      </c>
      <c r="V278" s="5" t="s">
        <v>3525</v>
      </c>
      <c r="W278" s="5" t="s">
        <v>3096</v>
      </c>
      <c r="X278" s="5" t="s">
        <v>3096</v>
      </c>
      <c r="Y278" s="4">
        <v>346</v>
      </c>
      <c r="Z278" s="4">
        <v>322</v>
      </c>
      <c r="AA278" s="4">
        <v>390</v>
      </c>
      <c r="AB278" s="4">
        <v>4</v>
      </c>
      <c r="AC278" s="4">
        <v>4</v>
      </c>
      <c r="AD278" s="4">
        <v>19</v>
      </c>
      <c r="AE278" s="4">
        <v>19</v>
      </c>
      <c r="AF278" s="4">
        <v>7</v>
      </c>
      <c r="AG278" s="4">
        <v>7</v>
      </c>
      <c r="AH278" s="4">
        <v>6</v>
      </c>
      <c r="AI278" s="4">
        <v>6</v>
      </c>
      <c r="AJ278" s="4">
        <v>9</v>
      </c>
      <c r="AK278" s="4">
        <v>9</v>
      </c>
      <c r="AL278" s="4">
        <v>3</v>
      </c>
      <c r="AM278" s="4">
        <v>3</v>
      </c>
      <c r="AN278" s="4">
        <v>0</v>
      </c>
      <c r="AO278" s="4">
        <v>0</v>
      </c>
      <c r="AP278" s="3" t="s">
        <v>58</v>
      </c>
      <c r="AQ278" s="3" t="s">
        <v>58</v>
      </c>
      <c r="AS278" s="6" t="str">
        <f>HYPERLINK("https://creighton-primo.hosted.exlibrisgroup.com/primo-explore/search?tab=default_tab&amp;search_scope=EVERYTHING&amp;vid=01CRU&amp;lang=en_US&amp;offset=0&amp;query=any,contains,991000770629702656","Catalog Record")</f>
        <v>Catalog Record</v>
      </c>
      <c r="AT278" s="6" t="str">
        <f>HYPERLINK("http://www.worldcat.org/oclc/13010901","WorldCat Record")</f>
        <v>WorldCat Record</v>
      </c>
      <c r="AU278" s="3" t="s">
        <v>3526</v>
      </c>
      <c r="AV278" s="3" t="s">
        <v>3527</v>
      </c>
      <c r="AW278" s="3" t="s">
        <v>3528</v>
      </c>
      <c r="AX278" s="3" t="s">
        <v>3528</v>
      </c>
      <c r="AY278" s="3" t="s">
        <v>3529</v>
      </c>
      <c r="AZ278" s="3" t="s">
        <v>73</v>
      </c>
      <c r="BB278" s="3" t="s">
        <v>3530</v>
      </c>
      <c r="BC278" s="3" t="s">
        <v>3531</v>
      </c>
      <c r="BD278" s="3" t="s">
        <v>3532</v>
      </c>
    </row>
    <row r="279" spans="1:56" ht="51" customHeight="1" x14ac:dyDescent="0.25">
      <c r="A279" s="7" t="s">
        <v>58</v>
      </c>
      <c r="B279" s="2" t="s">
        <v>3533</v>
      </c>
      <c r="C279" s="2" t="s">
        <v>3534</v>
      </c>
      <c r="D279" s="2" t="s">
        <v>3535</v>
      </c>
      <c r="F279" s="3" t="s">
        <v>58</v>
      </c>
      <c r="G279" s="3" t="s">
        <v>59</v>
      </c>
      <c r="H279" s="3" t="s">
        <v>58</v>
      </c>
      <c r="I279" s="3" t="s">
        <v>58</v>
      </c>
      <c r="J279" s="3" t="s">
        <v>60</v>
      </c>
      <c r="L279" s="2" t="s">
        <v>3536</v>
      </c>
      <c r="M279" s="3" t="s">
        <v>1399</v>
      </c>
      <c r="O279" s="3" t="s">
        <v>63</v>
      </c>
      <c r="P279" s="3" t="s">
        <v>1837</v>
      </c>
      <c r="R279" s="3" t="s">
        <v>65</v>
      </c>
      <c r="S279" s="4">
        <v>1</v>
      </c>
      <c r="T279" s="4">
        <v>1</v>
      </c>
      <c r="U279" s="5" t="s">
        <v>3537</v>
      </c>
      <c r="V279" s="5" t="s">
        <v>3537</v>
      </c>
      <c r="W279" s="5" t="s">
        <v>3538</v>
      </c>
      <c r="X279" s="5" t="s">
        <v>3538</v>
      </c>
      <c r="Y279" s="4">
        <v>785</v>
      </c>
      <c r="Z279" s="4">
        <v>650</v>
      </c>
      <c r="AA279" s="4">
        <v>651</v>
      </c>
      <c r="AB279" s="4">
        <v>4</v>
      </c>
      <c r="AC279" s="4">
        <v>4</v>
      </c>
      <c r="AD279" s="4">
        <v>27</v>
      </c>
      <c r="AE279" s="4">
        <v>27</v>
      </c>
      <c r="AF279" s="4">
        <v>9</v>
      </c>
      <c r="AG279" s="4">
        <v>9</v>
      </c>
      <c r="AH279" s="4">
        <v>7</v>
      </c>
      <c r="AI279" s="4">
        <v>7</v>
      </c>
      <c r="AJ279" s="4">
        <v>13</v>
      </c>
      <c r="AK279" s="4">
        <v>13</v>
      </c>
      <c r="AL279" s="4">
        <v>3</v>
      </c>
      <c r="AM279" s="4">
        <v>3</v>
      </c>
      <c r="AN279" s="4">
        <v>2</v>
      </c>
      <c r="AO279" s="4">
        <v>2</v>
      </c>
      <c r="AP279" s="3" t="s">
        <v>58</v>
      </c>
      <c r="AQ279" s="3" t="s">
        <v>68</v>
      </c>
      <c r="AR279" s="6" t="str">
        <f>HYPERLINK("http://catalog.hathitrust.org/Record/002512462","HathiTrust Record")</f>
        <v>HathiTrust Record</v>
      </c>
      <c r="AS279" s="6" t="str">
        <f>HYPERLINK("https://creighton-primo.hosted.exlibrisgroup.com/primo-explore/search?tab=default_tab&amp;search_scope=EVERYTHING&amp;vid=01CRU&amp;lang=en_US&amp;offset=0&amp;query=any,contains,991001338889702656","Catalog Record")</f>
        <v>Catalog Record</v>
      </c>
      <c r="AT279" s="6" t="str">
        <f>HYPERLINK("http://www.worldcat.org/oclc/18379326","WorldCat Record")</f>
        <v>WorldCat Record</v>
      </c>
      <c r="AU279" s="3" t="s">
        <v>3539</v>
      </c>
      <c r="AV279" s="3" t="s">
        <v>3540</v>
      </c>
      <c r="AW279" s="3" t="s">
        <v>3541</v>
      </c>
      <c r="AX279" s="3" t="s">
        <v>3541</v>
      </c>
      <c r="AY279" s="3" t="s">
        <v>3542</v>
      </c>
      <c r="AZ279" s="3" t="s">
        <v>73</v>
      </c>
      <c r="BB279" s="3" t="s">
        <v>3543</v>
      </c>
      <c r="BC279" s="3" t="s">
        <v>3544</v>
      </c>
      <c r="BD279" s="3" t="s">
        <v>3545</v>
      </c>
    </row>
    <row r="280" spans="1:56" ht="51" customHeight="1" x14ac:dyDescent="0.25">
      <c r="A280" s="7" t="s">
        <v>58</v>
      </c>
      <c r="B280" s="2" t="s">
        <v>3546</v>
      </c>
      <c r="C280" s="2" t="s">
        <v>3547</v>
      </c>
      <c r="D280" s="2" t="s">
        <v>3548</v>
      </c>
      <c r="F280" s="3" t="s">
        <v>58</v>
      </c>
      <c r="G280" s="3" t="s">
        <v>59</v>
      </c>
      <c r="H280" s="3" t="s">
        <v>58</v>
      </c>
      <c r="I280" s="3" t="s">
        <v>58</v>
      </c>
      <c r="J280" s="3" t="s">
        <v>60</v>
      </c>
      <c r="K280" s="2" t="s">
        <v>3549</v>
      </c>
      <c r="L280" s="2" t="s">
        <v>3550</v>
      </c>
      <c r="M280" s="3" t="s">
        <v>524</v>
      </c>
      <c r="O280" s="3" t="s">
        <v>63</v>
      </c>
      <c r="P280" s="3" t="s">
        <v>214</v>
      </c>
      <c r="Q280" s="2" t="s">
        <v>3551</v>
      </c>
      <c r="R280" s="3" t="s">
        <v>65</v>
      </c>
      <c r="S280" s="4">
        <v>4</v>
      </c>
      <c r="T280" s="4">
        <v>4</v>
      </c>
      <c r="U280" s="5" t="s">
        <v>3552</v>
      </c>
      <c r="V280" s="5" t="s">
        <v>3552</v>
      </c>
      <c r="W280" s="5" t="s">
        <v>3553</v>
      </c>
      <c r="X280" s="5" t="s">
        <v>3553</v>
      </c>
      <c r="Y280" s="4">
        <v>445</v>
      </c>
      <c r="Z280" s="4">
        <v>352</v>
      </c>
      <c r="AA280" s="4">
        <v>354</v>
      </c>
      <c r="AB280" s="4">
        <v>4</v>
      </c>
      <c r="AC280" s="4">
        <v>4</v>
      </c>
      <c r="AD280" s="4">
        <v>20</v>
      </c>
      <c r="AE280" s="4">
        <v>20</v>
      </c>
      <c r="AF280" s="4">
        <v>6</v>
      </c>
      <c r="AG280" s="4">
        <v>6</v>
      </c>
      <c r="AH280" s="4">
        <v>6</v>
      </c>
      <c r="AI280" s="4">
        <v>6</v>
      </c>
      <c r="AJ280" s="4">
        <v>8</v>
      </c>
      <c r="AK280" s="4">
        <v>8</v>
      </c>
      <c r="AL280" s="4">
        <v>3</v>
      </c>
      <c r="AM280" s="4">
        <v>3</v>
      </c>
      <c r="AN280" s="4">
        <v>1</v>
      </c>
      <c r="AO280" s="4">
        <v>1</v>
      </c>
      <c r="AP280" s="3" t="s">
        <v>58</v>
      </c>
      <c r="AQ280" s="3" t="s">
        <v>68</v>
      </c>
      <c r="AR280" s="6" t="str">
        <f>HYPERLINK("http://catalog.hathitrust.org/Record/000828487","HathiTrust Record")</f>
        <v>HathiTrust Record</v>
      </c>
      <c r="AS280" s="6" t="str">
        <f>HYPERLINK("https://creighton-primo.hosted.exlibrisgroup.com/primo-explore/search?tab=default_tab&amp;search_scope=EVERYTHING&amp;vid=01CRU&amp;lang=en_US&amp;offset=0&amp;query=any,contains,991000774649702656","Catalog Record")</f>
        <v>Catalog Record</v>
      </c>
      <c r="AT280" s="6" t="str">
        <f>HYPERLINK("http://www.worldcat.org/oclc/13063006","WorldCat Record")</f>
        <v>WorldCat Record</v>
      </c>
      <c r="AU280" s="3" t="s">
        <v>3554</v>
      </c>
      <c r="AV280" s="3" t="s">
        <v>3555</v>
      </c>
      <c r="AW280" s="3" t="s">
        <v>3556</v>
      </c>
      <c r="AX280" s="3" t="s">
        <v>3556</v>
      </c>
      <c r="AY280" s="3" t="s">
        <v>3557</v>
      </c>
      <c r="AZ280" s="3" t="s">
        <v>73</v>
      </c>
      <c r="BB280" s="3" t="s">
        <v>3558</v>
      </c>
      <c r="BC280" s="3" t="s">
        <v>3559</v>
      </c>
      <c r="BD280" s="3" t="s">
        <v>3560</v>
      </c>
    </row>
    <row r="281" spans="1:56" ht="51" customHeight="1" x14ac:dyDescent="0.25">
      <c r="A281" s="7" t="s">
        <v>58</v>
      </c>
      <c r="B281" s="2" t="s">
        <v>3561</v>
      </c>
      <c r="C281" s="2" t="s">
        <v>3562</v>
      </c>
      <c r="D281" s="2" t="s">
        <v>3563</v>
      </c>
      <c r="E281" s="3" t="s">
        <v>223</v>
      </c>
      <c r="F281" s="3" t="s">
        <v>68</v>
      </c>
      <c r="G281" s="3" t="s">
        <v>59</v>
      </c>
      <c r="H281" s="3" t="s">
        <v>58</v>
      </c>
      <c r="I281" s="3" t="s">
        <v>58</v>
      </c>
      <c r="J281" s="3" t="s">
        <v>60</v>
      </c>
      <c r="K281" s="2" t="s">
        <v>3564</v>
      </c>
      <c r="L281" s="2" t="s">
        <v>3565</v>
      </c>
      <c r="M281" s="3" t="s">
        <v>653</v>
      </c>
      <c r="O281" s="3" t="s">
        <v>63</v>
      </c>
      <c r="P281" s="3" t="s">
        <v>214</v>
      </c>
      <c r="R281" s="3" t="s">
        <v>65</v>
      </c>
      <c r="S281" s="4">
        <v>11</v>
      </c>
      <c r="T281" s="4">
        <v>21</v>
      </c>
      <c r="U281" s="5" t="s">
        <v>3566</v>
      </c>
      <c r="V281" s="5" t="s">
        <v>3566</v>
      </c>
      <c r="W281" s="5" t="s">
        <v>3567</v>
      </c>
      <c r="X281" s="5" t="s">
        <v>3567</v>
      </c>
      <c r="Y281" s="4">
        <v>664</v>
      </c>
      <c r="Z281" s="4">
        <v>611</v>
      </c>
      <c r="AA281" s="4">
        <v>617</v>
      </c>
      <c r="AB281" s="4">
        <v>10</v>
      </c>
      <c r="AC281" s="4">
        <v>10</v>
      </c>
      <c r="AD281" s="4">
        <v>32</v>
      </c>
      <c r="AE281" s="4">
        <v>33</v>
      </c>
      <c r="AF281" s="4">
        <v>11</v>
      </c>
      <c r="AG281" s="4">
        <v>12</v>
      </c>
      <c r="AH281" s="4">
        <v>6</v>
      </c>
      <c r="AI281" s="4">
        <v>6</v>
      </c>
      <c r="AJ281" s="4">
        <v>12</v>
      </c>
      <c r="AK281" s="4">
        <v>13</v>
      </c>
      <c r="AL281" s="4">
        <v>7</v>
      </c>
      <c r="AM281" s="4">
        <v>7</v>
      </c>
      <c r="AN281" s="4">
        <v>1</v>
      </c>
      <c r="AO281" s="4">
        <v>1</v>
      </c>
      <c r="AP281" s="3" t="s">
        <v>58</v>
      </c>
      <c r="AQ281" s="3" t="s">
        <v>58</v>
      </c>
      <c r="AS281" s="6" t="str">
        <f>HYPERLINK("https://creighton-primo.hosted.exlibrisgroup.com/primo-explore/search?tab=default_tab&amp;search_scope=EVERYTHING&amp;vid=01CRU&amp;lang=en_US&amp;offset=0&amp;query=any,contains,991001927519702656","Catalog Record")</f>
        <v>Catalog Record</v>
      </c>
      <c r="AT281" s="6" t="str">
        <f>HYPERLINK("http://www.worldcat.org/oclc/24333443","WorldCat Record")</f>
        <v>WorldCat Record</v>
      </c>
      <c r="AU281" s="3" t="s">
        <v>3568</v>
      </c>
      <c r="AV281" s="3" t="s">
        <v>3569</v>
      </c>
      <c r="AW281" s="3" t="s">
        <v>3570</v>
      </c>
      <c r="AX281" s="3" t="s">
        <v>3570</v>
      </c>
      <c r="AY281" s="3" t="s">
        <v>3571</v>
      </c>
      <c r="AZ281" s="3" t="s">
        <v>73</v>
      </c>
      <c r="BC281" s="3" t="s">
        <v>3572</v>
      </c>
      <c r="BD281" s="3" t="s">
        <v>3573</v>
      </c>
    </row>
    <row r="282" spans="1:56" ht="51" customHeight="1" x14ac:dyDescent="0.25">
      <c r="A282" s="7" t="s">
        <v>58</v>
      </c>
      <c r="B282" s="2" t="s">
        <v>3561</v>
      </c>
      <c r="C282" s="2" t="s">
        <v>3562</v>
      </c>
      <c r="D282" s="2" t="s">
        <v>3563</v>
      </c>
      <c r="E282" s="3" t="s">
        <v>210</v>
      </c>
      <c r="F282" s="3" t="s">
        <v>68</v>
      </c>
      <c r="G282" s="3" t="s">
        <v>59</v>
      </c>
      <c r="H282" s="3" t="s">
        <v>58</v>
      </c>
      <c r="I282" s="3" t="s">
        <v>58</v>
      </c>
      <c r="J282" s="3" t="s">
        <v>60</v>
      </c>
      <c r="K282" s="2" t="s">
        <v>3564</v>
      </c>
      <c r="L282" s="2" t="s">
        <v>3565</v>
      </c>
      <c r="M282" s="3" t="s">
        <v>653</v>
      </c>
      <c r="O282" s="3" t="s">
        <v>63</v>
      </c>
      <c r="P282" s="3" t="s">
        <v>214</v>
      </c>
      <c r="R282" s="3" t="s">
        <v>65</v>
      </c>
      <c r="S282" s="4">
        <v>10</v>
      </c>
      <c r="T282" s="4">
        <v>21</v>
      </c>
      <c r="U282" s="5" t="s">
        <v>3566</v>
      </c>
      <c r="V282" s="5" t="s">
        <v>3566</v>
      </c>
      <c r="W282" s="5" t="s">
        <v>3567</v>
      </c>
      <c r="X282" s="5" t="s">
        <v>3567</v>
      </c>
      <c r="Y282" s="4">
        <v>664</v>
      </c>
      <c r="Z282" s="4">
        <v>611</v>
      </c>
      <c r="AA282" s="4">
        <v>617</v>
      </c>
      <c r="AB282" s="4">
        <v>10</v>
      </c>
      <c r="AC282" s="4">
        <v>10</v>
      </c>
      <c r="AD282" s="4">
        <v>32</v>
      </c>
      <c r="AE282" s="4">
        <v>33</v>
      </c>
      <c r="AF282" s="4">
        <v>11</v>
      </c>
      <c r="AG282" s="4">
        <v>12</v>
      </c>
      <c r="AH282" s="4">
        <v>6</v>
      </c>
      <c r="AI282" s="4">
        <v>6</v>
      </c>
      <c r="AJ282" s="4">
        <v>12</v>
      </c>
      <c r="AK282" s="4">
        <v>13</v>
      </c>
      <c r="AL282" s="4">
        <v>7</v>
      </c>
      <c r="AM282" s="4">
        <v>7</v>
      </c>
      <c r="AN282" s="4">
        <v>1</v>
      </c>
      <c r="AO282" s="4">
        <v>1</v>
      </c>
      <c r="AP282" s="3" t="s">
        <v>58</v>
      </c>
      <c r="AQ282" s="3" t="s">
        <v>58</v>
      </c>
      <c r="AS282" s="6" t="str">
        <f>HYPERLINK("https://creighton-primo.hosted.exlibrisgroup.com/primo-explore/search?tab=default_tab&amp;search_scope=EVERYTHING&amp;vid=01CRU&amp;lang=en_US&amp;offset=0&amp;query=any,contains,991001927519702656","Catalog Record")</f>
        <v>Catalog Record</v>
      </c>
      <c r="AT282" s="6" t="str">
        <f>HYPERLINK("http://www.worldcat.org/oclc/24333443","WorldCat Record")</f>
        <v>WorldCat Record</v>
      </c>
      <c r="AU282" s="3" t="s">
        <v>3568</v>
      </c>
      <c r="AV282" s="3" t="s">
        <v>3569</v>
      </c>
      <c r="AW282" s="3" t="s">
        <v>3570</v>
      </c>
      <c r="AX282" s="3" t="s">
        <v>3570</v>
      </c>
      <c r="AY282" s="3" t="s">
        <v>3571</v>
      </c>
      <c r="AZ282" s="3" t="s">
        <v>73</v>
      </c>
      <c r="BC282" s="3" t="s">
        <v>3574</v>
      </c>
      <c r="BD282" s="3" t="s">
        <v>3575</v>
      </c>
    </row>
    <row r="283" spans="1:56" ht="51" customHeight="1" x14ac:dyDescent="0.25">
      <c r="A283" s="7" t="s">
        <v>58</v>
      </c>
      <c r="B283" s="2" t="s">
        <v>3576</v>
      </c>
      <c r="C283" s="2" t="s">
        <v>3577</v>
      </c>
      <c r="D283" s="2" t="s">
        <v>3578</v>
      </c>
      <c r="F283" s="3" t="s">
        <v>58</v>
      </c>
      <c r="G283" s="3" t="s">
        <v>59</v>
      </c>
      <c r="H283" s="3" t="s">
        <v>58</v>
      </c>
      <c r="I283" s="3" t="s">
        <v>58</v>
      </c>
      <c r="J283" s="3" t="s">
        <v>60</v>
      </c>
      <c r="K283" s="2" t="s">
        <v>3579</v>
      </c>
      <c r="L283" s="2" t="s">
        <v>3580</v>
      </c>
      <c r="M283" s="3" t="s">
        <v>1061</v>
      </c>
      <c r="O283" s="3" t="s">
        <v>63</v>
      </c>
      <c r="P283" s="3" t="s">
        <v>1584</v>
      </c>
      <c r="R283" s="3" t="s">
        <v>65</v>
      </c>
      <c r="S283" s="4">
        <v>12</v>
      </c>
      <c r="T283" s="4">
        <v>12</v>
      </c>
      <c r="U283" s="5" t="s">
        <v>3581</v>
      </c>
      <c r="V283" s="5" t="s">
        <v>3581</v>
      </c>
      <c r="W283" s="5" t="s">
        <v>1108</v>
      </c>
      <c r="X283" s="5" t="s">
        <v>1108</v>
      </c>
      <c r="Y283" s="4">
        <v>288</v>
      </c>
      <c r="Z283" s="4">
        <v>229</v>
      </c>
      <c r="AA283" s="4">
        <v>233</v>
      </c>
      <c r="AB283" s="4">
        <v>2</v>
      </c>
      <c r="AC283" s="4">
        <v>2</v>
      </c>
      <c r="AD283" s="4">
        <v>12</v>
      </c>
      <c r="AE283" s="4">
        <v>12</v>
      </c>
      <c r="AF283" s="4">
        <v>3</v>
      </c>
      <c r="AG283" s="4">
        <v>3</v>
      </c>
      <c r="AH283" s="4">
        <v>4</v>
      </c>
      <c r="AI283" s="4">
        <v>4</v>
      </c>
      <c r="AJ283" s="4">
        <v>7</v>
      </c>
      <c r="AK283" s="4">
        <v>7</v>
      </c>
      <c r="AL283" s="4">
        <v>1</v>
      </c>
      <c r="AM283" s="4">
        <v>1</v>
      </c>
      <c r="AN283" s="4">
        <v>1</v>
      </c>
      <c r="AO283" s="4">
        <v>1</v>
      </c>
      <c r="AP283" s="3" t="s">
        <v>58</v>
      </c>
      <c r="AQ283" s="3" t="s">
        <v>68</v>
      </c>
      <c r="AR283" s="6" t="str">
        <f>HYPERLINK("http://catalog.hathitrust.org/Record/003115982","HathiTrust Record")</f>
        <v>HathiTrust Record</v>
      </c>
      <c r="AS283" s="6" t="str">
        <f>HYPERLINK("https://creighton-primo.hosted.exlibrisgroup.com/primo-explore/search?tab=default_tab&amp;search_scope=EVERYTHING&amp;vid=01CRU&amp;lang=en_US&amp;offset=0&amp;query=any,contains,991002702779702656","Catalog Record")</f>
        <v>Catalog Record</v>
      </c>
      <c r="AT283" s="6" t="str">
        <f>HYPERLINK("http://www.worldcat.org/oclc/35285450","WorldCat Record")</f>
        <v>WorldCat Record</v>
      </c>
      <c r="AU283" s="3" t="s">
        <v>3582</v>
      </c>
      <c r="AV283" s="3" t="s">
        <v>3583</v>
      </c>
      <c r="AW283" s="3" t="s">
        <v>3584</v>
      </c>
      <c r="AX283" s="3" t="s">
        <v>3584</v>
      </c>
      <c r="AY283" s="3" t="s">
        <v>3585</v>
      </c>
      <c r="AZ283" s="3" t="s">
        <v>73</v>
      </c>
      <c r="BB283" s="3" t="s">
        <v>3586</v>
      </c>
      <c r="BC283" s="3" t="s">
        <v>3587</v>
      </c>
      <c r="BD283" s="3" t="s">
        <v>3588</v>
      </c>
    </row>
    <row r="284" spans="1:56" ht="51" customHeight="1" x14ac:dyDescent="0.25">
      <c r="A284" s="7" t="s">
        <v>58</v>
      </c>
      <c r="B284" s="2" t="s">
        <v>3589</v>
      </c>
      <c r="C284" s="2" t="s">
        <v>3590</v>
      </c>
      <c r="D284" s="2" t="s">
        <v>3591</v>
      </c>
      <c r="F284" s="3" t="s">
        <v>58</v>
      </c>
      <c r="G284" s="3" t="s">
        <v>59</v>
      </c>
      <c r="H284" s="3" t="s">
        <v>58</v>
      </c>
      <c r="I284" s="3" t="s">
        <v>58</v>
      </c>
      <c r="J284" s="3" t="s">
        <v>60</v>
      </c>
      <c r="K284" s="2" t="s">
        <v>3592</v>
      </c>
      <c r="L284" s="2" t="s">
        <v>3593</v>
      </c>
      <c r="M284" s="3" t="s">
        <v>842</v>
      </c>
      <c r="O284" s="3" t="s">
        <v>63</v>
      </c>
      <c r="P284" s="3" t="s">
        <v>584</v>
      </c>
      <c r="R284" s="3" t="s">
        <v>65</v>
      </c>
      <c r="S284" s="4">
        <v>1</v>
      </c>
      <c r="T284" s="4">
        <v>1</v>
      </c>
      <c r="U284" s="5" t="s">
        <v>3003</v>
      </c>
      <c r="V284" s="5" t="s">
        <v>3003</v>
      </c>
      <c r="W284" s="5" t="s">
        <v>3242</v>
      </c>
      <c r="X284" s="5" t="s">
        <v>3242</v>
      </c>
      <c r="Y284" s="4">
        <v>296</v>
      </c>
      <c r="Z284" s="4">
        <v>206</v>
      </c>
      <c r="AA284" s="4">
        <v>215</v>
      </c>
      <c r="AB284" s="4">
        <v>3</v>
      </c>
      <c r="AC284" s="4">
        <v>3</v>
      </c>
      <c r="AD284" s="4">
        <v>9</v>
      </c>
      <c r="AE284" s="4">
        <v>11</v>
      </c>
      <c r="AF284" s="4">
        <v>2</v>
      </c>
      <c r="AG284" s="4">
        <v>3</v>
      </c>
      <c r="AH284" s="4">
        <v>3</v>
      </c>
      <c r="AI284" s="4">
        <v>4</v>
      </c>
      <c r="AJ284" s="4">
        <v>3</v>
      </c>
      <c r="AK284" s="4">
        <v>5</v>
      </c>
      <c r="AL284" s="4">
        <v>2</v>
      </c>
      <c r="AM284" s="4">
        <v>2</v>
      </c>
      <c r="AN284" s="4">
        <v>0</v>
      </c>
      <c r="AO284" s="4">
        <v>0</v>
      </c>
      <c r="AP284" s="3" t="s">
        <v>58</v>
      </c>
      <c r="AQ284" s="3" t="s">
        <v>68</v>
      </c>
      <c r="AR284" s="6" t="str">
        <f>HYPERLINK("http://catalog.hathitrust.org/Record/000765946","HathiTrust Record")</f>
        <v>HathiTrust Record</v>
      </c>
      <c r="AS284" s="6" t="str">
        <f>HYPERLINK("https://creighton-primo.hosted.exlibrisgroup.com/primo-explore/search?tab=default_tab&amp;search_scope=EVERYTHING&amp;vid=01CRU&amp;lang=en_US&amp;offset=0&amp;query=any,contains,991005172469702656","Catalog Record")</f>
        <v>Catalog Record</v>
      </c>
      <c r="AT284" s="6" t="str">
        <f>HYPERLINK("http://www.worldcat.org/oclc/7305744","WorldCat Record")</f>
        <v>WorldCat Record</v>
      </c>
      <c r="AU284" s="3" t="s">
        <v>3594</v>
      </c>
      <c r="AV284" s="3" t="s">
        <v>3595</v>
      </c>
      <c r="AW284" s="3" t="s">
        <v>3596</v>
      </c>
      <c r="AX284" s="3" t="s">
        <v>3596</v>
      </c>
      <c r="AY284" s="3" t="s">
        <v>3597</v>
      </c>
      <c r="AZ284" s="3" t="s">
        <v>73</v>
      </c>
      <c r="BB284" s="3" t="s">
        <v>3598</v>
      </c>
      <c r="BC284" s="3" t="s">
        <v>3599</v>
      </c>
      <c r="BD284" s="3" t="s">
        <v>3600</v>
      </c>
    </row>
    <row r="285" spans="1:56" ht="51" customHeight="1" x14ac:dyDescent="0.25">
      <c r="A285" s="7" t="s">
        <v>58</v>
      </c>
      <c r="B285" s="2" t="s">
        <v>3601</v>
      </c>
      <c r="C285" s="2" t="s">
        <v>3602</v>
      </c>
      <c r="D285" s="2" t="s">
        <v>3603</v>
      </c>
      <c r="F285" s="3" t="s">
        <v>58</v>
      </c>
      <c r="G285" s="3" t="s">
        <v>59</v>
      </c>
      <c r="H285" s="3" t="s">
        <v>58</v>
      </c>
      <c r="I285" s="3" t="s">
        <v>58</v>
      </c>
      <c r="J285" s="3" t="s">
        <v>60</v>
      </c>
      <c r="L285" s="2" t="s">
        <v>3604</v>
      </c>
      <c r="M285" s="3" t="s">
        <v>353</v>
      </c>
      <c r="O285" s="3" t="s">
        <v>63</v>
      </c>
      <c r="P285" s="3" t="s">
        <v>1837</v>
      </c>
      <c r="R285" s="3" t="s">
        <v>65</v>
      </c>
      <c r="S285" s="4">
        <v>3</v>
      </c>
      <c r="T285" s="4">
        <v>3</v>
      </c>
      <c r="U285" s="5" t="s">
        <v>3605</v>
      </c>
      <c r="V285" s="5" t="s">
        <v>3605</v>
      </c>
      <c r="W285" s="5" t="s">
        <v>3242</v>
      </c>
      <c r="X285" s="5" t="s">
        <v>3242</v>
      </c>
      <c r="Y285" s="4">
        <v>29</v>
      </c>
      <c r="Z285" s="4">
        <v>27</v>
      </c>
      <c r="AA285" s="4">
        <v>35</v>
      </c>
      <c r="AB285" s="4">
        <v>1</v>
      </c>
      <c r="AC285" s="4">
        <v>1</v>
      </c>
      <c r="AD285" s="4">
        <v>3</v>
      </c>
      <c r="AE285" s="4">
        <v>4</v>
      </c>
      <c r="AF285" s="4">
        <v>0</v>
      </c>
      <c r="AG285" s="4">
        <v>0</v>
      </c>
      <c r="AH285" s="4">
        <v>2</v>
      </c>
      <c r="AI285" s="4">
        <v>2</v>
      </c>
      <c r="AJ285" s="4">
        <v>2</v>
      </c>
      <c r="AK285" s="4">
        <v>3</v>
      </c>
      <c r="AL285" s="4">
        <v>0</v>
      </c>
      <c r="AM285" s="4">
        <v>0</v>
      </c>
      <c r="AN285" s="4">
        <v>0</v>
      </c>
      <c r="AO285" s="4">
        <v>0</v>
      </c>
      <c r="AP285" s="3" t="s">
        <v>58</v>
      </c>
      <c r="AQ285" s="3" t="s">
        <v>58</v>
      </c>
      <c r="AS285" s="6" t="str">
        <f>HYPERLINK("https://creighton-primo.hosted.exlibrisgroup.com/primo-explore/search?tab=default_tab&amp;search_scope=EVERYTHING&amp;vid=01CRU&amp;lang=en_US&amp;offset=0&amp;query=any,contains,991001216049702656","Catalog Record")</f>
        <v>Catalog Record</v>
      </c>
      <c r="AT285" s="6" t="str">
        <f>HYPERLINK("http://www.worldcat.org/oclc/17423901","WorldCat Record")</f>
        <v>WorldCat Record</v>
      </c>
      <c r="AU285" s="3" t="s">
        <v>3606</v>
      </c>
      <c r="AV285" s="3" t="s">
        <v>3607</v>
      </c>
      <c r="AW285" s="3" t="s">
        <v>3608</v>
      </c>
      <c r="AX285" s="3" t="s">
        <v>3608</v>
      </c>
      <c r="AY285" s="3" t="s">
        <v>3609</v>
      </c>
      <c r="AZ285" s="3" t="s">
        <v>73</v>
      </c>
      <c r="BB285" s="3" t="s">
        <v>3610</v>
      </c>
      <c r="BC285" s="3" t="s">
        <v>3611</v>
      </c>
      <c r="BD285" s="3" t="s">
        <v>3612</v>
      </c>
    </row>
    <row r="286" spans="1:56" ht="51" customHeight="1" x14ac:dyDescent="0.25">
      <c r="A286" s="7" t="s">
        <v>58</v>
      </c>
      <c r="B286" s="2" t="s">
        <v>3613</v>
      </c>
      <c r="C286" s="2" t="s">
        <v>3614</v>
      </c>
      <c r="D286" s="2" t="s">
        <v>3615</v>
      </c>
      <c r="F286" s="3" t="s">
        <v>58</v>
      </c>
      <c r="G286" s="3" t="s">
        <v>59</v>
      </c>
      <c r="H286" s="3" t="s">
        <v>58</v>
      </c>
      <c r="I286" s="3" t="s">
        <v>58</v>
      </c>
      <c r="J286" s="3" t="s">
        <v>60</v>
      </c>
      <c r="L286" s="2" t="s">
        <v>3616</v>
      </c>
      <c r="M286" s="3" t="s">
        <v>397</v>
      </c>
      <c r="O286" s="3" t="s">
        <v>63</v>
      </c>
      <c r="P286" s="3" t="s">
        <v>354</v>
      </c>
      <c r="R286" s="3" t="s">
        <v>65</v>
      </c>
      <c r="S286" s="4">
        <v>4</v>
      </c>
      <c r="T286" s="4">
        <v>4</v>
      </c>
      <c r="U286" s="5" t="s">
        <v>3605</v>
      </c>
      <c r="V286" s="5" t="s">
        <v>3605</v>
      </c>
      <c r="W286" s="5" t="s">
        <v>3096</v>
      </c>
      <c r="X286" s="5" t="s">
        <v>3096</v>
      </c>
      <c r="Y286" s="4">
        <v>380</v>
      </c>
      <c r="Z286" s="4">
        <v>358</v>
      </c>
      <c r="AA286" s="4">
        <v>475</v>
      </c>
      <c r="AB286" s="4">
        <v>4</v>
      </c>
      <c r="AC286" s="4">
        <v>5</v>
      </c>
      <c r="AD286" s="4">
        <v>17</v>
      </c>
      <c r="AE286" s="4">
        <v>22</v>
      </c>
      <c r="AF286" s="4">
        <v>6</v>
      </c>
      <c r="AG286" s="4">
        <v>8</v>
      </c>
      <c r="AH286" s="4">
        <v>4</v>
      </c>
      <c r="AI286" s="4">
        <v>4</v>
      </c>
      <c r="AJ286" s="4">
        <v>9</v>
      </c>
      <c r="AK286" s="4">
        <v>12</v>
      </c>
      <c r="AL286" s="4">
        <v>3</v>
      </c>
      <c r="AM286" s="4">
        <v>4</v>
      </c>
      <c r="AN286" s="4">
        <v>0</v>
      </c>
      <c r="AO286" s="4">
        <v>0</v>
      </c>
      <c r="AP286" s="3" t="s">
        <v>58</v>
      </c>
      <c r="AQ286" s="3" t="s">
        <v>68</v>
      </c>
      <c r="AR286" s="6" t="str">
        <f>HYPERLINK("http://catalog.hathitrust.org/Record/004409437","HathiTrust Record")</f>
        <v>HathiTrust Record</v>
      </c>
      <c r="AS286" s="6" t="str">
        <f>HYPERLINK("https://creighton-primo.hosted.exlibrisgroup.com/primo-explore/search?tab=default_tab&amp;search_scope=EVERYTHING&amp;vid=01CRU&amp;lang=en_US&amp;offset=0&amp;query=any,contains,991000516659702656","Catalog Record")</f>
        <v>Catalog Record</v>
      </c>
      <c r="AT286" s="6" t="str">
        <f>HYPERLINK("http://www.worldcat.org/oclc/11290801","WorldCat Record")</f>
        <v>WorldCat Record</v>
      </c>
      <c r="AU286" s="3" t="s">
        <v>3617</v>
      </c>
      <c r="AV286" s="3" t="s">
        <v>3618</v>
      </c>
      <c r="AW286" s="3" t="s">
        <v>3619</v>
      </c>
      <c r="AX286" s="3" t="s">
        <v>3619</v>
      </c>
      <c r="AY286" s="3" t="s">
        <v>3620</v>
      </c>
      <c r="AZ286" s="3" t="s">
        <v>73</v>
      </c>
      <c r="BB286" s="3" t="s">
        <v>3621</v>
      </c>
      <c r="BC286" s="3" t="s">
        <v>3622</v>
      </c>
      <c r="BD286" s="3" t="s">
        <v>3623</v>
      </c>
    </row>
    <row r="287" spans="1:56" ht="51" customHeight="1" x14ac:dyDescent="0.25">
      <c r="A287" s="7" t="s">
        <v>58</v>
      </c>
      <c r="B287" s="2" t="s">
        <v>3624</v>
      </c>
      <c r="C287" s="2" t="s">
        <v>3625</v>
      </c>
      <c r="D287" s="2" t="s">
        <v>3626</v>
      </c>
      <c r="F287" s="3" t="s">
        <v>58</v>
      </c>
      <c r="G287" s="3" t="s">
        <v>59</v>
      </c>
      <c r="H287" s="3" t="s">
        <v>58</v>
      </c>
      <c r="I287" s="3" t="s">
        <v>58</v>
      </c>
      <c r="J287" s="3" t="s">
        <v>60</v>
      </c>
      <c r="K287" s="2" t="s">
        <v>3627</v>
      </c>
      <c r="L287" s="2" t="s">
        <v>3628</v>
      </c>
      <c r="M287" s="3" t="s">
        <v>855</v>
      </c>
      <c r="N287" s="2" t="s">
        <v>338</v>
      </c>
      <c r="O287" s="3" t="s">
        <v>63</v>
      </c>
      <c r="P287" s="3" t="s">
        <v>214</v>
      </c>
      <c r="R287" s="3" t="s">
        <v>65</v>
      </c>
      <c r="S287" s="4">
        <v>3</v>
      </c>
      <c r="T287" s="4">
        <v>3</v>
      </c>
      <c r="U287" s="5" t="s">
        <v>3629</v>
      </c>
      <c r="V287" s="5" t="s">
        <v>3629</v>
      </c>
      <c r="W287" s="5" t="s">
        <v>3630</v>
      </c>
      <c r="X287" s="5" t="s">
        <v>3630</v>
      </c>
      <c r="Y287" s="4">
        <v>1122</v>
      </c>
      <c r="Z287" s="4">
        <v>1040</v>
      </c>
      <c r="AA287" s="4">
        <v>1048</v>
      </c>
      <c r="AB287" s="4">
        <v>8</v>
      </c>
      <c r="AC287" s="4">
        <v>8</v>
      </c>
      <c r="AD287" s="4">
        <v>33</v>
      </c>
      <c r="AE287" s="4">
        <v>34</v>
      </c>
      <c r="AF287" s="4">
        <v>10</v>
      </c>
      <c r="AG287" s="4">
        <v>11</v>
      </c>
      <c r="AH287" s="4">
        <v>8</v>
      </c>
      <c r="AI287" s="4">
        <v>8</v>
      </c>
      <c r="AJ287" s="4">
        <v>14</v>
      </c>
      <c r="AK287" s="4">
        <v>15</v>
      </c>
      <c r="AL287" s="4">
        <v>6</v>
      </c>
      <c r="AM287" s="4">
        <v>6</v>
      </c>
      <c r="AN287" s="4">
        <v>1</v>
      </c>
      <c r="AO287" s="4">
        <v>1</v>
      </c>
      <c r="AP287" s="3" t="s">
        <v>58</v>
      </c>
      <c r="AQ287" s="3" t="s">
        <v>58</v>
      </c>
      <c r="AS287" s="6" t="str">
        <f>HYPERLINK("https://creighton-primo.hosted.exlibrisgroup.com/primo-explore/search?tab=default_tab&amp;search_scope=EVERYTHING&amp;vid=01CRU&amp;lang=en_US&amp;offset=0&amp;query=any,contains,991002257909702656","Catalog Record")</f>
        <v>Catalog Record</v>
      </c>
      <c r="AT287" s="6" t="str">
        <f>HYPERLINK("http://www.worldcat.org/oclc/29256687","WorldCat Record")</f>
        <v>WorldCat Record</v>
      </c>
      <c r="AU287" s="3" t="s">
        <v>3631</v>
      </c>
      <c r="AV287" s="3" t="s">
        <v>3632</v>
      </c>
      <c r="AW287" s="3" t="s">
        <v>3633</v>
      </c>
      <c r="AX287" s="3" t="s">
        <v>3633</v>
      </c>
      <c r="AY287" s="3" t="s">
        <v>3634</v>
      </c>
      <c r="AZ287" s="3" t="s">
        <v>73</v>
      </c>
      <c r="BB287" s="3" t="s">
        <v>3635</v>
      </c>
      <c r="BC287" s="3" t="s">
        <v>3636</v>
      </c>
      <c r="BD287" s="3" t="s">
        <v>3637</v>
      </c>
    </row>
    <row r="288" spans="1:56" ht="51" customHeight="1" x14ac:dyDescent="0.25">
      <c r="A288" s="7" t="s">
        <v>58</v>
      </c>
      <c r="B288" s="2" t="s">
        <v>3638</v>
      </c>
      <c r="C288" s="2" t="s">
        <v>3639</v>
      </c>
      <c r="D288" s="2" t="s">
        <v>3640</v>
      </c>
      <c r="F288" s="3" t="s">
        <v>58</v>
      </c>
      <c r="G288" s="3" t="s">
        <v>59</v>
      </c>
      <c r="H288" s="3" t="s">
        <v>58</v>
      </c>
      <c r="I288" s="3" t="s">
        <v>58</v>
      </c>
      <c r="J288" s="3" t="s">
        <v>60</v>
      </c>
      <c r="L288" s="2" t="s">
        <v>3641</v>
      </c>
      <c r="M288" s="3" t="s">
        <v>183</v>
      </c>
      <c r="O288" s="3" t="s">
        <v>63</v>
      </c>
      <c r="P288" s="3" t="s">
        <v>411</v>
      </c>
      <c r="Q288" s="2" t="s">
        <v>3642</v>
      </c>
      <c r="R288" s="3" t="s">
        <v>65</v>
      </c>
      <c r="S288" s="4">
        <v>4</v>
      </c>
      <c r="T288" s="4">
        <v>4</v>
      </c>
      <c r="U288" s="5" t="s">
        <v>3643</v>
      </c>
      <c r="V288" s="5" t="s">
        <v>3643</v>
      </c>
      <c r="W288" s="5" t="s">
        <v>3056</v>
      </c>
      <c r="X288" s="5" t="s">
        <v>3056</v>
      </c>
      <c r="Y288" s="4">
        <v>173</v>
      </c>
      <c r="Z288" s="4">
        <v>147</v>
      </c>
      <c r="AA288" s="4">
        <v>148</v>
      </c>
      <c r="AB288" s="4">
        <v>1</v>
      </c>
      <c r="AC288" s="4">
        <v>1</v>
      </c>
      <c r="AD288" s="4">
        <v>5</v>
      </c>
      <c r="AE288" s="4">
        <v>5</v>
      </c>
      <c r="AF288" s="4">
        <v>2</v>
      </c>
      <c r="AG288" s="4">
        <v>2</v>
      </c>
      <c r="AH288" s="4">
        <v>1</v>
      </c>
      <c r="AI288" s="4">
        <v>1</v>
      </c>
      <c r="AJ288" s="4">
        <v>3</v>
      </c>
      <c r="AK288" s="4">
        <v>3</v>
      </c>
      <c r="AL288" s="4">
        <v>0</v>
      </c>
      <c r="AM288" s="4">
        <v>0</v>
      </c>
      <c r="AN288" s="4">
        <v>0</v>
      </c>
      <c r="AO288" s="4">
        <v>0</v>
      </c>
      <c r="AP288" s="3" t="s">
        <v>58</v>
      </c>
      <c r="AQ288" s="3" t="s">
        <v>68</v>
      </c>
      <c r="AR288" s="6" t="str">
        <f>HYPERLINK("http://catalog.hathitrust.org/Record/000454454","HathiTrust Record")</f>
        <v>HathiTrust Record</v>
      </c>
      <c r="AS288" s="6" t="str">
        <f>HYPERLINK("https://creighton-primo.hosted.exlibrisgroup.com/primo-explore/search?tab=default_tab&amp;search_scope=EVERYTHING&amp;vid=01CRU&amp;lang=en_US&amp;offset=0&amp;query=any,contains,991004415239702656","Catalog Record")</f>
        <v>Catalog Record</v>
      </c>
      <c r="AT288" s="6" t="str">
        <f>HYPERLINK("http://www.worldcat.org/oclc/3361039","WorldCat Record")</f>
        <v>WorldCat Record</v>
      </c>
      <c r="AU288" s="3" t="s">
        <v>3644</v>
      </c>
      <c r="AV288" s="3" t="s">
        <v>3645</v>
      </c>
      <c r="AW288" s="3" t="s">
        <v>3646</v>
      </c>
      <c r="AX288" s="3" t="s">
        <v>3646</v>
      </c>
      <c r="AY288" s="3" t="s">
        <v>3647</v>
      </c>
      <c r="AZ288" s="3" t="s">
        <v>73</v>
      </c>
      <c r="BB288" s="3" t="s">
        <v>3648</v>
      </c>
      <c r="BC288" s="3" t="s">
        <v>3649</v>
      </c>
      <c r="BD288" s="3" t="s">
        <v>3650</v>
      </c>
    </row>
    <row r="289" spans="1:56" ht="51" customHeight="1" x14ac:dyDescent="0.25">
      <c r="A289" s="7" t="s">
        <v>58</v>
      </c>
      <c r="B289" s="2" t="s">
        <v>3651</v>
      </c>
      <c r="C289" s="2" t="s">
        <v>3652</v>
      </c>
      <c r="D289" s="2" t="s">
        <v>3653</v>
      </c>
      <c r="F289" s="3" t="s">
        <v>58</v>
      </c>
      <c r="G289" s="3" t="s">
        <v>59</v>
      </c>
      <c r="H289" s="3" t="s">
        <v>58</v>
      </c>
      <c r="I289" s="3" t="s">
        <v>58</v>
      </c>
      <c r="J289" s="3" t="s">
        <v>60</v>
      </c>
      <c r="L289" s="2" t="s">
        <v>3654</v>
      </c>
      <c r="M289" s="3" t="s">
        <v>1784</v>
      </c>
      <c r="O289" s="3" t="s">
        <v>63</v>
      </c>
      <c r="P289" s="3" t="s">
        <v>451</v>
      </c>
      <c r="Q289" s="2" t="s">
        <v>3655</v>
      </c>
      <c r="R289" s="3" t="s">
        <v>65</v>
      </c>
      <c r="S289" s="4">
        <v>5</v>
      </c>
      <c r="T289" s="4">
        <v>5</v>
      </c>
      <c r="U289" s="5" t="s">
        <v>3656</v>
      </c>
      <c r="V289" s="5" t="s">
        <v>3656</v>
      </c>
      <c r="W289" s="5" t="s">
        <v>1371</v>
      </c>
      <c r="X289" s="5" t="s">
        <v>1371</v>
      </c>
      <c r="Y289" s="4">
        <v>60</v>
      </c>
      <c r="Z289" s="4">
        <v>55</v>
      </c>
      <c r="AA289" s="4">
        <v>55</v>
      </c>
      <c r="AB289" s="4">
        <v>10</v>
      </c>
      <c r="AC289" s="4">
        <v>10</v>
      </c>
      <c r="AD289" s="4">
        <v>9</v>
      </c>
      <c r="AE289" s="4">
        <v>9</v>
      </c>
      <c r="AF289" s="4">
        <v>0</v>
      </c>
      <c r="AG289" s="4">
        <v>0</v>
      </c>
      <c r="AH289" s="4">
        <v>0</v>
      </c>
      <c r="AI289" s="4">
        <v>0</v>
      </c>
      <c r="AJ289" s="4">
        <v>0</v>
      </c>
      <c r="AK289" s="4">
        <v>0</v>
      </c>
      <c r="AL289" s="4">
        <v>9</v>
      </c>
      <c r="AM289" s="4">
        <v>9</v>
      </c>
      <c r="AN289" s="4">
        <v>0</v>
      </c>
      <c r="AO289" s="4">
        <v>0</v>
      </c>
      <c r="AP289" s="3" t="s">
        <v>58</v>
      </c>
      <c r="AQ289" s="3" t="s">
        <v>58</v>
      </c>
      <c r="AS289" s="6" t="str">
        <f>HYPERLINK("https://creighton-primo.hosted.exlibrisgroup.com/primo-explore/search?tab=default_tab&amp;search_scope=EVERYTHING&amp;vid=01CRU&amp;lang=en_US&amp;offset=0&amp;query=any,contains,991004805489702656","Catalog Record")</f>
        <v>Catalog Record</v>
      </c>
      <c r="AT289" s="6" t="str">
        <f>HYPERLINK("http://www.worldcat.org/oclc/5241533","WorldCat Record")</f>
        <v>WorldCat Record</v>
      </c>
      <c r="AU289" s="3" t="s">
        <v>3657</v>
      </c>
      <c r="AV289" s="3" t="s">
        <v>3658</v>
      </c>
      <c r="AW289" s="3" t="s">
        <v>3659</v>
      </c>
      <c r="AX289" s="3" t="s">
        <v>3659</v>
      </c>
      <c r="AY289" s="3" t="s">
        <v>3660</v>
      </c>
      <c r="AZ289" s="3" t="s">
        <v>73</v>
      </c>
      <c r="BB289" s="3" t="s">
        <v>3661</v>
      </c>
      <c r="BC289" s="3" t="s">
        <v>3662</v>
      </c>
      <c r="BD289" s="3" t="s">
        <v>3663</v>
      </c>
    </row>
    <row r="290" spans="1:56" ht="51" customHeight="1" x14ac:dyDescent="0.25">
      <c r="A290" s="7" t="s">
        <v>58</v>
      </c>
      <c r="B290" s="2" t="s">
        <v>3664</v>
      </c>
      <c r="C290" s="2" t="s">
        <v>3665</v>
      </c>
      <c r="D290" s="2" t="s">
        <v>3666</v>
      </c>
      <c r="F290" s="3" t="s">
        <v>58</v>
      </c>
      <c r="G290" s="3" t="s">
        <v>59</v>
      </c>
      <c r="H290" s="3" t="s">
        <v>58</v>
      </c>
      <c r="I290" s="3" t="s">
        <v>58</v>
      </c>
      <c r="J290" s="3" t="s">
        <v>60</v>
      </c>
      <c r="L290" s="2" t="s">
        <v>3667</v>
      </c>
      <c r="M290" s="3" t="s">
        <v>1061</v>
      </c>
      <c r="N290" s="2" t="s">
        <v>3668</v>
      </c>
      <c r="O290" s="3" t="s">
        <v>63</v>
      </c>
      <c r="P290" s="3" t="s">
        <v>214</v>
      </c>
      <c r="R290" s="3" t="s">
        <v>65</v>
      </c>
      <c r="S290" s="4">
        <v>12</v>
      </c>
      <c r="T290" s="4">
        <v>12</v>
      </c>
      <c r="U290" s="5" t="s">
        <v>3669</v>
      </c>
      <c r="V290" s="5" t="s">
        <v>3669</v>
      </c>
      <c r="W290" s="5" t="s">
        <v>3670</v>
      </c>
      <c r="X290" s="5" t="s">
        <v>3670</v>
      </c>
      <c r="Y290" s="4">
        <v>348</v>
      </c>
      <c r="Z290" s="4">
        <v>286</v>
      </c>
      <c r="AA290" s="4">
        <v>287</v>
      </c>
      <c r="AB290" s="4">
        <v>2</v>
      </c>
      <c r="AC290" s="4">
        <v>2</v>
      </c>
      <c r="AD290" s="4">
        <v>12</v>
      </c>
      <c r="AE290" s="4">
        <v>12</v>
      </c>
      <c r="AF290" s="4">
        <v>4</v>
      </c>
      <c r="AG290" s="4">
        <v>4</v>
      </c>
      <c r="AH290" s="4">
        <v>3</v>
      </c>
      <c r="AI290" s="4">
        <v>3</v>
      </c>
      <c r="AJ290" s="4">
        <v>8</v>
      </c>
      <c r="AK290" s="4">
        <v>8</v>
      </c>
      <c r="AL290" s="4">
        <v>1</v>
      </c>
      <c r="AM290" s="4">
        <v>1</v>
      </c>
      <c r="AN290" s="4">
        <v>0</v>
      </c>
      <c r="AO290" s="4">
        <v>0</v>
      </c>
      <c r="AP290" s="3" t="s">
        <v>58</v>
      </c>
      <c r="AQ290" s="3" t="s">
        <v>58</v>
      </c>
      <c r="AS290" s="6" t="str">
        <f>HYPERLINK("https://creighton-primo.hosted.exlibrisgroup.com/primo-explore/search?tab=default_tab&amp;search_scope=EVERYTHING&amp;vid=01CRU&amp;lang=en_US&amp;offset=0&amp;query=any,contains,991002781119702656","Catalog Record")</f>
        <v>Catalog Record</v>
      </c>
      <c r="AT290" s="6" t="str">
        <f>HYPERLINK("http://www.worldcat.org/oclc/36509864","WorldCat Record")</f>
        <v>WorldCat Record</v>
      </c>
      <c r="AU290" s="3" t="s">
        <v>3671</v>
      </c>
      <c r="AV290" s="3" t="s">
        <v>3672</v>
      </c>
      <c r="AW290" s="3" t="s">
        <v>3673</v>
      </c>
      <c r="AX290" s="3" t="s">
        <v>3673</v>
      </c>
      <c r="AY290" s="3" t="s">
        <v>3674</v>
      </c>
      <c r="AZ290" s="3" t="s">
        <v>73</v>
      </c>
      <c r="BB290" s="3" t="s">
        <v>3675</v>
      </c>
      <c r="BC290" s="3" t="s">
        <v>3676</v>
      </c>
      <c r="BD290" s="3" t="s">
        <v>3677</v>
      </c>
    </row>
    <row r="291" spans="1:56" ht="51" customHeight="1" x14ac:dyDescent="0.25">
      <c r="A291" s="7" t="s">
        <v>58</v>
      </c>
      <c r="B291" s="2" t="s">
        <v>3678</v>
      </c>
      <c r="C291" s="2" t="s">
        <v>3679</v>
      </c>
      <c r="D291" s="2" t="s">
        <v>3680</v>
      </c>
      <c r="F291" s="3" t="s">
        <v>58</v>
      </c>
      <c r="G291" s="3" t="s">
        <v>59</v>
      </c>
      <c r="H291" s="3" t="s">
        <v>58</v>
      </c>
      <c r="I291" s="3" t="s">
        <v>68</v>
      </c>
      <c r="J291" s="3" t="s">
        <v>60</v>
      </c>
      <c r="K291" s="2" t="s">
        <v>3681</v>
      </c>
      <c r="L291" s="2" t="s">
        <v>3682</v>
      </c>
      <c r="M291" s="3" t="s">
        <v>855</v>
      </c>
      <c r="O291" s="3" t="s">
        <v>63</v>
      </c>
      <c r="P291" s="3" t="s">
        <v>1837</v>
      </c>
      <c r="R291" s="3" t="s">
        <v>65</v>
      </c>
      <c r="S291" s="4">
        <v>1</v>
      </c>
      <c r="T291" s="4">
        <v>1</v>
      </c>
      <c r="U291" s="5" t="s">
        <v>3683</v>
      </c>
      <c r="V291" s="5" t="s">
        <v>3683</v>
      </c>
      <c r="W291" s="5" t="s">
        <v>141</v>
      </c>
      <c r="X291" s="5" t="s">
        <v>141</v>
      </c>
      <c r="Y291" s="4">
        <v>822</v>
      </c>
      <c r="Z291" s="4">
        <v>688</v>
      </c>
      <c r="AA291" s="4">
        <v>1721</v>
      </c>
      <c r="AB291" s="4">
        <v>3</v>
      </c>
      <c r="AC291" s="4">
        <v>33</v>
      </c>
      <c r="AD291" s="4">
        <v>30</v>
      </c>
      <c r="AE291" s="4">
        <v>66</v>
      </c>
      <c r="AF291" s="4">
        <v>11</v>
      </c>
      <c r="AG291" s="4">
        <v>26</v>
      </c>
      <c r="AH291" s="4">
        <v>8</v>
      </c>
      <c r="AI291" s="4">
        <v>11</v>
      </c>
      <c r="AJ291" s="4">
        <v>15</v>
      </c>
      <c r="AK291" s="4">
        <v>24</v>
      </c>
      <c r="AL291" s="4">
        <v>2</v>
      </c>
      <c r="AM291" s="4">
        <v>14</v>
      </c>
      <c r="AN291" s="4">
        <v>3</v>
      </c>
      <c r="AO291" s="4">
        <v>5</v>
      </c>
      <c r="AP291" s="3" t="s">
        <v>58</v>
      </c>
      <c r="AQ291" s="3" t="s">
        <v>58</v>
      </c>
      <c r="AS291" s="6" t="str">
        <f>HYPERLINK("https://creighton-primo.hosted.exlibrisgroup.com/primo-explore/search?tab=default_tab&amp;search_scope=EVERYTHING&amp;vid=01CRU&amp;lang=en_US&amp;offset=0&amp;query=any,contains,991002157769702656","Catalog Record")</f>
        <v>Catalog Record</v>
      </c>
      <c r="AT291" s="6" t="str">
        <f>HYPERLINK("http://www.worldcat.org/oclc/27810746","WorldCat Record")</f>
        <v>WorldCat Record</v>
      </c>
      <c r="AU291" s="3" t="s">
        <v>3684</v>
      </c>
      <c r="AV291" s="3" t="s">
        <v>3685</v>
      </c>
      <c r="AW291" s="3" t="s">
        <v>3686</v>
      </c>
      <c r="AX291" s="3" t="s">
        <v>3686</v>
      </c>
      <c r="AY291" s="3" t="s">
        <v>3687</v>
      </c>
      <c r="AZ291" s="3" t="s">
        <v>73</v>
      </c>
      <c r="BB291" s="3" t="s">
        <v>3688</v>
      </c>
      <c r="BC291" s="3" t="s">
        <v>3689</v>
      </c>
      <c r="BD291" s="3" t="s">
        <v>3690</v>
      </c>
    </row>
    <row r="292" spans="1:56" ht="51" customHeight="1" x14ac:dyDescent="0.25">
      <c r="A292" s="7" t="s">
        <v>58</v>
      </c>
      <c r="B292" s="2" t="s">
        <v>3691</v>
      </c>
      <c r="C292" s="2" t="s">
        <v>3692</v>
      </c>
      <c r="D292" s="2" t="s">
        <v>3680</v>
      </c>
      <c r="F292" s="3" t="s">
        <v>58</v>
      </c>
      <c r="G292" s="3" t="s">
        <v>59</v>
      </c>
      <c r="H292" s="3" t="s">
        <v>58</v>
      </c>
      <c r="I292" s="3" t="s">
        <v>68</v>
      </c>
      <c r="J292" s="3" t="s">
        <v>60</v>
      </c>
      <c r="K292" s="2" t="s">
        <v>3681</v>
      </c>
      <c r="L292" s="2" t="s">
        <v>3693</v>
      </c>
      <c r="M292" s="3" t="s">
        <v>2214</v>
      </c>
      <c r="N292" s="2" t="s">
        <v>3417</v>
      </c>
      <c r="O292" s="3" t="s">
        <v>63</v>
      </c>
      <c r="P292" s="3" t="s">
        <v>1837</v>
      </c>
      <c r="R292" s="3" t="s">
        <v>65</v>
      </c>
      <c r="S292" s="4">
        <v>2</v>
      </c>
      <c r="T292" s="4">
        <v>2</v>
      </c>
      <c r="U292" s="5" t="s">
        <v>3694</v>
      </c>
      <c r="V292" s="5" t="s">
        <v>3694</v>
      </c>
      <c r="W292" s="5" t="s">
        <v>3695</v>
      </c>
      <c r="X292" s="5" t="s">
        <v>3695</v>
      </c>
      <c r="Y292" s="4">
        <v>485</v>
      </c>
      <c r="Z292" s="4">
        <v>379</v>
      </c>
      <c r="AA292" s="4">
        <v>1721</v>
      </c>
      <c r="AB292" s="4">
        <v>3</v>
      </c>
      <c r="AC292" s="4">
        <v>33</v>
      </c>
      <c r="AD292" s="4">
        <v>20</v>
      </c>
      <c r="AE292" s="4">
        <v>66</v>
      </c>
      <c r="AF292" s="4">
        <v>7</v>
      </c>
      <c r="AG292" s="4">
        <v>26</v>
      </c>
      <c r="AH292" s="4">
        <v>5</v>
      </c>
      <c r="AI292" s="4">
        <v>11</v>
      </c>
      <c r="AJ292" s="4">
        <v>11</v>
      </c>
      <c r="AK292" s="4">
        <v>24</v>
      </c>
      <c r="AL292" s="4">
        <v>2</v>
      </c>
      <c r="AM292" s="4">
        <v>14</v>
      </c>
      <c r="AN292" s="4">
        <v>0</v>
      </c>
      <c r="AO292" s="4">
        <v>5</v>
      </c>
      <c r="AP292" s="3" t="s">
        <v>58</v>
      </c>
      <c r="AQ292" s="3" t="s">
        <v>58</v>
      </c>
      <c r="AS292" s="6" t="str">
        <f>HYPERLINK("https://creighton-primo.hosted.exlibrisgroup.com/primo-explore/search?tab=default_tab&amp;search_scope=EVERYTHING&amp;vid=01CRU&amp;lang=en_US&amp;offset=0&amp;query=any,contains,991004586669702656","Catalog Record")</f>
        <v>Catalog Record</v>
      </c>
      <c r="AT292" s="6" t="str">
        <f>HYPERLINK("http://www.worldcat.org/oclc/58653786","WorldCat Record")</f>
        <v>WorldCat Record</v>
      </c>
      <c r="AU292" s="3" t="s">
        <v>3684</v>
      </c>
      <c r="AV292" s="3" t="s">
        <v>3696</v>
      </c>
      <c r="AW292" s="3" t="s">
        <v>3697</v>
      </c>
      <c r="AX292" s="3" t="s">
        <v>3697</v>
      </c>
      <c r="AY292" s="3" t="s">
        <v>3698</v>
      </c>
      <c r="AZ292" s="3" t="s">
        <v>73</v>
      </c>
      <c r="BB292" s="3" t="s">
        <v>3699</v>
      </c>
      <c r="BC292" s="3" t="s">
        <v>3700</v>
      </c>
      <c r="BD292" s="3" t="s">
        <v>3701</v>
      </c>
    </row>
    <row r="293" spans="1:56" ht="51" customHeight="1" x14ac:dyDescent="0.25">
      <c r="A293" s="7" t="s">
        <v>58</v>
      </c>
      <c r="B293" s="2" t="s">
        <v>3702</v>
      </c>
      <c r="C293" s="2" t="s">
        <v>3703</v>
      </c>
      <c r="D293" s="2" t="s">
        <v>3704</v>
      </c>
      <c r="F293" s="3" t="s">
        <v>58</v>
      </c>
      <c r="G293" s="3" t="s">
        <v>59</v>
      </c>
      <c r="H293" s="3" t="s">
        <v>58</v>
      </c>
      <c r="I293" s="3" t="s">
        <v>58</v>
      </c>
      <c r="J293" s="3" t="s">
        <v>60</v>
      </c>
      <c r="K293" s="2" t="s">
        <v>3681</v>
      </c>
      <c r="L293" s="2" t="s">
        <v>3705</v>
      </c>
      <c r="M293" s="3" t="s">
        <v>1153</v>
      </c>
      <c r="O293" s="3" t="s">
        <v>63</v>
      </c>
      <c r="P293" s="3" t="s">
        <v>2061</v>
      </c>
      <c r="Q293" s="2" t="s">
        <v>3706</v>
      </c>
      <c r="R293" s="3" t="s">
        <v>65</v>
      </c>
      <c r="S293" s="4">
        <v>1</v>
      </c>
      <c r="T293" s="4">
        <v>1</v>
      </c>
      <c r="U293" s="5" t="s">
        <v>3707</v>
      </c>
      <c r="V293" s="5" t="s">
        <v>3707</v>
      </c>
      <c r="W293" s="5" t="s">
        <v>3708</v>
      </c>
      <c r="X293" s="5" t="s">
        <v>3708</v>
      </c>
      <c r="Y293" s="4">
        <v>1041</v>
      </c>
      <c r="Z293" s="4">
        <v>858</v>
      </c>
      <c r="AA293" s="4">
        <v>861</v>
      </c>
      <c r="AB293" s="4">
        <v>5</v>
      </c>
      <c r="AC293" s="4">
        <v>5</v>
      </c>
      <c r="AD293" s="4">
        <v>39</v>
      </c>
      <c r="AE293" s="4">
        <v>39</v>
      </c>
      <c r="AF293" s="4">
        <v>18</v>
      </c>
      <c r="AG293" s="4">
        <v>18</v>
      </c>
      <c r="AH293" s="4">
        <v>8</v>
      </c>
      <c r="AI293" s="4">
        <v>8</v>
      </c>
      <c r="AJ293" s="4">
        <v>20</v>
      </c>
      <c r="AK293" s="4">
        <v>20</v>
      </c>
      <c r="AL293" s="4">
        <v>3</v>
      </c>
      <c r="AM293" s="4">
        <v>3</v>
      </c>
      <c r="AN293" s="4">
        <v>0</v>
      </c>
      <c r="AO293" s="4">
        <v>0</v>
      </c>
      <c r="AP293" s="3" t="s">
        <v>58</v>
      </c>
      <c r="AQ293" s="3" t="s">
        <v>58</v>
      </c>
      <c r="AS293" s="6" t="str">
        <f>HYPERLINK("https://creighton-primo.hosted.exlibrisgroup.com/primo-explore/search?tab=default_tab&amp;search_scope=EVERYTHING&amp;vid=01CRU&amp;lang=en_US&amp;offset=0&amp;query=any,contains,991003118449702656","Catalog Record")</f>
        <v>Catalog Record</v>
      </c>
      <c r="AT293" s="6" t="str">
        <f>HYPERLINK("http://www.worldcat.org/oclc/664268","WorldCat Record")</f>
        <v>WorldCat Record</v>
      </c>
      <c r="AU293" s="3" t="s">
        <v>3709</v>
      </c>
      <c r="AV293" s="3" t="s">
        <v>3710</v>
      </c>
      <c r="AW293" s="3" t="s">
        <v>3711</v>
      </c>
      <c r="AX293" s="3" t="s">
        <v>3711</v>
      </c>
      <c r="AY293" s="3" t="s">
        <v>3712</v>
      </c>
      <c r="AZ293" s="3" t="s">
        <v>73</v>
      </c>
      <c r="BB293" s="3" t="s">
        <v>3713</v>
      </c>
      <c r="BC293" s="3" t="s">
        <v>3714</v>
      </c>
      <c r="BD293" s="3" t="s">
        <v>3715</v>
      </c>
    </row>
    <row r="294" spans="1:56" ht="51" customHeight="1" x14ac:dyDescent="0.25">
      <c r="A294" s="7" t="s">
        <v>58</v>
      </c>
      <c r="B294" s="2" t="s">
        <v>3716</v>
      </c>
      <c r="C294" s="2" t="s">
        <v>3717</v>
      </c>
      <c r="D294" s="2" t="s">
        <v>3718</v>
      </c>
      <c r="F294" s="3" t="s">
        <v>58</v>
      </c>
      <c r="G294" s="3" t="s">
        <v>59</v>
      </c>
      <c r="H294" s="3" t="s">
        <v>68</v>
      </c>
      <c r="I294" s="3" t="s">
        <v>58</v>
      </c>
      <c r="J294" s="3" t="s">
        <v>60</v>
      </c>
      <c r="K294" s="2" t="s">
        <v>3719</v>
      </c>
      <c r="L294" s="2" t="s">
        <v>3720</v>
      </c>
      <c r="M294" s="3" t="s">
        <v>1544</v>
      </c>
      <c r="O294" s="3" t="s">
        <v>63</v>
      </c>
      <c r="P294" s="3" t="s">
        <v>2061</v>
      </c>
      <c r="Q294" s="2" t="s">
        <v>3721</v>
      </c>
      <c r="R294" s="3" t="s">
        <v>65</v>
      </c>
      <c r="S294" s="4">
        <v>2</v>
      </c>
      <c r="T294" s="4">
        <v>3</v>
      </c>
      <c r="U294" s="5" t="s">
        <v>3722</v>
      </c>
      <c r="V294" s="5" t="s">
        <v>3722</v>
      </c>
      <c r="W294" s="5" t="s">
        <v>3723</v>
      </c>
      <c r="X294" s="5" t="s">
        <v>3724</v>
      </c>
      <c r="Y294" s="4">
        <v>336</v>
      </c>
      <c r="Z294" s="4">
        <v>250</v>
      </c>
      <c r="AA294" s="4">
        <v>256</v>
      </c>
      <c r="AB294" s="4">
        <v>4</v>
      </c>
      <c r="AC294" s="4">
        <v>4</v>
      </c>
      <c r="AD294" s="4">
        <v>18</v>
      </c>
      <c r="AE294" s="4">
        <v>18</v>
      </c>
      <c r="AF294" s="4">
        <v>3</v>
      </c>
      <c r="AG294" s="4">
        <v>3</v>
      </c>
      <c r="AH294" s="4">
        <v>6</v>
      </c>
      <c r="AI294" s="4">
        <v>6</v>
      </c>
      <c r="AJ294" s="4">
        <v>9</v>
      </c>
      <c r="AK294" s="4">
        <v>9</v>
      </c>
      <c r="AL294" s="4">
        <v>2</v>
      </c>
      <c r="AM294" s="4">
        <v>2</v>
      </c>
      <c r="AN294" s="4">
        <v>2</v>
      </c>
      <c r="AO294" s="4">
        <v>2</v>
      </c>
      <c r="AP294" s="3" t="s">
        <v>58</v>
      </c>
      <c r="AQ294" s="3" t="s">
        <v>68</v>
      </c>
      <c r="AR294" s="6" t="str">
        <f>HYPERLINK("http://catalog.hathitrust.org/Record/002578041","HathiTrust Record")</f>
        <v>HathiTrust Record</v>
      </c>
      <c r="AS294" s="6" t="str">
        <f>HYPERLINK("https://creighton-primo.hosted.exlibrisgroup.com/primo-explore/search?tab=default_tab&amp;search_scope=EVERYTHING&amp;vid=01CRU&amp;lang=en_US&amp;offset=0&amp;query=any,contains,991001653079702656","Catalog Record")</f>
        <v>Catalog Record</v>
      </c>
      <c r="AT294" s="6" t="str">
        <f>HYPERLINK("http://www.worldcat.org/oclc/25871721","WorldCat Record")</f>
        <v>WorldCat Record</v>
      </c>
      <c r="AU294" s="3" t="s">
        <v>3725</v>
      </c>
      <c r="AV294" s="3" t="s">
        <v>3726</v>
      </c>
      <c r="AW294" s="3" t="s">
        <v>3727</v>
      </c>
      <c r="AX294" s="3" t="s">
        <v>3727</v>
      </c>
      <c r="AY294" s="3" t="s">
        <v>3728</v>
      </c>
      <c r="AZ294" s="3" t="s">
        <v>73</v>
      </c>
      <c r="BB294" s="3" t="s">
        <v>3729</v>
      </c>
      <c r="BC294" s="3" t="s">
        <v>3730</v>
      </c>
      <c r="BD294" s="3" t="s">
        <v>3731</v>
      </c>
    </row>
    <row r="295" spans="1:56" ht="51" customHeight="1" x14ac:dyDescent="0.25">
      <c r="A295" s="7" t="s">
        <v>58</v>
      </c>
      <c r="B295" s="2" t="s">
        <v>3732</v>
      </c>
      <c r="C295" s="2" t="s">
        <v>3733</v>
      </c>
      <c r="D295" s="2" t="s">
        <v>3734</v>
      </c>
      <c r="F295" s="3" t="s">
        <v>58</v>
      </c>
      <c r="G295" s="3" t="s">
        <v>59</v>
      </c>
      <c r="H295" s="3" t="s">
        <v>58</v>
      </c>
      <c r="I295" s="3" t="s">
        <v>58</v>
      </c>
      <c r="J295" s="3" t="s">
        <v>60</v>
      </c>
      <c r="K295" s="2" t="s">
        <v>3735</v>
      </c>
      <c r="L295" s="2" t="s">
        <v>3736</v>
      </c>
      <c r="M295" s="3" t="s">
        <v>842</v>
      </c>
      <c r="N295" s="2" t="s">
        <v>338</v>
      </c>
      <c r="O295" s="3" t="s">
        <v>63</v>
      </c>
      <c r="P295" s="3" t="s">
        <v>214</v>
      </c>
      <c r="Q295" s="2" t="s">
        <v>3418</v>
      </c>
      <c r="R295" s="3" t="s">
        <v>65</v>
      </c>
      <c r="S295" s="4">
        <v>6</v>
      </c>
      <c r="T295" s="4">
        <v>6</v>
      </c>
      <c r="U295" s="5" t="s">
        <v>3737</v>
      </c>
      <c r="V295" s="5" t="s">
        <v>3737</v>
      </c>
      <c r="W295" s="5" t="s">
        <v>585</v>
      </c>
      <c r="X295" s="5" t="s">
        <v>585</v>
      </c>
      <c r="Y295" s="4">
        <v>755</v>
      </c>
      <c r="Z295" s="4">
        <v>633</v>
      </c>
      <c r="AA295" s="4">
        <v>634</v>
      </c>
      <c r="AB295" s="4">
        <v>2</v>
      </c>
      <c r="AC295" s="4">
        <v>2</v>
      </c>
      <c r="AD295" s="4">
        <v>15</v>
      </c>
      <c r="AE295" s="4">
        <v>15</v>
      </c>
      <c r="AF295" s="4">
        <v>5</v>
      </c>
      <c r="AG295" s="4">
        <v>5</v>
      </c>
      <c r="AH295" s="4">
        <v>5</v>
      </c>
      <c r="AI295" s="4">
        <v>5</v>
      </c>
      <c r="AJ295" s="4">
        <v>9</v>
      </c>
      <c r="AK295" s="4">
        <v>9</v>
      </c>
      <c r="AL295" s="4">
        <v>1</v>
      </c>
      <c r="AM295" s="4">
        <v>1</v>
      </c>
      <c r="AN295" s="4">
        <v>0</v>
      </c>
      <c r="AO295" s="4">
        <v>0</v>
      </c>
      <c r="AP295" s="3" t="s">
        <v>58</v>
      </c>
      <c r="AQ295" s="3" t="s">
        <v>68</v>
      </c>
      <c r="AR295" s="6" t="str">
        <f>HYPERLINK("http://catalog.hathitrust.org/Record/000137661","HathiTrust Record")</f>
        <v>HathiTrust Record</v>
      </c>
      <c r="AS295" s="6" t="str">
        <f>HYPERLINK("https://creighton-primo.hosted.exlibrisgroup.com/primo-explore/search?tab=default_tab&amp;search_scope=EVERYTHING&amp;vid=01CRU&amp;lang=en_US&amp;offset=0&amp;query=any,contains,991005123769702656","Catalog Record")</f>
        <v>Catalog Record</v>
      </c>
      <c r="AT295" s="6" t="str">
        <f>HYPERLINK("http://www.worldcat.org/oclc/7551421","WorldCat Record")</f>
        <v>WorldCat Record</v>
      </c>
      <c r="AU295" s="3" t="s">
        <v>3738</v>
      </c>
      <c r="AV295" s="3" t="s">
        <v>3739</v>
      </c>
      <c r="AW295" s="3" t="s">
        <v>3740</v>
      </c>
      <c r="AX295" s="3" t="s">
        <v>3740</v>
      </c>
      <c r="AY295" s="3" t="s">
        <v>3741</v>
      </c>
      <c r="AZ295" s="3" t="s">
        <v>73</v>
      </c>
      <c r="BB295" s="3" t="s">
        <v>3742</v>
      </c>
      <c r="BC295" s="3" t="s">
        <v>3743</v>
      </c>
      <c r="BD295" s="3" t="s">
        <v>3744</v>
      </c>
    </row>
    <row r="296" spans="1:56" ht="51" customHeight="1" x14ac:dyDescent="0.25">
      <c r="A296" s="7" t="s">
        <v>58</v>
      </c>
      <c r="B296" s="2" t="s">
        <v>3745</v>
      </c>
      <c r="C296" s="2" t="s">
        <v>3746</v>
      </c>
      <c r="D296" s="2" t="s">
        <v>3747</v>
      </c>
      <c r="F296" s="3" t="s">
        <v>58</v>
      </c>
      <c r="G296" s="3" t="s">
        <v>59</v>
      </c>
      <c r="H296" s="3" t="s">
        <v>58</v>
      </c>
      <c r="I296" s="3" t="s">
        <v>58</v>
      </c>
      <c r="J296" s="3" t="s">
        <v>60</v>
      </c>
      <c r="K296" s="2" t="s">
        <v>3735</v>
      </c>
      <c r="L296" s="2" t="s">
        <v>3748</v>
      </c>
      <c r="M296" s="3" t="s">
        <v>479</v>
      </c>
      <c r="O296" s="3" t="s">
        <v>63</v>
      </c>
      <c r="P296" s="3" t="s">
        <v>816</v>
      </c>
      <c r="R296" s="3" t="s">
        <v>65</v>
      </c>
      <c r="S296" s="4">
        <v>7</v>
      </c>
      <c r="T296" s="4">
        <v>7</v>
      </c>
      <c r="U296" s="5" t="s">
        <v>3309</v>
      </c>
      <c r="V296" s="5" t="s">
        <v>3309</v>
      </c>
      <c r="W296" s="5" t="s">
        <v>3749</v>
      </c>
      <c r="X296" s="5" t="s">
        <v>3749</v>
      </c>
      <c r="Y296" s="4">
        <v>1106</v>
      </c>
      <c r="Z296" s="4">
        <v>928</v>
      </c>
      <c r="AA296" s="4">
        <v>940</v>
      </c>
      <c r="AB296" s="4">
        <v>6</v>
      </c>
      <c r="AC296" s="4">
        <v>6</v>
      </c>
      <c r="AD296" s="4">
        <v>40</v>
      </c>
      <c r="AE296" s="4">
        <v>40</v>
      </c>
      <c r="AF296" s="4">
        <v>18</v>
      </c>
      <c r="AG296" s="4">
        <v>18</v>
      </c>
      <c r="AH296" s="4">
        <v>8</v>
      </c>
      <c r="AI296" s="4">
        <v>8</v>
      </c>
      <c r="AJ296" s="4">
        <v>19</v>
      </c>
      <c r="AK296" s="4">
        <v>19</v>
      </c>
      <c r="AL296" s="4">
        <v>5</v>
      </c>
      <c r="AM296" s="4">
        <v>5</v>
      </c>
      <c r="AN296" s="4">
        <v>0</v>
      </c>
      <c r="AO296" s="4">
        <v>0</v>
      </c>
      <c r="AP296" s="3" t="s">
        <v>58</v>
      </c>
      <c r="AQ296" s="3" t="s">
        <v>68</v>
      </c>
      <c r="AR296" s="6" t="str">
        <f>HYPERLINK("http://catalog.hathitrust.org/Record/002798097","HathiTrust Record")</f>
        <v>HathiTrust Record</v>
      </c>
      <c r="AS296" s="6" t="str">
        <f>HYPERLINK("https://creighton-primo.hosted.exlibrisgroup.com/primo-explore/search?tab=default_tab&amp;search_scope=EVERYTHING&amp;vid=01CRU&amp;lang=en_US&amp;offset=0&amp;query=any,contains,991002234359702656","Catalog Record")</f>
        <v>Catalog Record</v>
      </c>
      <c r="AT296" s="6" t="str">
        <f>HYPERLINK("http://www.worldcat.org/oclc/28799849","WorldCat Record")</f>
        <v>WorldCat Record</v>
      </c>
      <c r="AU296" s="3" t="s">
        <v>3750</v>
      </c>
      <c r="AV296" s="3" t="s">
        <v>3751</v>
      </c>
      <c r="AW296" s="3" t="s">
        <v>3752</v>
      </c>
      <c r="AX296" s="3" t="s">
        <v>3752</v>
      </c>
      <c r="AY296" s="3" t="s">
        <v>3753</v>
      </c>
      <c r="AZ296" s="3" t="s">
        <v>73</v>
      </c>
      <c r="BB296" s="3" t="s">
        <v>3754</v>
      </c>
      <c r="BC296" s="3" t="s">
        <v>3755</v>
      </c>
      <c r="BD296" s="3" t="s">
        <v>3756</v>
      </c>
    </row>
    <row r="297" spans="1:56" ht="51" customHeight="1" x14ac:dyDescent="0.25">
      <c r="A297" s="7" t="s">
        <v>58</v>
      </c>
      <c r="B297" s="2" t="s">
        <v>3757</v>
      </c>
      <c r="C297" s="2" t="s">
        <v>3758</v>
      </c>
      <c r="D297" s="2" t="s">
        <v>3759</v>
      </c>
      <c r="F297" s="3" t="s">
        <v>58</v>
      </c>
      <c r="G297" s="3" t="s">
        <v>59</v>
      </c>
      <c r="H297" s="3" t="s">
        <v>58</v>
      </c>
      <c r="I297" s="3" t="s">
        <v>58</v>
      </c>
      <c r="J297" s="3" t="s">
        <v>60</v>
      </c>
      <c r="K297" s="2" t="s">
        <v>3760</v>
      </c>
      <c r="L297" s="2" t="s">
        <v>3761</v>
      </c>
      <c r="M297" s="3" t="s">
        <v>538</v>
      </c>
      <c r="O297" s="3" t="s">
        <v>63</v>
      </c>
      <c r="P297" s="3" t="s">
        <v>214</v>
      </c>
      <c r="R297" s="3" t="s">
        <v>65</v>
      </c>
      <c r="S297" s="4">
        <v>2</v>
      </c>
      <c r="T297" s="4">
        <v>2</v>
      </c>
      <c r="U297" s="5" t="s">
        <v>3227</v>
      </c>
      <c r="V297" s="5" t="s">
        <v>3227</v>
      </c>
      <c r="W297" s="5" t="s">
        <v>3762</v>
      </c>
      <c r="X297" s="5" t="s">
        <v>3762</v>
      </c>
      <c r="Y297" s="4">
        <v>974</v>
      </c>
      <c r="Z297" s="4">
        <v>843</v>
      </c>
      <c r="AA297" s="4">
        <v>851</v>
      </c>
      <c r="AB297" s="4">
        <v>8</v>
      </c>
      <c r="AC297" s="4">
        <v>8</v>
      </c>
      <c r="AD297" s="4">
        <v>42</v>
      </c>
      <c r="AE297" s="4">
        <v>42</v>
      </c>
      <c r="AF297" s="4">
        <v>18</v>
      </c>
      <c r="AG297" s="4">
        <v>18</v>
      </c>
      <c r="AH297" s="4">
        <v>10</v>
      </c>
      <c r="AI297" s="4">
        <v>10</v>
      </c>
      <c r="AJ297" s="4">
        <v>19</v>
      </c>
      <c r="AK297" s="4">
        <v>19</v>
      </c>
      <c r="AL297" s="4">
        <v>5</v>
      </c>
      <c r="AM297" s="4">
        <v>5</v>
      </c>
      <c r="AN297" s="4">
        <v>0</v>
      </c>
      <c r="AO297" s="4">
        <v>0</v>
      </c>
      <c r="AP297" s="3" t="s">
        <v>58</v>
      </c>
      <c r="AQ297" s="3" t="s">
        <v>68</v>
      </c>
      <c r="AR297" s="6" t="str">
        <f>HYPERLINK("http://catalog.hathitrust.org/Record/001246953","HathiTrust Record")</f>
        <v>HathiTrust Record</v>
      </c>
      <c r="AS297" s="6" t="str">
        <f>HYPERLINK("https://creighton-primo.hosted.exlibrisgroup.com/primo-explore/search?tab=default_tab&amp;search_scope=EVERYTHING&amp;vid=01CRU&amp;lang=en_US&amp;offset=0&amp;query=any,contains,991000001749702656","Catalog Record")</f>
        <v>Catalog Record</v>
      </c>
      <c r="AT297" s="6" t="str">
        <f>HYPERLINK("http://www.worldcat.org/oclc/10670","WorldCat Record")</f>
        <v>WorldCat Record</v>
      </c>
      <c r="AU297" s="3" t="s">
        <v>3763</v>
      </c>
      <c r="AV297" s="3" t="s">
        <v>3764</v>
      </c>
      <c r="AW297" s="3" t="s">
        <v>3765</v>
      </c>
      <c r="AX297" s="3" t="s">
        <v>3765</v>
      </c>
      <c r="AY297" s="3" t="s">
        <v>3766</v>
      </c>
      <c r="AZ297" s="3" t="s">
        <v>73</v>
      </c>
      <c r="BC297" s="3" t="s">
        <v>3767</v>
      </c>
      <c r="BD297" s="3" t="s">
        <v>3768</v>
      </c>
    </row>
    <row r="298" spans="1:56" ht="51" customHeight="1" x14ac:dyDescent="0.25">
      <c r="A298" s="7" t="s">
        <v>58</v>
      </c>
      <c r="B298" s="2" t="s">
        <v>3769</v>
      </c>
      <c r="C298" s="2" t="s">
        <v>3770</v>
      </c>
      <c r="D298" s="2" t="s">
        <v>3771</v>
      </c>
      <c r="F298" s="3" t="s">
        <v>58</v>
      </c>
      <c r="G298" s="3" t="s">
        <v>59</v>
      </c>
      <c r="H298" s="3" t="s">
        <v>58</v>
      </c>
      <c r="I298" s="3" t="s">
        <v>58</v>
      </c>
      <c r="J298" s="3" t="s">
        <v>60</v>
      </c>
      <c r="K298" s="2" t="s">
        <v>3772</v>
      </c>
      <c r="L298" s="2" t="s">
        <v>3773</v>
      </c>
      <c r="M298" s="3" t="s">
        <v>368</v>
      </c>
      <c r="O298" s="3" t="s">
        <v>63</v>
      </c>
      <c r="P298" s="3" t="s">
        <v>584</v>
      </c>
      <c r="R298" s="3" t="s">
        <v>65</v>
      </c>
      <c r="S298" s="4">
        <v>3</v>
      </c>
      <c r="T298" s="4">
        <v>3</v>
      </c>
      <c r="U298" s="5" t="s">
        <v>3774</v>
      </c>
      <c r="V298" s="5" t="s">
        <v>3774</v>
      </c>
      <c r="W298" s="5" t="s">
        <v>3242</v>
      </c>
      <c r="X298" s="5" t="s">
        <v>3242</v>
      </c>
      <c r="Y298" s="4">
        <v>269</v>
      </c>
      <c r="Z298" s="4">
        <v>168</v>
      </c>
      <c r="AA298" s="4">
        <v>376</v>
      </c>
      <c r="AB298" s="4">
        <v>2</v>
      </c>
      <c r="AC298" s="4">
        <v>2</v>
      </c>
      <c r="AD298" s="4">
        <v>11</v>
      </c>
      <c r="AE298" s="4">
        <v>15</v>
      </c>
      <c r="AF298" s="4">
        <v>7</v>
      </c>
      <c r="AG298" s="4">
        <v>9</v>
      </c>
      <c r="AH298" s="4">
        <v>2</v>
      </c>
      <c r="AI298" s="4">
        <v>4</v>
      </c>
      <c r="AJ298" s="4">
        <v>4</v>
      </c>
      <c r="AK298" s="4">
        <v>4</v>
      </c>
      <c r="AL298" s="4">
        <v>1</v>
      </c>
      <c r="AM298" s="4">
        <v>1</v>
      </c>
      <c r="AN298" s="4">
        <v>0</v>
      </c>
      <c r="AO298" s="4">
        <v>0</v>
      </c>
      <c r="AP298" s="3" t="s">
        <v>58</v>
      </c>
      <c r="AQ298" s="3" t="s">
        <v>58</v>
      </c>
      <c r="AS298" s="6" t="str">
        <f>HYPERLINK("https://creighton-primo.hosted.exlibrisgroup.com/primo-explore/search?tab=default_tab&amp;search_scope=EVERYTHING&amp;vid=01CRU&amp;lang=en_US&amp;offset=0&amp;query=any,contains,991004276589702656","Catalog Record")</f>
        <v>Catalog Record</v>
      </c>
      <c r="AT298" s="6" t="str">
        <f>HYPERLINK("http://www.worldcat.org/oclc/2895239","WorldCat Record")</f>
        <v>WorldCat Record</v>
      </c>
      <c r="AU298" s="3" t="s">
        <v>3775</v>
      </c>
      <c r="AV298" s="3" t="s">
        <v>3776</v>
      </c>
      <c r="AW298" s="3" t="s">
        <v>3777</v>
      </c>
      <c r="AX298" s="3" t="s">
        <v>3777</v>
      </c>
      <c r="AY298" s="3" t="s">
        <v>3778</v>
      </c>
      <c r="AZ298" s="3" t="s">
        <v>73</v>
      </c>
      <c r="BB298" s="3" t="s">
        <v>3779</v>
      </c>
      <c r="BC298" s="3" t="s">
        <v>3780</v>
      </c>
      <c r="BD298" s="3" t="s">
        <v>3781</v>
      </c>
    </row>
    <row r="299" spans="1:56" ht="51" customHeight="1" x14ac:dyDescent="0.25">
      <c r="A299" s="7" t="s">
        <v>58</v>
      </c>
      <c r="B299" s="2" t="s">
        <v>3782</v>
      </c>
      <c r="C299" s="2" t="s">
        <v>3783</v>
      </c>
      <c r="D299" s="2" t="s">
        <v>3784</v>
      </c>
      <c r="F299" s="3" t="s">
        <v>58</v>
      </c>
      <c r="G299" s="3" t="s">
        <v>59</v>
      </c>
      <c r="H299" s="3" t="s">
        <v>58</v>
      </c>
      <c r="I299" s="3" t="s">
        <v>58</v>
      </c>
      <c r="J299" s="3" t="s">
        <v>60</v>
      </c>
      <c r="K299" s="2" t="s">
        <v>3785</v>
      </c>
      <c r="L299" s="2" t="s">
        <v>3786</v>
      </c>
      <c r="M299" s="3" t="s">
        <v>382</v>
      </c>
      <c r="O299" s="3" t="s">
        <v>63</v>
      </c>
      <c r="P299" s="3" t="s">
        <v>584</v>
      </c>
      <c r="Q299" s="2" t="s">
        <v>3388</v>
      </c>
      <c r="R299" s="3" t="s">
        <v>65</v>
      </c>
      <c r="S299" s="4">
        <v>8</v>
      </c>
      <c r="T299" s="4">
        <v>8</v>
      </c>
      <c r="U299" s="5" t="s">
        <v>3787</v>
      </c>
      <c r="V299" s="5" t="s">
        <v>3787</v>
      </c>
      <c r="W299" s="5" t="s">
        <v>3788</v>
      </c>
      <c r="X299" s="5" t="s">
        <v>3788</v>
      </c>
      <c r="Y299" s="4">
        <v>227</v>
      </c>
      <c r="Z299" s="4">
        <v>169</v>
      </c>
      <c r="AA299" s="4">
        <v>171</v>
      </c>
      <c r="AB299" s="4">
        <v>2</v>
      </c>
      <c r="AC299" s="4">
        <v>2</v>
      </c>
      <c r="AD299" s="4">
        <v>9</v>
      </c>
      <c r="AE299" s="4">
        <v>9</v>
      </c>
      <c r="AF299" s="4">
        <v>1</v>
      </c>
      <c r="AG299" s="4">
        <v>1</v>
      </c>
      <c r="AH299" s="4">
        <v>4</v>
      </c>
      <c r="AI299" s="4">
        <v>4</v>
      </c>
      <c r="AJ299" s="4">
        <v>5</v>
      </c>
      <c r="AK299" s="4">
        <v>5</v>
      </c>
      <c r="AL299" s="4">
        <v>1</v>
      </c>
      <c r="AM299" s="4">
        <v>1</v>
      </c>
      <c r="AN299" s="4">
        <v>0</v>
      </c>
      <c r="AO299" s="4">
        <v>0</v>
      </c>
      <c r="AP299" s="3" t="s">
        <v>58</v>
      </c>
      <c r="AQ299" s="3" t="s">
        <v>68</v>
      </c>
      <c r="AR299" s="6" t="str">
        <f>HYPERLINK("http://catalog.hathitrust.org/Record/004716500","HathiTrust Record")</f>
        <v>HathiTrust Record</v>
      </c>
      <c r="AS299" s="6" t="str">
        <f>HYPERLINK("https://creighton-primo.hosted.exlibrisgroup.com/primo-explore/search?tab=default_tab&amp;search_scope=EVERYTHING&amp;vid=01CRU&amp;lang=en_US&amp;offset=0&amp;query=any,contains,991003875559702656","Catalog Record")</f>
        <v>Catalog Record</v>
      </c>
      <c r="AT299" s="6" t="str">
        <f>HYPERLINK("http://www.worldcat.org/oclc/40609033","WorldCat Record")</f>
        <v>WorldCat Record</v>
      </c>
      <c r="AU299" s="3" t="s">
        <v>3789</v>
      </c>
      <c r="AV299" s="3" t="s">
        <v>3790</v>
      </c>
      <c r="AW299" s="3" t="s">
        <v>3791</v>
      </c>
      <c r="AX299" s="3" t="s">
        <v>3791</v>
      </c>
      <c r="AY299" s="3" t="s">
        <v>3792</v>
      </c>
      <c r="AZ299" s="3" t="s">
        <v>73</v>
      </c>
      <c r="BB299" s="3" t="s">
        <v>3793</v>
      </c>
      <c r="BC299" s="3" t="s">
        <v>3794</v>
      </c>
      <c r="BD299" s="3" t="s">
        <v>3795</v>
      </c>
    </row>
    <row r="300" spans="1:56" ht="51" customHeight="1" x14ac:dyDescent="0.25">
      <c r="A300" s="7" t="s">
        <v>58</v>
      </c>
      <c r="B300" s="2" t="s">
        <v>3796</v>
      </c>
      <c r="C300" s="2" t="s">
        <v>3797</v>
      </c>
      <c r="D300" s="2" t="s">
        <v>3798</v>
      </c>
      <c r="F300" s="3" t="s">
        <v>58</v>
      </c>
      <c r="G300" s="3" t="s">
        <v>59</v>
      </c>
      <c r="H300" s="3" t="s">
        <v>58</v>
      </c>
      <c r="I300" s="3" t="s">
        <v>58</v>
      </c>
      <c r="J300" s="3" t="s">
        <v>60</v>
      </c>
      <c r="K300" s="2" t="s">
        <v>3799</v>
      </c>
      <c r="L300" s="2" t="s">
        <v>3800</v>
      </c>
      <c r="M300" s="3" t="s">
        <v>1399</v>
      </c>
      <c r="O300" s="3" t="s">
        <v>63</v>
      </c>
      <c r="P300" s="3" t="s">
        <v>584</v>
      </c>
      <c r="R300" s="3" t="s">
        <v>65</v>
      </c>
      <c r="S300" s="4">
        <v>6</v>
      </c>
      <c r="T300" s="4">
        <v>6</v>
      </c>
      <c r="U300" s="5" t="s">
        <v>3669</v>
      </c>
      <c r="V300" s="5" t="s">
        <v>3669</v>
      </c>
      <c r="W300" s="5" t="s">
        <v>585</v>
      </c>
      <c r="X300" s="5" t="s">
        <v>585</v>
      </c>
      <c r="Y300" s="4">
        <v>273</v>
      </c>
      <c r="Z300" s="4">
        <v>192</v>
      </c>
      <c r="AA300" s="4">
        <v>267</v>
      </c>
      <c r="AB300" s="4">
        <v>2</v>
      </c>
      <c r="AC300" s="4">
        <v>2</v>
      </c>
      <c r="AD300" s="4">
        <v>8</v>
      </c>
      <c r="AE300" s="4">
        <v>12</v>
      </c>
      <c r="AF300" s="4">
        <v>1</v>
      </c>
      <c r="AG300" s="4">
        <v>3</v>
      </c>
      <c r="AH300" s="4">
        <v>4</v>
      </c>
      <c r="AI300" s="4">
        <v>5</v>
      </c>
      <c r="AJ300" s="4">
        <v>3</v>
      </c>
      <c r="AK300" s="4">
        <v>6</v>
      </c>
      <c r="AL300" s="4">
        <v>1</v>
      </c>
      <c r="AM300" s="4">
        <v>1</v>
      </c>
      <c r="AN300" s="4">
        <v>0</v>
      </c>
      <c r="AO300" s="4">
        <v>0</v>
      </c>
      <c r="AP300" s="3" t="s">
        <v>58</v>
      </c>
      <c r="AQ300" s="3" t="s">
        <v>58</v>
      </c>
      <c r="AS300" s="6" t="str">
        <f>HYPERLINK("https://creighton-primo.hosted.exlibrisgroup.com/primo-explore/search?tab=default_tab&amp;search_scope=EVERYTHING&amp;vid=01CRU&amp;lang=en_US&amp;offset=0&amp;query=any,contains,991001227279702656","Catalog Record")</f>
        <v>Catalog Record</v>
      </c>
      <c r="AT300" s="6" t="str">
        <f>HYPERLINK("http://www.worldcat.org/oclc/17509321","WorldCat Record")</f>
        <v>WorldCat Record</v>
      </c>
      <c r="AU300" s="3" t="s">
        <v>3801</v>
      </c>
      <c r="AV300" s="3" t="s">
        <v>3802</v>
      </c>
      <c r="AW300" s="3" t="s">
        <v>3803</v>
      </c>
      <c r="AX300" s="3" t="s">
        <v>3803</v>
      </c>
      <c r="AY300" s="3" t="s">
        <v>3804</v>
      </c>
      <c r="AZ300" s="3" t="s">
        <v>73</v>
      </c>
      <c r="BB300" s="3" t="s">
        <v>3805</v>
      </c>
      <c r="BC300" s="3" t="s">
        <v>3806</v>
      </c>
      <c r="BD300" s="3" t="s">
        <v>3807</v>
      </c>
    </row>
    <row r="301" spans="1:56" ht="51" customHeight="1" x14ac:dyDescent="0.25">
      <c r="A301" s="7" t="s">
        <v>58</v>
      </c>
      <c r="B301" s="2" t="s">
        <v>3808</v>
      </c>
      <c r="C301" s="2" t="s">
        <v>3809</v>
      </c>
      <c r="D301" s="2" t="s">
        <v>3810</v>
      </c>
      <c r="F301" s="3" t="s">
        <v>58</v>
      </c>
      <c r="G301" s="3" t="s">
        <v>59</v>
      </c>
      <c r="H301" s="3" t="s">
        <v>58</v>
      </c>
      <c r="I301" s="3" t="s">
        <v>58</v>
      </c>
      <c r="J301" s="3" t="s">
        <v>60</v>
      </c>
      <c r="K301" s="2" t="s">
        <v>3811</v>
      </c>
      <c r="L301" s="2" t="s">
        <v>3812</v>
      </c>
      <c r="M301" s="3" t="s">
        <v>951</v>
      </c>
      <c r="O301" s="3" t="s">
        <v>63</v>
      </c>
      <c r="P301" s="3" t="s">
        <v>214</v>
      </c>
      <c r="R301" s="3" t="s">
        <v>65</v>
      </c>
      <c r="S301" s="4">
        <v>9</v>
      </c>
      <c r="T301" s="4">
        <v>9</v>
      </c>
      <c r="U301" s="5" t="s">
        <v>3813</v>
      </c>
      <c r="V301" s="5" t="s">
        <v>3813</v>
      </c>
      <c r="W301" s="5" t="s">
        <v>3814</v>
      </c>
      <c r="X301" s="5" t="s">
        <v>3814</v>
      </c>
      <c r="Y301" s="4">
        <v>844</v>
      </c>
      <c r="Z301" s="4">
        <v>758</v>
      </c>
      <c r="AA301" s="4">
        <v>1035</v>
      </c>
      <c r="AB301" s="4">
        <v>6</v>
      </c>
      <c r="AC301" s="4">
        <v>6</v>
      </c>
      <c r="AD301" s="4">
        <v>30</v>
      </c>
      <c r="AE301" s="4">
        <v>41</v>
      </c>
      <c r="AF301" s="4">
        <v>11</v>
      </c>
      <c r="AG301" s="4">
        <v>16</v>
      </c>
      <c r="AH301" s="4">
        <v>9</v>
      </c>
      <c r="AI301" s="4">
        <v>11</v>
      </c>
      <c r="AJ301" s="4">
        <v>12</v>
      </c>
      <c r="AK301" s="4">
        <v>19</v>
      </c>
      <c r="AL301" s="4">
        <v>5</v>
      </c>
      <c r="AM301" s="4">
        <v>5</v>
      </c>
      <c r="AN301" s="4">
        <v>0</v>
      </c>
      <c r="AO301" s="4">
        <v>0</v>
      </c>
      <c r="AP301" s="3" t="s">
        <v>58</v>
      </c>
      <c r="AQ301" s="3" t="s">
        <v>58</v>
      </c>
      <c r="AS301" s="6" t="str">
        <f>HYPERLINK("https://creighton-primo.hosted.exlibrisgroup.com/primo-explore/search?tab=default_tab&amp;search_scope=EVERYTHING&amp;vid=01CRU&amp;lang=en_US&amp;offset=0&amp;query=any,contains,991003017949702656","Catalog Record")</f>
        <v>Catalog Record</v>
      </c>
      <c r="AT301" s="6" t="str">
        <f>HYPERLINK("http://www.worldcat.org/oclc/41076254","WorldCat Record")</f>
        <v>WorldCat Record</v>
      </c>
      <c r="AU301" s="3" t="s">
        <v>3815</v>
      </c>
      <c r="AV301" s="3" t="s">
        <v>3816</v>
      </c>
      <c r="AW301" s="3" t="s">
        <v>3817</v>
      </c>
      <c r="AX301" s="3" t="s">
        <v>3817</v>
      </c>
      <c r="AY301" s="3" t="s">
        <v>3818</v>
      </c>
      <c r="AZ301" s="3" t="s">
        <v>73</v>
      </c>
      <c r="BB301" s="3" t="s">
        <v>3819</v>
      </c>
      <c r="BC301" s="3" t="s">
        <v>3820</v>
      </c>
      <c r="BD301" s="3" t="s">
        <v>3821</v>
      </c>
    </row>
    <row r="302" spans="1:56" ht="51" customHeight="1" x14ac:dyDescent="0.25">
      <c r="A302" s="7" t="s">
        <v>58</v>
      </c>
      <c r="B302" s="2" t="s">
        <v>3822</v>
      </c>
      <c r="C302" s="2" t="s">
        <v>3823</v>
      </c>
      <c r="D302" s="2" t="s">
        <v>3824</v>
      </c>
      <c r="F302" s="3" t="s">
        <v>58</v>
      </c>
      <c r="G302" s="3" t="s">
        <v>59</v>
      </c>
      <c r="H302" s="3" t="s">
        <v>58</v>
      </c>
      <c r="I302" s="3" t="s">
        <v>58</v>
      </c>
      <c r="J302" s="3" t="s">
        <v>60</v>
      </c>
      <c r="K302" s="2" t="s">
        <v>3825</v>
      </c>
      <c r="L302" s="2" t="s">
        <v>3826</v>
      </c>
      <c r="M302" s="3" t="s">
        <v>1399</v>
      </c>
      <c r="O302" s="3" t="s">
        <v>63</v>
      </c>
      <c r="P302" s="3" t="s">
        <v>214</v>
      </c>
      <c r="R302" s="3" t="s">
        <v>65</v>
      </c>
      <c r="S302" s="4">
        <v>12</v>
      </c>
      <c r="T302" s="4">
        <v>12</v>
      </c>
      <c r="U302" s="5" t="s">
        <v>3827</v>
      </c>
      <c r="V302" s="5" t="s">
        <v>3827</v>
      </c>
      <c r="W302" s="5" t="s">
        <v>3096</v>
      </c>
      <c r="X302" s="5" t="s">
        <v>3096</v>
      </c>
      <c r="Y302" s="4">
        <v>494</v>
      </c>
      <c r="Z302" s="4">
        <v>419</v>
      </c>
      <c r="AA302" s="4">
        <v>1127</v>
      </c>
      <c r="AB302" s="4">
        <v>1</v>
      </c>
      <c r="AC302" s="4">
        <v>6</v>
      </c>
      <c r="AD302" s="4">
        <v>18</v>
      </c>
      <c r="AE302" s="4">
        <v>46</v>
      </c>
      <c r="AF302" s="4">
        <v>9</v>
      </c>
      <c r="AG302" s="4">
        <v>24</v>
      </c>
      <c r="AH302" s="4">
        <v>4</v>
      </c>
      <c r="AI302" s="4">
        <v>8</v>
      </c>
      <c r="AJ302" s="4">
        <v>11</v>
      </c>
      <c r="AK302" s="4">
        <v>22</v>
      </c>
      <c r="AL302" s="4">
        <v>0</v>
      </c>
      <c r="AM302" s="4">
        <v>4</v>
      </c>
      <c r="AN302" s="4">
        <v>0</v>
      </c>
      <c r="AO302" s="4">
        <v>0</v>
      </c>
      <c r="AP302" s="3" t="s">
        <v>58</v>
      </c>
      <c r="AQ302" s="3" t="s">
        <v>58</v>
      </c>
      <c r="AS302" s="6" t="str">
        <f>HYPERLINK("https://creighton-primo.hosted.exlibrisgroup.com/primo-explore/search?tab=default_tab&amp;search_scope=EVERYTHING&amp;vid=01CRU&amp;lang=en_US&amp;offset=0&amp;query=any,contains,991001137109702656","Catalog Record")</f>
        <v>Catalog Record</v>
      </c>
      <c r="AT302" s="6" t="str">
        <f>HYPERLINK("http://www.worldcat.org/oclc/16717133","WorldCat Record")</f>
        <v>WorldCat Record</v>
      </c>
      <c r="AU302" s="3" t="s">
        <v>3828</v>
      </c>
      <c r="AV302" s="3" t="s">
        <v>3829</v>
      </c>
      <c r="AW302" s="3" t="s">
        <v>3830</v>
      </c>
      <c r="AX302" s="3" t="s">
        <v>3830</v>
      </c>
      <c r="AY302" s="3" t="s">
        <v>3831</v>
      </c>
      <c r="AZ302" s="3" t="s">
        <v>73</v>
      </c>
      <c r="BB302" s="3" t="s">
        <v>3832</v>
      </c>
      <c r="BC302" s="3" t="s">
        <v>3833</v>
      </c>
      <c r="BD302" s="3" t="s">
        <v>3834</v>
      </c>
    </row>
    <row r="303" spans="1:56" ht="51" customHeight="1" x14ac:dyDescent="0.25">
      <c r="A303" s="7" t="s">
        <v>58</v>
      </c>
      <c r="B303" s="2" t="s">
        <v>3835</v>
      </c>
      <c r="C303" s="2" t="s">
        <v>3836</v>
      </c>
      <c r="D303" s="2" t="s">
        <v>3837</v>
      </c>
      <c r="F303" s="3" t="s">
        <v>58</v>
      </c>
      <c r="G303" s="3" t="s">
        <v>59</v>
      </c>
      <c r="H303" s="3" t="s">
        <v>58</v>
      </c>
      <c r="I303" s="3" t="s">
        <v>58</v>
      </c>
      <c r="J303" s="3" t="s">
        <v>60</v>
      </c>
      <c r="K303" s="2" t="s">
        <v>3838</v>
      </c>
      <c r="L303" s="2" t="s">
        <v>3839</v>
      </c>
      <c r="M303" s="3" t="s">
        <v>138</v>
      </c>
      <c r="O303" s="3" t="s">
        <v>63</v>
      </c>
      <c r="P303" s="3" t="s">
        <v>584</v>
      </c>
      <c r="R303" s="3" t="s">
        <v>65</v>
      </c>
      <c r="S303" s="4">
        <v>1</v>
      </c>
      <c r="T303" s="4">
        <v>1</v>
      </c>
      <c r="U303" s="5" t="s">
        <v>2281</v>
      </c>
      <c r="V303" s="5" t="s">
        <v>2281</v>
      </c>
      <c r="W303" s="5" t="s">
        <v>3242</v>
      </c>
      <c r="X303" s="5" t="s">
        <v>3242</v>
      </c>
      <c r="Y303" s="4">
        <v>216</v>
      </c>
      <c r="Z303" s="4">
        <v>139</v>
      </c>
      <c r="AA303" s="4">
        <v>141</v>
      </c>
      <c r="AB303" s="4">
        <v>1</v>
      </c>
      <c r="AC303" s="4">
        <v>1</v>
      </c>
      <c r="AD303" s="4">
        <v>3</v>
      </c>
      <c r="AE303" s="4">
        <v>3</v>
      </c>
      <c r="AF303" s="4">
        <v>0</v>
      </c>
      <c r="AG303" s="4">
        <v>0</v>
      </c>
      <c r="AH303" s="4">
        <v>2</v>
      </c>
      <c r="AI303" s="4">
        <v>2</v>
      </c>
      <c r="AJ303" s="4">
        <v>2</v>
      </c>
      <c r="AK303" s="4">
        <v>2</v>
      </c>
      <c r="AL303" s="4">
        <v>0</v>
      </c>
      <c r="AM303" s="4">
        <v>0</v>
      </c>
      <c r="AN303" s="4">
        <v>0</v>
      </c>
      <c r="AO303" s="4">
        <v>0</v>
      </c>
      <c r="AP303" s="3" t="s">
        <v>58</v>
      </c>
      <c r="AQ303" s="3" t="s">
        <v>68</v>
      </c>
      <c r="AR303" s="6" t="str">
        <f>HYPERLINK("http://catalog.hathitrust.org/Record/000193227","HathiTrust Record")</f>
        <v>HathiTrust Record</v>
      </c>
      <c r="AS303" s="6" t="str">
        <f>HYPERLINK("https://creighton-primo.hosted.exlibrisgroup.com/primo-explore/search?tab=default_tab&amp;search_scope=EVERYTHING&amp;vid=01CRU&amp;lang=en_US&amp;offset=0&amp;query=any,contains,991000168029702656","Catalog Record")</f>
        <v>Catalog Record</v>
      </c>
      <c r="AT303" s="6" t="str">
        <f>HYPERLINK("http://www.worldcat.org/oclc/9371601","WorldCat Record")</f>
        <v>WorldCat Record</v>
      </c>
      <c r="AU303" s="3" t="s">
        <v>3840</v>
      </c>
      <c r="AV303" s="3" t="s">
        <v>3841</v>
      </c>
      <c r="AW303" s="3" t="s">
        <v>3842</v>
      </c>
      <c r="AX303" s="3" t="s">
        <v>3842</v>
      </c>
      <c r="AY303" s="3" t="s">
        <v>3843</v>
      </c>
      <c r="AZ303" s="3" t="s">
        <v>73</v>
      </c>
      <c r="BB303" s="3" t="s">
        <v>3844</v>
      </c>
      <c r="BC303" s="3" t="s">
        <v>3845</v>
      </c>
      <c r="BD303" s="3" t="s">
        <v>3846</v>
      </c>
    </row>
    <row r="304" spans="1:56" ht="51" customHeight="1" x14ac:dyDescent="0.25">
      <c r="A304" s="7" t="s">
        <v>58</v>
      </c>
      <c r="B304" s="2" t="s">
        <v>3847</v>
      </c>
      <c r="C304" s="2" t="s">
        <v>3848</v>
      </c>
      <c r="D304" s="2" t="s">
        <v>3849</v>
      </c>
      <c r="F304" s="3" t="s">
        <v>58</v>
      </c>
      <c r="G304" s="3" t="s">
        <v>59</v>
      </c>
      <c r="H304" s="3" t="s">
        <v>58</v>
      </c>
      <c r="I304" s="3" t="s">
        <v>58</v>
      </c>
      <c r="J304" s="3" t="s">
        <v>60</v>
      </c>
      <c r="K304" s="2" t="s">
        <v>3850</v>
      </c>
      <c r="L304" s="2" t="s">
        <v>3851</v>
      </c>
      <c r="M304" s="3" t="s">
        <v>138</v>
      </c>
      <c r="O304" s="3" t="s">
        <v>63</v>
      </c>
      <c r="P304" s="3" t="s">
        <v>354</v>
      </c>
      <c r="R304" s="3" t="s">
        <v>65</v>
      </c>
      <c r="S304" s="4">
        <v>1</v>
      </c>
      <c r="T304" s="4">
        <v>1</v>
      </c>
      <c r="U304" s="5" t="s">
        <v>3852</v>
      </c>
      <c r="V304" s="5" t="s">
        <v>3852</v>
      </c>
      <c r="W304" s="5" t="s">
        <v>3242</v>
      </c>
      <c r="X304" s="5" t="s">
        <v>3242</v>
      </c>
      <c r="Y304" s="4">
        <v>640</v>
      </c>
      <c r="Z304" s="4">
        <v>521</v>
      </c>
      <c r="AA304" s="4">
        <v>527</v>
      </c>
      <c r="AB304" s="4">
        <v>3</v>
      </c>
      <c r="AC304" s="4">
        <v>3</v>
      </c>
      <c r="AD304" s="4">
        <v>25</v>
      </c>
      <c r="AE304" s="4">
        <v>26</v>
      </c>
      <c r="AF304" s="4">
        <v>10</v>
      </c>
      <c r="AG304" s="4">
        <v>11</v>
      </c>
      <c r="AH304" s="4">
        <v>8</v>
      </c>
      <c r="AI304" s="4">
        <v>8</v>
      </c>
      <c r="AJ304" s="4">
        <v>11</v>
      </c>
      <c r="AK304" s="4">
        <v>11</v>
      </c>
      <c r="AL304" s="4">
        <v>2</v>
      </c>
      <c r="AM304" s="4">
        <v>2</v>
      </c>
      <c r="AN304" s="4">
        <v>0</v>
      </c>
      <c r="AO304" s="4">
        <v>0</v>
      </c>
      <c r="AP304" s="3" t="s">
        <v>58</v>
      </c>
      <c r="AQ304" s="3" t="s">
        <v>58</v>
      </c>
      <c r="AS304" s="6" t="str">
        <f>HYPERLINK("https://creighton-primo.hosted.exlibrisgroup.com/primo-explore/search?tab=default_tab&amp;search_scope=EVERYTHING&amp;vid=01CRU&amp;lang=en_US&amp;offset=0&amp;query=any,contains,991005225069702656","Catalog Record")</f>
        <v>Catalog Record</v>
      </c>
      <c r="AT304" s="6" t="str">
        <f>HYPERLINK("http://www.worldcat.org/oclc/8280491","WorldCat Record")</f>
        <v>WorldCat Record</v>
      </c>
      <c r="AU304" s="3" t="s">
        <v>3853</v>
      </c>
      <c r="AV304" s="3" t="s">
        <v>3854</v>
      </c>
      <c r="AW304" s="3" t="s">
        <v>3855</v>
      </c>
      <c r="AX304" s="3" t="s">
        <v>3855</v>
      </c>
      <c r="AY304" s="3" t="s">
        <v>3856</v>
      </c>
      <c r="AZ304" s="3" t="s">
        <v>73</v>
      </c>
      <c r="BB304" s="3" t="s">
        <v>3857</v>
      </c>
      <c r="BC304" s="3" t="s">
        <v>3858</v>
      </c>
      <c r="BD304" s="3" t="s">
        <v>3859</v>
      </c>
    </row>
    <row r="305" spans="1:56" ht="51" customHeight="1" x14ac:dyDescent="0.25">
      <c r="A305" s="7" t="s">
        <v>58</v>
      </c>
      <c r="B305" s="2" t="s">
        <v>3860</v>
      </c>
      <c r="C305" s="2" t="s">
        <v>3861</v>
      </c>
      <c r="D305" s="2" t="s">
        <v>3862</v>
      </c>
      <c r="F305" s="3" t="s">
        <v>58</v>
      </c>
      <c r="G305" s="3" t="s">
        <v>59</v>
      </c>
      <c r="H305" s="3" t="s">
        <v>58</v>
      </c>
      <c r="I305" s="3" t="s">
        <v>58</v>
      </c>
      <c r="J305" s="3" t="s">
        <v>60</v>
      </c>
      <c r="L305" s="2" t="s">
        <v>3863</v>
      </c>
      <c r="M305" s="3" t="s">
        <v>1399</v>
      </c>
      <c r="O305" s="3" t="s">
        <v>63</v>
      </c>
      <c r="P305" s="3" t="s">
        <v>1837</v>
      </c>
      <c r="R305" s="3" t="s">
        <v>65</v>
      </c>
      <c r="S305" s="4">
        <v>6</v>
      </c>
      <c r="T305" s="4">
        <v>6</v>
      </c>
      <c r="U305" s="5" t="s">
        <v>1062</v>
      </c>
      <c r="V305" s="5" t="s">
        <v>1062</v>
      </c>
      <c r="W305" s="5" t="s">
        <v>3096</v>
      </c>
      <c r="X305" s="5" t="s">
        <v>3096</v>
      </c>
      <c r="Y305" s="4">
        <v>483</v>
      </c>
      <c r="Z305" s="4">
        <v>421</v>
      </c>
      <c r="AA305" s="4">
        <v>421</v>
      </c>
      <c r="AB305" s="4">
        <v>4</v>
      </c>
      <c r="AC305" s="4">
        <v>4</v>
      </c>
      <c r="AD305" s="4">
        <v>18</v>
      </c>
      <c r="AE305" s="4">
        <v>18</v>
      </c>
      <c r="AF305" s="4">
        <v>6</v>
      </c>
      <c r="AG305" s="4">
        <v>6</v>
      </c>
      <c r="AH305" s="4">
        <v>5</v>
      </c>
      <c r="AI305" s="4">
        <v>5</v>
      </c>
      <c r="AJ305" s="4">
        <v>6</v>
      </c>
      <c r="AK305" s="4">
        <v>6</v>
      </c>
      <c r="AL305" s="4">
        <v>3</v>
      </c>
      <c r="AM305" s="4">
        <v>3</v>
      </c>
      <c r="AN305" s="4">
        <v>2</v>
      </c>
      <c r="AO305" s="4">
        <v>2</v>
      </c>
      <c r="AP305" s="3" t="s">
        <v>58</v>
      </c>
      <c r="AQ305" s="3" t="s">
        <v>58</v>
      </c>
      <c r="AS305" s="6" t="str">
        <f>HYPERLINK("https://creighton-primo.hosted.exlibrisgroup.com/primo-explore/search?tab=default_tab&amp;search_scope=EVERYTHING&amp;vid=01CRU&amp;lang=en_US&amp;offset=0&amp;query=any,contains,991001263589702656","Catalog Record")</f>
        <v>Catalog Record</v>
      </c>
      <c r="AT305" s="6" t="str">
        <f>HYPERLINK("http://www.worldcat.org/oclc/17781074","WorldCat Record")</f>
        <v>WorldCat Record</v>
      </c>
      <c r="AU305" s="3" t="s">
        <v>3864</v>
      </c>
      <c r="AV305" s="3" t="s">
        <v>3865</v>
      </c>
      <c r="AW305" s="3" t="s">
        <v>3866</v>
      </c>
      <c r="AX305" s="3" t="s">
        <v>3866</v>
      </c>
      <c r="AY305" s="3" t="s">
        <v>3867</v>
      </c>
      <c r="AZ305" s="3" t="s">
        <v>73</v>
      </c>
      <c r="BB305" s="3" t="s">
        <v>3868</v>
      </c>
      <c r="BC305" s="3" t="s">
        <v>3869</v>
      </c>
      <c r="BD305" s="3" t="s">
        <v>3870</v>
      </c>
    </row>
    <row r="306" spans="1:56" ht="51" customHeight="1" x14ac:dyDescent="0.25">
      <c r="A306" s="7" t="s">
        <v>58</v>
      </c>
      <c r="B306" s="2" t="s">
        <v>3871</v>
      </c>
      <c r="C306" s="2" t="s">
        <v>3872</v>
      </c>
      <c r="D306" s="2" t="s">
        <v>3873</v>
      </c>
      <c r="F306" s="3" t="s">
        <v>58</v>
      </c>
      <c r="G306" s="3" t="s">
        <v>59</v>
      </c>
      <c r="H306" s="3" t="s">
        <v>58</v>
      </c>
      <c r="I306" s="3" t="s">
        <v>58</v>
      </c>
      <c r="J306" s="3" t="s">
        <v>60</v>
      </c>
      <c r="K306" s="2" t="s">
        <v>3874</v>
      </c>
      <c r="L306" s="2" t="s">
        <v>3875</v>
      </c>
      <c r="M306" s="3" t="s">
        <v>996</v>
      </c>
      <c r="O306" s="3" t="s">
        <v>63</v>
      </c>
      <c r="P306" s="3" t="s">
        <v>214</v>
      </c>
      <c r="R306" s="3" t="s">
        <v>65</v>
      </c>
      <c r="S306" s="4">
        <v>4</v>
      </c>
      <c r="T306" s="4">
        <v>4</v>
      </c>
      <c r="U306" s="5" t="s">
        <v>2033</v>
      </c>
      <c r="V306" s="5" t="s">
        <v>2033</v>
      </c>
      <c r="W306" s="5" t="s">
        <v>2616</v>
      </c>
      <c r="X306" s="5" t="s">
        <v>2616</v>
      </c>
      <c r="Y306" s="4">
        <v>519</v>
      </c>
      <c r="Z306" s="4">
        <v>441</v>
      </c>
      <c r="AA306" s="4">
        <v>450</v>
      </c>
      <c r="AB306" s="4">
        <v>3</v>
      </c>
      <c r="AC306" s="4">
        <v>3</v>
      </c>
      <c r="AD306" s="4">
        <v>15</v>
      </c>
      <c r="AE306" s="4">
        <v>15</v>
      </c>
      <c r="AF306" s="4">
        <v>4</v>
      </c>
      <c r="AG306" s="4">
        <v>4</v>
      </c>
      <c r="AH306" s="4">
        <v>4</v>
      </c>
      <c r="AI306" s="4">
        <v>4</v>
      </c>
      <c r="AJ306" s="4">
        <v>9</v>
      </c>
      <c r="AK306" s="4">
        <v>9</v>
      </c>
      <c r="AL306" s="4">
        <v>2</v>
      </c>
      <c r="AM306" s="4">
        <v>2</v>
      </c>
      <c r="AN306" s="4">
        <v>0</v>
      </c>
      <c r="AO306" s="4">
        <v>0</v>
      </c>
      <c r="AP306" s="3" t="s">
        <v>58</v>
      </c>
      <c r="AQ306" s="3" t="s">
        <v>68</v>
      </c>
      <c r="AR306" s="6" t="str">
        <f>HYPERLINK("http://catalog.hathitrust.org/Record/001242968","HathiTrust Record")</f>
        <v>HathiTrust Record</v>
      </c>
      <c r="AS306" s="6" t="str">
        <f>HYPERLINK("https://creighton-primo.hosted.exlibrisgroup.com/primo-explore/search?tab=default_tab&amp;search_scope=EVERYTHING&amp;vid=01CRU&amp;lang=en_US&amp;offset=0&amp;query=any,contains,991003850919702656","Catalog Record")</f>
        <v>Catalog Record</v>
      </c>
      <c r="AT306" s="6" t="str">
        <f>HYPERLINK("http://www.worldcat.org/oclc/1638871","WorldCat Record")</f>
        <v>WorldCat Record</v>
      </c>
      <c r="AU306" s="3" t="s">
        <v>3876</v>
      </c>
      <c r="AV306" s="3" t="s">
        <v>3877</v>
      </c>
      <c r="AW306" s="3" t="s">
        <v>3878</v>
      </c>
      <c r="AX306" s="3" t="s">
        <v>3878</v>
      </c>
      <c r="AY306" s="3" t="s">
        <v>3879</v>
      </c>
      <c r="AZ306" s="3" t="s">
        <v>73</v>
      </c>
      <c r="BB306" s="3" t="s">
        <v>3880</v>
      </c>
      <c r="BC306" s="3" t="s">
        <v>3881</v>
      </c>
      <c r="BD306" s="3" t="s">
        <v>3882</v>
      </c>
    </row>
    <row r="307" spans="1:56" ht="51" customHeight="1" x14ac:dyDescent="0.25">
      <c r="A307" s="7" t="s">
        <v>58</v>
      </c>
      <c r="B307" s="2" t="s">
        <v>3883</v>
      </c>
      <c r="C307" s="2" t="s">
        <v>3884</v>
      </c>
      <c r="D307" s="2" t="s">
        <v>3885</v>
      </c>
      <c r="F307" s="3" t="s">
        <v>58</v>
      </c>
      <c r="G307" s="3" t="s">
        <v>59</v>
      </c>
      <c r="H307" s="3" t="s">
        <v>58</v>
      </c>
      <c r="I307" s="3" t="s">
        <v>58</v>
      </c>
      <c r="J307" s="3" t="s">
        <v>60</v>
      </c>
      <c r="K307" s="2" t="s">
        <v>3886</v>
      </c>
      <c r="L307" s="2" t="s">
        <v>3887</v>
      </c>
      <c r="M307" s="3" t="s">
        <v>154</v>
      </c>
      <c r="O307" s="3" t="s">
        <v>63</v>
      </c>
      <c r="P307" s="3" t="s">
        <v>584</v>
      </c>
      <c r="R307" s="3" t="s">
        <v>65</v>
      </c>
      <c r="S307" s="4">
        <v>3</v>
      </c>
      <c r="T307" s="4">
        <v>3</v>
      </c>
      <c r="U307" s="5" t="s">
        <v>3888</v>
      </c>
      <c r="V307" s="5" t="s">
        <v>3888</v>
      </c>
      <c r="W307" s="5" t="s">
        <v>3889</v>
      </c>
      <c r="X307" s="5" t="s">
        <v>3889</v>
      </c>
      <c r="Y307" s="4">
        <v>355</v>
      </c>
      <c r="Z307" s="4">
        <v>284</v>
      </c>
      <c r="AA307" s="4">
        <v>321</v>
      </c>
      <c r="AB307" s="4">
        <v>3</v>
      </c>
      <c r="AC307" s="4">
        <v>3</v>
      </c>
      <c r="AD307" s="4">
        <v>11</v>
      </c>
      <c r="AE307" s="4">
        <v>11</v>
      </c>
      <c r="AF307" s="4">
        <v>3</v>
      </c>
      <c r="AG307" s="4">
        <v>3</v>
      </c>
      <c r="AH307" s="4">
        <v>4</v>
      </c>
      <c r="AI307" s="4">
        <v>4</v>
      </c>
      <c r="AJ307" s="4">
        <v>3</v>
      </c>
      <c r="AK307" s="4">
        <v>3</v>
      </c>
      <c r="AL307" s="4">
        <v>2</v>
      </c>
      <c r="AM307" s="4">
        <v>2</v>
      </c>
      <c r="AN307" s="4">
        <v>0</v>
      </c>
      <c r="AO307" s="4">
        <v>0</v>
      </c>
      <c r="AP307" s="3" t="s">
        <v>58</v>
      </c>
      <c r="AQ307" s="3" t="s">
        <v>58</v>
      </c>
      <c r="AS307" s="6" t="str">
        <f>HYPERLINK("https://creighton-primo.hosted.exlibrisgroup.com/primo-explore/search?tab=default_tab&amp;search_scope=EVERYTHING&amp;vid=01CRU&amp;lang=en_US&amp;offset=0&amp;query=any,contains,991001570389702656","Catalog Record")</f>
        <v>Catalog Record</v>
      </c>
      <c r="AT307" s="6" t="str">
        <f>HYPERLINK("http://www.worldcat.org/oclc/20389710","WorldCat Record")</f>
        <v>WorldCat Record</v>
      </c>
      <c r="AU307" s="3" t="s">
        <v>3890</v>
      </c>
      <c r="AV307" s="3" t="s">
        <v>3891</v>
      </c>
      <c r="AW307" s="3" t="s">
        <v>3892</v>
      </c>
      <c r="AX307" s="3" t="s">
        <v>3892</v>
      </c>
      <c r="AY307" s="3" t="s">
        <v>3893</v>
      </c>
      <c r="AZ307" s="3" t="s">
        <v>73</v>
      </c>
      <c r="BB307" s="3" t="s">
        <v>3894</v>
      </c>
      <c r="BC307" s="3" t="s">
        <v>3895</v>
      </c>
      <c r="BD307" s="3" t="s">
        <v>3896</v>
      </c>
    </row>
    <row r="308" spans="1:56" ht="51" customHeight="1" x14ac:dyDescent="0.25">
      <c r="A308" s="7" t="s">
        <v>58</v>
      </c>
      <c r="B308" s="2" t="s">
        <v>3897</v>
      </c>
      <c r="C308" s="2" t="s">
        <v>3898</v>
      </c>
      <c r="D308" s="2" t="s">
        <v>3899</v>
      </c>
      <c r="F308" s="3" t="s">
        <v>58</v>
      </c>
      <c r="G308" s="3" t="s">
        <v>59</v>
      </c>
      <c r="H308" s="3" t="s">
        <v>58</v>
      </c>
      <c r="I308" s="3" t="s">
        <v>58</v>
      </c>
      <c r="J308" s="3" t="s">
        <v>60</v>
      </c>
      <c r="K308" s="2" t="s">
        <v>3900</v>
      </c>
      <c r="L308" s="2" t="s">
        <v>3901</v>
      </c>
      <c r="M308" s="3" t="s">
        <v>1544</v>
      </c>
      <c r="O308" s="3" t="s">
        <v>63</v>
      </c>
      <c r="P308" s="3" t="s">
        <v>214</v>
      </c>
      <c r="Q308" s="2" t="s">
        <v>3902</v>
      </c>
      <c r="R308" s="3" t="s">
        <v>65</v>
      </c>
      <c r="S308" s="4">
        <v>4</v>
      </c>
      <c r="T308" s="4">
        <v>4</v>
      </c>
      <c r="U308" s="5" t="s">
        <v>3903</v>
      </c>
      <c r="V308" s="5" t="s">
        <v>3903</v>
      </c>
      <c r="W308" s="5" t="s">
        <v>3904</v>
      </c>
      <c r="X308" s="5" t="s">
        <v>3904</v>
      </c>
      <c r="Y308" s="4">
        <v>330</v>
      </c>
      <c r="Z308" s="4">
        <v>266</v>
      </c>
      <c r="AA308" s="4">
        <v>271</v>
      </c>
      <c r="AB308" s="4">
        <v>3</v>
      </c>
      <c r="AC308" s="4">
        <v>3</v>
      </c>
      <c r="AD308" s="4">
        <v>16</v>
      </c>
      <c r="AE308" s="4">
        <v>16</v>
      </c>
      <c r="AF308" s="4">
        <v>5</v>
      </c>
      <c r="AG308" s="4">
        <v>5</v>
      </c>
      <c r="AH308" s="4">
        <v>3</v>
      </c>
      <c r="AI308" s="4">
        <v>3</v>
      </c>
      <c r="AJ308" s="4">
        <v>10</v>
      </c>
      <c r="AK308" s="4">
        <v>10</v>
      </c>
      <c r="AL308" s="4">
        <v>2</v>
      </c>
      <c r="AM308" s="4">
        <v>2</v>
      </c>
      <c r="AN308" s="4">
        <v>0</v>
      </c>
      <c r="AO308" s="4">
        <v>0</v>
      </c>
      <c r="AP308" s="3" t="s">
        <v>58</v>
      </c>
      <c r="AQ308" s="3" t="s">
        <v>58</v>
      </c>
      <c r="AS308" s="6" t="str">
        <f>HYPERLINK("https://creighton-primo.hosted.exlibrisgroup.com/primo-explore/search?tab=default_tab&amp;search_scope=EVERYTHING&amp;vid=01CRU&amp;lang=en_US&amp;offset=0&amp;query=any,contains,991001948399702656","Catalog Record")</f>
        <v>Catalog Record</v>
      </c>
      <c r="AT308" s="6" t="str">
        <f>HYPERLINK("http://www.worldcat.org/oclc/24628533","WorldCat Record")</f>
        <v>WorldCat Record</v>
      </c>
      <c r="AU308" s="3" t="s">
        <v>3905</v>
      </c>
      <c r="AV308" s="3" t="s">
        <v>3906</v>
      </c>
      <c r="AW308" s="3" t="s">
        <v>3907</v>
      </c>
      <c r="AX308" s="3" t="s">
        <v>3907</v>
      </c>
      <c r="AY308" s="3" t="s">
        <v>3908</v>
      </c>
      <c r="AZ308" s="3" t="s">
        <v>73</v>
      </c>
      <c r="BB308" s="3" t="s">
        <v>3909</v>
      </c>
      <c r="BC308" s="3" t="s">
        <v>3910</v>
      </c>
      <c r="BD308" s="3" t="s">
        <v>3911</v>
      </c>
    </row>
    <row r="309" spans="1:56" ht="51" customHeight="1" x14ac:dyDescent="0.25">
      <c r="A309" s="7" t="s">
        <v>58</v>
      </c>
      <c r="B309" s="2" t="s">
        <v>3912</v>
      </c>
      <c r="C309" s="2" t="s">
        <v>3913</v>
      </c>
      <c r="D309" s="2" t="s">
        <v>3914</v>
      </c>
      <c r="F309" s="3" t="s">
        <v>58</v>
      </c>
      <c r="G309" s="3" t="s">
        <v>59</v>
      </c>
      <c r="H309" s="3" t="s">
        <v>58</v>
      </c>
      <c r="I309" s="3" t="s">
        <v>58</v>
      </c>
      <c r="J309" s="3" t="s">
        <v>60</v>
      </c>
      <c r="K309" s="2" t="s">
        <v>3915</v>
      </c>
      <c r="L309" s="2" t="s">
        <v>3916</v>
      </c>
      <c r="M309" s="3" t="s">
        <v>423</v>
      </c>
      <c r="N309" s="2" t="s">
        <v>870</v>
      </c>
      <c r="O309" s="3" t="s">
        <v>63</v>
      </c>
      <c r="P309" s="3" t="s">
        <v>214</v>
      </c>
      <c r="R309" s="3" t="s">
        <v>65</v>
      </c>
      <c r="S309" s="4">
        <v>12</v>
      </c>
      <c r="T309" s="4">
        <v>12</v>
      </c>
      <c r="U309" s="5" t="s">
        <v>3150</v>
      </c>
      <c r="V309" s="5" t="s">
        <v>3150</v>
      </c>
      <c r="W309" s="5" t="s">
        <v>3917</v>
      </c>
      <c r="X309" s="5" t="s">
        <v>3917</v>
      </c>
      <c r="Y309" s="4">
        <v>578</v>
      </c>
      <c r="Z309" s="4">
        <v>541</v>
      </c>
      <c r="AA309" s="4">
        <v>619</v>
      </c>
      <c r="AB309" s="4">
        <v>5</v>
      </c>
      <c r="AC309" s="4">
        <v>6</v>
      </c>
      <c r="AD309" s="4">
        <v>25</v>
      </c>
      <c r="AE309" s="4">
        <v>28</v>
      </c>
      <c r="AF309" s="4">
        <v>9</v>
      </c>
      <c r="AG309" s="4">
        <v>11</v>
      </c>
      <c r="AH309" s="4">
        <v>7</v>
      </c>
      <c r="AI309" s="4">
        <v>7</v>
      </c>
      <c r="AJ309" s="4">
        <v>10</v>
      </c>
      <c r="AK309" s="4">
        <v>12</v>
      </c>
      <c r="AL309" s="4">
        <v>4</v>
      </c>
      <c r="AM309" s="4">
        <v>4</v>
      </c>
      <c r="AN309" s="4">
        <v>0</v>
      </c>
      <c r="AO309" s="4">
        <v>0</v>
      </c>
      <c r="AP309" s="3" t="s">
        <v>58</v>
      </c>
      <c r="AQ309" s="3" t="s">
        <v>58</v>
      </c>
      <c r="AS309" s="6" t="str">
        <f>HYPERLINK("https://creighton-primo.hosted.exlibrisgroup.com/primo-explore/search?tab=default_tab&amp;search_scope=EVERYTHING&amp;vid=01CRU&amp;lang=en_US&amp;offset=0&amp;query=any,contains,991002985539702656","Catalog Record")</f>
        <v>Catalog Record</v>
      </c>
      <c r="AT309" s="6" t="str">
        <f>HYPERLINK("http://www.worldcat.org/oclc/40214929","WorldCat Record")</f>
        <v>WorldCat Record</v>
      </c>
      <c r="AU309" s="3" t="s">
        <v>3918</v>
      </c>
      <c r="AV309" s="3" t="s">
        <v>3919</v>
      </c>
      <c r="AW309" s="3" t="s">
        <v>3920</v>
      </c>
      <c r="AX309" s="3" t="s">
        <v>3920</v>
      </c>
      <c r="AY309" s="3" t="s">
        <v>3921</v>
      </c>
      <c r="AZ309" s="3" t="s">
        <v>73</v>
      </c>
      <c r="BB309" s="3" t="s">
        <v>3922</v>
      </c>
      <c r="BC309" s="3" t="s">
        <v>3923</v>
      </c>
      <c r="BD309" s="3" t="s">
        <v>3924</v>
      </c>
    </row>
    <row r="310" spans="1:56" ht="51" customHeight="1" x14ac:dyDescent="0.25">
      <c r="A310" s="7" t="s">
        <v>58</v>
      </c>
      <c r="B310" s="2" t="s">
        <v>3925</v>
      </c>
      <c r="C310" s="2" t="s">
        <v>3926</v>
      </c>
      <c r="D310" s="2" t="s">
        <v>3927</v>
      </c>
      <c r="F310" s="3" t="s">
        <v>58</v>
      </c>
      <c r="G310" s="3" t="s">
        <v>59</v>
      </c>
      <c r="H310" s="3" t="s">
        <v>58</v>
      </c>
      <c r="I310" s="3" t="s">
        <v>58</v>
      </c>
      <c r="J310" s="3" t="s">
        <v>60</v>
      </c>
      <c r="K310" s="2" t="s">
        <v>3928</v>
      </c>
      <c r="L310" s="2" t="s">
        <v>3929</v>
      </c>
      <c r="M310" s="3" t="s">
        <v>1544</v>
      </c>
      <c r="N310" s="2" t="s">
        <v>1009</v>
      </c>
      <c r="O310" s="3" t="s">
        <v>63</v>
      </c>
      <c r="P310" s="3" t="s">
        <v>214</v>
      </c>
      <c r="R310" s="3" t="s">
        <v>65</v>
      </c>
      <c r="S310" s="4">
        <v>7</v>
      </c>
      <c r="T310" s="4">
        <v>7</v>
      </c>
      <c r="U310" s="5" t="s">
        <v>3930</v>
      </c>
      <c r="V310" s="5" t="s">
        <v>3930</v>
      </c>
      <c r="W310" s="5" t="s">
        <v>3931</v>
      </c>
      <c r="X310" s="5" t="s">
        <v>3931</v>
      </c>
      <c r="Y310" s="4">
        <v>541</v>
      </c>
      <c r="Z310" s="4">
        <v>497</v>
      </c>
      <c r="AA310" s="4">
        <v>562</v>
      </c>
      <c r="AB310" s="4">
        <v>3</v>
      </c>
      <c r="AC310" s="4">
        <v>3</v>
      </c>
      <c r="AD310" s="4">
        <v>19</v>
      </c>
      <c r="AE310" s="4">
        <v>21</v>
      </c>
      <c r="AF310" s="4">
        <v>8</v>
      </c>
      <c r="AG310" s="4">
        <v>9</v>
      </c>
      <c r="AH310" s="4">
        <v>5</v>
      </c>
      <c r="AI310" s="4">
        <v>6</v>
      </c>
      <c r="AJ310" s="4">
        <v>9</v>
      </c>
      <c r="AK310" s="4">
        <v>10</v>
      </c>
      <c r="AL310" s="4">
        <v>0</v>
      </c>
      <c r="AM310" s="4">
        <v>0</v>
      </c>
      <c r="AN310" s="4">
        <v>0</v>
      </c>
      <c r="AO310" s="4">
        <v>0</v>
      </c>
      <c r="AP310" s="3" t="s">
        <v>58</v>
      </c>
      <c r="AQ310" s="3" t="s">
        <v>68</v>
      </c>
      <c r="AR310" s="6" t="str">
        <f>HYPERLINK("http://catalog.hathitrust.org/Record/002589671","HathiTrust Record")</f>
        <v>HathiTrust Record</v>
      </c>
      <c r="AS310" s="6" t="str">
        <f>HYPERLINK("https://creighton-primo.hosted.exlibrisgroup.com/primo-explore/search?tab=default_tab&amp;search_scope=EVERYTHING&amp;vid=01CRU&amp;lang=en_US&amp;offset=0&amp;query=any,contains,991001911119702656","Catalog Record")</f>
        <v>Catalog Record</v>
      </c>
      <c r="AT310" s="6" t="str">
        <f>HYPERLINK("http://www.worldcat.org/oclc/24142396","WorldCat Record")</f>
        <v>WorldCat Record</v>
      </c>
      <c r="AU310" s="3" t="s">
        <v>3932</v>
      </c>
      <c r="AV310" s="3" t="s">
        <v>3933</v>
      </c>
      <c r="AW310" s="3" t="s">
        <v>3934</v>
      </c>
      <c r="AX310" s="3" t="s">
        <v>3934</v>
      </c>
      <c r="AY310" s="3" t="s">
        <v>3935</v>
      </c>
      <c r="AZ310" s="3" t="s">
        <v>73</v>
      </c>
      <c r="BB310" s="3" t="s">
        <v>3936</v>
      </c>
      <c r="BC310" s="3" t="s">
        <v>3937</v>
      </c>
      <c r="BD310" s="3" t="s">
        <v>3938</v>
      </c>
    </row>
    <row r="311" spans="1:56" ht="51" customHeight="1" x14ac:dyDescent="0.25">
      <c r="A311" s="7" t="s">
        <v>58</v>
      </c>
      <c r="B311" s="2" t="s">
        <v>3939</v>
      </c>
      <c r="C311" s="2" t="s">
        <v>3940</v>
      </c>
      <c r="D311" s="2" t="s">
        <v>3941</v>
      </c>
      <c r="F311" s="3" t="s">
        <v>58</v>
      </c>
      <c r="G311" s="3" t="s">
        <v>59</v>
      </c>
      <c r="H311" s="3" t="s">
        <v>58</v>
      </c>
      <c r="I311" s="3" t="s">
        <v>58</v>
      </c>
      <c r="J311" s="3" t="s">
        <v>60</v>
      </c>
      <c r="K311" s="2" t="s">
        <v>3942</v>
      </c>
      <c r="L311" s="2" t="s">
        <v>3943</v>
      </c>
      <c r="M311" s="3" t="s">
        <v>154</v>
      </c>
      <c r="N311" s="2" t="s">
        <v>1009</v>
      </c>
      <c r="O311" s="3" t="s">
        <v>63</v>
      </c>
      <c r="P311" s="3" t="s">
        <v>1299</v>
      </c>
      <c r="R311" s="3" t="s">
        <v>65</v>
      </c>
      <c r="S311" s="4">
        <v>3</v>
      </c>
      <c r="T311" s="4">
        <v>3</v>
      </c>
      <c r="U311" s="5" t="s">
        <v>3944</v>
      </c>
      <c r="V311" s="5" t="s">
        <v>3944</v>
      </c>
      <c r="W311" s="5" t="s">
        <v>3945</v>
      </c>
      <c r="X311" s="5" t="s">
        <v>3945</v>
      </c>
      <c r="Y311" s="4">
        <v>684</v>
      </c>
      <c r="Z311" s="4">
        <v>594</v>
      </c>
      <c r="AA311" s="4">
        <v>620</v>
      </c>
      <c r="AB311" s="4">
        <v>1</v>
      </c>
      <c r="AC311" s="4">
        <v>1</v>
      </c>
      <c r="AD311" s="4">
        <v>23</v>
      </c>
      <c r="AE311" s="4">
        <v>25</v>
      </c>
      <c r="AF311" s="4">
        <v>10</v>
      </c>
      <c r="AG311" s="4">
        <v>10</v>
      </c>
      <c r="AH311" s="4">
        <v>6</v>
      </c>
      <c r="AI311" s="4">
        <v>8</v>
      </c>
      <c r="AJ311" s="4">
        <v>12</v>
      </c>
      <c r="AK311" s="4">
        <v>13</v>
      </c>
      <c r="AL311" s="4">
        <v>0</v>
      </c>
      <c r="AM311" s="4">
        <v>0</v>
      </c>
      <c r="AN311" s="4">
        <v>1</v>
      </c>
      <c r="AO311" s="4">
        <v>1</v>
      </c>
      <c r="AP311" s="3" t="s">
        <v>58</v>
      </c>
      <c r="AQ311" s="3" t="s">
        <v>68</v>
      </c>
      <c r="AR311" s="6" t="str">
        <f>HYPERLINK("http://catalog.hathitrust.org/Record/001103554","HathiTrust Record")</f>
        <v>HathiTrust Record</v>
      </c>
      <c r="AS311" s="6" t="str">
        <f>HYPERLINK("https://creighton-primo.hosted.exlibrisgroup.com/primo-explore/search?tab=default_tab&amp;search_scope=EVERYTHING&amp;vid=01CRU&amp;lang=en_US&amp;offset=0&amp;query=any,contains,991001408179702656","Catalog Record")</f>
        <v>Catalog Record</v>
      </c>
      <c r="AT311" s="6" t="str">
        <f>HYPERLINK("http://www.worldcat.org/oclc/18871613","WorldCat Record")</f>
        <v>WorldCat Record</v>
      </c>
      <c r="AU311" s="3" t="s">
        <v>3946</v>
      </c>
      <c r="AV311" s="3" t="s">
        <v>3947</v>
      </c>
      <c r="AW311" s="3" t="s">
        <v>3948</v>
      </c>
      <c r="AX311" s="3" t="s">
        <v>3948</v>
      </c>
      <c r="AY311" s="3" t="s">
        <v>3949</v>
      </c>
      <c r="AZ311" s="3" t="s">
        <v>73</v>
      </c>
      <c r="BB311" s="3" t="s">
        <v>3950</v>
      </c>
      <c r="BC311" s="3" t="s">
        <v>3951</v>
      </c>
      <c r="BD311" s="3" t="s">
        <v>3952</v>
      </c>
    </row>
    <row r="312" spans="1:56" ht="51" customHeight="1" x14ac:dyDescent="0.25">
      <c r="A312" s="7" t="s">
        <v>58</v>
      </c>
      <c r="B312" s="2" t="s">
        <v>3953</v>
      </c>
      <c r="C312" s="2" t="s">
        <v>3954</v>
      </c>
      <c r="D312" s="2" t="s">
        <v>3955</v>
      </c>
      <c r="F312" s="3" t="s">
        <v>58</v>
      </c>
      <c r="G312" s="3" t="s">
        <v>59</v>
      </c>
      <c r="H312" s="3" t="s">
        <v>58</v>
      </c>
      <c r="I312" s="3" t="s">
        <v>58</v>
      </c>
      <c r="J312" s="3" t="s">
        <v>60</v>
      </c>
      <c r="K312" s="2" t="s">
        <v>3956</v>
      </c>
      <c r="L312" s="2" t="s">
        <v>3957</v>
      </c>
      <c r="M312" s="3" t="s">
        <v>1399</v>
      </c>
      <c r="N312" s="2" t="s">
        <v>338</v>
      </c>
      <c r="O312" s="3" t="s">
        <v>63</v>
      </c>
      <c r="P312" s="3" t="s">
        <v>214</v>
      </c>
      <c r="R312" s="3" t="s">
        <v>65</v>
      </c>
      <c r="S312" s="4">
        <v>1</v>
      </c>
      <c r="T312" s="4">
        <v>1</v>
      </c>
      <c r="U312" s="5" t="s">
        <v>3958</v>
      </c>
      <c r="V312" s="5" t="s">
        <v>3958</v>
      </c>
      <c r="W312" s="5" t="s">
        <v>3513</v>
      </c>
      <c r="X312" s="5" t="s">
        <v>3513</v>
      </c>
      <c r="Y312" s="4">
        <v>227</v>
      </c>
      <c r="Z312" s="4">
        <v>206</v>
      </c>
      <c r="AA312" s="4">
        <v>210</v>
      </c>
      <c r="AB312" s="4">
        <v>1</v>
      </c>
      <c r="AC312" s="4">
        <v>1</v>
      </c>
      <c r="AD312" s="4">
        <v>3</v>
      </c>
      <c r="AE312" s="4">
        <v>3</v>
      </c>
      <c r="AF312" s="4">
        <v>2</v>
      </c>
      <c r="AG312" s="4">
        <v>2</v>
      </c>
      <c r="AH312" s="4">
        <v>0</v>
      </c>
      <c r="AI312" s="4">
        <v>0</v>
      </c>
      <c r="AJ312" s="4">
        <v>3</v>
      </c>
      <c r="AK312" s="4">
        <v>3</v>
      </c>
      <c r="AL312" s="4">
        <v>0</v>
      </c>
      <c r="AM312" s="4">
        <v>0</v>
      </c>
      <c r="AN312" s="4">
        <v>0</v>
      </c>
      <c r="AO312" s="4">
        <v>0</v>
      </c>
      <c r="AP312" s="3" t="s">
        <v>58</v>
      </c>
      <c r="AQ312" s="3" t="s">
        <v>58</v>
      </c>
      <c r="AS312" s="6" t="str">
        <f>HYPERLINK("https://creighton-primo.hosted.exlibrisgroup.com/primo-explore/search?tab=default_tab&amp;search_scope=EVERYTHING&amp;vid=01CRU&amp;lang=en_US&amp;offset=0&amp;query=any,contains,991001265509702656","Catalog Record")</f>
        <v>Catalog Record</v>
      </c>
      <c r="AT312" s="6" t="str">
        <f>HYPERLINK("http://www.worldcat.org/oclc/17805146","WorldCat Record")</f>
        <v>WorldCat Record</v>
      </c>
      <c r="AU312" s="3" t="s">
        <v>3959</v>
      </c>
      <c r="AV312" s="3" t="s">
        <v>3960</v>
      </c>
      <c r="AW312" s="3" t="s">
        <v>3961</v>
      </c>
      <c r="AX312" s="3" t="s">
        <v>3961</v>
      </c>
      <c r="AY312" s="3" t="s">
        <v>3962</v>
      </c>
      <c r="AZ312" s="3" t="s">
        <v>73</v>
      </c>
      <c r="BB312" s="3" t="s">
        <v>3963</v>
      </c>
      <c r="BC312" s="3" t="s">
        <v>3964</v>
      </c>
      <c r="BD312" s="3" t="s">
        <v>3965</v>
      </c>
    </row>
    <row r="313" spans="1:56" ht="51" customHeight="1" x14ac:dyDescent="0.25">
      <c r="A313" s="7" t="s">
        <v>58</v>
      </c>
      <c r="B313" s="2" t="s">
        <v>3966</v>
      </c>
      <c r="C313" s="2" t="s">
        <v>3967</v>
      </c>
      <c r="D313" s="2" t="s">
        <v>3968</v>
      </c>
      <c r="F313" s="3" t="s">
        <v>58</v>
      </c>
      <c r="G313" s="3" t="s">
        <v>59</v>
      </c>
      <c r="H313" s="3" t="s">
        <v>58</v>
      </c>
      <c r="I313" s="3" t="s">
        <v>58</v>
      </c>
      <c r="J313" s="3" t="s">
        <v>60</v>
      </c>
      <c r="L313" s="2" t="s">
        <v>3969</v>
      </c>
      <c r="M313" s="3" t="s">
        <v>855</v>
      </c>
      <c r="O313" s="3" t="s">
        <v>63</v>
      </c>
      <c r="P313" s="3" t="s">
        <v>354</v>
      </c>
      <c r="Q313" s="2" t="s">
        <v>3970</v>
      </c>
      <c r="R313" s="3" t="s">
        <v>65</v>
      </c>
      <c r="S313" s="4">
        <v>5</v>
      </c>
      <c r="T313" s="4">
        <v>5</v>
      </c>
      <c r="U313" s="5" t="s">
        <v>3971</v>
      </c>
      <c r="V313" s="5" t="s">
        <v>3971</v>
      </c>
      <c r="W313" s="5" t="s">
        <v>3972</v>
      </c>
      <c r="X313" s="5" t="s">
        <v>3972</v>
      </c>
      <c r="Y313" s="4">
        <v>303</v>
      </c>
      <c r="Z313" s="4">
        <v>239</v>
      </c>
      <c r="AA313" s="4">
        <v>822</v>
      </c>
      <c r="AB313" s="4">
        <v>3</v>
      </c>
      <c r="AC313" s="4">
        <v>32</v>
      </c>
      <c r="AD313" s="4">
        <v>17</v>
      </c>
      <c r="AE313" s="4">
        <v>33</v>
      </c>
      <c r="AF313" s="4">
        <v>4</v>
      </c>
      <c r="AG313" s="4">
        <v>8</v>
      </c>
      <c r="AH313" s="4">
        <v>5</v>
      </c>
      <c r="AI313" s="4">
        <v>5</v>
      </c>
      <c r="AJ313" s="4">
        <v>10</v>
      </c>
      <c r="AK313" s="4">
        <v>11</v>
      </c>
      <c r="AL313" s="4">
        <v>2</v>
      </c>
      <c r="AM313" s="4">
        <v>13</v>
      </c>
      <c r="AN313" s="4">
        <v>0</v>
      </c>
      <c r="AO313" s="4">
        <v>0</v>
      </c>
      <c r="AP313" s="3" t="s">
        <v>58</v>
      </c>
      <c r="AQ313" s="3" t="s">
        <v>68</v>
      </c>
      <c r="AR313" s="6" t="str">
        <f>HYPERLINK("http://catalog.hathitrust.org/Record/002702819","HathiTrust Record")</f>
        <v>HathiTrust Record</v>
      </c>
      <c r="AS313" s="6" t="str">
        <f>HYPERLINK("https://creighton-primo.hosted.exlibrisgroup.com/primo-explore/search?tab=default_tab&amp;search_scope=EVERYTHING&amp;vid=01CRU&amp;lang=en_US&amp;offset=0&amp;query=any,contains,991002111169702656","Catalog Record")</f>
        <v>Catalog Record</v>
      </c>
      <c r="AT313" s="6" t="str">
        <f>HYPERLINK("http://www.worldcat.org/oclc/27066283","WorldCat Record")</f>
        <v>WorldCat Record</v>
      </c>
      <c r="AU313" s="3" t="s">
        <v>3973</v>
      </c>
      <c r="AV313" s="3" t="s">
        <v>3974</v>
      </c>
      <c r="AW313" s="3" t="s">
        <v>3975</v>
      </c>
      <c r="AX313" s="3" t="s">
        <v>3975</v>
      </c>
      <c r="AY313" s="3" t="s">
        <v>3976</v>
      </c>
      <c r="AZ313" s="3" t="s">
        <v>73</v>
      </c>
      <c r="BB313" s="3" t="s">
        <v>3977</v>
      </c>
      <c r="BC313" s="3" t="s">
        <v>3978</v>
      </c>
      <c r="BD313" s="3" t="s">
        <v>3979</v>
      </c>
    </row>
    <row r="314" spans="1:56" ht="51" customHeight="1" x14ac:dyDescent="0.25">
      <c r="A314" s="7" t="s">
        <v>58</v>
      </c>
      <c r="B314" s="2" t="s">
        <v>3980</v>
      </c>
      <c r="C314" s="2" t="s">
        <v>3981</v>
      </c>
      <c r="D314" s="2" t="s">
        <v>3982</v>
      </c>
      <c r="F314" s="3" t="s">
        <v>58</v>
      </c>
      <c r="G314" s="3" t="s">
        <v>59</v>
      </c>
      <c r="H314" s="3" t="s">
        <v>58</v>
      </c>
      <c r="I314" s="3" t="s">
        <v>58</v>
      </c>
      <c r="J314" s="3" t="s">
        <v>60</v>
      </c>
      <c r="L314" s="2" t="s">
        <v>3983</v>
      </c>
      <c r="M314" s="3" t="s">
        <v>479</v>
      </c>
      <c r="N314" s="2" t="s">
        <v>338</v>
      </c>
      <c r="O314" s="3" t="s">
        <v>63</v>
      </c>
      <c r="P314" s="3" t="s">
        <v>214</v>
      </c>
      <c r="Q314" s="2" t="s">
        <v>3418</v>
      </c>
      <c r="R314" s="3" t="s">
        <v>65</v>
      </c>
      <c r="S314" s="4">
        <v>6</v>
      </c>
      <c r="T314" s="4">
        <v>6</v>
      </c>
      <c r="U314" s="5" t="s">
        <v>3984</v>
      </c>
      <c r="V314" s="5" t="s">
        <v>3984</v>
      </c>
      <c r="W314" s="5" t="s">
        <v>3985</v>
      </c>
      <c r="X314" s="5" t="s">
        <v>3985</v>
      </c>
      <c r="Y314" s="4">
        <v>290</v>
      </c>
      <c r="Z314" s="4">
        <v>243</v>
      </c>
      <c r="AA314" s="4">
        <v>244</v>
      </c>
      <c r="AB314" s="4">
        <v>3</v>
      </c>
      <c r="AC314" s="4">
        <v>3</v>
      </c>
      <c r="AD314" s="4">
        <v>16</v>
      </c>
      <c r="AE314" s="4">
        <v>16</v>
      </c>
      <c r="AF314" s="4">
        <v>3</v>
      </c>
      <c r="AG314" s="4">
        <v>3</v>
      </c>
      <c r="AH314" s="4">
        <v>5</v>
      </c>
      <c r="AI314" s="4">
        <v>5</v>
      </c>
      <c r="AJ314" s="4">
        <v>9</v>
      </c>
      <c r="AK314" s="4">
        <v>9</v>
      </c>
      <c r="AL314" s="4">
        <v>2</v>
      </c>
      <c r="AM314" s="4">
        <v>2</v>
      </c>
      <c r="AN314" s="4">
        <v>0</v>
      </c>
      <c r="AO314" s="4">
        <v>0</v>
      </c>
      <c r="AP314" s="3" t="s">
        <v>58</v>
      </c>
      <c r="AQ314" s="3" t="s">
        <v>68</v>
      </c>
      <c r="AR314" s="6" t="str">
        <f>HYPERLINK("http://catalog.hathitrust.org/Record/002868881","HathiTrust Record")</f>
        <v>HathiTrust Record</v>
      </c>
      <c r="AS314" s="6" t="str">
        <f>HYPERLINK("https://creighton-primo.hosted.exlibrisgroup.com/primo-explore/search?tab=default_tab&amp;search_scope=EVERYTHING&amp;vid=01CRU&amp;lang=en_US&amp;offset=0&amp;query=any,contains,991002248209702656","Catalog Record")</f>
        <v>Catalog Record</v>
      </c>
      <c r="AT314" s="6" t="str">
        <f>HYPERLINK("http://www.worldcat.org/oclc/29023705","WorldCat Record")</f>
        <v>WorldCat Record</v>
      </c>
      <c r="AU314" s="3" t="s">
        <v>3986</v>
      </c>
      <c r="AV314" s="3" t="s">
        <v>3987</v>
      </c>
      <c r="AW314" s="3" t="s">
        <v>3988</v>
      </c>
      <c r="AX314" s="3" t="s">
        <v>3988</v>
      </c>
      <c r="AY314" s="3" t="s">
        <v>3989</v>
      </c>
      <c r="AZ314" s="3" t="s">
        <v>73</v>
      </c>
      <c r="BB314" s="3" t="s">
        <v>3990</v>
      </c>
      <c r="BC314" s="3" t="s">
        <v>3991</v>
      </c>
      <c r="BD314" s="3" t="s">
        <v>3992</v>
      </c>
    </row>
    <row r="315" spans="1:56" ht="51" customHeight="1" x14ac:dyDescent="0.25">
      <c r="A315" s="7" t="s">
        <v>58</v>
      </c>
      <c r="B315" s="2" t="s">
        <v>3993</v>
      </c>
      <c r="C315" s="2" t="s">
        <v>3994</v>
      </c>
      <c r="D315" s="2" t="s">
        <v>3995</v>
      </c>
      <c r="F315" s="3" t="s">
        <v>58</v>
      </c>
      <c r="G315" s="3" t="s">
        <v>59</v>
      </c>
      <c r="H315" s="3" t="s">
        <v>58</v>
      </c>
      <c r="I315" s="3" t="s">
        <v>58</v>
      </c>
      <c r="J315" s="3" t="s">
        <v>60</v>
      </c>
      <c r="K315" s="2" t="s">
        <v>3996</v>
      </c>
      <c r="L315" s="2" t="s">
        <v>3997</v>
      </c>
      <c r="M315" s="3" t="s">
        <v>898</v>
      </c>
      <c r="N315" s="2" t="s">
        <v>338</v>
      </c>
      <c r="O315" s="3" t="s">
        <v>63</v>
      </c>
      <c r="P315" s="3" t="s">
        <v>214</v>
      </c>
      <c r="R315" s="3" t="s">
        <v>65</v>
      </c>
      <c r="S315" s="4">
        <v>1</v>
      </c>
      <c r="T315" s="4">
        <v>1</v>
      </c>
      <c r="U315" s="5" t="s">
        <v>3998</v>
      </c>
      <c r="V315" s="5" t="s">
        <v>3998</v>
      </c>
      <c r="W315" s="5" t="s">
        <v>3998</v>
      </c>
      <c r="X315" s="5" t="s">
        <v>3998</v>
      </c>
      <c r="Y315" s="4">
        <v>295</v>
      </c>
      <c r="Z315" s="4">
        <v>271</v>
      </c>
      <c r="AA315" s="4">
        <v>278</v>
      </c>
      <c r="AB315" s="4">
        <v>4</v>
      </c>
      <c r="AC315" s="4">
        <v>4</v>
      </c>
      <c r="AD315" s="4">
        <v>11</v>
      </c>
      <c r="AE315" s="4">
        <v>11</v>
      </c>
      <c r="AF315" s="4">
        <v>4</v>
      </c>
      <c r="AG315" s="4">
        <v>4</v>
      </c>
      <c r="AH315" s="4">
        <v>2</v>
      </c>
      <c r="AI315" s="4">
        <v>2</v>
      </c>
      <c r="AJ315" s="4">
        <v>8</v>
      </c>
      <c r="AK315" s="4">
        <v>8</v>
      </c>
      <c r="AL315" s="4">
        <v>1</v>
      </c>
      <c r="AM315" s="4">
        <v>1</v>
      </c>
      <c r="AN315" s="4">
        <v>0</v>
      </c>
      <c r="AO315" s="4">
        <v>0</v>
      </c>
      <c r="AP315" s="3" t="s">
        <v>58</v>
      </c>
      <c r="AQ315" s="3" t="s">
        <v>58</v>
      </c>
      <c r="AS315" s="6" t="str">
        <f>HYPERLINK("https://creighton-primo.hosted.exlibrisgroup.com/primo-explore/search?tab=default_tab&amp;search_scope=EVERYTHING&amp;vid=01CRU&amp;lang=en_US&amp;offset=0&amp;query=any,contains,991004799019702656","Catalog Record")</f>
        <v>Catalog Record</v>
      </c>
      <c r="AT315" s="6" t="str">
        <f>HYPERLINK("http://www.worldcat.org/oclc/62127834","WorldCat Record")</f>
        <v>WorldCat Record</v>
      </c>
      <c r="AU315" s="3" t="s">
        <v>3999</v>
      </c>
      <c r="AV315" s="3" t="s">
        <v>4000</v>
      </c>
      <c r="AW315" s="3" t="s">
        <v>4001</v>
      </c>
      <c r="AX315" s="3" t="s">
        <v>4001</v>
      </c>
      <c r="AY315" s="3" t="s">
        <v>4002</v>
      </c>
      <c r="AZ315" s="3" t="s">
        <v>73</v>
      </c>
      <c r="BB315" s="3" t="s">
        <v>4003</v>
      </c>
      <c r="BC315" s="3" t="s">
        <v>4004</v>
      </c>
      <c r="BD315" s="3" t="s">
        <v>4005</v>
      </c>
    </row>
    <row r="316" spans="1:56" ht="51" customHeight="1" x14ac:dyDescent="0.25">
      <c r="A316" s="7" t="s">
        <v>58</v>
      </c>
      <c r="B316" s="2" t="s">
        <v>4006</v>
      </c>
      <c r="C316" s="2" t="s">
        <v>4007</v>
      </c>
      <c r="D316" s="2" t="s">
        <v>4008</v>
      </c>
      <c r="F316" s="3" t="s">
        <v>68</v>
      </c>
      <c r="G316" s="3" t="s">
        <v>59</v>
      </c>
      <c r="H316" s="3" t="s">
        <v>58</v>
      </c>
      <c r="I316" s="3" t="s">
        <v>58</v>
      </c>
      <c r="J316" s="3" t="s">
        <v>60</v>
      </c>
      <c r="K316" s="2" t="s">
        <v>4009</v>
      </c>
      <c r="L316" s="2" t="s">
        <v>4010</v>
      </c>
      <c r="M316" s="3" t="s">
        <v>382</v>
      </c>
      <c r="O316" s="3" t="s">
        <v>63</v>
      </c>
      <c r="P316" s="3" t="s">
        <v>584</v>
      </c>
      <c r="R316" s="3" t="s">
        <v>65</v>
      </c>
      <c r="S316" s="4">
        <v>4</v>
      </c>
      <c r="T316" s="4">
        <v>4</v>
      </c>
      <c r="U316" s="5" t="s">
        <v>2991</v>
      </c>
      <c r="V316" s="5" t="s">
        <v>2991</v>
      </c>
      <c r="W316" s="5" t="s">
        <v>4011</v>
      </c>
      <c r="X316" s="5" t="s">
        <v>4011</v>
      </c>
      <c r="Y316" s="4">
        <v>425</v>
      </c>
      <c r="Z316" s="4">
        <v>320</v>
      </c>
      <c r="AA316" s="4">
        <v>320</v>
      </c>
      <c r="AB316" s="4">
        <v>2</v>
      </c>
      <c r="AC316" s="4">
        <v>2</v>
      </c>
      <c r="AD316" s="4">
        <v>19</v>
      </c>
      <c r="AE316" s="4">
        <v>19</v>
      </c>
      <c r="AF316" s="4">
        <v>7</v>
      </c>
      <c r="AG316" s="4">
        <v>7</v>
      </c>
      <c r="AH316" s="4">
        <v>6</v>
      </c>
      <c r="AI316" s="4">
        <v>6</v>
      </c>
      <c r="AJ316" s="4">
        <v>10</v>
      </c>
      <c r="AK316" s="4">
        <v>10</v>
      </c>
      <c r="AL316" s="4">
        <v>1</v>
      </c>
      <c r="AM316" s="4">
        <v>1</v>
      </c>
      <c r="AN316" s="4">
        <v>1</v>
      </c>
      <c r="AO316" s="4">
        <v>1</v>
      </c>
      <c r="AP316" s="3" t="s">
        <v>58</v>
      </c>
      <c r="AQ316" s="3" t="s">
        <v>58</v>
      </c>
      <c r="AS316" s="6" t="str">
        <f>HYPERLINK("https://creighton-primo.hosted.exlibrisgroup.com/primo-explore/search?tab=default_tab&amp;search_scope=EVERYTHING&amp;vid=01CRU&amp;lang=en_US&amp;offset=0&amp;query=any,contains,991003327949702656","Catalog Record")</f>
        <v>Catalog Record</v>
      </c>
      <c r="AT316" s="6" t="str">
        <f>HYPERLINK("http://www.worldcat.org/oclc/40588457","WorldCat Record")</f>
        <v>WorldCat Record</v>
      </c>
      <c r="AU316" s="3" t="s">
        <v>4012</v>
      </c>
      <c r="AV316" s="3" t="s">
        <v>4013</v>
      </c>
      <c r="AW316" s="3" t="s">
        <v>4014</v>
      </c>
      <c r="AX316" s="3" t="s">
        <v>4014</v>
      </c>
      <c r="AY316" s="3" t="s">
        <v>4015</v>
      </c>
      <c r="AZ316" s="3" t="s">
        <v>73</v>
      </c>
      <c r="BB316" s="3" t="s">
        <v>4016</v>
      </c>
      <c r="BC316" s="3" t="s">
        <v>4017</v>
      </c>
      <c r="BD316" s="3" t="s">
        <v>4018</v>
      </c>
    </row>
    <row r="317" spans="1:56" ht="51" customHeight="1" x14ac:dyDescent="0.25">
      <c r="A317" s="7" t="s">
        <v>58</v>
      </c>
      <c r="B317" s="2" t="s">
        <v>4019</v>
      </c>
      <c r="C317" s="2" t="s">
        <v>4020</v>
      </c>
      <c r="D317" s="2" t="s">
        <v>4021</v>
      </c>
      <c r="F317" s="3" t="s">
        <v>58</v>
      </c>
      <c r="G317" s="3" t="s">
        <v>59</v>
      </c>
      <c r="H317" s="3" t="s">
        <v>58</v>
      </c>
      <c r="I317" s="3" t="s">
        <v>58</v>
      </c>
      <c r="J317" s="3" t="s">
        <v>60</v>
      </c>
      <c r="K317" s="2" t="s">
        <v>4009</v>
      </c>
      <c r="L317" s="2" t="s">
        <v>4022</v>
      </c>
      <c r="M317" s="3" t="s">
        <v>4023</v>
      </c>
      <c r="O317" s="3" t="s">
        <v>63</v>
      </c>
      <c r="P317" s="3" t="s">
        <v>214</v>
      </c>
      <c r="R317" s="3" t="s">
        <v>65</v>
      </c>
      <c r="S317" s="4">
        <v>14</v>
      </c>
      <c r="T317" s="4">
        <v>14</v>
      </c>
      <c r="U317" s="5" t="s">
        <v>4024</v>
      </c>
      <c r="V317" s="5" t="s">
        <v>4024</v>
      </c>
      <c r="W317" s="5" t="s">
        <v>4025</v>
      </c>
      <c r="X317" s="5" t="s">
        <v>4025</v>
      </c>
      <c r="Y317" s="4">
        <v>212</v>
      </c>
      <c r="Z317" s="4">
        <v>185</v>
      </c>
      <c r="AA317" s="4">
        <v>267</v>
      </c>
      <c r="AB317" s="4">
        <v>1</v>
      </c>
      <c r="AC317" s="4">
        <v>1</v>
      </c>
      <c r="AD317" s="4">
        <v>10</v>
      </c>
      <c r="AE317" s="4">
        <v>13</v>
      </c>
      <c r="AF317" s="4">
        <v>3</v>
      </c>
      <c r="AG317" s="4">
        <v>5</v>
      </c>
      <c r="AH317" s="4">
        <v>4</v>
      </c>
      <c r="AI317" s="4">
        <v>4</v>
      </c>
      <c r="AJ317" s="4">
        <v>7</v>
      </c>
      <c r="AK317" s="4">
        <v>9</v>
      </c>
      <c r="AL317" s="4">
        <v>0</v>
      </c>
      <c r="AM317" s="4">
        <v>0</v>
      </c>
      <c r="AN317" s="4">
        <v>0</v>
      </c>
      <c r="AO317" s="4">
        <v>0</v>
      </c>
      <c r="AP317" s="3" t="s">
        <v>58</v>
      </c>
      <c r="AQ317" s="3" t="s">
        <v>68</v>
      </c>
      <c r="AR317" s="6" t="str">
        <f>HYPERLINK("http://catalog.hathitrust.org/Record/004742818","HathiTrust Record")</f>
        <v>HathiTrust Record</v>
      </c>
      <c r="AS317" s="6" t="str">
        <f>HYPERLINK("https://creighton-primo.hosted.exlibrisgroup.com/primo-explore/search?tab=default_tab&amp;search_scope=EVERYTHING&amp;vid=01CRU&amp;lang=en_US&amp;offset=0&amp;query=any,contains,991004318389702656","Catalog Record")</f>
        <v>Catalog Record</v>
      </c>
      <c r="AT317" s="6" t="str">
        <f>HYPERLINK("http://www.worldcat.org/oclc/55658527","WorldCat Record")</f>
        <v>WorldCat Record</v>
      </c>
      <c r="AU317" s="3" t="s">
        <v>4026</v>
      </c>
      <c r="AV317" s="3" t="s">
        <v>4027</v>
      </c>
      <c r="AW317" s="3" t="s">
        <v>4028</v>
      </c>
      <c r="AX317" s="3" t="s">
        <v>4028</v>
      </c>
      <c r="AY317" s="3" t="s">
        <v>4029</v>
      </c>
      <c r="AZ317" s="3" t="s">
        <v>73</v>
      </c>
      <c r="BB317" s="3" t="s">
        <v>4030</v>
      </c>
      <c r="BC317" s="3" t="s">
        <v>4031</v>
      </c>
      <c r="BD317" s="3" t="s">
        <v>4032</v>
      </c>
    </row>
    <row r="318" spans="1:56" ht="51" customHeight="1" x14ac:dyDescent="0.25">
      <c r="A318" s="7" t="s">
        <v>58</v>
      </c>
      <c r="B318" s="2" t="s">
        <v>4033</v>
      </c>
      <c r="C318" s="2" t="s">
        <v>4034</v>
      </c>
      <c r="D318" s="2" t="s">
        <v>4035</v>
      </c>
      <c r="F318" s="3" t="s">
        <v>58</v>
      </c>
      <c r="G318" s="3" t="s">
        <v>59</v>
      </c>
      <c r="H318" s="3" t="s">
        <v>58</v>
      </c>
      <c r="I318" s="3" t="s">
        <v>58</v>
      </c>
      <c r="J318" s="3" t="s">
        <v>60</v>
      </c>
      <c r="K318" s="2" t="s">
        <v>4036</v>
      </c>
      <c r="L318" s="2" t="s">
        <v>4037</v>
      </c>
      <c r="M318" s="3" t="s">
        <v>1091</v>
      </c>
      <c r="O318" s="3" t="s">
        <v>63</v>
      </c>
      <c r="P318" s="3" t="s">
        <v>584</v>
      </c>
      <c r="R318" s="3" t="s">
        <v>65</v>
      </c>
      <c r="S318" s="4">
        <v>10</v>
      </c>
      <c r="T318" s="4">
        <v>10</v>
      </c>
      <c r="U318" s="5" t="s">
        <v>3903</v>
      </c>
      <c r="V318" s="5" t="s">
        <v>3903</v>
      </c>
      <c r="W318" s="5" t="s">
        <v>4038</v>
      </c>
      <c r="X318" s="5" t="s">
        <v>4038</v>
      </c>
      <c r="Y318" s="4">
        <v>261</v>
      </c>
      <c r="Z318" s="4">
        <v>196</v>
      </c>
      <c r="AA318" s="4">
        <v>198</v>
      </c>
      <c r="AB318" s="4">
        <v>2</v>
      </c>
      <c r="AC318" s="4">
        <v>2</v>
      </c>
      <c r="AD318" s="4">
        <v>11</v>
      </c>
      <c r="AE318" s="4">
        <v>11</v>
      </c>
      <c r="AF318" s="4">
        <v>3</v>
      </c>
      <c r="AG318" s="4">
        <v>3</v>
      </c>
      <c r="AH318" s="4">
        <v>3</v>
      </c>
      <c r="AI318" s="4">
        <v>3</v>
      </c>
      <c r="AJ318" s="4">
        <v>6</v>
      </c>
      <c r="AK318" s="4">
        <v>6</v>
      </c>
      <c r="AL318" s="4">
        <v>1</v>
      </c>
      <c r="AM318" s="4">
        <v>1</v>
      </c>
      <c r="AN318" s="4">
        <v>1</v>
      </c>
      <c r="AO318" s="4">
        <v>1</v>
      </c>
      <c r="AP318" s="3" t="s">
        <v>58</v>
      </c>
      <c r="AQ318" s="3" t="s">
        <v>58</v>
      </c>
      <c r="AS318" s="6" t="str">
        <f>HYPERLINK("https://creighton-primo.hosted.exlibrisgroup.com/primo-explore/search?tab=default_tab&amp;search_scope=EVERYTHING&amp;vid=01CRU&amp;lang=en_US&amp;offset=0&amp;query=any,contains,991003753619702656","Catalog Record")</f>
        <v>Catalog Record</v>
      </c>
      <c r="AT318" s="6" t="str">
        <f>HYPERLINK("http://www.worldcat.org/oclc/47273086","WorldCat Record")</f>
        <v>WorldCat Record</v>
      </c>
      <c r="AU318" s="3" t="s">
        <v>4039</v>
      </c>
      <c r="AV318" s="3" t="s">
        <v>4040</v>
      </c>
      <c r="AW318" s="3" t="s">
        <v>4041</v>
      </c>
      <c r="AX318" s="3" t="s">
        <v>4041</v>
      </c>
      <c r="AY318" s="3" t="s">
        <v>4042</v>
      </c>
      <c r="AZ318" s="3" t="s">
        <v>73</v>
      </c>
      <c r="BB318" s="3" t="s">
        <v>4043</v>
      </c>
      <c r="BC318" s="3" t="s">
        <v>4044</v>
      </c>
      <c r="BD318" s="3" t="s">
        <v>4045</v>
      </c>
    </row>
    <row r="319" spans="1:56" ht="51" customHeight="1" x14ac:dyDescent="0.25">
      <c r="A319" s="7" t="s">
        <v>58</v>
      </c>
      <c r="B319" s="2" t="s">
        <v>4046</v>
      </c>
      <c r="C319" s="2" t="s">
        <v>4047</v>
      </c>
      <c r="D319" s="2" t="s">
        <v>4048</v>
      </c>
      <c r="F319" s="3" t="s">
        <v>58</v>
      </c>
      <c r="G319" s="3" t="s">
        <v>59</v>
      </c>
      <c r="H319" s="3" t="s">
        <v>58</v>
      </c>
      <c r="I319" s="3" t="s">
        <v>58</v>
      </c>
      <c r="J319" s="3" t="s">
        <v>60</v>
      </c>
      <c r="K319" s="2" t="s">
        <v>4049</v>
      </c>
      <c r="L319" s="2" t="s">
        <v>4050</v>
      </c>
      <c r="M319" s="3" t="s">
        <v>2295</v>
      </c>
      <c r="O319" s="3" t="s">
        <v>63</v>
      </c>
      <c r="P319" s="3" t="s">
        <v>3109</v>
      </c>
      <c r="R319" s="3" t="s">
        <v>65</v>
      </c>
      <c r="S319" s="4">
        <v>6</v>
      </c>
      <c r="T319" s="4">
        <v>6</v>
      </c>
      <c r="U319" s="5" t="s">
        <v>3813</v>
      </c>
      <c r="V319" s="5" t="s">
        <v>3813</v>
      </c>
      <c r="W319" s="5" t="s">
        <v>4051</v>
      </c>
      <c r="X319" s="5" t="s">
        <v>4051</v>
      </c>
      <c r="Y319" s="4">
        <v>801</v>
      </c>
      <c r="Z319" s="4">
        <v>634</v>
      </c>
      <c r="AA319" s="4">
        <v>712</v>
      </c>
      <c r="AB319" s="4">
        <v>2</v>
      </c>
      <c r="AC319" s="4">
        <v>2</v>
      </c>
      <c r="AD319" s="4">
        <v>22</v>
      </c>
      <c r="AE319" s="4">
        <v>24</v>
      </c>
      <c r="AF319" s="4">
        <v>7</v>
      </c>
      <c r="AG319" s="4">
        <v>9</v>
      </c>
      <c r="AH319" s="4">
        <v>6</v>
      </c>
      <c r="AI319" s="4">
        <v>6</v>
      </c>
      <c r="AJ319" s="4">
        <v>13</v>
      </c>
      <c r="AK319" s="4">
        <v>14</v>
      </c>
      <c r="AL319" s="4">
        <v>1</v>
      </c>
      <c r="AM319" s="4">
        <v>1</v>
      </c>
      <c r="AN319" s="4">
        <v>0</v>
      </c>
      <c r="AO319" s="4">
        <v>0</v>
      </c>
      <c r="AP319" s="3" t="s">
        <v>58</v>
      </c>
      <c r="AQ319" s="3" t="s">
        <v>68</v>
      </c>
      <c r="AR319" s="6" t="str">
        <f>HYPERLINK("http://catalog.hathitrust.org/Record/004317121","HathiTrust Record")</f>
        <v>HathiTrust Record</v>
      </c>
      <c r="AS319" s="6" t="str">
        <f>HYPERLINK("https://creighton-primo.hosted.exlibrisgroup.com/primo-explore/search?tab=default_tab&amp;search_scope=EVERYTHING&amp;vid=01CRU&amp;lang=en_US&amp;offset=0&amp;query=any,contains,991004089469702656","Catalog Record")</f>
        <v>Catalog Record</v>
      </c>
      <c r="AT319" s="6" t="str">
        <f>HYPERLINK("http://www.worldcat.org/oclc/51222165","WorldCat Record")</f>
        <v>WorldCat Record</v>
      </c>
      <c r="AU319" s="3" t="s">
        <v>4052</v>
      </c>
      <c r="AV319" s="3" t="s">
        <v>4053</v>
      </c>
      <c r="AW319" s="3" t="s">
        <v>4054</v>
      </c>
      <c r="AX319" s="3" t="s">
        <v>4054</v>
      </c>
      <c r="AY319" s="3" t="s">
        <v>4055</v>
      </c>
      <c r="AZ319" s="3" t="s">
        <v>73</v>
      </c>
      <c r="BB319" s="3" t="s">
        <v>4056</v>
      </c>
      <c r="BC319" s="3" t="s">
        <v>4057</v>
      </c>
      <c r="BD319" s="3" t="s">
        <v>4058</v>
      </c>
    </row>
    <row r="320" spans="1:56" ht="51" customHeight="1" x14ac:dyDescent="0.25">
      <c r="A320" s="7" t="s">
        <v>58</v>
      </c>
      <c r="B320" s="2" t="s">
        <v>4059</v>
      </c>
      <c r="C320" s="2" t="s">
        <v>4060</v>
      </c>
      <c r="D320" s="2" t="s">
        <v>4061</v>
      </c>
      <c r="F320" s="3" t="s">
        <v>58</v>
      </c>
      <c r="G320" s="3" t="s">
        <v>59</v>
      </c>
      <c r="H320" s="3" t="s">
        <v>58</v>
      </c>
      <c r="I320" s="3" t="s">
        <v>58</v>
      </c>
      <c r="J320" s="3" t="s">
        <v>60</v>
      </c>
      <c r="K320" s="2" t="s">
        <v>4062</v>
      </c>
      <c r="L320" s="2" t="s">
        <v>4063</v>
      </c>
      <c r="M320" s="3" t="s">
        <v>2295</v>
      </c>
      <c r="O320" s="3" t="s">
        <v>63</v>
      </c>
      <c r="P320" s="3" t="s">
        <v>214</v>
      </c>
      <c r="R320" s="3" t="s">
        <v>65</v>
      </c>
      <c r="S320" s="4">
        <v>3</v>
      </c>
      <c r="T320" s="4">
        <v>3</v>
      </c>
      <c r="U320" s="5" t="s">
        <v>2893</v>
      </c>
      <c r="V320" s="5" t="s">
        <v>2893</v>
      </c>
      <c r="W320" s="5" t="s">
        <v>4064</v>
      </c>
      <c r="X320" s="5" t="s">
        <v>4064</v>
      </c>
      <c r="Y320" s="4">
        <v>685</v>
      </c>
      <c r="Z320" s="4">
        <v>590</v>
      </c>
      <c r="AA320" s="4">
        <v>595</v>
      </c>
      <c r="AB320" s="4">
        <v>7</v>
      </c>
      <c r="AC320" s="4">
        <v>7</v>
      </c>
      <c r="AD320" s="4">
        <v>33</v>
      </c>
      <c r="AE320" s="4">
        <v>33</v>
      </c>
      <c r="AF320" s="4">
        <v>14</v>
      </c>
      <c r="AG320" s="4">
        <v>14</v>
      </c>
      <c r="AH320" s="4">
        <v>8</v>
      </c>
      <c r="AI320" s="4">
        <v>8</v>
      </c>
      <c r="AJ320" s="4">
        <v>16</v>
      </c>
      <c r="AK320" s="4">
        <v>16</v>
      </c>
      <c r="AL320" s="4">
        <v>5</v>
      </c>
      <c r="AM320" s="4">
        <v>5</v>
      </c>
      <c r="AN320" s="4">
        <v>0</v>
      </c>
      <c r="AO320" s="4">
        <v>0</v>
      </c>
      <c r="AP320" s="3" t="s">
        <v>58</v>
      </c>
      <c r="AQ320" s="3" t="s">
        <v>58</v>
      </c>
      <c r="AS320" s="6" t="str">
        <f>HYPERLINK("https://creighton-primo.hosted.exlibrisgroup.com/primo-explore/search?tab=default_tab&amp;search_scope=EVERYTHING&amp;vid=01CRU&amp;lang=en_US&amp;offset=0&amp;query=any,contains,991004074109702656","Catalog Record")</f>
        <v>Catalog Record</v>
      </c>
      <c r="AT320" s="6" t="str">
        <f>HYPERLINK("http://www.worldcat.org/oclc/50440985","WorldCat Record")</f>
        <v>WorldCat Record</v>
      </c>
      <c r="AU320" s="3" t="s">
        <v>4065</v>
      </c>
      <c r="AV320" s="3" t="s">
        <v>4066</v>
      </c>
      <c r="AW320" s="3" t="s">
        <v>4067</v>
      </c>
      <c r="AX320" s="3" t="s">
        <v>4067</v>
      </c>
      <c r="AY320" s="3" t="s">
        <v>4068</v>
      </c>
      <c r="AZ320" s="3" t="s">
        <v>73</v>
      </c>
      <c r="BB320" s="3" t="s">
        <v>4069</v>
      </c>
      <c r="BC320" s="3" t="s">
        <v>4070</v>
      </c>
      <c r="BD320" s="3" t="s">
        <v>4071</v>
      </c>
    </row>
    <row r="321" spans="1:56" ht="51" customHeight="1" x14ac:dyDescent="0.25">
      <c r="A321" s="7" t="s">
        <v>58</v>
      </c>
      <c r="B321" s="2" t="s">
        <v>4072</v>
      </c>
      <c r="C321" s="2" t="s">
        <v>4073</v>
      </c>
      <c r="D321" s="2" t="s">
        <v>4074</v>
      </c>
      <c r="F321" s="3" t="s">
        <v>58</v>
      </c>
      <c r="G321" s="3" t="s">
        <v>59</v>
      </c>
      <c r="H321" s="3" t="s">
        <v>58</v>
      </c>
      <c r="I321" s="3" t="s">
        <v>58</v>
      </c>
      <c r="J321" s="3" t="s">
        <v>60</v>
      </c>
      <c r="K321" s="2" t="s">
        <v>4075</v>
      </c>
      <c r="L321" s="2" t="s">
        <v>4076</v>
      </c>
      <c r="M321" s="3" t="s">
        <v>1091</v>
      </c>
      <c r="O321" s="3" t="s">
        <v>63</v>
      </c>
      <c r="P321" s="3" t="s">
        <v>495</v>
      </c>
      <c r="R321" s="3" t="s">
        <v>65</v>
      </c>
      <c r="S321" s="4">
        <v>3</v>
      </c>
      <c r="T321" s="4">
        <v>3</v>
      </c>
      <c r="U321" s="5" t="s">
        <v>2033</v>
      </c>
      <c r="V321" s="5" t="s">
        <v>2033</v>
      </c>
      <c r="W321" s="5" t="s">
        <v>1653</v>
      </c>
      <c r="X321" s="5" t="s">
        <v>1653</v>
      </c>
      <c r="Y321" s="4">
        <v>168</v>
      </c>
      <c r="Z321" s="4">
        <v>147</v>
      </c>
      <c r="AA321" s="4">
        <v>161</v>
      </c>
      <c r="AB321" s="4">
        <v>2</v>
      </c>
      <c r="AC321" s="4">
        <v>2</v>
      </c>
      <c r="AD321" s="4">
        <v>7</v>
      </c>
      <c r="AE321" s="4">
        <v>8</v>
      </c>
      <c r="AF321" s="4">
        <v>2</v>
      </c>
      <c r="AG321" s="4">
        <v>3</v>
      </c>
      <c r="AH321" s="4">
        <v>1</v>
      </c>
      <c r="AI321" s="4">
        <v>2</v>
      </c>
      <c r="AJ321" s="4">
        <v>4</v>
      </c>
      <c r="AK321" s="4">
        <v>4</v>
      </c>
      <c r="AL321" s="4">
        <v>1</v>
      </c>
      <c r="AM321" s="4">
        <v>1</v>
      </c>
      <c r="AN321" s="4">
        <v>0</v>
      </c>
      <c r="AO321" s="4">
        <v>0</v>
      </c>
      <c r="AP321" s="3" t="s">
        <v>58</v>
      </c>
      <c r="AQ321" s="3" t="s">
        <v>58</v>
      </c>
      <c r="AS321" s="6" t="str">
        <f>HYPERLINK("https://creighton-primo.hosted.exlibrisgroup.com/primo-explore/search?tab=default_tab&amp;search_scope=EVERYTHING&amp;vid=01CRU&amp;lang=en_US&amp;offset=0&amp;query=any,contains,991003742069702656","Catalog Record")</f>
        <v>Catalog Record</v>
      </c>
      <c r="AT321" s="6" t="str">
        <f>HYPERLINK("http://www.worldcat.org/oclc/47161567","WorldCat Record")</f>
        <v>WorldCat Record</v>
      </c>
      <c r="AU321" s="3" t="s">
        <v>4077</v>
      </c>
      <c r="AV321" s="3" t="s">
        <v>4078</v>
      </c>
      <c r="AW321" s="3" t="s">
        <v>4079</v>
      </c>
      <c r="AX321" s="3" t="s">
        <v>4079</v>
      </c>
      <c r="AY321" s="3" t="s">
        <v>4080</v>
      </c>
      <c r="AZ321" s="3" t="s">
        <v>73</v>
      </c>
      <c r="BB321" s="3" t="s">
        <v>4081</v>
      </c>
      <c r="BC321" s="3" t="s">
        <v>4082</v>
      </c>
      <c r="BD321" s="3" t="s">
        <v>4083</v>
      </c>
    </row>
    <row r="322" spans="1:56" ht="51" customHeight="1" x14ac:dyDescent="0.25">
      <c r="A322" s="7" t="s">
        <v>58</v>
      </c>
      <c r="B322" s="2" t="s">
        <v>4084</v>
      </c>
      <c r="C322" s="2" t="s">
        <v>4085</v>
      </c>
      <c r="D322" s="2" t="s">
        <v>4086</v>
      </c>
      <c r="F322" s="3" t="s">
        <v>58</v>
      </c>
      <c r="G322" s="3" t="s">
        <v>59</v>
      </c>
      <c r="H322" s="3" t="s">
        <v>58</v>
      </c>
      <c r="I322" s="3" t="s">
        <v>58</v>
      </c>
      <c r="J322" s="3" t="s">
        <v>60</v>
      </c>
      <c r="K322" s="2" t="s">
        <v>4087</v>
      </c>
      <c r="L322" s="2" t="s">
        <v>4088</v>
      </c>
      <c r="M322" s="3" t="s">
        <v>2326</v>
      </c>
      <c r="O322" s="3" t="s">
        <v>63</v>
      </c>
      <c r="P322" s="3" t="s">
        <v>3109</v>
      </c>
      <c r="R322" s="3" t="s">
        <v>65</v>
      </c>
      <c r="S322" s="4">
        <v>2</v>
      </c>
      <c r="T322" s="4">
        <v>2</v>
      </c>
      <c r="U322" s="5" t="s">
        <v>2991</v>
      </c>
      <c r="V322" s="5" t="s">
        <v>2991</v>
      </c>
      <c r="W322" s="5" t="s">
        <v>4089</v>
      </c>
      <c r="X322" s="5" t="s">
        <v>4089</v>
      </c>
      <c r="Y322" s="4">
        <v>107</v>
      </c>
      <c r="Z322" s="4">
        <v>84</v>
      </c>
      <c r="AA322" s="4">
        <v>85</v>
      </c>
      <c r="AB322" s="4">
        <v>1</v>
      </c>
      <c r="AC322" s="4">
        <v>1</v>
      </c>
      <c r="AD322" s="4">
        <v>8</v>
      </c>
      <c r="AE322" s="4">
        <v>8</v>
      </c>
      <c r="AF322" s="4">
        <v>2</v>
      </c>
      <c r="AG322" s="4">
        <v>2</v>
      </c>
      <c r="AH322" s="4">
        <v>3</v>
      </c>
      <c r="AI322" s="4">
        <v>3</v>
      </c>
      <c r="AJ322" s="4">
        <v>5</v>
      </c>
      <c r="AK322" s="4">
        <v>5</v>
      </c>
      <c r="AL322" s="4">
        <v>0</v>
      </c>
      <c r="AM322" s="4">
        <v>0</v>
      </c>
      <c r="AN322" s="4">
        <v>0</v>
      </c>
      <c r="AO322" s="4">
        <v>0</v>
      </c>
      <c r="AP322" s="3" t="s">
        <v>58</v>
      </c>
      <c r="AQ322" s="3" t="s">
        <v>68</v>
      </c>
      <c r="AR322" s="6" t="str">
        <f>HYPERLINK("http://catalog.hathitrust.org/Record/005916335","HathiTrust Record")</f>
        <v>HathiTrust Record</v>
      </c>
      <c r="AS322" s="6" t="str">
        <f>HYPERLINK("https://creighton-primo.hosted.exlibrisgroup.com/primo-explore/search?tab=default_tab&amp;search_scope=EVERYTHING&amp;vid=01CRU&amp;lang=en_US&amp;offset=0&amp;query=any,contains,991005374799702656","Catalog Record")</f>
        <v>Catalog Record</v>
      </c>
      <c r="AT322" s="6" t="str">
        <f>HYPERLINK("http://www.worldcat.org/oclc/256529530","WorldCat Record")</f>
        <v>WorldCat Record</v>
      </c>
      <c r="AU322" s="3" t="s">
        <v>4090</v>
      </c>
      <c r="AV322" s="3" t="s">
        <v>4091</v>
      </c>
      <c r="AW322" s="3" t="s">
        <v>4092</v>
      </c>
      <c r="AX322" s="3" t="s">
        <v>4092</v>
      </c>
      <c r="AY322" s="3" t="s">
        <v>4093</v>
      </c>
      <c r="AZ322" s="3" t="s">
        <v>73</v>
      </c>
      <c r="BB322" s="3" t="s">
        <v>4094</v>
      </c>
      <c r="BC322" s="3" t="s">
        <v>4095</v>
      </c>
      <c r="BD322" s="3" t="s">
        <v>4096</v>
      </c>
    </row>
    <row r="323" spans="1:56" ht="51" customHeight="1" x14ac:dyDescent="0.25">
      <c r="A323" s="7" t="s">
        <v>58</v>
      </c>
      <c r="B323" s="2" t="s">
        <v>4097</v>
      </c>
      <c r="C323" s="2" t="s">
        <v>4098</v>
      </c>
      <c r="D323" s="2" t="s">
        <v>4099</v>
      </c>
      <c r="F323" s="3" t="s">
        <v>58</v>
      </c>
      <c r="G323" s="3" t="s">
        <v>59</v>
      </c>
      <c r="H323" s="3" t="s">
        <v>58</v>
      </c>
      <c r="I323" s="3" t="s">
        <v>58</v>
      </c>
      <c r="J323" s="3" t="s">
        <v>60</v>
      </c>
      <c r="L323" s="2" t="s">
        <v>4100</v>
      </c>
      <c r="M323" s="3" t="s">
        <v>2295</v>
      </c>
      <c r="O323" s="3" t="s">
        <v>63</v>
      </c>
      <c r="P323" s="3" t="s">
        <v>354</v>
      </c>
      <c r="R323" s="3" t="s">
        <v>65</v>
      </c>
      <c r="S323" s="4">
        <v>9</v>
      </c>
      <c r="T323" s="4">
        <v>9</v>
      </c>
      <c r="U323" s="5" t="s">
        <v>4101</v>
      </c>
      <c r="V323" s="5" t="s">
        <v>4101</v>
      </c>
      <c r="W323" s="5" t="s">
        <v>4102</v>
      </c>
      <c r="X323" s="5" t="s">
        <v>4102</v>
      </c>
      <c r="Y323" s="4">
        <v>281</v>
      </c>
      <c r="Z323" s="4">
        <v>229</v>
      </c>
      <c r="AA323" s="4">
        <v>242</v>
      </c>
      <c r="AB323" s="4">
        <v>3</v>
      </c>
      <c r="AC323" s="4">
        <v>3</v>
      </c>
      <c r="AD323" s="4">
        <v>7</v>
      </c>
      <c r="AE323" s="4">
        <v>7</v>
      </c>
      <c r="AF323" s="4">
        <v>0</v>
      </c>
      <c r="AG323" s="4">
        <v>0</v>
      </c>
      <c r="AH323" s="4">
        <v>4</v>
      </c>
      <c r="AI323" s="4">
        <v>4</v>
      </c>
      <c r="AJ323" s="4">
        <v>3</v>
      </c>
      <c r="AK323" s="4">
        <v>3</v>
      </c>
      <c r="AL323" s="4">
        <v>2</v>
      </c>
      <c r="AM323" s="4">
        <v>2</v>
      </c>
      <c r="AN323" s="4">
        <v>0</v>
      </c>
      <c r="AO323" s="4">
        <v>0</v>
      </c>
      <c r="AP323" s="3" t="s">
        <v>58</v>
      </c>
      <c r="AQ323" s="3" t="s">
        <v>68</v>
      </c>
      <c r="AR323" s="6" t="str">
        <f>HYPERLINK("http://catalog.hathitrust.org/Record/004289609","HathiTrust Record")</f>
        <v>HathiTrust Record</v>
      </c>
      <c r="AS323" s="6" t="str">
        <f>HYPERLINK("https://creighton-primo.hosted.exlibrisgroup.com/primo-explore/search?tab=default_tab&amp;search_scope=EVERYTHING&amp;vid=01CRU&amp;lang=en_US&amp;offset=0&amp;query=any,contains,991003908769702656","Catalog Record")</f>
        <v>Catalog Record</v>
      </c>
      <c r="AT323" s="6" t="str">
        <f>HYPERLINK("http://www.worldcat.org/oclc/50129391","WorldCat Record")</f>
        <v>WorldCat Record</v>
      </c>
      <c r="AU323" s="3" t="s">
        <v>4103</v>
      </c>
      <c r="AV323" s="3" t="s">
        <v>4104</v>
      </c>
      <c r="AW323" s="3" t="s">
        <v>4105</v>
      </c>
      <c r="AX323" s="3" t="s">
        <v>4105</v>
      </c>
      <c r="AY323" s="3" t="s">
        <v>4106</v>
      </c>
      <c r="AZ323" s="3" t="s">
        <v>73</v>
      </c>
      <c r="BB323" s="3" t="s">
        <v>4107</v>
      </c>
      <c r="BC323" s="3" t="s">
        <v>4108</v>
      </c>
      <c r="BD323" s="3" t="s">
        <v>4109</v>
      </c>
    </row>
    <row r="324" spans="1:56" ht="51" customHeight="1" x14ac:dyDescent="0.25">
      <c r="A324" s="7" t="s">
        <v>58</v>
      </c>
      <c r="B324" s="2" t="s">
        <v>4110</v>
      </c>
      <c r="C324" s="2" t="s">
        <v>4111</v>
      </c>
      <c r="D324" s="2" t="s">
        <v>4112</v>
      </c>
      <c r="F324" s="3" t="s">
        <v>58</v>
      </c>
      <c r="G324" s="3" t="s">
        <v>59</v>
      </c>
      <c r="H324" s="3" t="s">
        <v>58</v>
      </c>
      <c r="I324" s="3" t="s">
        <v>58</v>
      </c>
      <c r="J324" s="3" t="s">
        <v>60</v>
      </c>
      <c r="K324" s="2" t="s">
        <v>4113</v>
      </c>
      <c r="L324" s="2" t="s">
        <v>4114</v>
      </c>
      <c r="M324" s="3" t="s">
        <v>2295</v>
      </c>
      <c r="N324" s="2" t="s">
        <v>338</v>
      </c>
      <c r="O324" s="3" t="s">
        <v>63</v>
      </c>
      <c r="P324" s="3" t="s">
        <v>214</v>
      </c>
      <c r="R324" s="3" t="s">
        <v>65</v>
      </c>
      <c r="S324" s="4">
        <v>6</v>
      </c>
      <c r="T324" s="4">
        <v>6</v>
      </c>
      <c r="U324" s="5" t="s">
        <v>4101</v>
      </c>
      <c r="V324" s="5" t="s">
        <v>4101</v>
      </c>
      <c r="W324" s="5" t="s">
        <v>4115</v>
      </c>
      <c r="X324" s="5" t="s">
        <v>4115</v>
      </c>
      <c r="Y324" s="4">
        <v>493</v>
      </c>
      <c r="Z324" s="4">
        <v>439</v>
      </c>
      <c r="AA324" s="4">
        <v>486</v>
      </c>
      <c r="AB324" s="4">
        <v>5</v>
      </c>
      <c r="AC324" s="4">
        <v>5</v>
      </c>
      <c r="AD324" s="4">
        <v>14</v>
      </c>
      <c r="AE324" s="4">
        <v>16</v>
      </c>
      <c r="AF324" s="4">
        <v>7</v>
      </c>
      <c r="AG324" s="4">
        <v>7</v>
      </c>
      <c r="AH324" s="4">
        <v>3</v>
      </c>
      <c r="AI324" s="4">
        <v>4</v>
      </c>
      <c r="AJ324" s="4">
        <v>5</v>
      </c>
      <c r="AK324" s="4">
        <v>7</v>
      </c>
      <c r="AL324" s="4">
        <v>2</v>
      </c>
      <c r="AM324" s="4">
        <v>2</v>
      </c>
      <c r="AN324" s="4">
        <v>1</v>
      </c>
      <c r="AO324" s="4">
        <v>1</v>
      </c>
      <c r="AP324" s="3" t="s">
        <v>58</v>
      </c>
      <c r="AQ324" s="3" t="s">
        <v>58</v>
      </c>
      <c r="AS324" s="6" t="str">
        <f>HYPERLINK("https://creighton-primo.hosted.exlibrisgroup.com/primo-explore/search?tab=default_tab&amp;search_scope=EVERYTHING&amp;vid=01CRU&amp;lang=en_US&amp;offset=0&amp;query=any,contains,991004196539702656","Catalog Record")</f>
        <v>Catalog Record</v>
      </c>
      <c r="AT324" s="6" t="str">
        <f>HYPERLINK("http://www.worldcat.org/oclc/52090707","WorldCat Record")</f>
        <v>WorldCat Record</v>
      </c>
      <c r="AU324" s="3" t="s">
        <v>4116</v>
      </c>
      <c r="AV324" s="3" t="s">
        <v>4117</v>
      </c>
      <c r="AW324" s="3" t="s">
        <v>4118</v>
      </c>
      <c r="AX324" s="3" t="s">
        <v>4118</v>
      </c>
      <c r="AY324" s="3" t="s">
        <v>4119</v>
      </c>
      <c r="AZ324" s="3" t="s">
        <v>73</v>
      </c>
      <c r="BB324" s="3" t="s">
        <v>4120</v>
      </c>
      <c r="BC324" s="3" t="s">
        <v>4121</v>
      </c>
      <c r="BD324" s="3" t="s">
        <v>4122</v>
      </c>
    </row>
    <row r="325" spans="1:56" ht="51" customHeight="1" x14ac:dyDescent="0.25">
      <c r="A325" s="7" t="s">
        <v>58</v>
      </c>
      <c r="B325" s="2" t="s">
        <v>4123</v>
      </c>
      <c r="C325" s="2" t="s">
        <v>4124</v>
      </c>
      <c r="D325" s="2" t="s">
        <v>4125</v>
      </c>
      <c r="F325" s="3" t="s">
        <v>58</v>
      </c>
      <c r="G325" s="3" t="s">
        <v>59</v>
      </c>
      <c r="H325" s="3" t="s">
        <v>58</v>
      </c>
      <c r="I325" s="3" t="s">
        <v>58</v>
      </c>
      <c r="J325" s="3" t="s">
        <v>60</v>
      </c>
      <c r="K325" s="2" t="s">
        <v>4126</v>
      </c>
      <c r="L325" s="2" t="s">
        <v>4127</v>
      </c>
      <c r="M325" s="3" t="s">
        <v>2214</v>
      </c>
      <c r="N325" s="2" t="s">
        <v>338</v>
      </c>
      <c r="O325" s="3" t="s">
        <v>63</v>
      </c>
      <c r="P325" s="3" t="s">
        <v>1231</v>
      </c>
      <c r="R325" s="3" t="s">
        <v>65</v>
      </c>
      <c r="S325" s="4">
        <v>2</v>
      </c>
      <c r="T325" s="4">
        <v>2</v>
      </c>
      <c r="U325" s="5" t="s">
        <v>4128</v>
      </c>
      <c r="V325" s="5" t="s">
        <v>4128</v>
      </c>
      <c r="W325" s="5" t="s">
        <v>4129</v>
      </c>
      <c r="X325" s="5" t="s">
        <v>4129</v>
      </c>
      <c r="Y325" s="4">
        <v>275</v>
      </c>
      <c r="Z325" s="4">
        <v>236</v>
      </c>
      <c r="AA325" s="4">
        <v>247</v>
      </c>
      <c r="AB325" s="4">
        <v>1</v>
      </c>
      <c r="AC325" s="4">
        <v>1</v>
      </c>
      <c r="AD325" s="4">
        <v>9</v>
      </c>
      <c r="AE325" s="4">
        <v>9</v>
      </c>
      <c r="AF325" s="4">
        <v>2</v>
      </c>
      <c r="AG325" s="4">
        <v>2</v>
      </c>
      <c r="AH325" s="4">
        <v>5</v>
      </c>
      <c r="AI325" s="4">
        <v>5</v>
      </c>
      <c r="AJ325" s="4">
        <v>4</v>
      </c>
      <c r="AK325" s="4">
        <v>4</v>
      </c>
      <c r="AL325" s="4">
        <v>0</v>
      </c>
      <c r="AM325" s="4">
        <v>0</v>
      </c>
      <c r="AN325" s="4">
        <v>1</v>
      </c>
      <c r="AO325" s="4">
        <v>1</v>
      </c>
      <c r="AP325" s="3" t="s">
        <v>58</v>
      </c>
      <c r="AQ325" s="3" t="s">
        <v>68</v>
      </c>
      <c r="AR325" s="6" t="str">
        <f>HYPERLINK("http://catalog.hathitrust.org/Record/005029151","HathiTrust Record")</f>
        <v>HathiTrust Record</v>
      </c>
      <c r="AS325" s="6" t="str">
        <f>HYPERLINK("https://creighton-primo.hosted.exlibrisgroup.com/primo-explore/search?tab=default_tab&amp;search_scope=EVERYTHING&amp;vid=01CRU&amp;lang=en_US&amp;offset=0&amp;query=any,contains,991004776469702656","Catalog Record")</f>
        <v>Catalog Record</v>
      </c>
      <c r="AT325" s="6" t="str">
        <f>HYPERLINK("http://www.worldcat.org/oclc/56482318","WorldCat Record")</f>
        <v>WorldCat Record</v>
      </c>
      <c r="AU325" s="3" t="s">
        <v>4130</v>
      </c>
      <c r="AV325" s="3" t="s">
        <v>4131</v>
      </c>
      <c r="AW325" s="3" t="s">
        <v>4132</v>
      </c>
      <c r="AX325" s="3" t="s">
        <v>4132</v>
      </c>
      <c r="AY325" s="3" t="s">
        <v>4133</v>
      </c>
      <c r="AZ325" s="3" t="s">
        <v>73</v>
      </c>
      <c r="BB325" s="3" t="s">
        <v>4134</v>
      </c>
      <c r="BC325" s="3" t="s">
        <v>4135</v>
      </c>
      <c r="BD325" s="3" t="s">
        <v>4136</v>
      </c>
    </row>
    <row r="326" spans="1:56" ht="51" customHeight="1" x14ac:dyDescent="0.25">
      <c r="A326" s="7" t="s">
        <v>58</v>
      </c>
      <c r="B326" s="2" t="s">
        <v>4137</v>
      </c>
      <c r="C326" s="2" t="s">
        <v>4138</v>
      </c>
      <c r="D326" s="2" t="s">
        <v>4139</v>
      </c>
      <c r="F326" s="3" t="s">
        <v>58</v>
      </c>
      <c r="G326" s="3" t="s">
        <v>59</v>
      </c>
      <c r="H326" s="3" t="s">
        <v>58</v>
      </c>
      <c r="I326" s="3" t="s">
        <v>58</v>
      </c>
      <c r="J326" s="3" t="s">
        <v>60</v>
      </c>
      <c r="K326" s="2" t="s">
        <v>4140</v>
      </c>
      <c r="L326" s="2" t="s">
        <v>4141</v>
      </c>
      <c r="M326" s="3" t="s">
        <v>815</v>
      </c>
      <c r="O326" s="3" t="s">
        <v>63</v>
      </c>
      <c r="P326" s="3" t="s">
        <v>3109</v>
      </c>
      <c r="R326" s="3" t="s">
        <v>65</v>
      </c>
      <c r="S326" s="4">
        <v>2</v>
      </c>
      <c r="T326" s="4">
        <v>2</v>
      </c>
      <c r="U326" s="5" t="s">
        <v>4142</v>
      </c>
      <c r="V326" s="5" t="s">
        <v>4142</v>
      </c>
      <c r="W326" s="5" t="s">
        <v>4142</v>
      </c>
      <c r="X326" s="5" t="s">
        <v>4142</v>
      </c>
      <c r="Y326" s="4">
        <v>192</v>
      </c>
      <c r="Z326" s="4">
        <v>168</v>
      </c>
      <c r="AA326" s="4">
        <v>190</v>
      </c>
      <c r="AB326" s="4">
        <v>1</v>
      </c>
      <c r="AC326" s="4">
        <v>1</v>
      </c>
      <c r="AD326" s="4">
        <v>9</v>
      </c>
      <c r="AE326" s="4">
        <v>10</v>
      </c>
      <c r="AF326" s="4">
        <v>4</v>
      </c>
      <c r="AG326" s="4">
        <v>5</v>
      </c>
      <c r="AH326" s="4">
        <v>2</v>
      </c>
      <c r="AI326" s="4">
        <v>3</v>
      </c>
      <c r="AJ326" s="4">
        <v>4</v>
      </c>
      <c r="AK326" s="4">
        <v>4</v>
      </c>
      <c r="AL326" s="4">
        <v>0</v>
      </c>
      <c r="AM326" s="4">
        <v>0</v>
      </c>
      <c r="AN326" s="4">
        <v>1</v>
      </c>
      <c r="AO326" s="4">
        <v>1</v>
      </c>
      <c r="AP326" s="3" t="s">
        <v>58</v>
      </c>
      <c r="AQ326" s="3" t="s">
        <v>58</v>
      </c>
      <c r="AS326" s="6" t="str">
        <f>HYPERLINK("https://creighton-primo.hosted.exlibrisgroup.com/primo-explore/search?tab=default_tab&amp;search_scope=EVERYTHING&amp;vid=01CRU&amp;lang=en_US&amp;offset=0&amp;query=any,contains,991005333489702656","Catalog Record")</f>
        <v>Catalog Record</v>
      </c>
      <c r="AT326" s="6" t="str">
        <f>HYPERLINK("http://www.worldcat.org/oclc/217263406","WorldCat Record")</f>
        <v>WorldCat Record</v>
      </c>
      <c r="AU326" s="3" t="s">
        <v>4143</v>
      </c>
      <c r="AV326" s="3" t="s">
        <v>4144</v>
      </c>
      <c r="AW326" s="3" t="s">
        <v>4145</v>
      </c>
      <c r="AX326" s="3" t="s">
        <v>4145</v>
      </c>
      <c r="AY326" s="3" t="s">
        <v>4146</v>
      </c>
      <c r="AZ326" s="3" t="s">
        <v>73</v>
      </c>
      <c r="BB326" s="3" t="s">
        <v>4147</v>
      </c>
      <c r="BC326" s="3" t="s">
        <v>4148</v>
      </c>
      <c r="BD326" s="3" t="s">
        <v>4149</v>
      </c>
    </row>
    <row r="327" spans="1:56" ht="51" customHeight="1" x14ac:dyDescent="0.25">
      <c r="A327" s="7" t="s">
        <v>58</v>
      </c>
      <c r="B327" s="2" t="s">
        <v>4150</v>
      </c>
      <c r="C327" s="2" t="s">
        <v>4151</v>
      </c>
      <c r="D327" s="2" t="s">
        <v>4152</v>
      </c>
      <c r="F327" s="3" t="s">
        <v>58</v>
      </c>
      <c r="G327" s="3" t="s">
        <v>59</v>
      </c>
      <c r="H327" s="3" t="s">
        <v>58</v>
      </c>
      <c r="I327" s="3" t="s">
        <v>58</v>
      </c>
      <c r="J327" s="3" t="s">
        <v>60</v>
      </c>
      <c r="K327" s="2" t="s">
        <v>4153</v>
      </c>
      <c r="L327" s="2" t="s">
        <v>4154</v>
      </c>
      <c r="M327" s="3" t="s">
        <v>898</v>
      </c>
      <c r="O327" s="3" t="s">
        <v>63</v>
      </c>
      <c r="P327" s="3" t="s">
        <v>2630</v>
      </c>
      <c r="R327" s="3" t="s">
        <v>65</v>
      </c>
      <c r="S327" s="4">
        <v>5</v>
      </c>
      <c r="T327" s="4">
        <v>5</v>
      </c>
      <c r="U327" s="5" t="s">
        <v>4155</v>
      </c>
      <c r="V327" s="5" t="s">
        <v>4155</v>
      </c>
      <c r="W327" s="5" t="s">
        <v>4156</v>
      </c>
      <c r="X327" s="5" t="s">
        <v>4156</v>
      </c>
      <c r="Y327" s="4">
        <v>404</v>
      </c>
      <c r="Z327" s="4">
        <v>306</v>
      </c>
      <c r="AA327" s="4">
        <v>311</v>
      </c>
      <c r="AB327" s="4">
        <v>2</v>
      </c>
      <c r="AC327" s="4">
        <v>2</v>
      </c>
      <c r="AD327" s="4">
        <v>16</v>
      </c>
      <c r="AE327" s="4">
        <v>16</v>
      </c>
      <c r="AF327" s="4">
        <v>3</v>
      </c>
      <c r="AG327" s="4">
        <v>3</v>
      </c>
      <c r="AH327" s="4">
        <v>6</v>
      </c>
      <c r="AI327" s="4">
        <v>6</v>
      </c>
      <c r="AJ327" s="4">
        <v>9</v>
      </c>
      <c r="AK327" s="4">
        <v>9</v>
      </c>
      <c r="AL327" s="4">
        <v>1</v>
      </c>
      <c r="AM327" s="4">
        <v>1</v>
      </c>
      <c r="AN327" s="4">
        <v>0</v>
      </c>
      <c r="AO327" s="4">
        <v>0</v>
      </c>
      <c r="AP327" s="3" t="s">
        <v>58</v>
      </c>
      <c r="AQ327" s="3" t="s">
        <v>58</v>
      </c>
      <c r="AS327" s="6" t="str">
        <f>HYPERLINK("https://creighton-primo.hosted.exlibrisgroup.com/primo-explore/search?tab=default_tab&amp;search_scope=EVERYTHING&amp;vid=01CRU&amp;lang=en_US&amp;offset=0&amp;query=any,contains,991004697919702656","Catalog Record")</f>
        <v>Catalog Record</v>
      </c>
      <c r="AT327" s="6" t="str">
        <f>HYPERLINK("http://www.worldcat.org/oclc/59280070","WorldCat Record")</f>
        <v>WorldCat Record</v>
      </c>
      <c r="AU327" s="3" t="s">
        <v>4157</v>
      </c>
      <c r="AV327" s="3" t="s">
        <v>4158</v>
      </c>
      <c r="AW327" s="3" t="s">
        <v>4159</v>
      </c>
      <c r="AX327" s="3" t="s">
        <v>4159</v>
      </c>
      <c r="AY327" s="3" t="s">
        <v>4160</v>
      </c>
      <c r="AZ327" s="3" t="s">
        <v>73</v>
      </c>
      <c r="BB327" s="3" t="s">
        <v>4161</v>
      </c>
      <c r="BC327" s="3" t="s">
        <v>4162</v>
      </c>
      <c r="BD327" s="3" t="s">
        <v>4163</v>
      </c>
    </row>
    <row r="328" spans="1:56" ht="51" customHeight="1" x14ac:dyDescent="0.25">
      <c r="A328" s="7" t="s">
        <v>58</v>
      </c>
      <c r="B328" s="2" t="s">
        <v>4164</v>
      </c>
      <c r="C328" s="2" t="s">
        <v>4165</v>
      </c>
      <c r="D328" s="2" t="s">
        <v>4166</v>
      </c>
      <c r="F328" s="3" t="s">
        <v>58</v>
      </c>
      <c r="G328" s="3" t="s">
        <v>59</v>
      </c>
      <c r="H328" s="3" t="s">
        <v>58</v>
      </c>
      <c r="I328" s="3" t="s">
        <v>58</v>
      </c>
      <c r="J328" s="3" t="s">
        <v>60</v>
      </c>
      <c r="K328" s="2" t="s">
        <v>4167</v>
      </c>
      <c r="L328" s="2" t="s">
        <v>4168</v>
      </c>
      <c r="M328" s="3" t="s">
        <v>382</v>
      </c>
      <c r="O328" s="3" t="s">
        <v>63</v>
      </c>
      <c r="P328" s="3" t="s">
        <v>584</v>
      </c>
      <c r="R328" s="3" t="s">
        <v>65</v>
      </c>
      <c r="S328" s="4">
        <v>10</v>
      </c>
      <c r="T328" s="4">
        <v>10</v>
      </c>
      <c r="U328" s="5" t="s">
        <v>2146</v>
      </c>
      <c r="V328" s="5" t="s">
        <v>2146</v>
      </c>
      <c r="W328" s="5" t="s">
        <v>4169</v>
      </c>
      <c r="X328" s="5" t="s">
        <v>4169</v>
      </c>
      <c r="Y328" s="4">
        <v>238</v>
      </c>
      <c r="Z328" s="4">
        <v>181</v>
      </c>
      <c r="AA328" s="4">
        <v>183</v>
      </c>
      <c r="AB328" s="4">
        <v>1</v>
      </c>
      <c r="AC328" s="4">
        <v>1</v>
      </c>
      <c r="AD328" s="4">
        <v>9</v>
      </c>
      <c r="AE328" s="4">
        <v>9</v>
      </c>
      <c r="AF328" s="4">
        <v>2</v>
      </c>
      <c r="AG328" s="4">
        <v>2</v>
      </c>
      <c r="AH328" s="4">
        <v>4</v>
      </c>
      <c r="AI328" s="4">
        <v>4</v>
      </c>
      <c r="AJ328" s="4">
        <v>5</v>
      </c>
      <c r="AK328" s="4">
        <v>5</v>
      </c>
      <c r="AL328" s="4">
        <v>0</v>
      </c>
      <c r="AM328" s="4">
        <v>0</v>
      </c>
      <c r="AN328" s="4">
        <v>0</v>
      </c>
      <c r="AO328" s="4">
        <v>0</v>
      </c>
      <c r="AP328" s="3" t="s">
        <v>58</v>
      </c>
      <c r="AQ328" s="3" t="s">
        <v>68</v>
      </c>
      <c r="AR328" s="6" t="str">
        <f>HYPERLINK("http://catalog.hathitrust.org/Record/004011187","HathiTrust Record")</f>
        <v>HathiTrust Record</v>
      </c>
      <c r="AS328" s="6" t="str">
        <f>HYPERLINK("https://creighton-primo.hosted.exlibrisgroup.com/primo-explore/search?tab=default_tab&amp;search_scope=EVERYTHING&amp;vid=01CRU&amp;lang=en_US&amp;offset=0&amp;query=any,contains,991003885279702656","Catalog Record")</f>
        <v>Catalog Record</v>
      </c>
      <c r="AT328" s="6" t="str">
        <f>HYPERLINK("http://www.worldcat.org/oclc/40832736","WorldCat Record")</f>
        <v>WorldCat Record</v>
      </c>
      <c r="AU328" s="3" t="s">
        <v>4170</v>
      </c>
      <c r="AV328" s="3" t="s">
        <v>4171</v>
      </c>
      <c r="AW328" s="3" t="s">
        <v>4172</v>
      </c>
      <c r="AX328" s="3" t="s">
        <v>4172</v>
      </c>
      <c r="AY328" s="3" t="s">
        <v>4173</v>
      </c>
      <c r="AZ328" s="3" t="s">
        <v>73</v>
      </c>
      <c r="BB328" s="3" t="s">
        <v>4174</v>
      </c>
      <c r="BC328" s="3" t="s">
        <v>4175</v>
      </c>
      <c r="BD328" s="3" t="s">
        <v>4176</v>
      </c>
    </row>
    <row r="329" spans="1:56" ht="51" customHeight="1" x14ac:dyDescent="0.25">
      <c r="A329" s="7" t="s">
        <v>58</v>
      </c>
      <c r="B329" s="2" t="s">
        <v>4177</v>
      </c>
      <c r="C329" s="2" t="s">
        <v>4178</v>
      </c>
      <c r="D329" s="2" t="s">
        <v>4179</v>
      </c>
      <c r="F329" s="3" t="s">
        <v>58</v>
      </c>
      <c r="G329" s="3" t="s">
        <v>59</v>
      </c>
      <c r="H329" s="3" t="s">
        <v>58</v>
      </c>
      <c r="I329" s="3" t="s">
        <v>58</v>
      </c>
      <c r="J329" s="3" t="s">
        <v>60</v>
      </c>
      <c r="K329" s="2" t="s">
        <v>4180</v>
      </c>
      <c r="L329" s="2" t="s">
        <v>4181</v>
      </c>
      <c r="M329" s="3" t="s">
        <v>898</v>
      </c>
      <c r="O329" s="3" t="s">
        <v>63</v>
      </c>
      <c r="P329" s="3" t="s">
        <v>584</v>
      </c>
      <c r="R329" s="3" t="s">
        <v>65</v>
      </c>
      <c r="S329" s="4">
        <v>2</v>
      </c>
      <c r="T329" s="4">
        <v>2</v>
      </c>
      <c r="U329" s="5" t="s">
        <v>3389</v>
      </c>
      <c r="V329" s="5" t="s">
        <v>3389</v>
      </c>
      <c r="W329" s="5" t="s">
        <v>4182</v>
      </c>
      <c r="X329" s="5" t="s">
        <v>4182</v>
      </c>
      <c r="Y329" s="4">
        <v>259</v>
      </c>
      <c r="Z329" s="4">
        <v>187</v>
      </c>
      <c r="AA329" s="4">
        <v>704</v>
      </c>
      <c r="AB329" s="4">
        <v>2</v>
      </c>
      <c r="AC329" s="4">
        <v>13</v>
      </c>
      <c r="AD329" s="4">
        <v>11</v>
      </c>
      <c r="AE329" s="4">
        <v>21</v>
      </c>
      <c r="AF329" s="4">
        <v>4</v>
      </c>
      <c r="AG329" s="4">
        <v>5</v>
      </c>
      <c r="AH329" s="4">
        <v>5</v>
      </c>
      <c r="AI329" s="4">
        <v>5</v>
      </c>
      <c r="AJ329" s="4">
        <v>4</v>
      </c>
      <c r="AK329" s="4">
        <v>4</v>
      </c>
      <c r="AL329" s="4">
        <v>1</v>
      </c>
      <c r="AM329" s="4">
        <v>10</v>
      </c>
      <c r="AN329" s="4">
        <v>0</v>
      </c>
      <c r="AO329" s="4">
        <v>0</v>
      </c>
      <c r="AP329" s="3" t="s">
        <v>58</v>
      </c>
      <c r="AQ329" s="3" t="s">
        <v>68</v>
      </c>
      <c r="AR329" s="6" t="str">
        <f>HYPERLINK("http://catalog.hathitrust.org/Record/005243095","HathiTrust Record")</f>
        <v>HathiTrust Record</v>
      </c>
      <c r="AS329" s="6" t="str">
        <f>HYPERLINK("https://creighton-primo.hosted.exlibrisgroup.com/primo-explore/search?tab=default_tab&amp;search_scope=EVERYTHING&amp;vid=01CRU&amp;lang=en_US&amp;offset=0&amp;query=any,contains,991005116079702656","Catalog Record")</f>
        <v>Catalog Record</v>
      </c>
      <c r="AT329" s="6" t="str">
        <f>HYPERLINK("http://www.worldcat.org/oclc/64097960","WorldCat Record")</f>
        <v>WorldCat Record</v>
      </c>
      <c r="AU329" s="3" t="s">
        <v>4183</v>
      </c>
      <c r="AV329" s="3" t="s">
        <v>4184</v>
      </c>
      <c r="AW329" s="3" t="s">
        <v>4185</v>
      </c>
      <c r="AX329" s="3" t="s">
        <v>4185</v>
      </c>
      <c r="AY329" s="3" t="s">
        <v>4186</v>
      </c>
      <c r="AZ329" s="3" t="s">
        <v>73</v>
      </c>
      <c r="BB329" s="3" t="s">
        <v>4187</v>
      </c>
      <c r="BC329" s="3" t="s">
        <v>4188</v>
      </c>
      <c r="BD329" s="3" t="s">
        <v>4189</v>
      </c>
    </row>
    <row r="330" spans="1:56" ht="51" customHeight="1" x14ac:dyDescent="0.25">
      <c r="A330" s="7" t="s">
        <v>58</v>
      </c>
      <c r="B330" s="2" t="s">
        <v>4190</v>
      </c>
      <c r="C330" s="2" t="s">
        <v>4191</v>
      </c>
      <c r="D330" s="2" t="s">
        <v>4192</v>
      </c>
      <c r="F330" s="3" t="s">
        <v>58</v>
      </c>
      <c r="G330" s="3" t="s">
        <v>59</v>
      </c>
      <c r="H330" s="3" t="s">
        <v>58</v>
      </c>
      <c r="I330" s="3" t="s">
        <v>58</v>
      </c>
      <c r="J330" s="3" t="s">
        <v>60</v>
      </c>
      <c r="K330" s="2" t="s">
        <v>4193</v>
      </c>
      <c r="L330" s="2" t="s">
        <v>4194</v>
      </c>
      <c r="M330" s="3" t="s">
        <v>2295</v>
      </c>
      <c r="O330" s="3" t="s">
        <v>63</v>
      </c>
      <c r="P330" s="3" t="s">
        <v>2630</v>
      </c>
      <c r="R330" s="3" t="s">
        <v>65</v>
      </c>
      <c r="S330" s="4">
        <v>8</v>
      </c>
      <c r="T330" s="4">
        <v>8</v>
      </c>
      <c r="U330" s="5" t="s">
        <v>2991</v>
      </c>
      <c r="V330" s="5" t="s">
        <v>2991</v>
      </c>
      <c r="W330" s="5" t="s">
        <v>4195</v>
      </c>
      <c r="X330" s="5" t="s">
        <v>4195</v>
      </c>
      <c r="Y330" s="4">
        <v>785</v>
      </c>
      <c r="Z330" s="4">
        <v>658</v>
      </c>
      <c r="AA330" s="4">
        <v>658</v>
      </c>
      <c r="AB330" s="4">
        <v>4</v>
      </c>
      <c r="AC330" s="4">
        <v>4</v>
      </c>
      <c r="AD330" s="4">
        <v>30</v>
      </c>
      <c r="AE330" s="4">
        <v>30</v>
      </c>
      <c r="AF330" s="4">
        <v>11</v>
      </c>
      <c r="AG330" s="4">
        <v>11</v>
      </c>
      <c r="AH330" s="4">
        <v>6</v>
      </c>
      <c r="AI330" s="4">
        <v>6</v>
      </c>
      <c r="AJ330" s="4">
        <v>15</v>
      </c>
      <c r="AK330" s="4">
        <v>15</v>
      </c>
      <c r="AL330" s="4">
        <v>3</v>
      </c>
      <c r="AM330" s="4">
        <v>3</v>
      </c>
      <c r="AN330" s="4">
        <v>1</v>
      </c>
      <c r="AO330" s="4">
        <v>1</v>
      </c>
      <c r="AP330" s="3" t="s">
        <v>58</v>
      </c>
      <c r="AQ330" s="3" t="s">
        <v>58</v>
      </c>
      <c r="AS330" s="6" t="str">
        <f>HYPERLINK("https://creighton-primo.hosted.exlibrisgroup.com/primo-explore/search?tab=default_tab&amp;search_scope=EVERYTHING&amp;vid=01CRU&amp;lang=en_US&amp;offset=0&amp;query=any,contains,991004128439702656","Catalog Record")</f>
        <v>Catalog Record</v>
      </c>
      <c r="AT330" s="6" t="str">
        <f>HYPERLINK("http://www.worldcat.org/oclc/51566586","WorldCat Record")</f>
        <v>WorldCat Record</v>
      </c>
      <c r="AU330" s="3" t="s">
        <v>4196</v>
      </c>
      <c r="AV330" s="3" t="s">
        <v>4197</v>
      </c>
      <c r="AW330" s="3" t="s">
        <v>4198</v>
      </c>
      <c r="AX330" s="3" t="s">
        <v>4198</v>
      </c>
      <c r="AY330" s="3" t="s">
        <v>4199</v>
      </c>
      <c r="AZ330" s="3" t="s">
        <v>73</v>
      </c>
      <c r="BB330" s="3" t="s">
        <v>4200</v>
      </c>
      <c r="BC330" s="3" t="s">
        <v>4201</v>
      </c>
      <c r="BD330" s="3" t="s">
        <v>4202</v>
      </c>
    </row>
    <row r="331" spans="1:56" ht="51" customHeight="1" x14ac:dyDescent="0.25">
      <c r="A331" s="7" t="s">
        <v>58</v>
      </c>
      <c r="B331" s="2" t="s">
        <v>4203</v>
      </c>
      <c r="C331" s="2" t="s">
        <v>4204</v>
      </c>
      <c r="D331" s="2" t="s">
        <v>4205</v>
      </c>
      <c r="F331" s="3" t="s">
        <v>58</v>
      </c>
      <c r="G331" s="3" t="s">
        <v>59</v>
      </c>
      <c r="H331" s="3" t="s">
        <v>58</v>
      </c>
      <c r="I331" s="3" t="s">
        <v>58</v>
      </c>
      <c r="J331" s="3" t="s">
        <v>60</v>
      </c>
      <c r="K331" s="2" t="s">
        <v>3735</v>
      </c>
      <c r="L331" s="2" t="s">
        <v>4206</v>
      </c>
      <c r="M331" s="3" t="s">
        <v>382</v>
      </c>
      <c r="O331" s="3" t="s">
        <v>63</v>
      </c>
      <c r="P331" s="3" t="s">
        <v>816</v>
      </c>
      <c r="R331" s="3" t="s">
        <v>65</v>
      </c>
      <c r="S331" s="4">
        <v>7</v>
      </c>
      <c r="T331" s="4">
        <v>7</v>
      </c>
      <c r="U331" s="5" t="s">
        <v>4207</v>
      </c>
      <c r="V331" s="5" t="s">
        <v>4207</v>
      </c>
      <c r="W331" s="5" t="s">
        <v>4208</v>
      </c>
      <c r="X331" s="5" t="s">
        <v>4208</v>
      </c>
      <c r="Y331" s="4">
        <v>601</v>
      </c>
      <c r="Z331" s="4">
        <v>476</v>
      </c>
      <c r="AA331" s="4">
        <v>481</v>
      </c>
      <c r="AB331" s="4">
        <v>3</v>
      </c>
      <c r="AC331" s="4">
        <v>3</v>
      </c>
      <c r="AD331" s="4">
        <v>32</v>
      </c>
      <c r="AE331" s="4">
        <v>32</v>
      </c>
      <c r="AF331" s="4">
        <v>14</v>
      </c>
      <c r="AG331" s="4">
        <v>14</v>
      </c>
      <c r="AH331" s="4">
        <v>7</v>
      </c>
      <c r="AI331" s="4">
        <v>7</v>
      </c>
      <c r="AJ331" s="4">
        <v>16</v>
      </c>
      <c r="AK331" s="4">
        <v>16</v>
      </c>
      <c r="AL331" s="4">
        <v>2</v>
      </c>
      <c r="AM331" s="4">
        <v>2</v>
      </c>
      <c r="AN331" s="4">
        <v>1</v>
      </c>
      <c r="AO331" s="4">
        <v>1</v>
      </c>
      <c r="AP331" s="3" t="s">
        <v>58</v>
      </c>
      <c r="AQ331" s="3" t="s">
        <v>68</v>
      </c>
      <c r="AR331" s="6" t="str">
        <f>HYPERLINK("http://catalog.hathitrust.org/Record/004059329","HathiTrust Record")</f>
        <v>HathiTrust Record</v>
      </c>
      <c r="AS331" s="6" t="str">
        <f>HYPERLINK("https://creighton-primo.hosted.exlibrisgroup.com/primo-explore/search?tab=default_tab&amp;search_scope=EVERYTHING&amp;vid=01CRU&amp;lang=en_US&amp;offset=0&amp;query=any,contains,991003861089702656","Catalog Record")</f>
        <v>Catalog Record</v>
      </c>
      <c r="AT331" s="6" t="str">
        <f>HYPERLINK("http://www.worldcat.org/oclc/41445825","WorldCat Record")</f>
        <v>WorldCat Record</v>
      </c>
      <c r="AU331" s="3" t="s">
        <v>4209</v>
      </c>
      <c r="AV331" s="3" t="s">
        <v>4210</v>
      </c>
      <c r="AW331" s="3" t="s">
        <v>4211</v>
      </c>
      <c r="AX331" s="3" t="s">
        <v>4211</v>
      </c>
      <c r="AY331" s="3" t="s">
        <v>4212</v>
      </c>
      <c r="AZ331" s="3" t="s">
        <v>73</v>
      </c>
      <c r="BB331" s="3" t="s">
        <v>4213</v>
      </c>
      <c r="BC331" s="3" t="s">
        <v>4214</v>
      </c>
      <c r="BD331" s="3" t="s">
        <v>4215</v>
      </c>
    </row>
    <row r="332" spans="1:56" ht="51" customHeight="1" x14ac:dyDescent="0.25">
      <c r="A332" s="7" t="s">
        <v>58</v>
      </c>
      <c r="B332" s="2" t="s">
        <v>4216</v>
      </c>
      <c r="C332" s="2" t="s">
        <v>4217</v>
      </c>
      <c r="D332" s="2" t="s">
        <v>4218</v>
      </c>
      <c r="F332" s="3" t="s">
        <v>58</v>
      </c>
      <c r="G332" s="3" t="s">
        <v>59</v>
      </c>
      <c r="H332" s="3" t="s">
        <v>58</v>
      </c>
      <c r="I332" s="3" t="s">
        <v>58</v>
      </c>
      <c r="J332" s="3" t="s">
        <v>60</v>
      </c>
      <c r="K332" s="2" t="s">
        <v>4219</v>
      </c>
      <c r="L332" s="2" t="s">
        <v>4220</v>
      </c>
      <c r="M332" s="3" t="s">
        <v>423</v>
      </c>
      <c r="N332" s="2" t="s">
        <v>338</v>
      </c>
      <c r="O332" s="3" t="s">
        <v>63</v>
      </c>
      <c r="P332" s="3" t="s">
        <v>214</v>
      </c>
      <c r="R332" s="3" t="s">
        <v>65</v>
      </c>
      <c r="S332" s="4">
        <v>4</v>
      </c>
      <c r="T332" s="4">
        <v>4</v>
      </c>
      <c r="U332" s="5" t="s">
        <v>3629</v>
      </c>
      <c r="V332" s="5" t="s">
        <v>3629</v>
      </c>
      <c r="W332" s="5" t="s">
        <v>4221</v>
      </c>
      <c r="X332" s="5" t="s">
        <v>4221</v>
      </c>
      <c r="Y332" s="4">
        <v>541</v>
      </c>
      <c r="Z332" s="4">
        <v>477</v>
      </c>
      <c r="AA332" s="4">
        <v>562</v>
      </c>
      <c r="AB332" s="4">
        <v>3</v>
      </c>
      <c r="AC332" s="4">
        <v>3</v>
      </c>
      <c r="AD332" s="4">
        <v>21</v>
      </c>
      <c r="AE332" s="4">
        <v>24</v>
      </c>
      <c r="AF332" s="4">
        <v>7</v>
      </c>
      <c r="AG332" s="4">
        <v>9</v>
      </c>
      <c r="AH332" s="4">
        <v>7</v>
      </c>
      <c r="AI332" s="4">
        <v>7</v>
      </c>
      <c r="AJ332" s="4">
        <v>11</v>
      </c>
      <c r="AK332" s="4">
        <v>12</v>
      </c>
      <c r="AL332" s="4">
        <v>2</v>
      </c>
      <c r="AM332" s="4">
        <v>2</v>
      </c>
      <c r="AN332" s="4">
        <v>0</v>
      </c>
      <c r="AO332" s="4">
        <v>0</v>
      </c>
      <c r="AP332" s="3" t="s">
        <v>58</v>
      </c>
      <c r="AQ332" s="3" t="s">
        <v>68</v>
      </c>
      <c r="AR332" s="6" t="str">
        <f>HYPERLINK("http://catalog.hathitrust.org/Record/003974452","HathiTrust Record")</f>
        <v>HathiTrust Record</v>
      </c>
      <c r="AS332" s="6" t="str">
        <f>HYPERLINK("https://creighton-primo.hosted.exlibrisgroup.com/primo-explore/search?tab=default_tab&amp;search_scope=EVERYTHING&amp;vid=01CRU&amp;lang=en_US&amp;offset=0&amp;query=any,contains,991002901529702656","Catalog Record")</f>
        <v>Catalog Record</v>
      </c>
      <c r="AT332" s="6" t="str">
        <f>HYPERLINK("http://www.worldcat.org/oclc/38257793","WorldCat Record")</f>
        <v>WorldCat Record</v>
      </c>
      <c r="AU332" s="3" t="s">
        <v>4222</v>
      </c>
      <c r="AV332" s="3" t="s">
        <v>4223</v>
      </c>
      <c r="AW332" s="3" t="s">
        <v>4224</v>
      </c>
      <c r="AX332" s="3" t="s">
        <v>4224</v>
      </c>
      <c r="AY332" s="3" t="s">
        <v>4225</v>
      </c>
      <c r="AZ332" s="3" t="s">
        <v>73</v>
      </c>
      <c r="BB332" s="3" t="s">
        <v>4226</v>
      </c>
      <c r="BC332" s="3" t="s">
        <v>4227</v>
      </c>
      <c r="BD332" s="3" t="s">
        <v>4228</v>
      </c>
    </row>
    <row r="333" spans="1:56" ht="51" customHeight="1" x14ac:dyDescent="0.25">
      <c r="A333" s="7" t="s">
        <v>58</v>
      </c>
      <c r="B333" s="2" t="s">
        <v>4229</v>
      </c>
      <c r="C333" s="2" t="s">
        <v>4230</v>
      </c>
      <c r="D333" s="2" t="s">
        <v>4231</v>
      </c>
      <c r="F333" s="3" t="s">
        <v>58</v>
      </c>
      <c r="G333" s="3" t="s">
        <v>59</v>
      </c>
      <c r="H333" s="3" t="s">
        <v>58</v>
      </c>
      <c r="I333" s="3" t="s">
        <v>58</v>
      </c>
      <c r="J333" s="3" t="s">
        <v>60</v>
      </c>
      <c r="L333" s="2" t="s">
        <v>4232</v>
      </c>
      <c r="M333" s="3" t="s">
        <v>337</v>
      </c>
      <c r="O333" s="3" t="s">
        <v>63</v>
      </c>
      <c r="P333" s="3" t="s">
        <v>584</v>
      </c>
      <c r="Q333" s="2" t="s">
        <v>4233</v>
      </c>
      <c r="R333" s="3" t="s">
        <v>65</v>
      </c>
      <c r="S333" s="4">
        <v>5</v>
      </c>
      <c r="T333" s="4">
        <v>5</v>
      </c>
      <c r="U333" s="5" t="s">
        <v>4234</v>
      </c>
      <c r="V333" s="5" t="s">
        <v>4234</v>
      </c>
      <c r="W333" s="5" t="s">
        <v>4235</v>
      </c>
      <c r="X333" s="5" t="s">
        <v>4235</v>
      </c>
      <c r="Y333" s="4">
        <v>195</v>
      </c>
      <c r="Z333" s="4">
        <v>137</v>
      </c>
      <c r="AA333" s="4">
        <v>194</v>
      </c>
      <c r="AB333" s="4">
        <v>1</v>
      </c>
      <c r="AC333" s="4">
        <v>1</v>
      </c>
      <c r="AD333" s="4">
        <v>9</v>
      </c>
      <c r="AE333" s="4">
        <v>10</v>
      </c>
      <c r="AF333" s="4">
        <v>4</v>
      </c>
      <c r="AG333" s="4">
        <v>4</v>
      </c>
      <c r="AH333" s="4">
        <v>3</v>
      </c>
      <c r="AI333" s="4">
        <v>3</v>
      </c>
      <c r="AJ333" s="4">
        <v>6</v>
      </c>
      <c r="AK333" s="4">
        <v>7</v>
      </c>
      <c r="AL333" s="4">
        <v>0</v>
      </c>
      <c r="AM333" s="4">
        <v>0</v>
      </c>
      <c r="AN333" s="4">
        <v>0</v>
      </c>
      <c r="AO333" s="4">
        <v>0</v>
      </c>
      <c r="AP333" s="3" t="s">
        <v>58</v>
      </c>
      <c r="AQ333" s="3" t="s">
        <v>68</v>
      </c>
      <c r="AR333" s="6" t="str">
        <f>HYPERLINK("http://catalog.hathitrust.org/Record/004229728","HathiTrust Record")</f>
        <v>HathiTrust Record</v>
      </c>
      <c r="AS333" s="6" t="str">
        <f>HYPERLINK("https://creighton-primo.hosted.exlibrisgroup.com/primo-explore/search?tab=default_tab&amp;search_scope=EVERYTHING&amp;vid=01CRU&amp;lang=en_US&amp;offset=0&amp;query=any,contains,991004159999702656","Catalog Record")</f>
        <v>Catalog Record</v>
      </c>
      <c r="AT333" s="6" t="str">
        <f>HYPERLINK("http://www.worldcat.org/oclc/46991119","WorldCat Record")</f>
        <v>WorldCat Record</v>
      </c>
      <c r="AU333" s="3" t="s">
        <v>4236</v>
      </c>
      <c r="AV333" s="3" t="s">
        <v>4237</v>
      </c>
      <c r="AW333" s="3" t="s">
        <v>4238</v>
      </c>
      <c r="AX333" s="3" t="s">
        <v>4238</v>
      </c>
      <c r="AY333" s="3" t="s">
        <v>4239</v>
      </c>
      <c r="AZ333" s="3" t="s">
        <v>73</v>
      </c>
      <c r="BB333" s="3" t="s">
        <v>4240</v>
      </c>
      <c r="BC333" s="3" t="s">
        <v>4241</v>
      </c>
      <c r="BD333" s="3" t="s">
        <v>4242</v>
      </c>
    </row>
    <row r="334" spans="1:56" ht="51" customHeight="1" x14ac:dyDescent="0.25">
      <c r="A334" s="7" t="s">
        <v>58</v>
      </c>
      <c r="B334" s="2" t="s">
        <v>4243</v>
      </c>
      <c r="C334" s="2" t="s">
        <v>4244</v>
      </c>
      <c r="D334" s="2" t="s">
        <v>4245</v>
      </c>
      <c r="F334" s="3" t="s">
        <v>58</v>
      </c>
      <c r="G334" s="3" t="s">
        <v>59</v>
      </c>
      <c r="H334" s="3" t="s">
        <v>58</v>
      </c>
      <c r="I334" s="3" t="s">
        <v>58</v>
      </c>
      <c r="J334" s="3" t="s">
        <v>60</v>
      </c>
      <c r="K334" s="2" t="s">
        <v>4246</v>
      </c>
      <c r="L334" s="2" t="s">
        <v>4247</v>
      </c>
      <c r="M334" s="3" t="s">
        <v>2295</v>
      </c>
      <c r="O334" s="3" t="s">
        <v>63</v>
      </c>
      <c r="P334" s="3" t="s">
        <v>214</v>
      </c>
      <c r="R334" s="3" t="s">
        <v>65</v>
      </c>
      <c r="S334" s="4">
        <v>5</v>
      </c>
      <c r="T334" s="4">
        <v>5</v>
      </c>
      <c r="U334" s="5" t="s">
        <v>997</v>
      </c>
      <c r="V334" s="5" t="s">
        <v>997</v>
      </c>
      <c r="W334" s="5" t="s">
        <v>4195</v>
      </c>
      <c r="X334" s="5" t="s">
        <v>4195</v>
      </c>
      <c r="Y334" s="4">
        <v>479</v>
      </c>
      <c r="Z334" s="4">
        <v>430</v>
      </c>
      <c r="AA334" s="4">
        <v>434</v>
      </c>
      <c r="AB334" s="4">
        <v>2</v>
      </c>
      <c r="AC334" s="4">
        <v>2</v>
      </c>
      <c r="AD334" s="4">
        <v>7</v>
      </c>
      <c r="AE334" s="4">
        <v>7</v>
      </c>
      <c r="AF334" s="4">
        <v>1</v>
      </c>
      <c r="AG334" s="4">
        <v>1</v>
      </c>
      <c r="AH334" s="4">
        <v>3</v>
      </c>
      <c r="AI334" s="4">
        <v>3</v>
      </c>
      <c r="AJ334" s="4">
        <v>5</v>
      </c>
      <c r="AK334" s="4">
        <v>5</v>
      </c>
      <c r="AL334" s="4">
        <v>0</v>
      </c>
      <c r="AM334" s="4">
        <v>0</v>
      </c>
      <c r="AN334" s="4">
        <v>0</v>
      </c>
      <c r="AO334" s="4">
        <v>0</v>
      </c>
      <c r="AP334" s="3" t="s">
        <v>58</v>
      </c>
      <c r="AQ334" s="3" t="s">
        <v>58</v>
      </c>
      <c r="AS334" s="6" t="str">
        <f>HYPERLINK("https://creighton-primo.hosted.exlibrisgroup.com/primo-explore/search?tab=default_tab&amp;search_scope=EVERYTHING&amp;vid=01CRU&amp;lang=en_US&amp;offset=0&amp;query=any,contains,991004128469702656","Catalog Record")</f>
        <v>Catalog Record</v>
      </c>
      <c r="AT334" s="6" t="str">
        <f>HYPERLINK("http://www.worldcat.org/oclc/51613994","WorldCat Record")</f>
        <v>WorldCat Record</v>
      </c>
      <c r="AU334" s="3" t="s">
        <v>4248</v>
      </c>
      <c r="AV334" s="3" t="s">
        <v>4249</v>
      </c>
      <c r="AW334" s="3" t="s">
        <v>4250</v>
      </c>
      <c r="AX334" s="3" t="s">
        <v>4250</v>
      </c>
      <c r="AY334" s="3" t="s">
        <v>4251</v>
      </c>
      <c r="AZ334" s="3" t="s">
        <v>73</v>
      </c>
      <c r="BB334" s="3" t="s">
        <v>4252</v>
      </c>
      <c r="BC334" s="3" t="s">
        <v>4253</v>
      </c>
      <c r="BD334" s="3" t="s">
        <v>4254</v>
      </c>
    </row>
    <row r="335" spans="1:56" ht="51" customHeight="1" x14ac:dyDescent="0.25">
      <c r="A335" s="7" t="s">
        <v>58</v>
      </c>
      <c r="B335" s="2" t="s">
        <v>4255</v>
      </c>
      <c r="C335" s="2" t="s">
        <v>4256</v>
      </c>
      <c r="D335" s="2" t="s">
        <v>4257</v>
      </c>
      <c r="F335" s="3" t="s">
        <v>58</v>
      </c>
      <c r="G335" s="3" t="s">
        <v>59</v>
      </c>
      <c r="H335" s="3" t="s">
        <v>58</v>
      </c>
      <c r="I335" s="3" t="s">
        <v>58</v>
      </c>
      <c r="J335" s="3" t="s">
        <v>60</v>
      </c>
      <c r="K335" s="2" t="s">
        <v>4258</v>
      </c>
      <c r="L335" s="2" t="s">
        <v>4259</v>
      </c>
      <c r="M335" s="3" t="s">
        <v>759</v>
      </c>
      <c r="O335" s="3" t="s">
        <v>63</v>
      </c>
      <c r="P335" s="3" t="s">
        <v>214</v>
      </c>
      <c r="R335" s="3" t="s">
        <v>65</v>
      </c>
      <c r="S335" s="4">
        <v>1</v>
      </c>
      <c r="T335" s="4">
        <v>1</v>
      </c>
      <c r="U335" s="5" t="s">
        <v>4260</v>
      </c>
      <c r="V335" s="5" t="s">
        <v>4260</v>
      </c>
      <c r="W335" s="5" t="s">
        <v>3242</v>
      </c>
      <c r="X335" s="5" t="s">
        <v>3242</v>
      </c>
      <c r="Y335" s="4">
        <v>501</v>
      </c>
      <c r="Z335" s="4">
        <v>389</v>
      </c>
      <c r="AA335" s="4">
        <v>390</v>
      </c>
      <c r="AB335" s="4">
        <v>4</v>
      </c>
      <c r="AC335" s="4">
        <v>4</v>
      </c>
      <c r="AD335" s="4">
        <v>15</v>
      </c>
      <c r="AE335" s="4">
        <v>15</v>
      </c>
      <c r="AF335" s="4">
        <v>3</v>
      </c>
      <c r="AG335" s="4">
        <v>3</v>
      </c>
      <c r="AH335" s="4">
        <v>5</v>
      </c>
      <c r="AI335" s="4">
        <v>5</v>
      </c>
      <c r="AJ335" s="4">
        <v>7</v>
      </c>
      <c r="AK335" s="4">
        <v>7</v>
      </c>
      <c r="AL335" s="4">
        <v>3</v>
      </c>
      <c r="AM335" s="4">
        <v>3</v>
      </c>
      <c r="AN335" s="4">
        <v>0</v>
      </c>
      <c r="AO335" s="4">
        <v>0</v>
      </c>
      <c r="AP335" s="3" t="s">
        <v>58</v>
      </c>
      <c r="AQ335" s="3" t="s">
        <v>58</v>
      </c>
      <c r="AS335" s="6" t="str">
        <f>HYPERLINK("https://creighton-primo.hosted.exlibrisgroup.com/primo-explore/search?tab=default_tab&amp;search_scope=EVERYTHING&amp;vid=01CRU&amp;lang=en_US&amp;offset=0&amp;query=any,contains,991004929679702656","Catalog Record")</f>
        <v>Catalog Record</v>
      </c>
      <c r="AT335" s="6" t="str">
        <f>HYPERLINK("http://www.worldcat.org/oclc/6092115","WorldCat Record")</f>
        <v>WorldCat Record</v>
      </c>
      <c r="AU335" s="3" t="s">
        <v>4261</v>
      </c>
      <c r="AV335" s="3" t="s">
        <v>4262</v>
      </c>
      <c r="AW335" s="3" t="s">
        <v>4263</v>
      </c>
      <c r="AX335" s="3" t="s">
        <v>4263</v>
      </c>
      <c r="AY335" s="3" t="s">
        <v>4264</v>
      </c>
      <c r="AZ335" s="3" t="s">
        <v>73</v>
      </c>
      <c r="BB335" s="3" t="s">
        <v>4265</v>
      </c>
      <c r="BC335" s="3" t="s">
        <v>4266</v>
      </c>
      <c r="BD335" s="3" t="s">
        <v>4267</v>
      </c>
    </row>
    <row r="336" spans="1:56" ht="51" customHeight="1" x14ac:dyDescent="0.25">
      <c r="A336" s="7" t="s">
        <v>58</v>
      </c>
      <c r="B336" s="2" t="s">
        <v>4268</v>
      </c>
      <c r="C336" s="2" t="s">
        <v>4269</v>
      </c>
      <c r="D336" s="2" t="s">
        <v>4270</v>
      </c>
      <c r="F336" s="3" t="s">
        <v>58</v>
      </c>
      <c r="G336" s="3" t="s">
        <v>59</v>
      </c>
      <c r="H336" s="3" t="s">
        <v>58</v>
      </c>
      <c r="I336" s="3" t="s">
        <v>58</v>
      </c>
      <c r="J336" s="3" t="s">
        <v>60</v>
      </c>
      <c r="K336" s="2" t="s">
        <v>4271</v>
      </c>
      <c r="L336" s="2" t="s">
        <v>4272</v>
      </c>
      <c r="M336" s="3" t="s">
        <v>62</v>
      </c>
      <c r="O336" s="3" t="s">
        <v>63</v>
      </c>
      <c r="P336" s="3" t="s">
        <v>354</v>
      </c>
      <c r="R336" s="3" t="s">
        <v>65</v>
      </c>
      <c r="S336" s="4">
        <v>1</v>
      </c>
      <c r="T336" s="4">
        <v>1</v>
      </c>
      <c r="U336" s="5" t="s">
        <v>4273</v>
      </c>
      <c r="V336" s="5" t="s">
        <v>4273</v>
      </c>
      <c r="W336" s="5" t="s">
        <v>3348</v>
      </c>
      <c r="X336" s="5" t="s">
        <v>3348</v>
      </c>
      <c r="Y336" s="4">
        <v>629</v>
      </c>
      <c r="Z336" s="4">
        <v>524</v>
      </c>
      <c r="AA336" s="4">
        <v>526</v>
      </c>
      <c r="AB336" s="4">
        <v>4</v>
      </c>
      <c r="AC336" s="4">
        <v>4</v>
      </c>
      <c r="AD336" s="4">
        <v>27</v>
      </c>
      <c r="AE336" s="4">
        <v>27</v>
      </c>
      <c r="AF336" s="4">
        <v>8</v>
      </c>
      <c r="AG336" s="4">
        <v>8</v>
      </c>
      <c r="AH336" s="4">
        <v>8</v>
      </c>
      <c r="AI336" s="4">
        <v>8</v>
      </c>
      <c r="AJ336" s="4">
        <v>17</v>
      </c>
      <c r="AK336" s="4">
        <v>17</v>
      </c>
      <c r="AL336" s="4">
        <v>3</v>
      </c>
      <c r="AM336" s="4">
        <v>3</v>
      </c>
      <c r="AN336" s="4">
        <v>1</v>
      </c>
      <c r="AO336" s="4">
        <v>1</v>
      </c>
      <c r="AP336" s="3" t="s">
        <v>58</v>
      </c>
      <c r="AQ336" s="3" t="s">
        <v>68</v>
      </c>
      <c r="AR336" s="6" t="str">
        <f>HYPERLINK("http://catalog.hathitrust.org/Record/001242983","HathiTrust Record")</f>
        <v>HathiTrust Record</v>
      </c>
      <c r="AS336" s="6" t="str">
        <f>HYPERLINK("https://creighton-primo.hosted.exlibrisgroup.com/primo-explore/search?tab=default_tab&amp;search_scope=EVERYTHING&amp;vid=01CRU&amp;lang=en_US&amp;offset=0&amp;query=any,contains,991001268249702656","Catalog Record")</f>
        <v>Catalog Record</v>
      </c>
      <c r="AT336" s="6" t="str">
        <f>HYPERLINK("http://www.worldcat.org/oclc/210512","WorldCat Record")</f>
        <v>WorldCat Record</v>
      </c>
      <c r="AU336" s="3" t="s">
        <v>4274</v>
      </c>
      <c r="AV336" s="3" t="s">
        <v>4275</v>
      </c>
      <c r="AW336" s="3" t="s">
        <v>4276</v>
      </c>
      <c r="AX336" s="3" t="s">
        <v>4276</v>
      </c>
      <c r="AY336" s="3" t="s">
        <v>4277</v>
      </c>
      <c r="AZ336" s="3" t="s">
        <v>73</v>
      </c>
      <c r="BB336" s="3" t="s">
        <v>4278</v>
      </c>
      <c r="BC336" s="3" t="s">
        <v>4279</v>
      </c>
      <c r="BD336" s="3" t="s">
        <v>4280</v>
      </c>
    </row>
    <row r="337" spans="1:56" ht="51" customHeight="1" x14ac:dyDescent="0.25">
      <c r="A337" s="7" t="s">
        <v>58</v>
      </c>
      <c r="B337" s="2" t="s">
        <v>4281</v>
      </c>
      <c r="C337" s="2" t="s">
        <v>4282</v>
      </c>
      <c r="D337" s="2" t="s">
        <v>4283</v>
      </c>
      <c r="F337" s="3" t="s">
        <v>58</v>
      </c>
      <c r="G337" s="3" t="s">
        <v>59</v>
      </c>
      <c r="H337" s="3" t="s">
        <v>58</v>
      </c>
      <c r="I337" s="3" t="s">
        <v>58</v>
      </c>
      <c r="J337" s="3" t="s">
        <v>60</v>
      </c>
      <c r="K337" s="2" t="s">
        <v>3811</v>
      </c>
      <c r="L337" s="2" t="s">
        <v>4284</v>
      </c>
      <c r="M337" s="3" t="s">
        <v>423</v>
      </c>
      <c r="O337" s="3" t="s">
        <v>63</v>
      </c>
      <c r="P337" s="3" t="s">
        <v>214</v>
      </c>
      <c r="R337" s="3" t="s">
        <v>65</v>
      </c>
      <c r="S337" s="4">
        <v>17</v>
      </c>
      <c r="T337" s="4">
        <v>17</v>
      </c>
      <c r="U337" s="5" t="s">
        <v>3374</v>
      </c>
      <c r="V337" s="5" t="s">
        <v>3374</v>
      </c>
      <c r="W337" s="5" t="s">
        <v>4285</v>
      </c>
      <c r="X337" s="5" t="s">
        <v>4285</v>
      </c>
      <c r="Y337" s="4">
        <v>102</v>
      </c>
      <c r="Z337" s="4">
        <v>76</v>
      </c>
      <c r="AA337" s="4">
        <v>365</v>
      </c>
      <c r="AB337" s="4">
        <v>2</v>
      </c>
      <c r="AC337" s="4">
        <v>4</v>
      </c>
      <c r="AD337" s="4">
        <v>7</v>
      </c>
      <c r="AE337" s="4">
        <v>19</v>
      </c>
      <c r="AF337" s="4">
        <v>1</v>
      </c>
      <c r="AG337" s="4">
        <v>4</v>
      </c>
      <c r="AH337" s="4">
        <v>2</v>
      </c>
      <c r="AI337" s="4">
        <v>5</v>
      </c>
      <c r="AJ337" s="4">
        <v>4</v>
      </c>
      <c r="AK337" s="4">
        <v>9</v>
      </c>
      <c r="AL337" s="4">
        <v>1</v>
      </c>
      <c r="AM337" s="4">
        <v>3</v>
      </c>
      <c r="AN337" s="4">
        <v>0</v>
      </c>
      <c r="AO337" s="4">
        <v>0</v>
      </c>
      <c r="AP337" s="3" t="s">
        <v>58</v>
      </c>
      <c r="AQ337" s="3" t="s">
        <v>58</v>
      </c>
      <c r="AS337" s="6" t="str">
        <f>HYPERLINK("https://creighton-primo.hosted.exlibrisgroup.com/primo-explore/search?tab=default_tab&amp;search_scope=EVERYTHING&amp;vid=01CRU&amp;lang=en_US&amp;offset=0&amp;query=any,contains,991003008349702656","Catalog Record")</f>
        <v>Catalog Record</v>
      </c>
      <c r="AT337" s="6" t="str">
        <f>HYPERLINK("http://www.worldcat.org/oclc/40803657","WorldCat Record")</f>
        <v>WorldCat Record</v>
      </c>
      <c r="AU337" s="3" t="s">
        <v>4286</v>
      </c>
      <c r="AV337" s="3" t="s">
        <v>4287</v>
      </c>
      <c r="AW337" s="3" t="s">
        <v>4288</v>
      </c>
      <c r="AX337" s="3" t="s">
        <v>4288</v>
      </c>
      <c r="AY337" s="3" t="s">
        <v>4289</v>
      </c>
      <c r="AZ337" s="3" t="s">
        <v>73</v>
      </c>
      <c r="BB337" s="3" t="s">
        <v>4290</v>
      </c>
      <c r="BC337" s="3" t="s">
        <v>4291</v>
      </c>
      <c r="BD337" s="3" t="s">
        <v>4292</v>
      </c>
    </row>
    <row r="338" spans="1:56" ht="51" customHeight="1" x14ac:dyDescent="0.25">
      <c r="A338" s="7" t="s">
        <v>58</v>
      </c>
      <c r="B338" s="2" t="s">
        <v>4293</v>
      </c>
      <c r="C338" s="2" t="s">
        <v>4294</v>
      </c>
      <c r="D338" s="2" t="s">
        <v>4295</v>
      </c>
      <c r="F338" s="3" t="s">
        <v>58</v>
      </c>
      <c r="G338" s="3" t="s">
        <v>59</v>
      </c>
      <c r="H338" s="3" t="s">
        <v>58</v>
      </c>
      <c r="I338" s="3" t="s">
        <v>58</v>
      </c>
      <c r="J338" s="3" t="s">
        <v>60</v>
      </c>
      <c r="K338" s="2" t="s">
        <v>4296</v>
      </c>
      <c r="L338" s="2" t="s">
        <v>4297</v>
      </c>
      <c r="M338" s="3" t="s">
        <v>138</v>
      </c>
      <c r="N338" s="2" t="s">
        <v>338</v>
      </c>
      <c r="O338" s="3" t="s">
        <v>63</v>
      </c>
      <c r="P338" s="3" t="s">
        <v>214</v>
      </c>
      <c r="R338" s="3" t="s">
        <v>65</v>
      </c>
      <c r="S338" s="4">
        <v>7</v>
      </c>
      <c r="T338" s="4">
        <v>7</v>
      </c>
      <c r="U338" s="5" t="s">
        <v>4298</v>
      </c>
      <c r="V338" s="5" t="s">
        <v>4298</v>
      </c>
      <c r="W338" s="5" t="s">
        <v>2078</v>
      </c>
      <c r="X338" s="5" t="s">
        <v>2078</v>
      </c>
      <c r="Y338" s="4">
        <v>1213</v>
      </c>
      <c r="Z338" s="4">
        <v>1115</v>
      </c>
      <c r="AA338" s="4">
        <v>1199</v>
      </c>
      <c r="AB338" s="4">
        <v>3</v>
      </c>
      <c r="AC338" s="4">
        <v>3</v>
      </c>
      <c r="AD338" s="4">
        <v>32</v>
      </c>
      <c r="AE338" s="4">
        <v>34</v>
      </c>
      <c r="AF338" s="4">
        <v>16</v>
      </c>
      <c r="AG338" s="4">
        <v>16</v>
      </c>
      <c r="AH338" s="4">
        <v>7</v>
      </c>
      <c r="AI338" s="4">
        <v>8</v>
      </c>
      <c r="AJ338" s="4">
        <v>16</v>
      </c>
      <c r="AK338" s="4">
        <v>18</v>
      </c>
      <c r="AL338" s="4">
        <v>1</v>
      </c>
      <c r="AM338" s="4">
        <v>1</v>
      </c>
      <c r="AN338" s="4">
        <v>0</v>
      </c>
      <c r="AO338" s="4">
        <v>0</v>
      </c>
      <c r="AP338" s="3" t="s">
        <v>58</v>
      </c>
      <c r="AQ338" s="3" t="s">
        <v>68</v>
      </c>
      <c r="AR338" s="6" t="str">
        <f>HYPERLINK("http://catalog.hathitrust.org/Record/000273522","HathiTrust Record")</f>
        <v>HathiTrust Record</v>
      </c>
      <c r="AS338" s="6" t="str">
        <f>HYPERLINK("https://creighton-primo.hosted.exlibrisgroup.com/primo-explore/search?tab=default_tab&amp;search_scope=EVERYTHING&amp;vid=01CRU&amp;lang=en_US&amp;offset=0&amp;query=any,contains,991000072129702656","Catalog Record")</f>
        <v>Catalog Record</v>
      </c>
      <c r="AT338" s="6" t="str">
        <f>HYPERLINK("http://www.worldcat.org/oclc/8785836","WorldCat Record")</f>
        <v>WorldCat Record</v>
      </c>
      <c r="AU338" s="3" t="s">
        <v>4299</v>
      </c>
      <c r="AV338" s="3" t="s">
        <v>4300</v>
      </c>
      <c r="AW338" s="3" t="s">
        <v>4301</v>
      </c>
      <c r="AX338" s="3" t="s">
        <v>4301</v>
      </c>
      <c r="AY338" s="3" t="s">
        <v>4302</v>
      </c>
      <c r="AZ338" s="3" t="s">
        <v>73</v>
      </c>
      <c r="BB338" s="3" t="s">
        <v>4303</v>
      </c>
      <c r="BC338" s="3" t="s">
        <v>4304</v>
      </c>
      <c r="BD338" s="3" t="s">
        <v>4305</v>
      </c>
    </row>
    <row r="339" spans="1:56" ht="51" customHeight="1" x14ac:dyDescent="0.25">
      <c r="A339" s="7" t="s">
        <v>58</v>
      </c>
      <c r="B339" s="2" t="s">
        <v>4306</v>
      </c>
      <c r="C339" s="2" t="s">
        <v>4307</v>
      </c>
      <c r="D339" s="2" t="s">
        <v>4308</v>
      </c>
      <c r="F339" s="3" t="s">
        <v>58</v>
      </c>
      <c r="G339" s="3" t="s">
        <v>59</v>
      </c>
      <c r="H339" s="3" t="s">
        <v>58</v>
      </c>
      <c r="I339" s="3" t="s">
        <v>58</v>
      </c>
      <c r="J339" s="3" t="s">
        <v>60</v>
      </c>
      <c r="K339" s="2" t="s">
        <v>3148</v>
      </c>
      <c r="L339" s="2" t="s">
        <v>3200</v>
      </c>
      <c r="M339" s="3" t="s">
        <v>653</v>
      </c>
      <c r="O339" s="3" t="s">
        <v>63</v>
      </c>
      <c r="P339" s="3" t="s">
        <v>214</v>
      </c>
      <c r="Q339" s="2" t="s">
        <v>4309</v>
      </c>
      <c r="R339" s="3" t="s">
        <v>65</v>
      </c>
      <c r="S339" s="4">
        <v>3</v>
      </c>
      <c r="T339" s="4">
        <v>3</v>
      </c>
      <c r="U339" s="5" t="s">
        <v>4310</v>
      </c>
      <c r="V339" s="5" t="s">
        <v>4310</v>
      </c>
      <c r="W339" s="5" t="s">
        <v>4311</v>
      </c>
      <c r="X339" s="5" t="s">
        <v>4311</v>
      </c>
      <c r="Y339" s="4">
        <v>366</v>
      </c>
      <c r="Z339" s="4">
        <v>305</v>
      </c>
      <c r="AA339" s="4">
        <v>657</v>
      </c>
      <c r="AB339" s="4">
        <v>2</v>
      </c>
      <c r="AC339" s="4">
        <v>4</v>
      </c>
      <c r="AD339" s="4">
        <v>14</v>
      </c>
      <c r="AE339" s="4">
        <v>21</v>
      </c>
      <c r="AF339" s="4">
        <v>5</v>
      </c>
      <c r="AG339" s="4">
        <v>9</v>
      </c>
      <c r="AH339" s="4">
        <v>4</v>
      </c>
      <c r="AI339" s="4">
        <v>5</v>
      </c>
      <c r="AJ339" s="4">
        <v>8</v>
      </c>
      <c r="AK339" s="4">
        <v>10</v>
      </c>
      <c r="AL339" s="4">
        <v>1</v>
      </c>
      <c r="AM339" s="4">
        <v>3</v>
      </c>
      <c r="AN339" s="4">
        <v>0</v>
      </c>
      <c r="AO339" s="4">
        <v>0</v>
      </c>
      <c r="AP339" s="3" t="s">
        <v>58</v>
      </c>
      <c r="AQ339" s="3" t="s">
        <v>68</v>
      </c>
      <c r="AR339" s="6" t="str">
        <f>HYPERLINK("http://catalog.hathitrust.org/Record/002490667","HathiTrust Record")</f>
        <v>HathiTrust Record</v>
      </c>
      <c r="AS339" s="6" t="str">
        <f>HYPERLINK("https://creighton-primo.hosted.exlibrisgroup.com/primo-explore/search?tab=default_tab&amp;search_scope=EVERYTHING&amp;vid=01CRU&amp;lang=en_US&amp;offset=0&amp;query=any,contains,991001817679702656","Catalog Record")</f>
        <v>Catalog Record</v>
      </c>
      <c r="AT339" s="6" t="str">
        <f>HYPERLINK("http://www.worldcat.org/oclc/22859094","WorldCat Record")</f>
        <v>WorldCat Record</v>
      </c>
      <c r="AU339" s="3" t="s">
        <v>4312</v>
      </c>
      <c r="AV339" s="3" t="s">
        <v>4313</v>
      </c>
      <c r="AW339" s="3" t="s">
        <v>4314</v>
      </c>
      <c r="AX339" s="3" t="s">
        <v>4314</v>
      </c>
      <c r="AY339" s="3" t="s">
        <v>4315</v>
      </c>
      <c r="AZ339" s="3" t="s">
        <v>73</v>
      </c>
      <c r="BB339" s="3" t="s">
        <v>4316</v>
      </c>
      <c r="BC339" s="3" t="s">
        <v>4317</v>
      </c>
      <c r="BD339" s="3" t="s">
        <v>4318</v>
      </c>
    </row>
    <row r="340" spans="1:56" ht="51" customHeight="1" x14ac:dyDescent="0.25">
      <c r="A340" s="7" t="s">
        <v>58</v>
      </c>
      <c r="B340" s="2" t="s">
        <v>4319</v>
      </c>
      <c r="C340" s="2" t="s">
        <v>4320</v>
      </c>
      <c r="D340" s="2" t="s">
        <v>4321</v>
      </c>
      <c r="F340" s="3" t="s">
        <v>58</v>
      </c>
      <c r="G340" s="3" t="s">
        <v>59</v>
      </c>
      <c r="H340" s="3" t="s">
        <v>58</v>
      </c>
      <c r="I340" s="3" t="s">
        <v>58</v>
      </c>
      <c r="J340" s="3" t="s">
        <v>60</v>
      </c>
      <c r="K340" s="2" t="s">
        <v>4322</v>
      </c>
      <c r="L340" s="2" t="s">
        <v>4323</v>
      </c>
      <c r="M340" s="3" t="s">
        <v>1091</v>
      </c>
      <c r="N340" s="2" t="s">
        <v>4324</v>
      </c>
      <c r="O340" s="3" t="s">
        <v>63</v>
      </c>
      <c r="P340" s="3" t="s">
        <v>214</v>
      </c>
      <c r="R340" s="3" t="s">
        <v>65</v>
      </c>
      <c r="S340" s="4">
        <v>2</v>
      </c>
      <c r="T340" s="4">
        <v>2</v>
      </c>
      <c r="U340" s="5" t="s">
        <v>4325</v>
      </c>
      <c r="V340" s="5" t="s">
        <v>4325</v>
      </c>
      <c r="W340" s="5" t="s">
        <v>1652</v>
      </c>
      <c r="X340" s="5" t="s">
        <v>1652</v>
      </c>
      <c r="Y340" s="4">
        <v>201</v>
      </c>
      <c r="Z340" s="4">
        <v>148</v>
      </c>
      <c r="AA340" s="4">
        <v>268</v>
      </c>
      <c r="AB340" s="4">
        <v>2</v>
      </c>
      <c r="AC340" s="4">
        <v>2</v>
      </c>
      <c r="AD340" s="4">
        <v>6</v>
      </c>
      <c r="AE340" s="4">
        <v>7</v>
      </c>
      <c r="AF340" s="4">
        <v>2</v>
      </c>
      <c r="AG340" s="4">
        <v>2</v>
      </c>
      <c r="AH340" s="4">
        <v>2</v>
      </c>
      <c r="AI340" s="4">
        <v>2</v>
      </c>
      <c r="AJ340" s="4">
        <v>3</v>
      </c>
      <c r="AK340" s="4">
        <v>4</v>
      </c>
      <c r="AL340" s="4">
        <v>1</v>
      </c>
      <c r="AM340" s="4">
        <v>1</v>
      </c>
      <c r="AN340" s="4">
        <v>0</v>
      </c>
      <c r="AO340" s="4">
        <v>0</v>
      </c>
      <c r="AP340" s="3" t="s">
        <v>58</v>
      </c>
      <c r="AQ340" s="3" t="s">
        <v>58</v>
      </c>
      <c r="AS340" s="6" t="str">
        <f>HYPERLINK("https://creighton-primo.hosted.exlibrisgroup.com/primo-explore/search?tab=default_tab&amp;search_scope=EVERYTHING&amp;vid=01CRU&amp;lang=en_US&amp;offset=0&amp;query=any,contains,991003763879702656","Catalog Record")</f>
        <v>Catalog Record</v>
      </c>
      <c r="AT340" s="6" t="str">
        <f>HYPERLINK("http://www.worldcat.org/oclc/46882722","WorldCat Record")</f>
        <v>WorldCat Record</v>
      </c>
      <c r="AU340" s="3" t="s">
        <v>4326</v>
      </c>
      <c r="AV340" s="3" t="s">
        <v>4327</v>
      </c>
      <c r="AW340" s="3" t="s">
        <v>4328</v>
      </c>
      <c r="AX340" s="3" t="s">
        <v>4328</v>
      </c>
      <c r="AY340" s="3" t="s">
        <v>4329</v>
      </c>
      <c r="AZ340" s="3" t="s">
        <v>73</v>
      </c>
      <c r="BB340" s="3" t="s">
        <v>4330</v>
      </c>
      <c r="BC340" s="3" t="s">
        <v>4331</v>
      </c>
      <c r="BD340" s="3" t="s">
        <v>4332</v>
      </c>
    </row>
    <row r="341" spans="1:56" ht="51" customHeight="1" x14ac:dyDescent="0.25">
      <c r="A341" s="7" t="s">
        <v>58</v>
      </c>
      <c r="B341" s="2" t="s">
        <v>4333</v>
      </c>
      <c r="C341" s="2" t="s">
        <v>4334</v>
      </c>
      <c r="D341" s="2" t="s">
        <v>4335</v>
      </c>
      <c r="F341" s="3" t="s">
        <v>58</v>
      </c>
      <c r="G341" s="3" t="s">
        <v>59</v>
      </c>
      <c r="H341" s="3" t="s">
        <v>58</v>
      </c>
      <c r="I341" s="3" t="s">
        <v>58</v>
      </c>
      <c r="J341" s="3" t="s">
        <v>60</v>
      </c>
      <c r="K341" s="2" t="s">
        <v>4336</v>
      </c>
      <c r="L341" s="2" t="s">
        <v>4337</v>
      </c>
      <c r="M341" s="3" t="s">
        <v>382</v>
      </c>
      <c r="O341" s="3" t="s">
        <v>63</v>
      </c>
      <c r="P341" s="3" t="s">
        <v>411</v>
      </c>
      <c r="R341" s="3" t="s">
        <v>65</v>
      </c>
      <c r="S341" s="4">
        <v>1</v>
      </c>
      <c r="T341" s="4">
        <v>1</v>
      </c>
      <c r="U341" s="5" t="s">
        <v>4338</v>
      </c>
      <c r="V341" s="5" t="s">
        <v>4338</v>
      </c>
      <c r="W341" s="5" t="s">
        <v>4339</v>
      </c>
      <c r="X341" s="5" t="s">
        <v>4339</v>
      </c>
      <c r="Y341" s="4">
        <v>225</v>
      </c>
      <c r="Z341" s="4">
        <v>204</v>
      </c>
      <c r="AA341" s="4">
        <v>264</v>
      </c>
      <c r="AB341" s="4">
        <v>2</v>
      </c>
      <c r="AC341" s="4">
        <v>2</v>
      </c>
      <c r="AD341" s="4">
        <v>6</v>
      </c>
      <c r="AE341" s="4">
        <v>9</v>
      </c>
      <c r="AF341" s="4">
        <v>3</v>
      </c>
      <c r="AG341" s="4">
        <v>5</v>
      </c>
      <c r="AH341" s="4">
        <v>2</v>
      </c>
      <c r="AI341" s="4">
        <v>2</v>
      </c>
      <c r="AJ341" s="4">
        <v>3</v>
      </c>
      <c r="AK341" s="4">
        <v>5</v>
      </c>
      <c r="AL341" s="4">
        <v>1</v>
      </c>
      <c r="AM341" s="4">
        <v>1</v>
      </c>
      <c r="AN341" s="4">
        <v>0</v>
      </c>
      <c r="AO341" s="4">
        <v>0</v>
      </c>
      <c r="AP341" s="3" t="s">
        <v>58</v>
      </c>
      <c r="AQ341" s="3" t="s">
        <v>58</v>
      </c>
      <c r="AS341" s="6" t="str">
        <f>HYPERLINK("https://creighton-primo.hosted.exlibrisgroup.com/primo-explore/search?tab=default_tab&amp;search_scope=EVERYTHING&amp;vid=01CRU&amp;lang=en_US&amp;offset=0&amp;query=any,contains,991003008469702656","Catalog Record")</f>
        <v>Catalog Record</v>
      </c>
      <c r="AT341" s="6" t="str">
        <f>HYPERLINK("http://www.worldcat.org/oclc/40812689","WorldCat Record")</f>
        <v>WorldCat Record</v>
      </c>
      <c r="AU341" s="3" t="s">
        <v>4340</v>
      </c>
      <c r="AV341" s="3" t="s">
        <v>4341</v>
      </c>
      <c r="AW341" s="3" t="s">
        <v>4342</v>
      </c>
      <c r="AX341" s="3" t="s">
        <v>4342</v>
      </c>
      <c r="AY341" s="3" t="s">
        <v>4343</v>
      </c>
      <c r="AZ341" s="3" t="s">
        <v>73</v>
      </c>
      <c r="BB341" s="3" t="s">
        <v>4344</v>
      </c>
      <c r="BC341" s="3" t="s">
        <v>4345</v>
      </c>
      <c r="BD341" s="3" t="s">
        <v>4346</v>
      </c>
    </row>
    <row r="342" spans="1:56" ht="51" customHeight="1" x14ac:dyDescent="0.25">
      <c r="A342" s="7" t="s">
        <v>58</v>
      </c>
      <c r="B342" s="2" t="s">
        <v>4347</v>
      </c>
      <c r="C342" s="2" t="s">
        <v>4348</v>
      </c>
      <c r="D342" s="2" t="s">
        <v>4349</v>
      </c>
      <c r="F342" s="3" t="s">
        <v>58</v>
      </c>
      <c r="G342" s="3" t="s">
        <v>59</v>
      </c>
      <c r="H342" s="3" t="s">
        <v>58</v>
      </c>
      <c r="I342" s="3" t="s">
        <v>58</v>
      </c>
      <c r="J342" s="3" t="s">
        <v>60</v>
      </c>
      <c r="K342" s="2" t="s">
        <v>4350</v>
      </c>
      <c r="L342" s="2" t="s">
        <v>4351</v>
      </c>
      <c r="M342" s="3" t="s">
        <v>479</v>
      </c>
      <c r="O342" s="3" t="s">
        <v>63</v>
      </c>
      <c r="P342" s="3" t="s">
        <v>1837</v>
      </c>
      <c r="Q342" s="2" t="s">
        <v>4352</v>
      </c>
      <c r="R342" s="3" t="s">
        <v>65</v>
      </c>
      <c r="S342" s="4">
        <v>4</v>
      </c>
      <c r="T342" s="4">
        <v>4</v>
      </c>
      <c r="U342" s="5" t="s">
        <v>4353</v>
      </c>
      <c r="V342" s="5" t="s">
        <v>4353</v>
      </c>
      <c r="W342" s="5" t="s">
        <v>4354</v>
      </c>
      <c r="X342" s="5" t="s">
        <v>4354</v>
      </c>
      <c r="Y342" s="4">
        <v>138</v>
      </c>
      <c r="Z342" s="4">
        <v>103</v>
      </c>
      <c r="AA342" s="4">
        <v>105</v>
      </c>
      <c r="AB342" s="4">
        <v>2</v>
      </c>
      <c r="AC342" s="4">
        <v>2</v>
      </c>
      <c r="AD342" s="4">
        <v>3</v>
      </c>
      <c r="AE342" s="4">
        <v>3</v>
      </c>
      <c r="AF342" s="4">
        <v>0</v>
      </c>
      <c r="AG342" s="4">
        <v>0</v>
      </c>
      <c r="AH342" s="4">
        <v>0</v>
      </c>
      <c r="AI342" s="4">
        <v>0</v>
      </c>
      <c r="AJ342" s="4">
        <v>2</v>
      </c>
      <c r="AK342" s="4">
        <v>2</v>
      </c>
      <c r="AL342" s="4">
        <v>1</v>
      </c>
      <c r="AM342" s="4">
        <v>1</v>
      </c>
      <c r="AN342" s="4">
        <v>0</v>
      </c>
      <c r="AO342" s="4">
        <v>0</v>
      </c>
      <c r="AP342" s="3" t="s">
        <v>58</v>
      </c>
      <c r="AQ342" s="3" t="s">
        <v>68</v>
      </c>
      <c r="AR342" s="6" t="str">
        <f>HYPERLINK("http://catalog.hathitrust.org/Record/003005785","HathiTrust Record")</f>
        <v>HathiTrust Record</v>
      </c>
      <c r="AS342" s="6" t="str">
        <f>HYPERLINK("https://creighton-primo.hosted.exlibrisgroup.com/primo-explore/search?tab=default_tab&amp;search_scope=EVERYTHING&amp;vid=01CRU&amp;lang=en_US&amp;offset=0&amp;query=any,contains,991002422329702656","Catalog Record")</f>
        <v>Catalog Record</v>
      </c>
      <c r="AT342" s="6" t="str">
        <f>HYPERLINK("http://www.worldcat.org/oclc/31604575","WorldCat Record")</f>
        <v>WorldCat Record</v>
      </c>
      <c r="AU342" s="3" t="s">
        <v>4355</v>
      </c>
      <c r="AV342" s="3" t="s">
        <v>4356</v>
      </c>
      <c r="AW342" s="3" t="s">
        <v>4357</v>
      </c>
      <c r="AX342" s="3" t="s">
        <v>4357</v>
      </c>
      <c r="AY342" s="3" t="s">
        <v>4358</v>
      </c>
      <c r="AZ342" s="3" t="s">
        <v>73</v>
      </c>
      <c r="BB342" s="3" t="s">
        <v>4359</v>
      </c>
      <c r="BC342" s="3" t="s">
        <v>4360</v>
      </c>
      <c r="BD342" s="3" t="s">
        <v>4361</v>
      </c>
    </row>
    <row r="343" spans="1:56" ht="51" customHeight="1" x14ac:dyDescent="0.25">
      <c r="A343" s="7" t="s">
        <v>58</v>
      </c>
      <c r="B343" s="2" t="s">
        <v>4362</v>
      </c>
      <c r="C343" s="2" t="s">
        <v>4363</v>
      </c>
      <c r="D343" s="2" t="s">
        <v>4364</v>
      </c>
      <c r="F343" s="3" t="s">
        <v>58</v>
      </c>
      <c r="G343" s="3" t="s">
        <v>59</v>
      </c>
      <c r="H343" s="3" t="s">
        <v>58</v>
      </c>
      <c r="I343" s="3" t="s">
        <v>58</v>
      </c>
      <c r="J343" s="3" t="s">
        <v>60</v>
      </c>
      <c r="L343" s="2" t="s">
        <v>4365</v>
      </c>
      <c r="M343" s="3" t="s">
        <v>397</v>
      </c>
      <c r="O343" s="3" t="s">
        <v>63</v>
      </c>
      <c r="P343" s="3" t="s">
        <v>786</v>
      </c>
      <c r="Q343" s="2" t="s">
        <v>4366</v>
      </c>
      <c r="R343" s="3" t="s">
        <v>65</v>
      </c>
      <c r="S343" s="4">
        <v>4</v>
      </c>
      <c r="T343" s="4">
        <v>4</v>
      </c>
      <c r="U343" s="5" t="s">
        <v>4367</v>
      </c>
      <c r="V343" s="5" t="s">
        <v>4367</v>
      </c>
      <c r="W343" s="5" t="s">
        <v>4368</v>
      </c>
      <c r="X343" s="5" t="s">
        <v>4368</v>
      </c>
      <c r="Y343" s="4">
        <v>191</v>
      </c>
      <c r="Z343" s="4">
        <v>122</v>
      </c>
      <c r="AA343" s="4">
        <v>126</v>
      </c>
      <c r="AB343" s="4">
        <v>2</v>
      </c>
      <c r="AC343" s="4">
        <v>2</v>
      </c>
      <c r="AD343" s="4">
        <v>10</v>
      </c>
      <c r="AE343" s="4">
        <v>10</v>
      </c>
      <c r="AF343" s="4">
        <v>2</v>
      </c>
      <c r="AG343" s="4">
        <v>2</v>
      </c>
      <c r="AH343" s="4">
        <v>2</v>
      </c>
      <c r="AI343" s="4">
        <v>2</v>
      </c>
      <c r="AJ343" s="4">
        <v>7</v>
      </c>
      <c r="AK343" s="4">
        <v>7</v>
      </c>
      <c r="AL343" s="4">
        <v>1</v>
      </c>
      <c r="AM343" s="4">
        <v>1</v>
      </c>
      <c r="AN343" s="4">
        <v>0</v>
      </c>
      <c r="AO343" s="4">
        <v>0</v>
      </c>
      <c r="AP343" s="3" t="s">
        <v>58</v>
      </c>
      <c r="AQ343" s="3" t="s">
        <v>58</v>
      </c>
      <c r="AS343" s="6" t="str">
        <f>HYPERLINK("https://creighton-primo.hosted.exlibrisgroup.com/primo-explore/search?tab=default_tab&amp;search_scope=EVERYTHING&amp;vid=01CRU&amp;lang=en_US&amp;offset=0&amp;query=any,contains,991000930849702656","Catalog Record")</f>
        <v>Catalog Record</v>
      </c>
      <c r="AT343" s="6" t="str">
        <f>HYPERLINK("http://www.worldcat.org/oclc/14271421","WorldCat Record")</f>
        <v>WorldCat Record</v>
      </c>
      <c r="AU343" s="3" t="s">
        <v>4369</v>
      </c>
      <c r="AV343" s="3" t="s">
        <v>4370</v>
      </c>
      <c r="AW343" s="3" t="s">
        <v>4371</v>
      </c>
      <c r="AX343" s="3" t="s">
        <v>4371</v>
      </c>
      <c r="AY343" s="3" t="s">
        <v>4372</v>
      </c>
      <c r="AZ343" s="3" t="s">
        <v>73</v>
      </c>
      <c r="BB343" s="3" t="s">
        <v>4373</v>
      </c>
      <c r="BC343" s="3" t="s">
        <v>4374</v>
      </c>
      <c r="BD343" s="3" t="s">
        <v>4375</v>
      </c>
    </row>
    <row r="344" spans="1:56" ht="51" customHeight="1" x14ac:dyDescent="0.25">
      <c r="A344" s="7" t="s">
        <v>58</v>
      </c>
      <c r="B344" s="2" t="s">
        <v>4376</v>
      </c>
      <c r="C344" s="2" t="s">
        <v>4377</v>
      </c>
      <c r="D344" s="2" t="s">
        <v>4378</v>
      </c>
      <c r="F344" s="3" t="s">
        <v>58</v>
      </c>
      <c r="G344" s="3" t="s">
        <v>59</v>
      </c>
      <c r="H344" s="3" t="s">
        <v>58</v>
      </c>
      <c r="I344" s="3" t="s">
        <v>58</v>
      </c>
      <c r="J344" s="3" t="s">
        <v>60</v>
      </c>
      <c r="L344" s="2" t="s">
        <v>4379</v>
      </c>
      <c r="M344" s="3" t="s">
        <v>800</v>
      </c>
      <c r="O344" s="3" t="s">
        <v>63</v>
      </c>
      <c r="P344" s="3" t="s">
        <v>451</v>
      </c>
      <c r="Q344" s="2" t="s">
        <v>4380</v>
      </c>
      <c r="R344" s="3" t="s">
        <v>65</v>
      </c>
      <c r="S344" s="4">
        <v>2</v>
      </c>
      <c r="T344" s="4">
        <v>2</v>
      </c>
      <c r="U344" s="5" t="s">
        <v>306</v>
      </c>
      <c r="V344" s="5" t="s">
        <v>306</v>
      </c>
      <c r="W344" s="5" t="s">
        <v>4381</v>
      </c>
      <c r="X344" s="5" t="s">
        <v>4381</v>
      </c>
      <c r="Y344" s="4">
        <v>114</v>
      </c>
      <c r="Z344" s="4">
        <v>108</v>
      </c>
      <c r="AA344" s="4">
        <v>526</v>
      </c>
      <c r="AB344" s="4">
        <v>3</v>
      </c>
      <c r="AC344" s="4">
        <v>6</v>
      </c>
      <c r="AD344" s="4">
        <v>9</v>
      </c>
      <c r="AE344" s="4">
        <v>16</v>
      </c>
      <c r="AF344" s="4">
        <v>4</v>
      </c>
      <c r="AG344" s="4">
        <v>8</v>
      </c>
      <c r="AH344" s="4">
        <v>2</v>
      </c>
      <c r="AI344" s="4">
        <v>2</v>
      </c>
      <c r="AJ344" s="4">
        <v>3</v>
      </c>
      <c r="AK344" s="4">
        <v>4</v>
      </c>
      <c r="AL344" s="4">
        <v>2</v>
      </c>
      <c r="AM344" s="4">
        <v>5</v>
      </c>
      <c r="AN344" s="4">
        <v>0</v>
      </c>
      <c r="AO344" s="4">
        <v>0</v>
      </c>
      <c r="AP344" s="3" t="s">
        <v>58</v>
      </c>
      <c r="AQ344" s="3" t="s">
        <v>68</v>
      </c>
      <c r="AR344" s="6" t="str">
        <f>HYPERLINK("http://catalog.hathitrust.org/Record/003024712","HathiTrust Record")</f>
        <v>HathiTrust Record</v>
      </c>
      <c r="AS344" s="6" t="str">
        <f>HYPERLINK("https://creighton-primo.hosted.exlibrisgroup.com/primo-explore/search?tab=default_tab&amp;search_scope=EVERYTHING&amp;vid=01CRU&amp;lang=en_US&amp;offset=0&amp;query=any,contains,991002549229702656","Catalog Record")</f>
        <v>Catalog Record</v>
      </c>
      <c r="AT344" s="6" t="str">
        <f>HYPERLINK("http://www.worldcat.org/oclc/33118424","WorldCat Record")</f>
        <v>WorldCat Record</v>
      </c>
      <c r="AU344" s="3" t="s">
        <v>4382</v>
      </c>
      <c r="AV344" s="3" t="s">
        <v>4383</v>
      </c>
      <c r="AW344" s="3" t="s">
        <v>4384</v>
      </c>
      <c r="AX344" s="3" t="s">
        <v>4384</v>
      </c>
      <c r="AY344" s="3" t="s">
        <v>4385</v>
      </c>
      <c r="AZ344" s="3" t="s">
        <v>73</v>
      </c>
      <c r="BB344" s="3" t="s">
        <v>4386</v>
      </c>
      <c r="BC344" s="3" t="s">
        <v>4387</v>
      </c>
      <c r="BD344" s="3" t="s">
        <v>4388</v>
      </c>
    </row>
    <row r="345" spans="1:56" ht="51" customHeight="1" x14ac:dyDescent="0.25">
      <c r="A345" s="7" t="s">
        <v>58</v>
      </c>
      <c r="B345" s="2" t="s">
        <v>4389</v>
      </c>
      <c r="C345" s="2" t="s">
        <v>4390</v>
      </c>
      <c r="D345" s="2" t="s">
        <v>4391</v>
      </c>
      <c r="F345" s="3" t="s">
        <v>58</v>
      </c>
      <c r="G345" s="3" t="s">
        <v>59</v>
      </c>
      <c r="H345" s="3" t="s">
        <v>58</v>
      </c>
      <c r="I345" s="3" t="s">
        <v>58</v>
      </c>
      <c r="J345" s="3" t="s">
        <v>60</v>
      </c>
      <c r="K345" s="2" t="s">
        <v>4392</v>
      </c>
      <c r="L345" s="2" t="s">
        <v>4393</v>
      </c>
      <c r="M345" s="3" t="s">
        <v>353</v>
      </c>
      <c r="O345" s="3" t="s">
        <v>63</v>
      </c>
      <c r="P345" s="3" t="s">
        <v>584</v>
      </c>
      <c r="Q345" s="2" t="s">
        <v>4394</v>
      </c>
      <c r="R345" s="3" t="s">
        <v>65</v>
      </c>
      <c r="S345" s="4">
        <v>25</v>
      </c>
      <c r="T345" s="4">
        <v>25</v>
      </c>
      <c r="U345" s="5" t="s">
        <v>4395</v>
      </c>
      <c r="V345" s="5" t="s">
        <v>4395</v>
      </c>
      <c r="W345" s="5" t="s">
        <v>4396</v>
      </c>
      <c r="X345" s="5" t="s">
        <v>4396</v>
      </c>
      <c r="Y345" s="4">
        <v>321</v>
      </c>
      <c r="Z345" s="4">
        <v>216</v>
      </c>
      <c r="AA345" s="4">
        <v>218</v>
      </c>
      <c r="AB345" s="4">
        <v>2</v>
      </c>
      <c r="AC345" s="4">
        <v>2</v>
      </c>
      <c r="AD345" s="4">
        <v>16</v>
      </c>
      <c r="AE345" s="4">
        <v>16</v>
      </c>
      <c r="AF345" s="4">
        <v>6</v>
      </c>
      <c r="AG345" s="4">
        <v>6</v>
      </c>
      <c r="AH345" s="4">
        <v>5</v>
      </c>
      <c r="AI345" s="4">
        <v>5</v>
      </c>
      <c r="AJ345" s="4">
        <v>7</v>
      </c>
      <c r="AK345" s="4">
        <v>7</v>
      </c>
      <c r="AL345" s="4">
        <v>1</v>
      </c>
      <c r="AM345" s="4">
        <v>1</v>
      </c>
      <c r="AN345" s="4">
        <v>0</v>
      </c>
      <c r="AO345" s="4">
        <v>0</v>
      </c>
      <c r="AP345" s="3" t="s">
        <v>58</v>
      </c>
      <c r="AQ345" s="3" t="s">
        <v>68</v>
      </c>
      <c r="AR345" s="6" t="str">
        <f>HYPERLINK("http://catalog.hathitrust.org/Record/000902962","HathiTrust Record")</f>
        <v>HathiTrust Record</v>
      </c>
      <c r="AS345" s="6" t="str">
        <f>HYPERLINK("https://creighton-primo.hosted.exlibrisgroup.com/primo-explore/search?tab=default_tab&amp;search_scope=EVERYTHING&amp;vid=01CRU&amp;lang=en_US&amp;offset=0&amp;query=any,contains,991001078259702656","Catalog Record")</f>
        <v>Catalog Record</v>
      </c>
      <c r="AT345" s="6" t="str">
        <f>HYPERLINK("http://www.worldcat.org/oclc/22209364","WorldCat Record")</f>
        <v>WorldCat Record</v>
      </c>
      <c r="AU345" s="3" t="s">
        <v>4397</v>
      </c>
      <c r="AV345" s="3" t="s">
        <v>4398</v>
      </c>
      <c r="AW345" s="3" t="s">
        <v>4399</v>
      </c>
      <c r="AX345" s="3" t="s">
        <v>4399</v>
      </c>
      <c r="AY345" s="3" t="s">
        <v>4400</v>
      </c>
      <c r="AZ345" s="3" t="s">
        <v>73</v>
      </c>
      <c r="BB345" s="3" t="s">
        <v>4401</v>
      </c>
      <c r="BC345" s="3" t="s">
        <v>4402</v>
      </c>
      <c r="BD345" s="3" t="s">
        <v>4403</v>
      </c>
    </row>
    <row r="346" spans="1:56" ht="51" customHeight="1" x14ac:dyDescent="0.25">
      <c r="A346" s="7" t="s">
        <v>58</v>
      </c>
      <c r="B346" s="2" t="s">
        <v>4404</v>
      </c>
      <c r="C346" s="2" t="s">
        <v>4405</v>
      </c>
      <c r="D346" s="2" t="s">
        <v>4406</v>
      </c>
      <c r="F346" s="3" t="s">
        <v>58</v>
      </c>
      <c r="G346" s="3" t="s">
        <v>59</v>
      </c>
      <c r="H346" s="3" t="s">
        <v>58</v>
      </c>
      <c r="I346" s="3" t="s">
        <v>58</v>
      </c>
      <c r="J346" s="3" t="s">
        <v>60</v>
      </c>
      <c r="K346" s="2" t="s">
        <v>4407</v>
      </c>
      <c r="L346" s="2" t="s">
        <v>4408</v>
      </c>
      <c r="M346" s="3" t="s">
        <v>423</v>
      </c>
      <c r="O346" s="3" t="s">
        <v>63</v>
      </c>
      <c r="P346" s="3" t="s">
        <v>214</v>
      </c>
      <c r="R346" s="3" t="s">
        <v>65</v>
      </c>
      <c r="S346" s="4">
        <v>6</v>
      </c>
      <c r="T346" s="4">
        <v>6</v>
      </c>
      <c r="U346" s="5" t="s">
        <v>4409</v>
      </c>
      <c r="V346" s="5" t="s">
        <v>4409</v>
      </c>
      <c r="W346" s="5" t="s">
        <v>4410</v>
      </c>
      <c r="X346" s="5" t="s">
        <v>4410</v>
      </c>
      <c r="Y346" s="4">
        <v>664</v>
      </c>
      <c r="Z346" s="4">
        <v>595</v>
      </c>
      <c r="AA346" s="4">
        <v>771</v>
      </c>
      <c r="AB346" s="4">
        <v>6</v>
      </c>
      <c r="AC346" s="4">
        <v>6</v>
      </c>
      <c r="AD346" s="4">
        <v>27</v>
      </c>
      <c r="AE346" s="4">
        <v>37</v>
      </c>
      <c r="AF346" s="4">
        <v>12</v>
      </c>
      <c r="AG346" s="4">
        <v>19</v>
      </c>
      <c r="AH346" s="4">
        <v>6</v>
      </c>
      <c r="AI346" s="4">
        <v>6</v>
      </c>
      <c r="AJ346" s="4">
        <v>11</v>
      </c>
      <c r="AK346" s="4">
        <v>15</v>
      </c>
      <c r="AL346" s="4">
        <v>5</v>
      </c>
      <c r="AM346" s="4">
        <v>5</v>
      </c>
      <c r="AN346" s="4">
        <v>0</v>
      </c>
      <c r="AO346" s="4">
        <v>0</v>
      </c>
      <c r="AP346" s="3" t="s">
        <v>58</v>
      </c>
      <c r="AQ346" s="3" t="s">
        <v>58</v>
      </c>
      <c r="AS346" s="6" t="str">
        <f>HYPERLINK("https://creighton-primo.hosted.exlibrisgroup.com/primo-explore/search?tab=default_tab&amp;search_scope=EVERYTHING&amp;vid=01CRU&amp;lang=en_US&amp;offset=0&amp;query=any,contains,991002979749702656","Catalog Record")</f>
        <v>Catalog Record</v>
      </c>
      <c r="AT346" s="6" t="str">
        <f>HYPERLINK("http://www.worldcat.org/oclc/40058331","WorldCat Record")</f>
        <v>WorldCat Record</v>
      </c>
      <c r="AU346" s="3" t="s">
        <v>4411</v>
      </c>
      <c r="AV346" s="3" t="s">
        <v>4412</v>
      </c>
      <c r="AW346" s="3" t="s">
        <v>4413</v>
      </c>
      <c r="AX346" s="3" t="s">
        <v>4413</v>
      </c>
      <c r="AY346" s="3" t="s">
        <v>4414</v>
      </c>
      <c r="AZ346" s="3" t="s">
        <v>73</v>
      </c>
      <c r="BB346" s="3" t="s">
        <v>4415</v>
      </c>
      <c r="BC346" s="3" t="s">
        <v>4416</v>
      </c>
      <c r="BD346" s="3" t="s">
        <v>4417</v>
      </c>
    </row>
    <row r="347" spans="1:56" ht="51" customHeight="1" x14ac:dyDescent="0.25">
      <c r="A347" s="7" t="s">
        <v>58</v>
      </c>
      <c r="B347" s="2" t="s">
        <v>4418</v>
      </c>
      <c r="C347" s="2" t="s">
        <v>4419</v>
      </c>
      <c r="D347" s="2" t="s">
        <v>4420</v>
      </c>
      <c r="F347" s="3" t="s">
        <v>58</v>
      </c>
      <c r="G347" s="3" t="s">
        <v>59</v>
      </c>
      <c r="H347" s="3" t="s">
        <v>58</v>
      </c>
      <c r="I347" s="3" t="s">
        <v>58</v>
      </c>
      <c r="J347" s="3" t="s">
        <v>60</v>
      </c>
      <c r="L347" s="2" t="s">
        <v>4421</v>
      </c>
      <c r="M347" s="3" t="s">
        <v>626</v>
      </c>
      <c r="O347" s="3" t="s">
        <v>63</v>
      </c>
      <c r="P347" s="3" t="s">
        <v>2061</v>
      </c>
      <c r="Q347" s="2" t="s">
        <v>4422</v>
      </c>
      <c r="R347" s="3" t="s">
        <v>65</v>
      </c>
      <c r="S347" s="4">
        <v>1</v>
      </c>
      <c r="T347" s="4">
        <v>1</v>
      </c>
      <c r="U347" s="5" t="s">
        <v>4423</v>
      </c>
      <c r="V347" s="5" t="s">
        <v>4423</v>
      </c>
      <c r="W347" s="5" t="s">
        <v>3242</v>
      </c>
      <c r="X347" s="5" t="s">
        <v>3242</v>
      </c>
      <c r="Y347" s="4">
        <v>108</v>
      </c>
      <c r="Z347" s="4">
        <v>78</v>
      </c>
      <c r="AA347" s="4">
        <v>82</v>
      </c>
      <c r="AB347" s="4">
        <v>1</v>
      </c>
      <c r="AC347" s="4">
        <v>1</v>
      </c>
      <c r="AD347" s="4">
        <v>10</v>
      </c>
      <c r="AE347" s="4">
        <v>10</v>
      </c>
      <c r="AF347" s="4">
        <v>8</v>
      </c>
      <c r="AG347" s="4">
        <v>8</v>
      </c>
      <c r="AH347" s="4">
        <v>1</v>
      </c>
      <c r="AI347" s="4">
        <v>1</v>
      </c>
      <c r="AJ347" s="4">
        <v>2</v>
      </c>
      <c r="AK347" s="4">
        <v>2</v>
      </c>
      <c r="AL347" s="4">
        <v>0</v>
      </c>
      <c r="AM347" s="4">
        <v>0</v>
      </c>
      <c r="AN347" s="4">
        <v>0</v>
      </c>
      <c r="AO347" s="4">
        <v>0</v>
      </c>
      <c r="AP347" s="3" t="s">
        <v>58</v>
      </c>
      <c r="AQ347" s="3" t="s">
        <v>58</v>
      </c>
      <c r="AS347" s="6" t="str">
        <f>HYPERLINK("https://creighton-primo.hosted.exlibrisgroup.com/primo-explore/search?tab=default_tab&amp;search_scope=EVERYTHING&amp;vid=01CRU&amp;lang=en_US&amp;offset=0&amp;query=any,contains,991000302239702656","Catalog Record")</f>
        <v>Catalog Record</v>
      </c>
      <c r="AT347" s="6" t="str">
        <f>HYPERLINK("http://www.worldcat.org/oclc/10027864","WorldCat Record")</f>
        <v>WorldCat Record</v>
      </c>
      <c r="AU347" s="3" t="s">
        <v>4424</v>
      </c>
      <c r="AV347" s="3" t="s">
        <v>4425</v>
      </c>
      <c r="AW347" s="3" t="s">
        <v>4426</v>
      </c>
      <c r="AX347" s="3" t="s">
        <v>4426</v>
      </c>
      <c r="AY347" s="3" t="s">
        <v>4427</v>
      </c>
      <c r="AZ347" s="3" t="s">
        <v>73</v>
      </c>
      <c r="BC347" s="3" t="s">
        <v>4428</v>
      </c>
      <c r="BD347" s="3" t="s">
        <v>4429</v>
      </c>
    </row>
    <row r="348" spans="1:56" ht="51" customHeight="1" x14ac:dyDescent="0.25">
      <c r="A348" s="7" t="s">
        <v>58</v>
      </c>
      <c r="B348" s="2" t="s">
        <v>4430</v>
      </c>
      <c r="C348" s="2" t="s">
        <v>4431</v>
      </c>
      <c r="D348" s="2" t="s">
        <v>4432</v>
      </c>
      <c r="F348" s="3" t="s">
        <v>58</v>
      </c>
      <c r="G348" s="3" t="s">
        <v>59</v>
      </c>
      <c r="H348" s="3" t="s">
        <v>58</v>
      </c>
      <c r="I348" s="3" t="s">
        <v>58</v>
      </c>
      <c r="J348" s="3" t="s">
        <v>60</v>
      </c>
      <c r="K348" s="2" t="s">
        <v>4433</v>
      </c>
      <c r="L348" s="2" t="s">
        <v>4434</v>
      </c>
      <c r="M348" s="3" t="s">
        <v>1399</v>
      </c>
      <c r="O348" s="3" t="s">
        <v>63</v>
      </c>
      <c r="P348" s="3" t="s">
        <v>584</v>
      </c>
      <c r="Q348" s="2" t="s">
        <v>4435</v>
      </c>
      <c r="R348" s="3" t="s">
        <v>65</v>
      </c>
      <c r="S348" s="4">
        <v>10</v>
      </c>
      <c r="T348" s="4">
        <v>10</v>
      </c>
      <c r="U348" s="5" t="s">
        <v>2046</v>
      </c>
      <c r="V348" s="5" t="s">
        <v>2046</v>
      </c>
      <c r="W348" s="5" t="s">
        <v>4396</v>
      </c>
      <c r="X348" s="5" t="s">
        <v>4396</v>
      </c>
      <c r="Y348" s="4">
        <v>280</v>
      </c>
      <c r="Z348" s="4">
        <v>166</v>
      </c>
      <c r="AA348" s="4">
        <v>214</v>
      </c>
      <c r="AB348" s="4">
        <v>1</v>
      </c>
      <c r="AC348" s="4">
        <v>1</v>
      </c>
      <c r="AD348" s="4">
        <v>11</v>
      </c>
      <c r="AE348" s="4">
        <v>14</v>
      </c>
      <c r="AF348" s="4">
        <v>3</v>
      </c>
      <c r="AG348" s="4">
        <v>5</v>
      </c>
      <c r="AH348" s="4">
        <v>4</v>
      </c>
      <c r="AI348" s="4">
        <v>4</v>
      </c>
      <c r="AJ348" s="4">
        <v>7</v>
      </c>
      <c r="AK348" s="4">
        <v>8</v>
      </c>
      <c r="AL348" s="4">
        <v>0</v>
      </c>
      <c r="AM348" s="4">
        <v>0</v>
      </c>
      <c r="AN348" s="4">
        <v>0</v>
      </c>
      <c r="AO348" s="4">
        <v>0</v>
      </c>
      <c r="AP348" s="3" t="s">
        <v>58</v>
      </c>
      <c r="AQ348" s="3" t="s">
        <v>58</v>
      </c>
      <c r="AS348" s="6" t="str">
        <f>HYPERLINK("https://creighton-primo.hosted.exlibrisgroup.com/primo-explore/search?tab=default_tab&amp;search_scope=EVERYTHING&amp;vid=01CRU&amp;lang=en_US&amp;offset=0&amp;query=any,contains,991001645759702656","Catalog Record")</f>
        <v>Catalog Record</v>
      </c>
      <c r="AT348" s="6" t="str">
        <f>HYPERLINK("http://www.worldcat.org/oclc/21043712","WorldCat Record")</f>
        <v>WorldCat Record</v>
      </c>
      <c r="AU348" s="3" t="s">
        <v>4436</v>
      </c>
      <c r="AV348" s="3" t="s">
        <v>4437</v>
      </c>
      <c r="AW348" s="3" t="s">
        <v>4438</v>
      </c>
      <c r="AX348" s="3" t="s">
        <v>4438</v>
      </c>
      <c r="AY348" s="3" t="s">
        <v>4439</v>
      </c>
      <c r="AZ348" s="3" t="s">
        <v>73</v>
      </c>
      <c r="BB348" s="3" t="s">
        <v>4440</v>
      </c>
      <c r="BC348" s="3" t="s">
        <v>4441</v>
      </c>
      <c r="BD348" s="3" t="s">
        <v>4442</v>
      </c>
    </row>
    <row r="349" spans="1:56" ht="51" customHeight="1" x14ac:dyDescent="0.25">
      <c r="A349" s="7" t="s">
        <v>58</v>
      </c>
      <c r="B349" s="2" t="s">
        <v>4443</v>
      </c>
      <c r="C349" s="2" t="s">
        <v>4444</v>
      </c>
      <c r="D349" s="2" t="s">
        <v>4445</v>
      </c>
      <c r="F349" s="3" t="s">
        <v>58</v>
      </c>
      <c r="G349" s="3" t="s">
        <v>59</v>
      </c>
      <c r="H349" s="3" t="s">
        <v>58</v>
      </c>
      <c r="I349" s="3" t="s">
        <v>58</v>
      </c>
      <c r="J349" s="3" t="s">
        <v>60</v>
      </c>
      <c r="K349" s="2" t="s">
        <v>2044</v>
      </c>
      <c r="L349" s="2" t="s">
        <v>4446</v>
      </c>
      <c r="M349" s="3" t="s">
        <v>337</v>
      </c>
      <c r="N349" s="2" t="s">
        <v>338</v>
      </c>
      <c r="O349" s="3" t="s">
        <v>63</v>
      </c>
      <c r="P349" s="3" t="s">
        <v>1933</v>
      </c>
      <c r="R349" s="3" t="s">
        <v>65</v>
      </c>
      <c r="S349" s="4">
        <v>11</v>
      </c>
      <c r="T349" s="4">
        <v>11</v>
      </c>
      <c r="U349" s="5" t="s">
        <v>1813</v>
      </c>
      <c r="V349" s="5" t="s">
        <v>1813</v>
      </c>
      <c r="W349" s="5" t="s">
        <v>4447</v>
      </c>
      <c r="X349" s="5" t="s">
        <v>4447</v>
      </c>
      <c r="Y349" s="4">
        <v>447</v>
      </c>
      <c r="Z349" s="4">
        <v>401</v>
      </c>
      <c r="AA349" s="4">
        <v>401</v>
      </c>
      <c r="AB349" s="4">
        <v>5</v>
      </c>
      <c r="AC349" s="4">
        <v>5</v>
      </c>
      <c r="AD349" s="4">
        <v>26</v>
      </c>
      <c r="AE349" s="4">
        <v>26</v>
      </c>
      <c r="AF349" s="4">
        <v>11</v>
      </c>
      <c r="AG349" s="4">
        <v>11</v>
      </c>
      <c r="AH349" s="4">
        <v>8</v>
      </c>
      <c r="AI349" s="4">
        <v>8</v>
      </c>
      <c r="AJ349" s="4">
        <v>12</v>
      </c>
      <c r="AK349" s="4">
        <v>12</v>
      </c>
      <c r="AL349" s="4">
        <v>3</v>
      </c>
      <c r="AM349" s="4">
        <v>3</v>
      </c>
      <c r="AN349" s="4">
        <v>0</v>
      </c>
      <c r="AO349" s="4">
        <v>0</v>
      </c>
      <c r="AP349" s="3" t="s">
        <v>58</v>
      </c>
      <c r="AQ349" s="3" t="s">
        <v>58</v>
      </c>
      <c r="AS349" s="6" t="str">
        <f>HYPERLINK("https://creighton-primo.hosted.exlibrisgroup.com/primo-explore/search?tab=default_tab&amp;search_scope=EVERYTHING&amp;vid=01CRU&amp;lang=en_US&amp;offset=0&amp;query=any,contains,991004116089702656","Catalog Record")</f>
        <v>Catalog Record</v>
      </c>
      <c r="AT349" s="6" t="str">
        <f>HYPERLINK("http://www.worldcat.org/oclc/50681617","WorldCat Record")</f>
        <v>WorldCat Record</v>
      </c>
      <c r="AU349" s="3" t="s">
        <v>4448</v>
      </c>
      <c r="AV349" s="3" t="s">
        <v>4449</v>
      </c>
      <c r="AW349" s="3" t="s">
        <v>4450</v>
      </c>
      <c r="AX349" s="3" t="s">
        <v>4450</v>
      </c>
      <c r="AY349" s="3" t="s">
        <v>4451</v>
      </c>
      <c r="AZ349" s="3" t="s">
        <v>73</v>
      </c>
      <c r="BB349" s="3" t="s">
        <v>4452</v>
      </c>
      <c r="BC349" s="3" t="s">
        <v>4453</v>
      </c>
      <c r="BD349" s="3" t="s">
        <v>4454</v>
      </c>
    </row>
    <row r="350" spans="1:56" ht="51" customHeight="1" x14ac:dyDescent="0.25">
      <c r="A350" s="7" t="s">
        <v>58</v>
      </c>
      <c r="B350" s="2" t="s">
        <v>4455</v>
      </c>
      <c r="C350" s="2" t="s">
        <v>4456</v>
      </c>
      <c r="D350" s="2" t="s">
        <v>4457</v>
      </c>
      <c r="F350" s="3" t="s">
        <v>58</v>
      </c>
      <c r="G350" s="3" t="s">
        <v>59</v>
      </c>
      <c r="H350" s="3" t="s">
        <v>58</v>
      </c>
      <c r="I350" s="3" t="s">
        <v>58</v>
      </c>
      <c r="J350" s="3" t="s">
        <v>60</v>
      </c>
      <c r="K350" s="2" t="s">
        <v>772</v>
      </c>
      <c r="L350" s="2" t="s">
        <v>4458</v>
      </c>
      <c r="M350" s="3" t="s">
        <v>1544</v>
      </c>
      <c r="O350" s="3" t="s">
        <v>63</v>
      </c>
      <c r="P350" s="3" t="s">
        <v>84</v>
      </c>
      <c r="R350" s="3" t="s">
        <v>65</v>
      </c>
      <c r="S350" s="4">
        <v>1</v>
      </c>
      <c r="T350" s="4">
        <v>1</v>
      </c>
      <c r="U350" s="5" t="s">
        <v>3360</v>
      </c>
      <c r="V350" s="5" t="s">
        <v>3360</v>
      </c>
      <c r="W350" s="5" t="s">
        <v>857</v>
      </c>
      <c r="X350" s="5" t="s">
        <v>857</v>
      </c>
      <c r="Y350" s="4">
        <v>199</v>
      </c>
      <c r="Z350" s="4">
        <v>141</v>
      </c>
      <c r="AA350" s="4">
        <v>143</v>
      </c>
      <c r="AB350" s="4">
        <v>1</v>
      </c>
      <c r="AC350" s="4">
        <v>1</v>
      </c>
      <c r="AD350" s="4">
        <v>7</v>
      </c>
      <c r="AE350" s="4">
        <v>7</v>
      </c>
      <c r="AF350" s="4">
        <v>5</v>
      </c>
      <c r="AG350" s="4">
        <v>5</v>
      </c>
      <c r="AH350" s="4">
        <v>1</v>
      </c>
      <c r="AI350" s="4">
        <v>1</v>
      </c>
      <c r="AJ350" s="4">
        <v>4</v>
      </c>
      <c r="AK350" s="4">
        <v>4</v>
      </c>
      <c r="AL350" s="4">
        <v>0</v>
      </c>
      <c r="AM350" s="4">
        <v>0</v>
      </c>
      <c r="AN350" s="4">
        <v>0</v>
      </c>
      <c r="AO350" s="4">
        <v>0</v>
      </c>
      <c r="AP350" s="3" t="s">
        <v>58</v>
      </c>
      <c r="AQ350" s="3" t="s">
        <v>68</v>
      </c>
      <c r="AR350" s="6" t="str">
        <f>HYPERLINK("http://catalog.hathitrust.org/Record/002593659","HathiTrust Record")</f>
        <v>HathiTrust Record</v>
      </c>
      <c r="AS350" s="6" t="str">
        <f>HYPERLINK("https://creighton-primo.hosted.exlibrisgroup.com/primo-explore/search?tab=default_tab&amp;search_scope=EVERYTHING&amp;vid=01CRU&amp;lang=en_US&amp;offset=0&amp;query=any,contains,991002096749702656","Catalog Record")</f>
        <v>Catalog Record</v>
      </c>
      <c r="AT350" s="6" t="str">
        <f>HYPERLINK("http://www.worldcat.org/oclc/26888746","WorldCat Record")</f>
        <v>WorldCat Record</v>
      </c>
      <c r="AU350" s="3" t="s">
        <v>4459</v>
      </c>
      <c r="AV350" s="3" t="s">
        <v>4460</v>
      </c>
      <c r="AW350" s="3" t="s">
        <v>4461</v>
      </c>
      <c r="AX350" s="3" t="s">
        <v>4461</v>
      </c>
      <c r="AY350" s="3" t="s">
        <v>4462</v>
      </c>
      <c r="AZ350" s="3" t="s">
        <v>73</v>
      </c>
      <c r="BB350" s="3" t="s">
        <v>4463</v>
      </c>
      <c r="BC350" s="3" t="s">
        <v>4464</v>
      </c>
      <c r="BD350" s="3" t="s">
        <v>4465</v>
      </c>
    </row>
    <row r="351" spans="1:56" ht="51" customHeight="1" x14ac:dyDescent="0.25">
      <c r="A351" s="7" t="s">
        <v>58</v>
      </c>
      <c r="B351" s="2" t="s">
        <v>4466</v>
      </c>
      <c r="C351" s="2" t="s">
        <v>4467</v>
      </c>
      <c r="D351" s="2" t="s">
        <v>4468</v>
      </c>
      <c r="F351" s="3" t="s">
        <v>58</v>
      </c>
      <c r="G351" s="3" t="s">
        <v>59</v>
      </c>
      <c r="H351" s="3" t="s">
        <v>58</v>
      </c>
      <c r="I351" s="3" t="s">
        <v>58</v>
      </c>
      <c r="J351" s="3" t="s">
        <v>60</v>
      </c>
      <c r="K351" s="2" t="s">
        <v>4469</v>
      </c>
      <c r="L351" s="2" t="s">
        <v>4470</v>
      </c>
      <c r="M351" s="3" t="s">
        <v>996</v>
      </c>
      <c r="O351" s="3" t="s">
        <v>63</v>
      </c>
      <c r="P351" s="3" t="s">
        <v>510</v>
      </c>
      <c r="R351" s="3" t="s">
        <v>65</v>
      </c>
      <c r="S351" s="4">
        <v>2</v>
      </c>
      <c r="T351" s="4">
        <v>2</v>
      </c>
      <c r="U351" s="5" t="s">
        <v>1826</v>
      </c>
      <c r="V351" s="5" t="s">
        <v>1826</v>
      </c>
      <c r="W351" s="5" t="s">
        <v>3348</v>
      </c>
      <c r="X351" s="5" t="s">
        <v>3348</v>
      </c>
      <c r="Y351" s="4">
        <v>99</v>
      </c>
      <c r="Z351" s="4">
        <v>83</v>
      </c>
      <c r="AA351" s="4">
        <v>599</v>
      </c>
      <c r="AB351" s="4">
        <v>2</v>
      </c>
      <c r="AC351" s="4">
        <v>4</v>
      </c>
      <c r="AD351" s="4">
        <v>5</v>
      </c>
      <c r="AE351" s="4">
        <v>26</v>
      </c>
      <c r="AF351" s="4">
        <v>0</v>
      </c>
      <c r="AG351" s="4">
        <v>11</v>
      </c>
      <c r="AH351" s="4">
        <v>2</v>
      </c>
      <c r="AI351" s="4">
        <v>7</v>
      </c>
      <c r="AJ351" s="4">
        <v>3</v>
      </c>
      <c r="AK351" s="4">
        <v>13</v>
      </c>
      <c r="AL351" s="4">
        <v>1</v>
      </c>
      <c r="AM351" s="4">
        <v>2</v>
      </c>
      <c r="AN351" s="4">
        <v>0</v>
      </c>
      <c r="AO351" s="4">
        <v>0</v>
      </c>
      <c r="AP351" s="3" t="s">
        <v>58</v>
      </c>
      <c r="AQ351" s="3" t="s">
        <v>58</v>
      </c>
      <c r="AS351" s="6" t="str">
        <f>HYPERLINK("https://creighton-primo.hosted.exlibrisgroup.com/primo-explore/search?tab=default_tab&amp;search_scope=EVERYTHING&amp;vid=01CRU&amp;lang=en_US&amp;offset=0&amp;query=any,contains,991002343179702656","Catalog Record")</f>
        <v>Catalog Record</v>
      </c>
      <c r="AT351" s="6" t="str">
        <f>HYPERLINK("http://www.worldcat.org/oclc/324127","WorldCat Record")</f>
        <v>WorldCat Record</v>
      </c>
      <c r="AU351" s="3" t="s">
        <v>4471</v>
      </c>
      <c r="AV351" s="3" t="s">
        <v>4472</v>
      </c>
      <c r="AW351" s="3" t="s">
        <v>4473</v>
      </c>
      <c r="AX351" s="3" t="s">
        <v>4473</v>
      </c>
      <c r="AY351" s="3" t="s">
        <v>4474</v>
      </c>
      <c r="AZ351" s="3" t="s">
        <v>73</v>
      </c>
      <c r="BB351" s="3" t="s">
        <v>4475</v>
      </c>
      <c r="BC351" s="3" t="s">
        <v>4476</v>
      </c>
      <c r="BD351" s="3" t="s">
        <v>4477</v>
      </c>
    </row>
    <row r="352" spans="1:56" ht="51" customHeight="1" x14ac:dyDescent="0.25">
      <c r="A352" s="7" t="s">
        <v>58</v>
      </c>
      <c r="B352" s="2" t="s">
        <v>4478</v>
      </c>
      <c r="C352" s="2" t="s">
        <v>4479</v>
      </c>
      <c r="D352" s="2" t="s">
        <v>4480</v>
      </c>
      <c r="F352" s="3" t="s">
        <v>58</v>
      </c>
      <c r="G352" s="3" t="s">
        <v>59</v>
      </c>
      <c r="H352" s="3" t="s">
        <v>58</v>
      </c>
      <c r="I352" s="3" t="s">
        <v>58</v>
      </c>
      <c r="J352" s="3" t="s">
        <v>60</v>
      </c>
      <c r="K352" s="2" t="s">
        <v>4481</v>
      </c>
      <c r="L352" s="2" t="s">
        <v>4482</v>
      </c>
      <c r="M352" s="3" t="s">
        <v>4483</v>
      </c>
      <c r="O352" s="3" t="s">
        <v>63</v>
      </c>
      <c r="P352" s="3" t="s">
        <v>214</v>
      </c>
      <c r="Q352" s="2" t="s">
        <v>4484</v>
      </c>
      <c r="R352" s="3" t="s">
        <v>65</v>
      </c>
      <c r="S352" s="4">
        <v>17</v>
      </c>
      <c r="T352" s="4">
        <v>17</v>
      </c>
      <c r="U352" s="5" t="s">
        <v>1063</v>
      </c>
      <c r="V352" s="5" t="s">
        <v>1063</v>
      </c>
      <c r="W352" s="5" t="s">
        <v>4485</v>
      </c>
      <c r="X352" s="5" t="s">
        <v>4485</v>
      </c>
      <c r="Y352" s="4">
        <v>971</v>
      </c>
      <c r="Z352" s="4">
        <v>860</v>
      </c>
      <c r="AA352" s="4">
        <v>1387</v>
      </c>
      <c r="AB352" s="4">
        <v>11</v>
      </c>
      <c r="AC352" s="4">
        <v>12</v>
      </c>
      <c r="AD352" s="4">
        <v>40</v>
      </c>
      <c r="AE352" s="4">
        <v>53</v>
      </c>
      <c r="AF352" s="4">
        <v>17</v>
      </c>
      <c r="AG352" s="4">
        <v>23</v>
      </c>
      <c r="AH352" s="4">
        <v>7</v>
      </c>
      <c r="AI352" s="4">
        <v>9</v>
      </c>
      <c r="AJ352" s="4">
        <v>14</v>
      </c>
      <c r="AK352" s="4">
        <v>22</v>
      </c>
      <c r="AL352" s="4">
        <v>9</v>
      </c>
      <c r="AM352" s="4">
        <v>10</v>
      </c>
      <c r="AN352" s="4">
        <v>0</v>
      </c>
      <c r="AO352" s="4">
        <v>0</v>
      </c>
      <c r="AP352" s="3" t="s">
        <v>58</v>
      </c>
      <c r="AQ352" s="3" t="s">
        <v>68</v>
      </c>
      <c r="AR352" s="6" t="str">
        <f>HYPERLINK("http://catalog.hathitrust.org/Record/001243006","HathiTrust Record")</f>
        <v>HathiTrust Record</v>
      </c>
      <c r="AS352" s="6" t="str">
        <f>HYPERLINK("https://creighton-primo.hosted.exlibrisgroup.com/primo-explore/search?tab=default_tab&amp;search_scope=EVERYTHING&amp;vid=01CRU&amp;lang=en_US&amp;offset=0&amp;query=any,contains,991003256069702656","Catalog Record")</f>
        <v>Catalog Record</v>
      </c>
      <c r="AT352" s="6" t="str">
        <f>HYPERLINK("http://www.worldcat.org/oclc/781326","WorldCat Record")</f>
        <v>WorldCat Record</v>
      </c>
      <c r="AU352" s="3" t="s">
        <v>4486</v>
      </c>
      <c r="AV352" s="3" t="s">
        <v>4487</v>
      </c>
      <c r="AW352" s="3" t="s">
        <v>4488</v>
      </c>
      <c r="AX352" s="3" t="s">
        <v>4488</v>
      </c>
      <c r="AY352" s="3" t="s">
        <v>4489</v>
      </c>
      <c r="AZ352" s="3" t="s">
        <v>73</v>
      </c>
      <c r="BC352" s="3" t="s">
        <v>4490</v>
      </c>
      <c r="BD352" s="3" t="s">
        <v>4491</v>
      </c>
    </row>
    <row r="353" spans="1:56" ht="51" customHeight="1" x14ac:dyDescent="0.25">
      <c r="A353" s="7" t="s">
        <v>58</v>
      </c>
      <c r="B353" s="2" t="s">
        <v>4492</v>
      </c>
      <c r="C353" s="2" t="s">
        <v>4493</v>
      </c>
      <c r="D353" s="2" t="s">
        <v>4494</v>
      </c>
      <c r="F353" s="3" t="s">
        <v>58</v>
      </c>
      <c r="G353" s="3" t="s">
        <v>59</v>
      </c>
      <c r="H353" s="3" t="s">
        <v>58</v>
      </c>
      <c r="I353" s="3" t="s">
        <v>58</v>
      </c>
      <c r="J353" s="3" t="s">
        <v>60</v>
      </c>
      <c r="K353" s="2" t="s">
        <v>4495</v>
      </c>
      <c r="L353" s="2" t="s">
        <v>4496</v>
      </c>
      <c r="M353" s="3" t="s">
        <v>842</v>
      </c>
      <c r="O353" s="3" t="s">
        <v>63</v>
      </c>
      <c r="P353" s="3" t="s">
        <v>760</v>
      </c>
      <c r="R353" s="3" t="s">
        <v>65</v>
      </c>
      <c r="S353" s="4">
        <v>4</v>
      </c>
      <c r="T353" s="4">
        <v>4</v>
      </c>
      <c r="U353" s="5" t="s">
        <v>3360</v>
      </c>
      <c r="V353" s="5" t="s">
        <v>3360</v>
      </c>
      <c r="W353" s="5" t="s">
        <v>585</v>
      </c>
      <c r="X353" s="5" t="s">
        <v>585</v>
      </c>
      <c r="Y353" s="4">
        <v>305</v>
      </c>
      <c r="Z353" s="4">
        <v>276</v>
      </c>
      <c r="AA353" s="4">
        <v>326</v>
      </c>
      <c r="AB353" s="4">
        <v>2</v>
      </c>
      <c r="AC353" s="4">
        <v>3</v>
      </c>
      <c r="AD353" s="4">
        <v>11</v>
      </c>
      <c r="AE353" s="4">
        <v>12</v>
      </c>
      <c r="AF353" s="4">
        <v>4</v>
      </c>
      <c r="AG353" s="4">
        <v>4</v>
      </c>
      <c r="AH353" s="4">
        <v>2</v>
      </c>
      <c r="AI353" s="4">
        <v>2</v>
      </c>
      <c r="AJ353" s="4">
        <v>6</v>
      </c>
      <c r="AK353" s="4">
        <v>6</v>
      </c>
      <c r="AL353" s="4">
        <v>1</v>
      </c>
      <c r="AM353" s="4">
        <v>2</v>
      </c>
      <c r="AN353" s="4">
        <v>0</v>
      </c>
      <c r="AO353" s="4">
        <v>0</v>
      </c>
      <c r="AP353" s="3" t="s">
        <v>58</v>
      </c>
      <c r="AQ353" s="3" t="s">
        <v>58</v>
      </c>
      <c r="AS353" s="6" t="str">
        <f>HYPERLINK("https://creighton-primo.hosted.exlibrisgroup.com/primo-explore/search?tab=default_tab&amp;search_scope=EVERYTHING&amp;vid=01CRU&amp;lang=en_US&amp;offset=0&amp;query=any,contains,991005117389702656","Catalog Record")</f>
        <v>Catalog Record</v>
      </c>
      <c r="AT353" s="6" t="str">
        <f>HYPERLINK("http://www.worldcat.org/oclc/7464261","WorldCat Record")</f>
        <v>WorldCat Record</v>
      </c>
      <c r="AU353" s="3" t="s">
        <v>4497</v>
      </c>
      <c r="AV353" s="3" t="s">
        <v>4498</v>
      </c>
      <c r="AW353" s="3" t="s">
        <v>4499</v>
      </c>
      <c r="AX353" s="3" t="s">
        <v>4499</v>
      </c>
      <c r="AY353" s="3" t="s">
        <v>4500</v>
      </c>
      <c r="AZ353" s="3" t="s">
        <v>73</v>
      </c>
      <c r="BB353" s="3" t="s">
        <v>4501</v>
      </c>
      <c r="BC353" s="3" t="s">
        <v>4502</v>
      </c>
      <c r="BD353" s="3" t="s">
        <v>4503</v>
      </c>
    </row>
    <row r="354" spans="1:56" ht="51" customHeight="1" x14ac:dyDescent="0.25">
      <c r="A354" s="7" t="s">
        <v>58</v>
      </c>
      <c r="B354" s="2" t="s">
        <v>4504</v>
      </c>
      <c r="C354" s="2" t="s">
        <v>4505</v>
      </c>
      <c r="D354" s="2" t="s">
        <v>4506</v>
      </c>
      <c r="F354" s="3" t="s">
        <v>58</v>
      </c>
      <c r="G354" s="3" t="s">
        <v>59</v>
      </c>
      <c r="H354" s="3" t="s">
        <v>58</v>
      </c>
      <c r="I354" s="3" t="s">
        <v>58</v>
      </c>
      <c r="J354" s="3" t="s">
        <v>60</v>
      </c>
      <c r="K354" s="2" t="s">
        <v>4507</v>
      </c>
      <c r="L354" s="2" t="s">
        <v>4508</v>
      </c>
      <c r="M354" s="3" t="s">
        <v>1153</v>
      </c>
      <c r="O354" s="3" t="s">
        <v>63</v>
      </c>
      <c r="P354" s="3" t="s">
        <v>571</v>
      </c>
      <c r="R354" s="3" t="s">
        <v>65</v>
      </c>
      <c r="S354" s="4">
        <v>11</v>
      </c>
      <c r="T354" s="4">
        <v>11</v>
      </c>
      <c r="U354" s="5" t="s">
        <v>4509</v>
      </c>
      <c r="V354" s="5" t="s">
        <v>4509</v>
      </c>
      <c r="W354" s="5" t="s">
        <v>4485</v>
      </c>
      <c r="X354" s="5" t="s">
        <v>4485</v>
      </c>
      <c r="Y354" s="4">
        <v>95</v>
      </c>
      <c r="Z354" s="4">
        <v>86</v>
      </c>
      <c r="AA354" s="4">
        <v>162</v>
      </c>
      <c r="AB354" s="4">
        <v>1</v>
      </c>
      <c r="AC354" s="4">
        <v>2</v>
      </c>
      <c r="AD354" s="4">
        <v>2</v>
      </c>
      <c r="AE354" s="4">
        <v>6</v>
      </c>
      <c r="AF354" s="4">
        <v>1</v>
      </c>
      <c r="AG354" s="4">
        <v>2</v>
      </c>
      <c r="AH354" s="4">
        <v>1</v>
      </c>
      <c r="AI354" s="4">
        <v>4</v>
      </c>
      <c r="AJ354" s="4">
        <v>1</v>
      </c>
      <c r="AK354" s="4">
        <v>2</v>
      </c>
      <c r="AL354" s="4">
        <v>0</v>
      </c>
      <c r="AM354" s="4">
        <v>1</v>
      </c>
      <c r="AN354" s="4">
        <v>0</v>
      </c>
      <c r="AO354" s="4">
        <v>0</v>
      </c>
      <c r="AP354" s="3" t="s">
        <v>58</v>
      </c>
      <c r="AQ354" s="3" t="s">
        <v>58</v>
      </c>
      <c r="AS354" s="6" t="str">
        <f>HYPERLINK("https://creighton-primo.hosted.exlibrisgroup.com/primo-explore/search?tab=default_tab&amp;search_scope=EVERYTHING&amp;vid=01CRU&amp;lang=en_US&amp;offset=0&amp;query=any,contains,991003227069702656","Catalog Record")</f>
        <v>Catalog Record</v>
      </c>
      <c r="AT354" s="6" t="str">
        <f>HYPERLINK("http://www.worldcat.org/oclc/751917","WorldCat Record")</f>
        <v>WorldCat Record</v>
      </c>
      <c r="AU354" s="3" t="s">
        <v>4510</v>
      </c>
      <c r="AV354" s="3" t="s">
        <v>4511</v>
      </c>
      <c r="AW354" s="3" t="s">
        <v>4512</v>
      </c>
      <c r="AX354" s="3" t="s">
        <v>4512</v>
      </c>
      <c r="AY354" s="3" t="s">
        <v>4513</v>
      </c>
      <c r="AZ354" s="3" t="s">
        <v>73</v>
      </c>
      <c r="BC354" s="3" t="s">
        <v>4514</v>
      </c>
      <c r="BD354" s="3" t="s">
        <v>4515</v>
      </c>
    </row>
    <row r="355" spans="1:56" ht="51" customHeight="1" x14ac:dyDescent="0.25">
      <c r="A355" s="7" t="s">
        <v>58</v>
      </c>
      <c r="B355" s="2" t="s">
        <v>4516</v>
      </c>
      <c r="C355" s="2" t="s">
        <v>4517</v>
      </c>
      <c r="D355" s="2" t="s">
        <v>4518</v>
      </c>
      <c r="F355" s="3" t="s">
        <v>58</v>
      </c>
      <c r="G355" s="3" t="s">
        <v>59</v>
      </c>
      <c r="H355" s="3" t="s">
        <v>58</v>
      </c>
      <c r="I355" s="3" t="s">
        <v>58</v>
      </c>
      <c r="J355" s="3" t="s">
        <v>60</v>
      </c>
      <c r="K355" s="2" t="s">
        <v>4519</v>
      </c>
      <c r="L355" s="2" t="s">
        <v>4520</v>
      </c>
      <c r="M355" s="3" t="s">
        <v>382</v>
      </c>
      <c r="O355" s="3" t="s">
        <v>63</v>
      </c>
      <c r="P355" s="3" t="s">
        <v>786</v>
      </c>
      <c r="Q355" s="2" t="s">
        <v>4521</v>
      </c>
      <c r="R355" s="3" t="s">
        <v>65</v>
      </c>
      <c r="S355" s="4">
        <v>4</v>
      </c>
      <c r="T355" s="4">
        <v>4</v>
      </c>
      <c r="U355" s="5" t="s">
        <v>4522</v>
      </c>
      <c r="V355" s="5" t="s">
        <v>4522</v>
      </c>
      <c r="W355" s="5" t="s">
        <v>4523</v>
      </c>
      <c r="X355" s="5" t="s">
        <v>4523</v>
      </c>
      <c r="Y355" s="4">
        <v>239</v>
      </c>
      <c r="Z355" s="4">
        <v>174</v>
      </c>
      <c r="AA355" s="4">
        <v>200</v>
      </c>
      <c r="AB355" s="4">
        <v>2</v>
      </c>
      <c r="AC355" s="4">
        <v>2</v>
      </c>
      <c r="AD355" s="4">
        <v>10</v>
      </c>
      <c r="AE355" s="4">
        <v>13</v>
      </c>
      <c r="AF355" s="4">
        <v>4</v>
      </c>
      <c r="AG355" s="4">
        <v>6</v>
      </c>
      <c r="AH355" s="4">
        <v>3</v>
      </c>
      <c r="AI355" s="4">
        <v>4</v>
      </c>
      <c r="AJ355" s="4">
        <v>3</v>
      </c>
      <c r="AK355" s="4">
        <v>3</v>
      </c>
      <c r="AL355" s="4">
        <v>1</v>
      </c>
      <c r="AM355" s="4">
        <v>1</v>
      </c>
      <c r="AN355" s="4">
        <v>0</v>
      </c>
      <c r="AO355" s="4">
        <v>0</v>
      </c>
      <c r="AP355" s="3" t="s">
        <v>58</v>
      </c>
      <c r="AQ355" s="3" t="s">
        <v>68</v>
      </c>
      <c r="AR355" s="6" t="str">
        <f>HYPERLINK("http://catalog.hathitrust.org/Record/004071148","HathiTrust Record")</f>
        <v>HathiTrust Record</v>
      </c>
      <c r="AS355" s="6" t="str">
        <f>HYPERLINK("https://creighton-primo.hosted.exlibrisgroup.com/primo-explore/search?tab=default_tab&amp;search_scope=EVERYTHING&amp;vid=01CRU&amp;lang=en_US&amp;offset=0&amp;query=any,contains,991003646839702656","Catalog Record")</f>
        <v>Catalog Record</v>
      </c>
      <c r="AT355" s="6" t="str">
        <f>HYPERLINK("http://www.worldcat.org/oclc/40776744","WorldCat Record")</f>
        <v>WorldCat Record</v>
      </c>
      <c r="AU355" s="3" t="s">
        <v>4524</v>
      </c>
      <c r="AV355" s="3" t="s">
        <v>4525</v>
      </c>
      <c r="AW355" s="3" t="s">
        <v>4526</v>
      </c>
      <c r="AX355" s="3" t="s">
        <v>4526</v>
      </c>
      <c r="AY355" s="3" t="s">
        <v>4527</v>
      </c>
      <c r="AZ355" s="3" t="s">
        <v>73</v>
      </c>
      <c r="BB355" s="3" t="s">
        <v>4528</v>
      </c>
      <c r="BC355" s="3" t="s">
        <v>4529</v>
      </c>
      <c r="BD355" s="3" t="s">
        <v>4530</v>
      </c>
    </row>
    <row r="356" spans="1:56" ht="51" customHeight="1" x14ac:dyDescent="0.25">
      <c r="A356" s="7" t="s">
        <v>58</v>
      </c>
      <c r="B356" s="2" t="s">
        <v>4531</v>
      </c>
      <c r="C356" s="2" t="s">
        <v>4532</v>
      </c>
      <c r="D356" s="2" t="s">
        <v>4533</v>
      </c>
      <c r="F356" s="3" t="s">
        <v>58</v>
      </c>
      <c r="G356" s="3" t="s">
        <v>59</v>
      </c>
      <c r="H356" s="3" t="s">
        <v>58</v>
      </c>
      <c r="I356" s="3" t="s">
        <v>58</v>
      </c>
      <c r="J356" s="3" t="s">
        <v>60</v>
      </c>
      <c r="K356" s="2" t="s">
        <v>4534</v>
      </c>
      <c r="L356" s="2" t="s">
        <v>4535</v>
      </c>
      <c r="M356" s="3" t="s">
        <v>138</v>
      </c>
      <c r="O356" s="3" t="s">
        <v>63</v>
      </c>
      <c r="P356" s="3" t="s">
        <v>786</v>
      </c>
      <c r="Q356" s="2" t="s">
        <v>4536</v>
      </c>
      <c r="R356" s="3" t="s">
        <v>65</v>
      </c>
      <c r="S356" s="4">
        <v>4</v>
      </c>
      <c r="T356" s="4">
        <v>4</v>
      </c>
      <c r="U356" s="5" t="s">
        <v>4537</v>
      </c>
      <c r="V356" s="5" t="s">
        <v>4537</v>
      </c>
      <c r="W356" s="5" t="s">
        <v>3242</v>
      </c>
      <c r="X356" s="5" t="s">
        <v>3242</v>
      </c>
      <c r="Y356" s="4">
        <v>319</v>
      </c>
      <c r="Z356" s="4">
        <v>218</v>
      </c>
      <c r="AA356" s="4">
        <v>251</v>
      </c>
      <c r="AB356" s="4">
        <v>2</v>
      </c>
      <c r="AC356" s="4">
        <v>2</v>
      </c>
      <c r="AD356" s="4">
        <v>13</v>
      </c>
      <c r="AE356" s="4">
        <v>14</v>
      </c>
      <c r="AF356" s="4">
        <v>7</v>
      </c>
      <c r="AG356" s="4">
        <v>7</v>
      </c>
      <c r="AH356" s="4">
        <v>1</v>
      </c>
      <c r="AI356" s="4">
        <v>2</v>
      </c>
      <c r="AJ356" s="4">
        <v>7</v>
      </c>
      <c r="AK356" s="4">
        <v>7</v>
      </c>
      <c r="AL356" s="4">
        <v>1</v>
      </c>
      <c r="AM356" s="4">
        <v>1</v>
      </c>
      <c r="AN356" s="4">
        <v>0</v>
      </c>
      <c r="AO356" s="4">
        <v>0</v>
      </c>
      <c r="AP356" s="3" t="s">
        <v>58</v>
      </c>
      <c r="AQ356" s="3" t="s">
        <v>68</v>
      </c>
      <c r="AR356" s="6" t="str">
        <f>HYPERLINK("http://catalog.hathitrust.org/Record/000431776","HathiTrust Record")</f>
        <v>HathiTrust Record</v>
      </c>
      <c r="AS356" s="6" t="str">
        <f>HYPERLINK("https://creighton-primo.hosted.exlibrisgroup.com/primo-explore/search?tab=default_tab&amp;search_scope=EVERYTHING&amp;vid=01CRU&amp;lang=en_US&amp;offset=0&amp;query=any,contains,991000155579702656","Catalog Record")</f>
        <v>Catalog Record</v>
      </c>
      <c r="AT356" s="6" t="str">
        <f>HYPERLINK("http://www.worldcat.org/oclc/9227845","WorldCat Record")</f>
        <v>WorldCat Record</v>
      </c>
      <c r="AU356" s="3" t="s">
        <v>4538</v>
      </c>
      <c r="AV356" s="3" t="s">
        <v>4539</v>
      </c>
      <c r="AW356" s="3" t="s">
        <v>4540</v>
      </c>
      <c r="AX356" s="3" t="s">
        <v>4540</v>
      </c>
      <c r="AY356" s="3" t="s">
        <v>4541</v>
      </c>
      <c r="AZ356" s="3" t="s">
        <v>73</v>
      </c>
      <c r="BB356" s="3" t="s">
        <v>4542</v>
      </c>
      <c r="BC356" s="3" t="s">
        <v>4543</v>
      </c>
      <c r="BD356" s="3" t="s">
        <v>4544</v>
      </c>
    </row>
    <row r="357" spans="1:56" ht="51" customHeight="1" x14ac:dyDescent="0.25">
      <c r="A357" s="7" t="s">
        <v>58</v>
      </c>
      <c r="B357" s="2" t="s">
        <v>4545</v>
      </c>
      <c r="C357" s="2" t="s">
        <v>4546</v>
      </c>
      <c r="D357" s="2" t="s">
        <v>4547</v>
      </c>
      <c r="F357" s="3" t="s">
        <v>58</v>
      </c>
      <c r="G357" s="3" t="s">
        <v>59</v>
      </c>
      <c r="H357" s="3" t="s">
        <v>58</v>
      </c>
      <c r="I357" s="3" t="s">
        <v>58</v>
      </c>
      <c r="J357" s="3" t="s">
        <v>60</v>
      </c>
      <c r="K357" s="2" t="s">
        <v>4548</v>
      </c>
      <c r="L357" s="2" t="s">
        <v>4549</v>
      </c>
      <c r="M357" s="3" t="s">
        <v>626</v>
      </c>
      <c r="O357" s="3" t="s">
        <v>63</v>
      </c>
      <c r="P357" s="3" t="s">
        <v>2061</v>
      </c>
      <c r="Q357" s="2" t="s">
        <v>4550</v>
      </c>
      <c r="R357" s="3" t="s">
        <v>65</v>
      </c>
      <c r="S357" s="4">
        <v>7</v>
      </c>
      <c r="T357" s="4">
        <v>7</v>
      </c>
      <c r="U357" s="5" t="s">
        <v>4551</v>
      </c>
      <c r="V357" s="5" t="s">
        <v>4551</v>
      </c>
      <c r="W357" s="5" t="s">
        <v>3242</v>
      </c>
      <c r="X357" s="5" t="s">
        <v>3242</v>
      </c>
      <c r="Y357" s="4">
        <v>491</v>
      </c>
      <c r="Z357" s="4">
        <v>371</v>
      </c>
      <c r="AA357" s="4">
        <v>374</v>
      </c>
      <c r="AB357" s="4">
        <v>2</v>
      </c>
      <c r="AC357" s="4">
        <v>2</v>
      </c>
      <c r="AD357" s="4">
        <v>22</v>
      </c>
      <c r="AE357" s="4">
        <v>22</v>
      </c>
      <c r="AF357" s="4">
        <v>11</v>
      </c>
      <c r="AG357" s="4">
        <v>11</v>
      </c>
      <c r="AH357" s="4">
        <v>5</v>
      </c>
      <c r="AI357" s="4">
        <v>5</v>
      </c>
      <c r="AJ357" s="4">
        <v>12</v>
      </c>
      <c r="AK357" s="4">
        <v>12</v>
      </c>
      <c r="AL357" s="4">
        <v>1</v>
      </c>
      <c r="AM357" s="4">
        <v>1</v>
      </c>
      <c r="AN357" s="4">
        <v>0</v>
      </c>
      <c r="AO357" s="4">
        <v>0</v>
      </c>
      <c r="AP357" s="3" t="s">
        <v>58</v>
      </c>
      <c r="AQ357" s="3" t="s">
        <v>68</v>
      </c>
      <c r="AR357" s="6" t="str">
        <f>HYPERLINK("http://catalog.hathitrust.org/Record/000289203","HathiTrust Record")</f>
        <v>HathiTrust Record</v>
      </c>
      <c r="AS357" s="6" t="str">
        <f>HYPERLINK("https://creighton-primo.hosted.exlibrisgroup.com/primo-explore/search?tab=default_tab&amp;search_scope=EVERYTHING&amp;vid=01CRU&amp;lang=en_US&amp;offset=0&amp;query=any,contains,991000126459702656","Catalog Record")</f>
        <v>Catalog Record</v>
      </c>
      <c r="AT357" s="6" t="str">
        <f>HYPERLINK("http://www.worldcat.org/oclc/9083508","WorldCat Record")</f>
        <v>WorldCat Record</v>
      </c>
      <c r="AU357" s="3" t="s">
        <v>4552</v>
      </c>
      <c r="AV357" s="3" t="s">
        <v>4553</v>
      </c>
      <c r="AW357" s="3" t="s">
        <v>4554</v>
      </c>
      <c r="AX357" s="3" t="s">
        <v>4554</v>
      </c>
      <c r="AY357" s="3" t="s">
        <v>4555</v>
      </c>
      <c r="AZ357" s="3" t="s">
        <v>73</v>
      </c>
      <c r="BB357" s="3" t="s">
        <v>4556</v>
      </c>
      <c r="BC357" s="3" t="s">
        <v>4557</v>
      </c>
      <c r="BD357" s="3" t="s">
        <v>4558</v>
      </c>
    </row>
    <row r="358" spans="1:56" ht="51" customHeight="1" x14ac:dyDescent="0.25">
      <c r="A358" s="7" t="s">
        <v>58</v>
      </c>
      <c r="B358" s="2" t="s">
        <v>4559</v>
      </c>
      <c r="C358" s="2" t="s">
        <v>4560</v>
      </c>
      <c r="D358" s="2" t="s">
        <v>4561</v>
      </c>
      <c r="F358" s="3" t="s">
        <v>58</v>
      </c>
      <c r="G358" s="3" t="s">
        <v>59</v>
      </c>
      <c r="H358" s="3" t="s">
        <v>58</v>
      </c>
      <c r="I358" s="3" t="s">
        <v>58</v>
      </c>
      <c r="J358" s="3" t="s">
        <v>60</v>
      </c>
      <c r="K358" s="2" t="s">
        <v>4562</v>
      </c>
      <c r="L358" s="2" t="s">
        <v>4563</v>
      </c>
      <c r="M358" s="3" t="s">
        <v>423</v>
      </c>
      <c r="O358" s="3" t="s">
        <v>63</v>
      </c>
      <c r="P358" s="3" t="s">
        <v>354</v>
      </c>
      <c r="R358" s="3" t="s">
        <v>65</v>
      </c>
      <c r="S358" s="4">
        <v>5</v>
      </c>
      <c r="T358" s="4">
        <v>5</v>
      </c>
      <c r="U358" s="5" t="s">
        <v>4564</v>
      </c>
      <c r="V358" s="5" t="s">
        <v>4564</v>
      </c>
      <c r="W358" s="5" t="s">
        <v>4565</v>
      </c>
      <c r="X358" s="5" t="s">
        <v>4565</v>
      </c>
      <c r="Y358" s="4">
        <v>344</v>
      </c>
      <c r="Z358" s="4">
        <v>295</v>
      </c>
      <c r="AA358" s="4">
        <v>297</v>
      </c>
      <c r="AB358" s="4">
        <v>4</v>
      </c>
      <c r="AC358" s="4">
        <v>4</v>
      </c>
      <c r="AD358" s="4">
        <v>27</v>
      </c>
      <c r="AE358" s="4">
        <v>27</v>
      </c>
      <c r="AF358" s="4">
        <v>12</v>
      </c>
      <c r="AG358" s="4">
        <v>12</v>
      </c>
      <c r="AH358" s="4">
        <v>6</v>
      </c>
      <c r="AI358" s="4">
        <v>6</v>
      </c>
      <c r="AJ358" s="4">
        <v>13</v>
      </c>
      <c r="AK358" s="4">
        <v>13</v>
      </c>
      <c r="AL358" s="4">
        <v>3</v>
      </c>
      <c r="AM358" s="4">
        <v>3</v>
      </c>
      <c r="AN358" s="4">
        <v>0</v>
      </c>
      <c r="AO358" s="4">
        <v>0</v>
      </c>
      <c r="AP358" s="3" t="s">
        <v>58</v>
      </c>
      <c r="AQ358" s="3" t="s">
        <v>68</v>
      </c>
      <c r="AR358" s="6" t="str">
        <f>HYPERLINK("http://catalog.hathitrust.org/Record/004030563","HathiTrust Record")</f>
        <v>HathiTrust Record</v>
      </c>
      <c r="AS358" s="6" t="str">
        <f>HYPERLINK("https://creighton-primo.hosted.exlibrisgroup.com/primo-explore/search?tab=default_tab&amp;search_scope=EVERYTHING&amp;vid=01CRU&amp;lang=en_US&amp;offset=0&amp;query=any,contains,991002978459702656","Catalog Record")</f>
        <v>Catalog Record</v>
      </c>
      <c r="AT358" s="6" t="str">
        <f>HYPERLINK("http://www.worldcat.org/oclc/39981535","WorldCat Record")</f>
        <v>WorldCat Record</v>
      </c>
      <c r="AU358" s="3" t="s">
        <v>4566</v>
      </c>
      <c r="AV358" s="3" t="s">
        <v>4567</v>
      </c>
      <c r="AW358" s="3" t="s">
        <v>4568</v>
      </c>
      <c r="AX358" s="3" t="s">
        <v>4568</v>
      </c>
      <c r="AY358" s="3" t="s">
        <v>4569</v>
      </c>
      <c r="AZ358" s="3" t="s">
        <v>73</v>
      </c>
      <c r="BB358" s="3" t="s">
        <v>4570</v>
      </c>
      <c r="BC358" s="3" t="s">
        <v>4571</v>
      </c>
      <c r="BD358" s="3" t="s">
        <v>4572</v>
      </c>
    </row>
    <row r="359" spans="1:56" ht="51" customHeight="1" x14ac:dyDescent="0.25">
      <c r="A359" s="7" t="s">
        <v>58</v>
      </c>
      <c r="B359" s="2" t="s">
        <v>4573</v>
      </c>
      <c r="C359" s="2" t="s">
        <v>4574</v>
      </c>
      <c r="D359" s="2" t="s">
        <v>4575</v>
      </c>
      <c r="F359" s="3" t="s">
        <v>58</v>
      </c>
      <c r="G359" s="3" t="s">
        <v>59</v>
      </c>
      <c r="H359" s="3" t="s">
        <v>58</v>
      </c>
      <c r="I359" s="3" t="s">
        <v>58</v>
      </c>
      <c r="J359" s="3" t="s">
        <v>60</v>
      </c>
      <c r="L359" s="2" t="s">
        <v>4576</v>
      </c>
      <c r="M359" s="3" t="s">
        <v>1784</v>
      </c>
      <c r="O359" s="3" t="s">
        <v>63</v>
      </c>
      <c r="P359" s="3" t="s">
        <v>816</v>
      </c>
      <c r="Q359" s="2" t="s">
        <v>4577</v>
      </c>
      <c r="R359" s="3" t="s">
        <v>65</v>
      </c>
      <c r="S359" s="4">
        <v>2</v>
      </c>
      <c r="T359" s="4">
        <v>2</v>
      </c>
      <c r="U359" s="5" t="s">
        <v>4578</v>
      </c>
      <c r="V359" s="5" t="s">
        <v>4578</v>
      </c>
      <c r="W359" s="5" t="s">
        <v>3242</v>
      </c>
      <c r="X359" s="5" t="s">
        <v>3242</v>
      </c>
      <c r="Y359" s="4">
        <v>250</v>
      </c>
      <c r="Z359" s="4">
        <v>182</v>
      </c>
      <c r="AA359" s="4">
        <v>193</v>
      </c>
      <c r="AB359" s="4">
        <v>1</v>
      </c>
      <c r="AC359" s="4">
        <v>2</v>
      </c>
      <c r="AD359" s="4">
        <v>6</v>
      </c>
      <c r="AE359" s="4">
        <v>8</v>
      </c>
      <c r="AF359" s="4">
        <v>3</v>
      </c>
      <c r="AG359" s="4">
        <v>3</v>
      </c>
      <c r="AH359" s="4">
        <v>0</v>
      </c>
      <c r="AI359" s="4">
        <v>1</v>
      </c>
      <c r="AJ359" s="4">
        <v>5</v>
      </c>
      <c r="AK359" s="4">
        <v>5</v>
      </c>
      <c r="AL359" s="4">
        <v>0</v>
      </c>
      <c r="AM359" s="4">
        <v>1</v>
      </c>
      <c r="AN359" s="4">
        <v>0</v>
      </c>
      <c r="AO359" s="4">
        <v>0</v>
      </c>
      <c r="AP359" s="3" t="s">
        <v>68</v>
      </c>
      <c r="AQ359" s="3" t="s">
        <v>58</v>
      </c>
      <c r="AR359" s="6" t="str">
        <f>HYPERLINK("http://catalog.hathitrust.org/Record/000031769","HathiTrust Record")</f>
        <v>HathiTrust Record</v>
      </c>
      <c r="AS359" s="6" t="str">
        <f>HYPERLINK("https://creighton-primo.hosted.exlibrisgroup.com/primo-explore/search?tab=default_tab&amp;search_scope=EVERYTHING&amp;vid=01CRU&amp;lang=en_US&amp;offset=0&amp;query=any,contains,991004713989702656","Catalog Record")</f>
        <v>Catalog Record</v>
      </c>
      <c r="AT359" s="6" t="str">
        <f>HYPERLINK("http://www.worldcat.org/oclc/4775395","WorldCat Record")</f>
        <v>WorldCat Record</v>
      </c>
      <c r="AU359" s="3" t="s">
        <v>4579</v>
      </c>
      <c r="AV359" s="3" t="s">
        <v>4580</v>
      </c>
      <c r="AW359" s="3" t="s">
        <v>4581</v>
      </c>
      <c r="AX359" s="3" t="s">
        <v>4581</v>
      </c>
      <c r="AY359" s="3" t="s">
        <v>4582</v>
      </c>
      <c r="AZ359" s="3" t="s">
        <v>73</v>
      </c>
      <c r="BB359" s="3" t="s">
        <v>4583</v>
      </c>
      <c r="BC359" s="3" t="s">
        <v>4584</v>
      </c>
      <c r="BD359" s="3" t="s">
        <v>4585</v>
      </c>
    </row>
    <row r="360" spans="1:56" ht="51" customHeight="1" x14ac:dyDescent="0.25">
      <c r="A360" s="7" t="s">
        <v>58</v>
      </c>
      <c r="B360" s="2" t="s">
        <v>4586</v>
      </c>
      <c r="C360" s="2" t="s">
        <v>4587</v>
      </c>
      <c r="D360" s="2" t="s">
        <v>4588</v>
      </c>
      <c r="F360" s="3" t="s">
        <v>58</v>
      </c>
      <c r="G360" s="3" t="s">
        <v>59</v>
      </c>
      <c r="H360" s="3" t="s">
        <v>58</v>
      </c>
      <c r="I360" s="3" t="s">
        <v>58</v>
      </c>
      <c r="J360" s="3" t="s">
        <v>60</v>
      </c>
      <c r="K360" s="2" t="s">
        <v>4589</v>
      </c>
      <c r="L360" s="2" t="s">
        <v>4590</v>
      </c>
      <c r="M360" s="3" t="s">
        <v>1544</v>
      </c>
      <c r="O360" s="3" t="s">
        <v>63</v>
      </c>
      <c r="P360" s="3" t="s">
        <v>786</v>
      </c>
      <c r="Q360" s="2" t="s">
        <v>4591</v>
      </c>
      <c r="R360" s="3" t="s">
        <v>65</v>
      </c>
      <c r="S360" s="4">
        <v>11</v>
      </c>
      <c r="T360" s="4">
        <v>11</v>
      </c>
      <c r="U360" s="5" t="s">
        <v>1532</v>
      </c>
      <c r="V360" s="5" t="s">
        <v>1532</v>
      </c>
      <c r="W360" s="5" t="s">
        <v>4592</v>
      </c>
      <c r="X360" s="5" t="s">
        <v>4592</v>
      </c>
      <c r="Y360" s="4">
        <v>265</v>
      </c>
      <c r="Z360" s="4">
        <v>194</v>
      </c>
      <c r="AA360" s="4">
        <v>219</v>
      </c>
      <c r="AB360" s="4">
        <v>2</v>
      </c>
      <c r="AC360" s="4">
        <v>2</v>
      </c>
      <c r="AD360" s="4">
        <v>9</v>
      </c>
      <c r="AE360" s="4">
        <v>11</v>
      </c>
      <c r="AF360" s="4">
        <v>4</v>
      </c>
      <c r="AG360" s="4">
        <v>6</v>
      </c>
      <c r="AH360" s="4">
        <v>2</v>
      </c>
      <c r="AI360" s="4">
        <v>2</v>
      </c>
      <c r="AJ360" s="4">
        <v>3</v>
      </c>
      <c r="AK360" s="4">
        <v>3</v>
      </c>
      <c r="AL360" s="4">
        <v>1</v>
      </c>
      <c r="AM360" s="4">
        <v>1</v>
      </c>
      <c r="AN360" s="4">
        <v>0</v>
      </c>
      <c r="AO360" s="4">
        <v>0</v>
      </c>
      <c r="AP360" s="3" t="s">
        <v>58</v>
      </c>
      <c r="AQ360" s="3" t="s">
        <v>68</v>
      </c>
      <c r="AR360" s="6" t="str">
        <f>HYPERLINK("http://catalog.hathitrust.org/Record/002604304","HathiTrust Record")</f>
        <v>HathiTrust Record</v>
      </c>
      <c r="AS360" s="6" t="str">
        <f>HYPERLINK("https://creighton-primo.hosted.exlibrisgroup.com/primo-explore/search?tab=default_tab&amp;search_scope=EVERYTHING&amp;vid=01CRU&amp;lang=en_US&amp;offset=0&amp;query=any,contains,991002025649702656","Catalog Record")</f>
        <v>Catalog Record</v>
      </c>
      <c r="AT360" s="6" t="str">
        <f>HYPERLINK("http://www.worldcat.org/oclc/25787001","WorldCat Record")</f>
        <v>WorldCat Record</v>
      </c>
      <c r="AU360" s="3" t="s">
        <v>4593</v>
      </c>
      <c r="AV360" s="3" t="s">
        <v>4594</v>
      </c>
      <c r="AW360" s="3" t="s">
        <v>4595</v>
      </c>
      <c r="AX360" s="3" t="s">
        <v>4595</v>
      </c>
      <c r="AY360" s="3" t="s">
        <v>4596</v>
      </c>
      <c r="AZ360" s="3" t="s">
        <v>73</v>
      </c>
      <c r="BB360" s="3" t="s">
        <v>4597</v>
      </c>
      <c r="BC360" s="3" t="s">
        <v>4598</v>
      </c>
      <c r="BD360" s="3" t="s">
        <v>4599</v>
      </c>
    </row>
    <row r="361" spans="1:56" ht="51" customHeight="1" x14ac:dyDescent="0.25">
      <c r="A361" s="7" t="s">
        <v>58</v>
      </c>
      <c r="B361" s="2" t="s">
        <v>4600</v>
      </c>
      <c r="C361" s="2" t="s">
        <v>4601</v>
      </c>
      <c r="D361" s="2" t="s">
        <v>4602</v>
      </c>
      <c r="F361" s="3" t="s">
        <v>58</v>
      </c>
      <c r="G361" s="3" t="s">
        <v>59</v>
      </c>
      <c r="H361" s="3" t="s">
        <v>58</v>
      </c>
      <c r="I361" s="3" t="s">
        <v>58</v>
      </c>
      <c r="J361" s="3" t="s">
        <v>60</v>
      </c>
      <c r="K361" s="2" t="s">
        <v>4603</v>
      </c>
      <c r="L361" s="2" t="s">
        <v>4604</v>
      </c>
      <c r="M361" s="3" t="s">
        <v>2004</v>
      </c>
      <c r="O361" s="3" t="s">
        <v>63</v>
      </c>
      <c r="P361" s="3" t="s">
        <v>214</v>
      </c>
      <c r="Q361" s="2" t="s">
        <v>4605</v>
      </c>
      <c r="R361" s="3" t="s">
        <v>65</v>
      </c>
      <c r="S361" s="4">
        <v>2</v>
      </c>
      <c r="T361" s="4">
        <v>2</v>
      </c>
      <c r="U361" s="5" t="s">
        <v>4606</v>
      </c>
      <c r="V361" s="5" t="s">
        <v>4606</v>
      </c>
      <c r="W361" s="5" t="s">
        <v>4607</v>
      </c>
      <c r="X361" s="5" t="s">
        <v>4607</v>
      </c>
      <c r="Y361" s="4">
        <v>778</v>
      </c>
      <c r="Z361" s="4">
        <v>669</v>
      </c>
      <c r="AA361" s="4">
        <v>706</v>
      </c>
      <c r="AB361" s="4">
        <v>5</v>
      </c>
      <c r="AC361" s="4">
        <v>5</v>
      </c>
      <c r="AD361" s="4">
        <v>38</v>
      </c>
      <c r="AE361" s="4">
        <v>39</v>
      </c>
      <c r="AF361" s="4">
        <v>15</v>
      </c>
      <c r="AG361" s="4">
        <v>16</v>
      </c>
      <c r="AH361" s="4">
        <v>9</v>
      </c>
      <c r="AI361" s="4">
        <v>9</v>
      </c>
      <c r="AJ361" s="4">
        <v>20</v>
      </c>
      <c r="AK361" s="4">
        <v>21</v>
      </c>
      <c r="AL361" s="4">
        <v>3</v>
      </c>
      <c r="AM361" s="4">
        <v>3</v>
      </c>
      <c r="AN361" s="4">
        <v>0</v>
      </c>
      <c r="AO361" s="4">
        <v>0</v>
      </c>
      <c r="AP361" s="3" t="s">
        <v>58</v>
      </c>
      <c r="AQ361" s="3" t="s">
        <v>58</v>
      </c>
      <c r="AR361" s="6" t="str">
        <f>HYPERLINK("http://catalog.hathitrust.org/Record/001243024","HathiTrust Record")</f>
        <v>HathiTrust Record</v>
      </c>
      <c r="AS361" s="6" t="str">
        <f>HYPERLINK("https://creighton-primo.hosted.exlibrisgroup.com/primo-explore/search?tab=default_tab&amp;search_scope=EVERYTHING&amp;vid=01CRU&amp;lang=en_US&amp;offset=0&amp;query=any,contains,991002429359702656","Catalog Record")</f>
        <v>Catalog Record</v>
      </c>
      <c r="AT361" s="6" t="str">
        <f>HYPERLINK("http://www.worldcat.org/oclc/346289","WorldCat Record")</f>
        <v>WorldCat Record</v>
      </c>
      <c r="AU361" s="3" t="s">
        <v>4608</v>
      </c>
      <c r="AV361" s="3" t="s">
        <v>4609</v>
      </c>
      <c r="AW361" s="3" t="s">
        <v>4610</v>
      </c>
      <c r="AX361" s="3" t="s">
        <v>4610</v>
      </c>
      <c r="AY361" s="3" t="s">
        <v>4611</v>
      </c>
      <c r="AZ361" s="3" t="s">
        <v>73</v>
      </c>
      <c r="BB361" s="3" t="s">
        <v>4612</v>
      </c>
      <c r="BC361" s="3" t="s">
        <v>4613</v>
      </c>
      <c r="BD361" s="3" t="s">
        <v>4614</v>
      </c>
    </row>
    <row r="362" spans="1:56" ht="51" customHeight="1" x14ac:dyDescent="0.25">
      <c r="A362" s="7" t="s">
        <v>58</v>
      </c>
      <c r="B362" s="2" t="s">
        <v>4615</v>
      </c>
      <c r="C362" s="2" t="s">
        <v>4616</v>
      </c>
      <c r="D362" s="2" t="s">
        <v>4617</v>
      </c>
      <c r="F362" s="3" t="s">
        <v>58</v>
      </c>
      <c r="G362" s="3" t="s">
        <v>59</v>
      </c>
      <c r="H362" s="3" t="s">
        <v>58</v>
      </c>
      <c r="I362" s="3" t="s">
        <v>58</v>
      </c>
      <c r="J362" s="3" t="s">
        <v>60</v>
      </c>
      <c r="K362" s="2" t="s">
        <v>4618</v>
      </c>
      <c r="L362" s="2" t="s">
        <v>4619</v>
      </c>
      <c r="M362" s="3" t="s">
        <v>1784</v>
      </c>
      <c r="O362" s="3" t="s">
        <v>63</v>
      </c>
      <c r="P362" s="3" t="s">
        <v>437</v>
      </c>
      <c r="R362" s="3" t="s">
        <v>65</v>
      </c>
      <c r="S362" s="4">
        <v>1</v>
      </c>
      <c r="T362" s="4">
        <v>1</v>
      </c>
      <c r="U362" s="5" t="s">
        <v>4620</v>
      </c>
      <c r="V362" s="5" t="s">
        <v>4620</v>
      </c>
      <c r="W362" s="5" t="s">
        <v>3096</v>
      </c>
      <c r="X362" s="5" t="s">
        <v>3096</v>
      </c>
      <c r="Y362" s="4">
        <v>165</v>
      </c>
      <c r="Z362" s="4">
        <v>159</v>
      </c>
      <c r="AA362" s="4">
        <v>239</v>
      </c>
      <c r="AB362" s="4">
        <v>2</v>
      </c>
      <c r="AC362" s="4">
        <v>2</v>
      </c>
      <c r="AD362" s="4">
        <v>10</v>
      </c>
      <c r="AE362" s="4">
        <v>12</v>
      </c>
      <c r="AF362" s="4">
        <v>3</v>
      </c>
      <c r="AG362" s="4">
        <v>3</v>
      </c>
      <c r="AH362" s="4">
        <v>4</v>
      </c>
      <c r="AI362" s="4">
        <v>5</v>
      </c>
      <c r="AJ362" s="4">
        <v>4</v>
      </c>
      <c r="AK362" s="4">
        <v>5</v>
      </c>
      <c r="AL362" s="4">
        <v>1</v>
      </c>
      <c r="AM362" s="4">
        <v>1</v>
      </c>
      <c r="AN362" s="4">
        <v>0</v>
      </c>
      <c r="AO362" s="4">
        <v>0</v>
      </c>
      <c r="AP362" s="3" t="s">
        <v>58</v>
      </c>
      <c r="AQ362" s="3" t="s">
        <v>58</v>
      </c>
      <c r="AS362" s="6" t="str">
        <f>HYPERLINK("https://creighton-primo.hosted.exlibrisgroup.com/primo-explore/search?tab=default_tab&amp;search_scope=EVERYTHING&amp;vid=01CRU&amp;lang=en_US&amp;offset=0&amp;query=any,contains,991004665019702656","Catalog Record")</f>
        <v>Catalog Record</v>
      </c>
      <c r="AT362" s="6" t="str">
        <f>HYPERLINK("http://www.worldcat.org/oclc/4503179","WorldCat Record")</f>
        <v>WorldCat Record</v>
      </c>
      <c r="AU362" s="3" t="s">
        <v>4621</v>
      </c>
      <c r="AV362" s="3" t="s">
        <v>4622</v>
      </c>
      <c r="AW362" s="3" t="s">
        <v>4623</v>
      </c>
      <c r="AX362" s="3" t="s">
        <v>4623</v>
      </c>
      <c r="AY362" s="3" t="s">
        <v>4624</v>
      </c>
      <c r="AZ362" s="3" t="s">
        <v>73</v>
      </c>
      <c r="BB362" s="3" t="s">
        <v>4625</v>
      </c>
      <c r="BC362" s="3" t="s">
        <v>4626</v>
      </c>
      <c r="BD362" s="3" t="s">
        <v>4627</v>
      </c>
    </row>
    <row r="363" spans="1:56" ht="51" customHeight="1" x14ac:dyDescent="0.25">
      <c r="A363" s="7" t="s">
        <v>58</v>
      </c>
      <c r="B363" s="2" t="s">
        <v>4628</v>
      </c>
      <c r="C363" s="2" t="s">
        <v>4629</v>
      </c>
      <c r="D363" s="2" t="s">
        <v>4630</v>
      </c>
      <c r="F363" s="3" t="s">
        <v>58</v>
      </c>
      <c r="G363" s="3" t="s">
        <v>59</v>
      </c>
      <c r="H363" s="3" t="s">
        <v>58</v>
      </c>
      <c r="I363" s="3" t="s">
        <v>58</v>
      </c>
      <c r="J363" s="3" t="s">
        <v>60</v>
      </c>
      <c r="K363" s="2" t="s">
        <v>4631</v>
      </c>
      <c r="L363" s="2" t="s">
        <v>4632</v>
      </c>
      <c r="M363" s="3" t="s">
        <v>261</v>
      </c>
      <c r="O363" s="3" t="s">
        <v>63</v>
      </c>
      <c r="P363" s="3" t="s">
        <v>3403</v>
      </c>
      <c r="R363" s="3" t="s">
        <v>65</v>
      </c>
      <c r="S363" s="4">
        <v>2</v>
      </c>
      <c r="T363" s="4">
        <v>2</v>
      </c>
      <c r="U363" s="5" t="s">
        <v>4633</v>
      </c>
      <c r="V363" s="5" t="s">
        <v>4633</v>
      </c>
      <c r="W363" s="5" t="s">
        <v>4607</v>
      </c>
      <c r="X363" s="5" t="s">
        <v>4607</v>
      </c>
      <c r="Y363" s="4">
        <v>636</v>
      </c>
      <c r="Z363" s="4">
        <v>518</v>
      </c>
      <c r="AA363" s="4">
        <v>521</v>
      </c>
      <c r="AB363" s="4">
        <v>3</v>
      </c>
      <c r="AC363" s="4">
        <v>3</v>
      </c>
      <c r="AD363" s="4">
        <v>25</v>
      </c>
      <c r="AE363" s="4">
        <v>25</v>
      </c>
      <c r="AF363" s="4">
        <v>8</v>
      </c>
      <c r="AG363" s="4">
        <v>8</v>
      </c>
      <c r="AH363" s="4">
        <v>7</v>
      </c>
      <c r="AI363" s="4">
        <v>7</v>
      </c>
      <c r="AJ363" s="4">
        <v>13</v>
      </c>
      <c r="AK363" s="4">
        <v>13</v>
      </c>
      <c r="AL363" s="4">
        <v>2</v>
      </c>
      <c r="AM363" s="4">
        <v>2</v>
      </c>
      <c r="AN363" s="4">
        <v>0</v>
      </c>
      <c r="AO363" s="4">
        <v>0</v>
      </c>
      <c r="AP363" s="3" t="s">
        <v>58</v>
      </c>
      <c r="AQ363" s="3" t="s">
        <v>68</v>
      </c>
      <c r="AR363" s="6" t="str">
        <f>HYPERLINK("http://catalog.hathitrust.org/Record/000023049","HathiTrust Record")</f>
        <v>HathiTrust Record</v>
      </c>
      <c r="AS363" s="6" t="str">
        <f>HYPERLINK("https://creighton-primo.hosted.exlibrisgroup.com/primo-explore/search?tab=default_tab&amp;search_scope=EVERYTHING&amp;vid=01CRU&amp;lang=en_US&amp;offset=0&amp;query=any,contains,991003746299702656","Catalog Record")</f>
        <v>Catalog Record</v>
      </c>
      <c r="AT363" s="6" t="str">
        <f>HYPERLINK("http://www.worldcat.org/oclc/1418537","WorldCat Record")</f>
        <v>WorldCat Record</v>
      </c>
      <c r="AU363" s="3" t="s">
        <v>4634</v>
      </c>
      <c r="AV363" s="3" t="s">
        <v>4635</v>
      </c>
      <c r="AW363" s="3" t="s">
        <v>4636</v>
      </c>
      <c r="AX363" s="3" t="s">
        <v>4636</v>
      </c>
      <c r="AY363" s="3" t="s">
        <v>4637</v>
      </c>
      <c r="AZ363" s="3" t="s">
        <v>73</v>
      </c>
      <c r="BB363" s="3" t="s">
        <v>4638</v>
      </c>
      <c r="BC363" s="3" t="s">
        <v>4639</v>
      </c>
      <c r="BD363" s="3" t="s">
        <v>4640</v>
      </c>
    </row>
    <row r="364" spans="1:56" ht="51" customHeight="1" x14ac:dyDescent="0.25">
      <c r="A364" s="7" t="s">
        <v>58</v>
      </c>
      <c r="B364" s="2" t="s">
        <v>4641</v>
      </c>
      <c r="C364" s="2" t="s">
        <v>4642</v>
      </c>
      <c r="D364" s="2" t="s">
        <v>4643</v>
      </c>
      <c r="F364" s="3" t="s">
        <v>58</v>
      </c>
      <c r="G364" s="3" t="s">
        <v>59</v>
      </c>
      <c r="H364" s="3" t="s">
        <v>58</v>
      </c>
      <c r="I364" s="3" t="s">
        <v>58</v>
      </c>
      <c r="J364" s="3" t="s">
        <v>60</v>
      </c>
      <c r="K364" s="2" t="s">
        <v>4644</v>
      </c>
      <c r="L364" s="2" t="s">
        <v>4645</v>
      </c>
      <c r="M364" s="3" t="s">
        <v>1544</v>
      </c>
      <c r="O364" s="3" t="s">
        <v>63</v>
      </c>
      <c r="P364" s="3" t="s">
        <v>584</v>
      </c>
      <c r="Q364" s="2" t="s">
        <v>4646</v>
      </c>
      <c r="R364" s="3" t="s">
        <v>65</v>
      </c>
      <c r="S364" s="4">
        <v>1</v>
      </c>
      <c r="T364" s="4">
        <v>1</v>
      </c>
      <c r="U364" s="5" t="s">
        <v>2770</v>
      </c>
      <c r="V364" s="5" t="s">
        <v>2770</v>
      </c>
      <c r="W364" s="5" t="s">
        <v>4647</v>
      </c>
      <c r="X364" s="5" t="s">
        <v>4647</v>
      </c>
      <c r="Y364" s="4">
        <v>259</v>
      </c>
      <c r="Z364" s="4">
        <v>174</v>
      </c>
      <c r="AA364" s="4">
        <v>176</v>
      </c>
      <c r="AB364" s="4">
        <v>1</v>
      </c>
      <c r="AC364" s="4">
        <v>1</v>
      </c>
      <c r="AD364" s="4">
        <v>11</v>
      </c>
      <c r="AE364" s="4">
        <v>11</v>
      </c>
      <c r="AF364" s="4">
        <v>3</v>
      </c>
      <c r="AG364" s="4">
        <v>3</v>
      </c>
      <c r="AH364" s="4">
        <v>4</v>
      </c>
      <c r="AI364" s="4">
        <v>4</v>
      </c>
      <c r="AJ364" s="4">
        <v>5</v>
      </c>
      <c r="AK364" s="4">
        <v>5</v>
      </c>
      <c r="AL364" s="4">
        <v>0</v>
      </c>
      <c r="AM364" s="4">
        <v>0</v>
      </c>
      <c r="AN364" s="4">
        <v>0</v>
      </c>
      <c r="AO364" s="4">
        <v>0</v>
      </c>
      <c r="AP364" s="3" t="s">
        <v>58</v>
      </c>
      <c r="AQ364" s="3" t="s">
        <v>58</v>
      </c>
      <c r="AS364" s="6" t="str">
        <f>HYPERLINK("https://creighton-primo.hosted.exlibrisgroup.com/primo-explore/search?tab=default_tab&amp;search_scope=EVERYTHING&amp;vid=01CRU&amp;lang=en_US&amp;offset=0&amp;query=any,contains,991002149759702656","Catalog Record")</f>
        <v>Catalog Record</v>
      </c>
      <c r="AT364" s="6" t="str">
        <f>HYPERLINK("http://www.worldcat.org/oclc/27697181","WorldCat Record")</f>
        <v>WorldCat Record</v>
      </c>
      <c r="AU364" s="3" t="s">
        <v>4648</v>
      </c>
      <c r="AV364" s="3" t="s">
        <v>4649</v>
      </c>
      <c r="AW364" s="3" t="s">
        <v>4650</v>
      </c>
      <c r="AX364" s="3" t="s">
        <v>4650</v>
      </c>
      <c r="AY364" s="3" t="s">
        <v>4651</v>
      </c>
      <c r="AZ364" s="3" t="s">
        <v>73</v>
      </c>
      <c r="BC364" s="3" t="s">
        <v>4652</v>
      </c>
      <c r="BD364" s="3" t="s">
        <v>4653</v>
      </c>
    </row>
    <row r="365" spans="1:56" ht="51" customHeight="1" x14ac:dyDescent="0.25">
      <c r="A365" s="7" t="s">
        <v>58</v>
      </c>
      <c r="B365" s="2" t="s">
        <v>4654</v>
      </c>
      <c r="C365" s="2" t="s">
        <v>4655</v>
      </c>
      <c r="D365" s="2" t="s">
        <v>4656</v>
      </c>
      <c r="F365" s="3" t="s">
        <v>58</v>
      </c>
      <c r="G365" s="3" t="s">
        <v>59</v>
      </c>
      <c r="H365" s="3" t="s">
        <v>58</v>
      </c>
      <c r="I365" s="3" t="s">
        <v>58</v>
      </c>
      <c r="J365" s="3" t="s">
        <v>60</v>
      </c>
      <c r="K365" s="2" t="s">
        <v>4657</v>
      </c>
      <c r="L365" s="2" t="s">
        <v>4658</v>
      </c>
      <c r="M365" s="3" t="s">
        <v>653</v>
      </c>
      <c r="O365" s="3" t="s">
        <v>554</v>
      </c>
      <c r="P365" s="3" t="s">
        <v>555</v>
      </c>
      <c r="Q365" s="2" t="s">
        <v>4659</v>
      </c>
      <c r="R365" s="3" t="s">
        <v>65</v>
      </c>
      <c r="S365" s="4">
        <v>3</v>
      </c>
      <c r="T365" s="4">
        <v>3</v>
      </c>
      <c r="U365" s="5" t="s">
        <v>4633</v>
      </c>
      <c r="V365" s="5" t="s">
        <v>4633</v>
      </c>
      <c r="W365" s="5" t="s">
        <v>4660</v>
      </c>
      <c r="X365" s="5" t="s">
        <v>4660</v>
      </c>
      <c r="Y365" s="4">
        <v>121</v>
      </c>
      <c r="Z365" s="4">
        <v>74</v>
      </c>
      <c r="AA365" s="4">
        <v>79</v>
      </c>
      <c r="AB365" s="4">
        <v>1</v>
      </c>
      <c r="AC365" s="4">
        <v>1</v>
      </c>
      <c r="AD365" s="4">
        <v>4</v>
      </c>
      <c r="AE365" s="4">
        <v>4</v>
      </c>
      <c r="AF365" s="4">
        <v>0</v>
      </c>
      <c r="AG365" s="4">
        <v>0</v>
      </c>
      <c r="AH365" s="4">
        <v>1</v>
      </c>
      <c r="AI365" s="4">
        <v>1</v>
      </c>
      <c r="AJ365" s="4">
        <v>3</v>
      </c>
      <c r="AK365" s="4">
        <v>3</v>
      </c>
      <c r="AL365" s="4">
        <v>0</v>
      </c>
      <c r="AM365" s="4">
        <v>0</v>
      </c>
      <c r="AN365" s="4">
        <v>0</v>
      </c>
      <c r="AO365" s="4">
        <v>0</v>
      </c>
      <c r="AP365" s="3" t="s">
        <v>58</v>
      </c>
      <c r="AQ365" s="3" t="s">
        <v>68</v>
      </c>
      <c r="AR365" s="6" t="str">
        <f>HYPERLINK("http://catalog.hathitrust.org/Record/002514787","HathiTrust Record")</f>
        <v>HathiTrust Record</v>
      </c>
      <c r="AS365" s="6" t="str">
        <f>HYPERLINK("https://creighton-primo.hosted.exlibrisgroup.com/primo-explore/search?tab=default_tab&amp;search_scope=EVERYTHING&amp;vid=01CRU&amp;lang=en_US&amp;offset=0&amp;query=any,contains,991001964289702656","Catalog Record")</f>
        <v>Catalog Record</v>
      </c>
      <c r="AT365" s="6" t="str">
        <f>HYPERLINK("http://www.worldcat.org/oclc/24887270","WorldCat Record")</f>
        <v>WorldCat Record</v>
      </c>
      <c r="AU365" s="3" t="s">
        <v>4661</v>
      </c>
      <c r="AV365" s="3" t="s">
        <v>4662</v>
      </c>
      <c r="AW365" s="3" t="s">
        <v>4663</v>
      </c>
      <c r="AX365" s="3" t="s">
        <v>4663</v>
      </c>
      <c r="AY365" s="3" t="s">
        <v>4664</v>
      </c>
      <c r="AZ365" s="3" t="s">
        <v>73</v>
      </c>
      <c r="BB365" s="3" t="s">
        <v>4665</v>
      </c>
      <c r="BC365" s="3" t="s">
        <v>4666</v>
      </c>
      <c r="BD365" s="3" t="s">
        <v>4667</v>
      </c>
    </row>
    <row r="366" spans="1:56" ht="51" customHeight="1" x14ac:dyDescent="0.25">
      <c r="A366" s="7" t="s">
        <v>58</v>
      </c>
      <c r="B366" s="2" t="s">
        <v>4668</v>
      </c>
      <c r="C366" s="2" t="s">
        <v>4669</v>
      </c>
      <c r="D366" s="2" t="s">
        <v>4670</v>
      </c>
      <c r="F366" s="3" t="s">
        <v>58</v>
      </c>
      <c r="G366" s="3" t="s">
        <v>59</v>
      </c>
      <c r="H366" s="3" t="s">
        <v>58</v>
      </c>
      <c r="I366" s="3" t="s">
        <v>58</v>
      </c>
      <c r="J366" s="3" t="s">
        <v>60</v>
      </c>
      <c r="K366" s="2" t="s">
        <v>4671</v>
      </c>
      <c r="L366" s="2" t="s">
        <v>4672</v>
      </c>
      <c r="M366" s="3" t="s">
        <v>552</v>
      </c>
      <c r="O366" s="3" t="s">
        <v>63</v>
      </c>
      <c r="P366" s="3" t="s">
        <v>437</v>
      </c>
      <c r="Q366" s="2" t="s">
        <v>4673</v>
      </c>
      <c r="R366" s="3" t="s">
        <v>65</v>
      </c>
      <c r="S366" s="4">
        <v>7</v>
      </c>
      <c r="T366" s="4">
        <v>7</v>
      </c>
      <c r="U366" s="5" t="s">
        <v>4674</v>
      </c>
      <c r="V366" s="5" t="s">
        <v>4674</v>
      </c>
      <c r="W366" s="5" t="s">
        <v>4675</v>
      </c>
      <c r="X366" s="5" t="s">
        <v>4675</v>
      </c>
      <c r="Y366" s="4">
        <v>242</v>
      </c>
      <c r="Z366" s="4">
        <v>180</v>
      </c>
      <c r="AA366" s="4">
        <v>181</v>
      </c>
      <c r="AB366" s="4">
        <v>1</v>
      </c>
      <c r="AC366" s="4">
        <v>1</v>
      </c>
      <c r="AD366" s="4">
        <v>9</v>
      </c>
      <c r="AE366" s="4">
        <v>10</v>
      </c>
      <c r="AF366" s="4">
        <v>1</v>
      </c>
      <c r="AG366" s="4">
        <v>2</v>
      </c>
      <c r="AH366" s="4">
        <v>5</v>
      </c>
      <c r="AI366" s="4">
        <v>5</v>
      </c>
      <c r="AJ366" s="4">
        <v>6</v>
      </c>
      <c r="AK366" s="4">
        <v>7</v>
      </c>
      <c r="AL366" s="4">
        <v>0</v>
      </c>
      <c r="AM366" s="4">
        <v>0</v>
      </c>
      <c r="AN366" s="4">
        <v>0</v>
      </c>
      <c r="AO366" s="4">
        <v>0</v>
      </c>
      <c r="AP366" s="3" t="s">
        <v>58</v>
      </c>
      <c r="AQ366" s="3" t="s">
        <v>58</v>
      </c>
      <c r="AS366" s="6" t="str">
        <f>HYPERLINK("https://creighton-primo.hosted.exlibrisgroup.com/primo-explore/search?tab=default_tab&amp;search_scope=EVERYTHING&amp;vid=01CRU&amp;lang=en_US&amp;offset=0&amp;query=any,contains,991001656909702656","Catalog Record")</f>
        <v>Catalog Record</v>
      </c>
      <c r="AT366" s="6" t="str">
        <f>HYPERLINK("http://www.worldcat.org/oclc/21147114","WorldCat Record")</f>
        <v>WorldCat Record</v>
      </c>
      <c r="AU366" s="3" t="s">
        <v>4676</v>
      </c>
      <c r="AV366" s="3" t="s">
        <v>4677</v>
      </c>
      <c r="AW366" s="3" t="s">
        <v>4678</v>
      </c>
      <c r="AX366" s="3" t="s">
        <v>4678</v>
      </c>
      <c r="AY366" s="3" t="s">
        <v>4679</v>
      </c>
      <c r="AZ366" s="3" t="s">
        <v>73</v>
      </c>
      <c r="BB366" s="3" t="s">
        <v>4680</v>
      </c>
      <c r="BC366" s="3" t="s">
        <v>4681</v>
      </c>
      <c r="BD366" s="3" t="s">
        <v>4682</v>
      </c>
    </row>
    <row r="367" spans="1:56" ht="51" customHeight="1" x14ac:dyDescent="0.25">
      <c r="A367" s="7" t="s">
        <v>58</v>
      </c>
      <c r="B367" s="2" t="s">
        <v>4683</v>
      </c>
      <c r="C367" s="2" t="s">
        <v>4684</v>
      </c>
      <c r="D367" s="2" t="s">
        <v>4685</v>
      </c>
      <c r="F367" s="3" t="s">
        <v>58</v>
      </c>
      <c r="G367" s="3" t="s">
        <v>59</v>
      </c>
      <c r="H367" s="3" t="s">
        <v>58</v>
      </c>
      <c r="I367" s="3" t="s">
        <v>58</v>
      </c>
      <c r="J367" s="3" t="s">
        <v>60</v>
      </c>
      <c r="K367" s="2" t="s">
        <v>4686</v>
      </c>
      <c r="L367" s="2" t="s">
        <v>4687</v>
      </c>
      <c r="M367" s="3" t="s">
        <v>154</v>
      </c>
      <c r="O367" s="3" t="s">
        <v>63</v>
      </c>
      <c r="P367" s="3" t="s">
        <v>584</v>
      </c>
      <c r="R367" s="3" t="s">
        <v>65</v>
      </c>
      <c r="S367" s="4">
        <v>4</v>
      </c>
      <c r="T367" s="4">
        <v>4</v>
      </c>
      <c r="U367" s="5" t="s">
        <v>4688</v>
      </c>
      <c r="V367" s="5" t="s">
        <v>4688</v>
      </c>
      <c r="W367" s="5" t="s">
        <v>4689</v>
      </c>
      <c r="X367" s="5" t="s">
        <v>4689</v>
      </c>
      <c r="Y367" s="4">
        <v>386</v>
      </c>
      <c r="Z367" s="4">
        <v>283</v>
      </c>
      <c r="AA367" s="4">
        <v>312</v>
      </c>
      <c r="AB367" s="4">
        <v>2</v>
      </c>
      <c r="AC367" s="4">
        <v>2</v>
      </c>
      <c r="AD367" s="4">
        <v>16</v>
      </c>
      <c r="AE367" s="4">
        <v>16</v>
      </c>
      <c r="AF367" s="4">
        <v>6</v>
      </c>
      <c r="AG367" s="4">
        <v>6</v>
      </c>
      <c r="AH367" s="4">
        <v>4</v>
      </c>
      <c r="AI367" s="4">
        <v>4</v>
      </c>
      <c r="AJ367" s="4">
        <v>9</v>
      </c>
      <c r="AK367" s="4">
        <v>9</v>
      </c>
      <c r="AL367" s="4">
        <v>1</v>
      </c>
      <c r="AM367" s="4">
        <v>1</v>
      </c>
      <c r="AN367" s="4">
        <v>0</v>
      </c>
      <c r="AO367" s="4">
        <v>0</v>
      </c>
      <c r="AP367" s="3" t="s">
        <v>58</v>
      </c>
      <c r="AQ367" s="3" t="s">
        <v>58</v>
      </c>
      <c r="AS367" s="6" t="str">
        <f>HYPERLINK("https://creighton-primo.hosted.exlibrisgroup.com/primo-explore/search?tab=default_tab&amp;search_scope=EVERYTHING&amp;vid=01CRU&amp;lang=en_US&amp;offset=0&amp;query=any,contains,991000918689702656","Catalog Record")</f>
        <v>Catalog Record</v>
      </c>
      <c r="AT367" s="6" t="str">
        <f>HYPERLINK("http://www.worldcat.org/oclc/14188574","WorldCat Record")</f>
        <v>WorldCat Record</v>
      </c>
      <c r="AU367" s="3" t="s">
        <v>4690</v>
      </c>
      <c r="AV367" s="3" t="s">
        <v>4691</v>
      </c>
      <c r="AW367" s="3" t="s">
        <v>4692</v>
      </c>
      <c r="AX367" s="3" t="s">
        <v>4692</v>
      </c>
      <c r="AY367" s="3" t="s">
        <v>4693</v>
      </c>
      <c r="AZ367" s="3" t="s">
        <v>73</v>
      </c>
      <c r="BB367" s="3" t="s">
        <v>4694</v>
      </c>
      <c r="BC367" s="3" t="s">
        <v>4695</v>
      </c>
      <c r="BD367" s="3" t="s">
        <v>4696</v>
      </c>
    </row>
    <row r="368" spans="1:56" ht="51" customHeight="1" x14ac:dyDescent="0.25">
      <c r="A368" s="7" t="s">
        <v>58</v>
      </c>
      <c r="B368" s="2" t="s">
        <v>4697</v>
      </c>
      <c r="C368" s="2" t="s">
        <v>4698</v>
      </c>
      <c r="D368" s="2" t="s">
        <v>4699</v>
      </c>
      <c r="F368" s="3" t="s">
        <v>58</v>
      </c>
      <c r="G368" s="3" t="s">
        <v>59</v>
      </c>
      <c r="H368" s="3" t="s">
        <v>58</v>
      </c>
      <c r="I368" s="3" t="s">
        <v>58</v>
      </c>
      <c r="J368" s="3" t="s">
        <v>60</v>
      </c>
      <c r="K368" s="2" t="s">
        <v>4700</v>
      </c>
      <c r="L368" s="2" t="s">
        <v>4701</v>
      </c>
      <c r="M368" s="3" t="s">
        <v>154</v>
      </c>
      <c r="O368" s="3" t="s">
        <v>63</v>
      </c>
      <c r="P368" s="3" t="s">
        <v>786</v>
      </c>
      <c r="Q368" s="2" t="s">
        <v>4702</v>
      </c>
      <c r="R368" s="3" t="s">
        <v>65</v>
      </c>
      <c r="S368" s="4">
        <v>1</v>
      </c>
      <c r="T368" s="4">
        <v>1</v>
      </c>
      <c r="U368" s="5" t="s">
        <v>4703</v>
      </c>
      <c r="V368" s="5" t="s">
        <v>4703</v>
      </c>
      <c r="W368" s="5" t="s">
        <v>4704</v>
      </c>
      <c r="X368" s="5" t="s">
        <v>4704</v>
      </c>
      <c r="Y368" s="4">
        <v>295</v>
      </c>
      <c r="Z368" s="4">
        <v>188</v>
      </c>
      <c r="AA368" s="4">
        <v>195</v>
      </c>
      <c r="AB368" s="4">
        <v>2</v>
      </c>
      <c r="AC368" s="4">
        <v>2</v>
      </c>
      <c r="AD368" s="4">
        <v>7</v>
      </c>
      <c r="AE368" s="4">
        <v>7</v>
      </c>
      <c r="AF368" s="4">
        <v>2</v>
      </c>
      <c r="AG368" s="4">
        <v>2</v>
      </c>
      <c r="AH368" s="4">
        <v>1</v>
      </c>
      <c r="AI368" s="4">
        <v>1</v>
      </c>
      <c r="AJ368" s="4">
        <v>4</v>
      </c>
      <c r="AK368" s="4">
        <v>4</v>
      </c>
      <c r="AL368" s="4">
        <v>1</v>
      </c>
      <c r="AM368" s="4">
        <v>1</v>
      </c>
      <c r="AN368" s="4">
        <v>0</v>
      </c>
      <c r="AO368" s="4">
        <v>0</v>
      </c>
      <c r="AP368" s="3" t="s">
        <v>58</v>
      </c>
      <c r="AQ368" s="3" t="s">
        <v>68</v>
      </c>
      <c r="AR368" s="6" t="str">
        <f>HYPERLINK("http://catalog.hathitrust.org/Record/001829752","HathiTrust Record")</f>
        <v>HathiTrust Record</v>
      </c>
      <c r="AS368" s="6" t="str">
        <f>HYPERLINK("https://creighton-primo.hosted.exlibrisgroup.com/primo-explore/search?tab=default_tab&amp;search_scope=EVERYTHING&amp;vid=01CRU&amp;lang=en_US&amp;offset=0&amp;query=any,contains,991001406069702656","Catalog Record")</f>
        <v>Catalog Record</v>
      </c>
      <c r="AT368" s="6" t="str">
        <f>HYPERLINK("http://www.worldcat.org/oclc/18835876","WorldCat Record")</f>
        <v>WorldCat Record</v>
      </c>
      <c r="AU368" s="3" t="s">
        <v>4705</v>
      </c>
      <c r="AV368" s="3" t="s">
        <v>4706</v>
      </c>
      <c r="AW368" s="3" t="s">
        <v>4707</v>
      </c>
      <c r="AX368" s="3" t="s">
        <v>4707</v>
      </c>
      <c r="AY368" s="3" t="s">
        <v>4708</v>
      </c>
      <c r="AZ368" s="3" t="s">
        <v>73</v>
      </c>
      <c r="BB368" s="3" t="s">
        <v>4709</v>
      </c>
      <c r="BC368" s="3" t="s">
        <v>4710</v>
      </c>
      <c r="BD368" s="3" t="s">
        <v>4711</v>
      </c>
    </row>
    <row r="369" spans="1:56" ht="51" customHeight="1" x14ac:dyDescent="0.25">
      <c r="A369" s="7" t="s">
        <v>58</v>
      </c>
      <c r="B369" s="2" t="s">
        <v>4712</v>
      </c>
      <c r="C369" s="2" t="s">
        <v>4713</v>
      </c>
      <c r="D369" s="2" t="s">
        <v>4714</v>
      </c>
      <c r="F369" s="3" t="s">
        <v>68</v>
      </c>
      <c r="G369" s="3" t="s">
        <v>59</v>
      </c>
      <c r="H369" s="3" t="s">
        <v>58</v>
      </c>
      <c r="I369" s="3" t="s">
        <v>58</v>
      </c>
      <c r="J369" s="3" t="s">
        <v>60</v>
      </c>
      <c r="K369" s="2" t="s">
        <v>4715</v>
      </c>
      <c r="L369" s="2" t="s">
        <v>4716</v>
      </c>
      <c r="M369" s="3" t="s">
        <v>397</v>
      </c>
      <c r="O369" s="3" t="s">
        <v>63</v>
      </c>
      <c r="P369" s="3" t="s">
        <v>584</v>
      </c>
      <c r="Q369" s="2" t="s">
        <v>4717</v>
      </c>
      <c r="R369" s="3" t="s">
        <v>65</v>
      </c>
      <c r="S369" s="4">
        <v>1</v>
      </c>
      <c r="T369" s="4">
        <v>1</v>
      </c>
      <c r="U369" s="5" t="s">
        <v>4718</v>
      </c>
      <c r="V369" s="5" t="s">
        <v>4718</v>
      </c>
      <c r="W369" s="5" t="s">
        <v>3242</v>
      </c>
      <c r="X369" s="5" t="s">
        <v>3242</v>
      </c>
      <c r="Y369" s="4">
        <v>631</v>
      </c>
      <c r="Z369" s="4">
        <v>485</v>
      </c>
      <c r="AA369" s="4">
        <v>495</v>
      </c>
      <c r="AB369" s="4">
        <v>4</v>
      </c>
      <c r="AC369" s="4">
        <v>4</v>
      </c>
      <c r="AD369" s="4">
        <v>25</v>
      </c>
      <c r="AE369" s="4">
        <v>25</v>
      </c>
      <c r="AF369" s="4">
        <v>11</v>
      </c>
      <c r="AG369" s="4">
        <v>11</v>
      </c>
      <c r="AH369" s="4">
        <v>5</v>
      </c>
      <c r="AI369" s="4">
        <v>5</v>
      </c>
      <c r="AJ369" s="4">
        <v>12</v>
      </c>
      <c r="AK369" s="4">
        <v>12</v>
      </c>
      <c r="AL369" s="4">
        <v>3</v>
      </c>
      <c r="AM369" s="4">
        <v>3</v>
      </c>
      <c r="AN369" s="4">
        <v>0</v>
      </c>
      <c r="AO369" s="4">
        <v>0</v>
      </c>
      <c r="AP369" s="3" t="s">
        <v>58</v>
      </c>
      <c r="AQ369" s="3" t="s">
        <v>58</v>
      </c>
      <c r="AS369" s="6" t="str">
        <f>HYPERLINK("https://creighton-primo.hosted.exlibrisgroup.com/primo-explore/search?tab=default_tab&amp;search_scope=EVERYTHING&amp;vid=01CRU&amp;lang=en_US&amp;offset=0&amp;query=any,contains,991000021749702656","Catalog Record")</f>
        <v>Catalog Record</v>
      </c>
      <c r="AT369" s="6" t="str">
        <f>HYPERLINK("http://www.worldcat.org/oclc/11755733","WorldCat Record")</f>
        <v>WorldCat Record</v>
      </c>
      <c r="AU369" s="3" t="s">
        <v>4719</v>
      </c>
      <c r="AV369" s="3" t="s">
        <v>4720</v>
      </c>
      <c r="AW369" s="3" t="s">
        <v>4721</v>
      </c>
      <c r="AX369" s="3" t="s">
        <v>4721</v>
      </c>
      <c r="AY369" s="3" t="s">
        <v>4722</v>
      </c>
      <c r="AZ369" s="3" t="s">
        <v>73</v>
      </c>
      <c r="BB369" s="3" t="s">
        <v>4723</v>
      </c>
      <c r="BC369" s="3" t="s">
        <v>4724</v>
      </c>
      <c r="BD369" s="3" t="s">
        <v>4725</v>
      </c>
    </row>
    <row r="370" spans="1:56" ht="51" customHeight="1" x14ac:dyDescent="0.25">
      <c r="A370" s="7" t="s">
        <v>58</v>
      </c>
      <c r="B370" s="2" t="s">
        <v>4726</v>
      </c>
      <c r="C370" s="2" t="s">
        <v>4727</v>
      </c>
      <c r="D370" s="2" t="s">
        <v>4728</v>
      </c>
      <c r="F370" s="3" t="s">
        <v>58</v>
      </c>
      <c r="G370" s="3" t="s">
        <v>59</v>
      </c>
      <c r="H370" s="3" t="s">
        <v>58</v>
      </c>
      <c r="I370" s="3" t="s">
        <v>58</v>
      </c>
      <c r="J370" s="3" t="s">
        <v>60</v>
      </c>
      <c r="K370" s="2" t="s">
        <v>4729</v>
      </c>
      <c r="L370" s="2" t="s">
        <v>4730</v>
      </c>
      <c r="M370" s="3" t="s">
        <v>479</v>
      </c>
      <c r="O370" s="3" t="s">
        <v>63</v>
      </c>
      <c r="P370" s="3" t="s">
        <v>555</v>
      </c>
      <c r="Q370" s="2" t="s">
        <v>4731</v>
      </c>
      <c r="R370" s="3" t="s">
        <v>65</v>
      </c>
      <c r="S370" s="4">
        <v>1</v>
      </c>
      <c r="T370" s="4">
        <v>1</v>
      </c>
      <c r="U370" s="5" t="s">
        <v>4732</v>
      </c>
      <c r="V370" s="5" t="s">
        <v>4732</v>
      </c>
      <c r="W370" s="5" t="s">
        <v>4733</v>
      </c>
      <c r="X370" s="5" t="s">
        <v>4733</v>
      </c>
      <c r="Y370" s="4">
        <v>147</v>
      </c>
      <c r="Z370" s="4">
        <v>94</v>
      </c>
      <c r="AA370" s="4">
        <v>100</v>
      </c>
      <c r="AB370" s="4">
        <v>1</v>
      </c>
      <c r="AC370" s="4">
        <v>1</v>
      </c>
      <c r="AD370" s="4">
        <v>4</v>
      </c>
      <c r="AE370" s="4">
        <v>4</v>
      </c>
      <c r="AF370" s="4">
        <v>1</v>
      </c>
      <c r="AG370" s="4">
        <v>1</v>
      </c>
      <c r="AH370" s="4">
        <v>1</v>
      </c>
      <c r="AI370" s="4">
        <v>1</v>
      </c>
      <c r="AJ370" s="4">
        <v>3</v>
      </c>
      <c r="AK370" s="4">
        <v>3</v>
      </c>
      <c r="AL370" s="4">
        <v>0</v>
      </c>
      <c r="AM370" s="4">
        <v>0</v>
      </c>
      <c r="AN370" s="4">
        <v>0</v>
      </c>
      <c r="AO370" s="4">
        <v>0</v>
      </c>
      <c r="AP370" s="3" t="s">
        <v>58</v>
      </c>
      <c r="AQ370" s="3" t="s">
        <v>68</v>
      </c>
      <c r="AR370" s="6" t="str">
        <f>HYPERLINK("http://catalog.hathitrust.org/Record/002871680","HathiTrust Record")</f>
        <v>HathiTrust Record</v>
      </c>
      <c r="AS370" s="6" t="str">
        <f>HYPERLINK("https://creighton-primo.hosted.exlibrisgroup.com/primo-explore/search?tab=default_tab&amp;search_scope=EVERYTHING&amp;vid=01CRU&amp;lang=en_US&amp;offset=0&amp;query=any,contains,991002310169702656","Catalog Record")</f>
        <v>Catalog Record</v>
      </c>
      <c r="AT370" s="6" t="str">
        <f>HYPERLINK("http://www.worldcat.org/oclc/29970509","WorldCat Record")</f>
        <v>WorldCat Record</v>
      </c>
      <c r="AU370" s="3" t="s">
        <v>4734</v>
      </c>
      <c r="AV370" s="3" t="s">
        <v>4735</v>
      </c>
      <c r="AW370" s="3" t="s">
        <v>4736</v>
      </c>
      <c r="AX370" s="3" t="s">
        <v>4736</v>
      </c>
      <c r="AY370" s="3" t="s">
        <v>4737</v>
      </c>
      <c r="AZ370" s="3" t="s">
        <v>73</v>
      </c>
      <c r="BB370" s="3" t="s">
        <v>4738</v>
      </c>
      <c r="BC370" s="3" t="s">
        <v>4739</v>
      </c>
      <c r="BD370" s="3" t="s">
        <v>4740</v>
      </c>
    </row>
    <row r="371" spans="1:56" ht="51" customHeight="1" x14ac:dyDescent="0.25">
      <c r="A371" s="7" t="s">
        <v>58</v>
      </c>
      <c r="B371" s="2" t="s">
        <v>4741</v>
      </c>
      <c r="C371" s="2" t="s">
        <v>4742</v>
      </c>
      <c r="D371" s="2" t="s">
        <v>4743</v>
      </c>
      <c r="F371" s="3" t="s">
        <v>58</v>
      </c>
      <c r="G371" s="3" t="s">
        <v>59</v>
      </c>
      <c r="H371" s="3" t="s">
        <v>58</v>
      </c>
      <c r="I371" s="3" t="s">
        <v>58</v>
      </c>
      <c r="J371" s="3" t="s">
        <v>60</v>
      </c>
      <c r="K371" s="2" t="s">
        <v>4744</v>
      </c>
      <c r="L371" s="2" t="s">
        <v>4745</v>
      </c>
      <c r="M371" s="3" t="s">
        <v>1153</v>
      </c>
      <c r="O371" s="3" t="s">
        <v>63</v>
      </c>
      <c r="P371" s="3" t="s">
        <v>214</v>
      </c>
      <c r="R371" s="3" t="s">
        <v>65</v>
      </c>
      <c r="S371" s="4">
        <v>3</v>
      </c>
      <c r="T371" s="4">
        <v>3</v>
      </c>
      <c r="U371" s="5" t="s">
        <v>4746</v>
      </c>
      <c r="V371" s="5" t="s">
        <v>4746</v>
      </c>
      <c r="W371" s="5" t="s">
        <v>2034</v>
      </c>
      <c r="X371" s="5" t="s">
        <v>2034</v>
      </c>
      <c r="Y371" s="4">
        <v>860</v>
      </c>
      <c r="Z371" s="4">
        <v>812</v>
      </c>
      <c r="AA371" s="4">
        <v>1048</v>
      </c>
      <c r="AB371" s="4">
        <v>4</v>
      </c>
      <c r="AC371" s="4">
        <v>4</v>
      </c>
      <c r="AD371" s="4">
        <v>34</v>
      </c>
      <c r="AE371" s="4">
        <v>44</v>
      </c>
      <c r="AF371" s="4">
        <v>12</v>
      </c>
      <c r="AG371" s="4">
        <v>18</v>
      </c>
      <c r="AH371" s="4">
        <v>10</v>
      </c>
      <c r="AI371" s="4">
        <v>11</v>
      </c>
      <c r="AJ371" s="4">
        <v>18</v>
      </c>
      <c r="AK371" s="4">
        <v>25</v>
      </c>
      <c r="AL371" s="4">
        <v>3</v>
      </c>
      <c r="AM371" s="4">
        <v>3</v>
      </c>
      <c r="AN371" s="4">
        <v>0</v>
      </c>
      <c r="AO371" s="4">
        <v>0</v>
      </c>
      <c r="AP371" s="3" t="s">
        <v>58</v>
      </c>
      <c r="AQ371" s="3" t="s">
        <v>58</v>
      </c>
      <c r="AS371" s="6" t="str">
        <f>HYPERLINK("https://creighton-primo.hosted.exlibrisgroup.com/primo-explore/search?tab=default_tab&amp;search_scope=EVERYTHING&amp;vid=01CRU&amp;lang=en_US&amp;offset=0&amp;query=any,contains,991003155589702656","Catalog Record")</f>
        <v>Catalog Record</v>
      </c>
      <c r="AT371" s="6" t="str">
        <f>HYPERLINK("http://www.worldcat.org/oclc/695114","WorldCat Record")</f>
        <v>WorldCat Record</v>
      </c>
      <c r="AU371" s="3" t="s">
        <v>4747</v>
      </c>
      <c r="AV371" s="3" t="s">
        <v>4748</v>
      </c>
      <c r="AW371" s="3" t="s">
        <v>4749</v>
      </c>
      <c r="AX371" s="3" t="s">
        <v>4749</v>
      </c>
      <c r="AY371" s="3" t="s">
        <v>4750</v>
      </c>
      <c r="AZ371" s="3" t="s">
        <v>73</v>
      </c>
      <c r="BB371" s="3" t="s">
        <v>4751</v>
      </c>
      <c r="BC371" s="3" t="s">
        <v>4752</v>
      </c>
      <c r="BD371" s="3" t="s">
        <v>4753</v>
      </c>
    </row>
    <row r="372" spans="1:56" ht="51" customHeight="1" x14ac:dyDescent="0.25">
      <c r="A372" s="7" t="s">
        <v>58</v>
      </c>
      <c r="B372" s="2" t="s">
        <v>4754</v>
      </c>
      <c r="C372" s="2" t="s">
        <v>4755</v>
      </c>
      <c r="D372" s="2" t="s">
        <v>4756</v>
      </c>
      <c r="E372" s="3" t="s">
        <v>223</v>
      </c>
      <c r="F372" s="3" t="s">
        <v>68</v>
      </c>
      <c r="G372" s="3" t="s">
        <v>59</v>
      </c>
      <c r="H372" s="3" t="s">
        <v>58</v>
      </c>
      <c r="I372" s="3" t="s">
        <v>58</v>
      </c>
      <c r="J372" s="3" t="s">
        <v>60</v>
      </c>
      <c r="L372" s="2" t="s">
        <v>4757</v>
      </c>
      <c r="M372" s="3" t="s">
        <v>1385</v>
      </c>
      <c r="O372" s="3" t="s">
        <v>63</v>
      </c>
      <c r="P372" s="3" t="s">
        <v>786</v>
      </c>
      <c r="Q372" s="2" t="s">
        <v>4758</v>
      </c>
      <c r="R372" s="3" t="s">
        <v>65</v>
      </c>
      <c r="S372" s="4">
        <v>5</v>
      </c>
      <c r="T372" s="4">
        <v>11</v>
      </c>
      <c r="U372" s="5" t="s">
        <v>4759</v>
      </c>
      <c r="V372" s="5" t="s">
        <v>4760</v>
      </c>
      <c r="W372" s="5" t="s">
        <v>4761</v>
      </c>
      <c r="X372" s="5" t="s">
        <v>4761</v>
      </c>
      <c r="Y372" s="4">
        <v>641</v>
      </c>
      <c r="Z372" s="4">
        <v>491</v>
      </c>
      <c r="AA372" s="4">
        <v>504</v>
      </c>
      <c r="AB372" s="4">
        <v>4</v>
      </c>
      <c r="AC372" s="4">
        <v>4</v>
      </c>
      <c r="AD372" s="4">
        <v>30</v>
      </c>
      <c r="AE372" s="4">
        <v>31</v>
      </c>
      <c r="AF372" s="4">
        <v>11</v>
      </c>
      <c r="AG372" s="4">
        <v>12</v>
      </c>
      <c r="AH372" s="4">
        <v>7</v>
      </c>
      <c r="AI372" s="4">
        <v>7</v>
      </c>
      <c r="AJ372" s="4">
        <v>15</v>
      </c>
      <c r="AK372" s="4">
        <v>16</v>
      </c>
      <c r="AL372" s="4">
        <v>3</v>
      </c>
      <c r="AM372" s="4">
        <v>3</v>
      </c>
      <c r="AN372" s="4">
        <v>0</v>
      </c>
      <c r="AO372" s="4">
        <v>0</v>
      </c>
      <c r="AP372" s="3" t="s">
        <v>58</v>
      </c>
      <c r="AQ372" s="3" t="s">
        <v>68</v>
      </c>
      <c r="AR372" s="6" t="str">
        <f>HYPERLINK("http://catalog.hathitrust.org/Record/000776786","HathiTrust Record")</f>
        <v>HathiTrust Record</v>
      </c>
      <c r="AS372" s="6" t="str">
        <f>HYPERLINK("https://creighton-primo.hosted.exlibrisgroup.com/primo-explore/search?tab=default_tab&amp;search_scope=EVERYTHING&amp;vid=01CRU&amp;lang=en_US&amp;offset=0&amp;query=any,contains,991003378929702656","Catalog Record")</f>
        <v>Catalog Record</v>
      </c>
      <c r="AT372" s="6" t="str">
        <f>HYPERLINK("http://www.worldcat.org/oclc/915182","WorldCat Record")</f>
        <v>WorldCat Record</v>
      </c>
      <c r="AU372" s="3" t="s">
        <v>4762</v>
      </c>
      <c r="AV372" s="3" t="s">
        <v>4763</v>
      </c>
      <c r="AW372" s="3" t="s">
        <v>4764</v>
      </c>
      <c r="AX372" s="3" t="s">
        <v>4764</v>
      </c>
      <c r="AY372" s="3" t="s">
        <v>4765</v>
      </c>
      <c r="AZ372" s="3" t="s">
        <v>73</v>
      </c>
      <c r="BB372" s="3" t="s">
        <v>4766</v>
      </c>
      <c r="BC372" s="3" t="s">
        <v>4767</v>
      </c>
      <c r="BD372" s="3" t="s">
        <v>4768</v>
      </c>
    </row>
    <row r="373" spans="1:56" ht="51" customHeight="1" x14ac:dyDescent="0.25">
      <c r="A373" s="7" t="s">
        <v>58</v>
      </c>
      <c r="B373" s="2" t="s">
        <v>4754</v>
      </c>
      <c r="C373" s="2" t="s">
        <v>4755</v>
      </c>
      <c r="D373" s="2" t="s">
        <v>4756</v>
      </c>
      <c r="E373" s="3" t="s">
        <v>210</v>
      </c>
      <c r="F373" s="3" t="s">
        <v>68</v>
      </c>
      <c r="G373" s="3" t="s">
        <v>59</v>
      </c>
      <c r="H373" s="3" t="s">
        <v>58</v>
      </c>
      <c r="I373" s="3" t="s">
        <v>58</v>
      </c>
      <c r="J373" s="3" t="s">
        <v>60</v>
      </c>
      <c r="L373" s="2" t="s">
        <v>4757</v>
      </c>
      <c r="M373" s="3" t="s">
        <v>1385</v>
      </c>
      <c r="O373" s="3" t="s">
        <v>63</v>
      </c>
      <c r="P373" s="3" t="s">
        <v>786</v>
      </c>
      <c r="Q373" s="2" t="s">
        <v>4758</v>
      </c>
      <c r="R373" s="3" t="s">
        <v>65</v>
      </c>
      <c r="S373" s="4">
        <v>6</v>
      </c>
      <c r="T373" s="4">
        <v>11</v>
      </c>
      <c r="U373" s="5" t="s">
        <v>4760</v>
      </c>
      <c r="V373" s="5" t="s">
        <v>4760</v>
      </c>
      <c r="W373" s="5" t="s">
        <v>4761</v>
      </c>
      <c r="X373" s="5" t="s">
        <v>4761</v>
      </c>
      <c r="Y373" s="4">
        <v>641</v>
      </c>
      <c r="Z373" s="4">
        <v>491</v>
      </c>
      <c r="AA373" s="4">
        <v>504</v>
      </c>
      <c r="AB373" s="4">
        <v>4</v>
      </c>
      <c r="AC373" s="4">
        <v>4</v>
      </c>
      <c r="AD373" s="4">
        <v>30</v>
      </c>
      <c r="AE373" s="4">
        <v>31</v>
      </c>
      <c r="AF373" s="4">
        <v>11</v>
      </c>
      <c r="AG373" s="4">
        <v>12</v>
      </c>
      <c r="AH373" s="4">
        <v>7</v>
      </c>
      <c r="AI373" s="4">
        <v>7</v>
      </c>
      <c r="AJ373" s="4">
        <v>15</v>
      </c>
      <c r="AK373" s="4">
        <v>16</v>
      </c>
      <c r="AL373" s="4">
        <v>3</v>
      </c>
      <c r="AM373" s="4">
        <v>3</v>
      </c>
      <c r="AN373" s="4">
        <v>0</v>
      </c>
      <c r="AO373" s="4">
        <v>0</v>
      </c>
      <c r="AP373" s="3" t="s">
        <v>58</v>
      </c>
      <c r="AQ373" s="3" t="s">
        <v>68</v>
      </c>
      <c r="AR373" s="6" t="str">
        <f>HYPERLINK("http://catalog.hathitrust.org/Record/000776786","HathiTrust Record")</f>
        <v>HathiTrust Record</v>
      </c>
      <c r="AS373" s="6" t="str">
        <f>HYPERLINK("https://creighton-primo.hosted.exlibrisgroup.com/primo-explore/search?tab=default_tab&amp;search_scope=EVERYTHING&amp;vid=01CRU&amp;lang=en_US&amp;offset=0&amp;query=any,contains,991003378929702656","Catalog Record")</f>
        <v>Catalog Record</v>
      </c>
      <c r="AT373" s="6" t="str">
        <f>HYPERLINK("http://www.worldcat.org/oclc/915182","WorldCat Record")</f>
        <v>WorldCat Record</v>
      </c>
      <c r="AU373" s="3" t="s">
        <v>4762</v>
      </c>
      <c r="AV373" s="3" t="s">
        <v>4763</v>
      </c>
      <c r="AW373" s="3" t="s">
        <v>4764</v>
      </c>
      <c r="AX373" s="3" t="s">
        <v>4764</v>
      </c>
      <c r="AY373" s="3" t="s">
        <v>4765</v>
      </c>
      <c r="AZ373" s="3" t="s">
        <v>73</v>
      </c>
      <c r="BB373" s="3" t="s">
        <v>4766</v>
      </c>
      <c r="BC373" s="3" t="s">
        <v>4769</v>
      </c>
      <c r="BD373" s="3" t="s">
        <v>4770</v>
      </c>
    </row>
    <row r="374" spans="1:56" ht="51" customHeight="1" x14ac:dyDescent="0.25">
      <c r="A374" s="7" t="s">
        <v>58</v>
      </c>
      <c r="B374" s="2" t="s">
        <v>4771</v>
      </c>
      <c r="C374" s="2" t="s">
        <v>4772</v>
      </c>
      <c r="D374" s="2" t="s">
        <v>4773</v>
      </c>
      <c r="F374" s="3" t="s">
        <v>58</v>
      </c>
      <c r="G374" s="3" t="s">
        <v>59</v>
      </c>
      <c r="H374" s="3" t="s">
        <v>58</v>
      </c>
      <c r="I374" s="3" t="s">
        <v>58</v>
      </c>
      <c r="J374" s="3" t="s">
        <v>60</v>
      </c>
      <c r="K374" s="2" t="s">
        <v>4774</v>
      </c>
      <c r="L374" s="2" t="s">
        <v>4775</v>
      </c>
      <c r="M374" s="3" t="s">
        <v>231</v>
      </c>
      <c r="O374" s="3" t="s">
        <v>63</v>
      </c>
      <c r="P374" s="3" t="s">
        <v>214</v>
      </c>
      <c r="Q374" s="2" t="s">
        <v>4776</v>
      </c>
      <c r="R374" s="3" t="s">
        <v>65</v>
      </c>
      <c r="S374" s="4">
        <v>12</v>
      </c>
      <c r="T374" s="4">
        <v>12</v>
      </c>
      <c r="U374" s="5" t="s">
        <v>4746</v>
      </c>
      <c r="V374" s="5" t="s">
        <v>4746</v>
      </c>
      <c r="W374" s="5" t="s">
        <v>3348</v>
      </c>
      <c r="X374" s="5" t="s">
        <v>3348</v>
      </c>
      <c r="Y374" s="4">
        <v>332</v>
      </c>
      <c r="Z374" s="4">
        <v>297</v>
      </c>
      <c r="AA374" s="4">
        <v>344</v>
      </c>
      <c r="AB374" s="4">
        <v>2</v>
      </c>
      <c r="AC374" s="4">
        <v>3</v>
      </c>
      <c r="AD374" s="4">
        <v>9</v>
      </c>
      <c r="AE374" s="4">
        <v>10</v>
      </c>
      <c r="AF374" s="4">
        <v>3</v>
      </c>
      <c r="AG374" s="4">
        <v>3</v>
      </c>
      <c r="AH374" s="4">
        <v>2</v>
      </c>
      <c r="AI374" s="4">
        <v>2</v>
      </c>
      <c r="AJ374" s="4">
        <v>4</v>
      </c>
      <c r="AK374" s="4">
        <v>4</v>
      </c>
      <c r="AL374" s="4">
        <v>1</v>
      </c>
      <c r="AM374" s="4">
        <v>2</v>
      </c>
      <c r="AN374" s="4">
        <v>0</v>
      </c>
      <c r="AO374" s="4">
        <v>0</v>
      </c>
      <c r="AP374" s="3" t="s">
        <v>68</v>
      </c>
      <c r="AQ374" s="3" t="s">
        <v>68</v>
      </c>
      <c r="AR374" s="6" t="str">
        <f>HYPERLINK("http://catalog.hathitrust.org/Record/001242639","HathiTrust Record")</f>
        <v>HathiTrust Record</v>
      </c>
      <c r="AS374" s="6" t="str">
        <f>HYPERLINK("https://creighton-primo.hosted.exlibrisgroup.com/primo-explore/search?tab=default_tab&amp;search_scope=EVERYTHING&amp;vid=01CRU&amp;lang=en_US&amp;offset=0&amp;query=any,contains,991003392749702656","Catalog Record")</f>
        <v>Catalog Record</v>
      </c>
      <c r="AT374" s="6" t="str">
        <f>HYPERLINK("http://www.worldcat.org/oclc/931330","WorldCat Record")</f>
        <v>WorldCat Record</v>
      </c>
      <c r="AU374" s="3" t="s">
        <v>4777</v>
      </c>
      <c r="AV374" s="3" t="s">
        <v>4778</v>
      </c>
      <c r="AW374" s="3" t="s">
        <v>4779</v>
      </c>
      <c r="AX374" s="3" t="s">
        <v>4779</v>
      </c>
      <c r="AY374" s="3" t="s">
        <v>4780</v>
      </c>
      <c r="AZ374" s="3" t="s">
        <v>73</v>
      </c>
      <c r="BC374" s="3" t="s">
        <v>4781</v>
      </c>
      <c r="BD374" s="3" t="s">
        <v>4782</v>
      </c>
    </row>
    <row r="375" spans="1:56" ht="51" customHeight="1" x14ac:dyDescent="0.25">
      <c r="A375" s="7" t="s">
        <v>58</v>
      </c>
      <c r="B375" s="2" t="s">
        <v>4783</v>
      </c>
      <c r="C375" s="2" t="s">
        <v>4784</v>
      </c>
      <c r="D375" s="2" t="s">
        <v>4785</v>
      </c>
      <c r="F375" s="3" t="s">
        <v>58</v>
      </c>
      <c r="G375" s="3" t="s">
        <v>59</v>
      </c>
      <c r="H375" s="3" t="s">
        <v>58</v>
      </c>
      <c r="I375" s="3" t="s">
        <v>58</v>
      </c>
      <c r="J375" s="3" t="s">
        <v>60</v>
      </c>
      <c r="K375" s="2" t="s">
        <v>4786</v>
      </c>
      <c r="L375" s="2" t="s">
        <v>4787</v>
      </c>
      <c r="M375" s="3" t="s">
        <v>653</v>
      </c>
      <c r="O375" s="3" t="s">
        <v>63</v>
      </c>
      <c r="P375" s="3" t="s">
        <v>584</v>
      </c>
      <c r="Q375" s="2" t="s">
        <v>4788</v>
      </c>
      <c r="R375" s="3" t="s">
        <v>65</v>
      </c>
      <c r="S375" s="4">
        <v>2</v>
      </c>
      <c r="T375" s="4">
        <v>2</v>
      </c>
      <c r="U375" s="5" t="s">
        <v>4746</v>
      </c>
      <c r="V375" s="5" t="s">
        <v>4746</v>
      </c>
      <c r="W375" s="5" t="s">
        <v>2946</v>
      </c>
      <c r="X375" s="5" t="s">
        <v>2946</v>
      </c>
      <c r="Y375" s="4">
        <v>280</v>
      </c>
      <c r="Z375" s="4">
        <v>193</v>
      </c>
      <c r="AA375" s="4">
        <v>504</v>
      </c>
      <c r="AB375" s="4">
        <v>1</v>
      </c>
      <c r="AC375" s="4">
        <v>3</v>
      </c>
      <c r="AD375" s="4">
        <v>13</v>
      </c>
      <c r="AE375" s="4">
        <v>18</v>
      </c>
      <c r="AF375" s="4">
        <v>5</v>
      </c>
      <c r="AG375" s="4">
        <v>7</v>
      </c>
      <c r="AH375" s="4">
        <v>4</v>
      </c>
      <c r="AI375" s="4">
        <v>6</v>
      </c>
      <c r="AJ375" s="4">
        <v>7</v>
      </c>
      <c r="AK375" s="4">
        <v>7</v>
      </c>
      <c r="AL375" s="4">
        <v>0</v>
      </c>
      <c r="AM375" s="4">
        <v>2</v>
      </c>
      <c r="AN375" s="4">
        <v>0</v>
      </c>
      <c r="AO375" s="4">
        <v>0</v>
      </c>
      <c r="AP375" s="3" t="s">
        <v>58</v>
      </c>
      <c r="AQ375" s="3" t="s">
        <v>68</v>
      </c>
      <c r="AR375" s="6" t="str">
        <f>HYPERLINK("http://catalog.hathitrust.org/Record/002514737","HathiTrust Record")</f>
        <v>HathiTrust Record</v>
      </c>
      <c r="AS375" s="6" t="str">
        <f>HYPERLINK("https://creighton-primo.hosted.exlibrisgroup.com/primo-explore/search?tab=default_tab&amp;search_scope=EVERYTHING&amp;vid=01CRU&amp;lang=en_US&amp;offset=0&amp;query=any,contains,991002106539702656","Catalog Record")</f>
        <v>Catalog Record</v>
      </c>
      <c r="AT375" s="6" t="str">
        <f>HYPERLINK("http://www.worldcat.org/oclc/27013766","WorldCat Record")</f>
        <v>WorldCat Record</v>
      </c>
      <c r="AU375" s="3" t="s">
        <v>4789</v>
      </c>
      <c r="AV375" s="3" t="s">
        <v>4790</v>
      </c>
      <c r="AW375" s="3" t="s">
        <v>4791</v>
      </c>
      <c r="AX375" s="3" t="s">
        <v>4791</v>
      </c>
      <c r="AY375" s="3" t="s">
        <v>4792</v>
      </c>
      <c r="AZ375" s="3" t="s">
        <v>73</v>
      </c>
      <c r="BB375" s="3" t="s">
        <v>4793</v>
      </c>
      <c r="BC375" s="3" t="s">
        <v>4794</v>
      </c>
      <c r="BD375" s="3" t="s">
        <v>4795</v>
      </c>
    </row>
    <row r="376" spans="1:56" ht="51" customHeight="1" x14ac:dyDescent="0.25">
      <c r="A376" s="7" t="s">
        <v>58</v>
      </c>
      <c r="B376" s="2" t="s">
        <v>4796</v>
      </c>
      <c r="C376" s="2" t="s">
        <v>4797</v>
      </c>
      <c r="D376" s="2" t="s">
        <v>4798</v>
      </c>
      <c r="F376" s="3" t="s">
        <v>58</v>
      </c>
      <c r="G376" s="3" t="s">
        <v>59</v>
      </c>
      <c r="H376" s="3" t="s">
        <v>58</v>
      </c>
      <c r="I376" s="3" t="s">
        <v>58</v>
      </c>
      <c r="J376" s="3" t="s">
        <v>60</v>
      </c>
      <c r="K376" s="2" t="s">
        <v>4799</v>
      </c>
      <c r="L376" s="2" t="s">
        <v>4800</v>
      </c>
      <c r="M376" s="3" t="s">
        <v>423</v>
      </c>
      <c r="O376" s="3" t="s">
        <v>63</v>
      </c>
      <c r="P376" s="3" t="s">
        <v>555</v>
      </c>
      <c r="Q376" s="2" t="s">
        <v>4801</v>
      </c>
      <c r="R376" s="3" t="s">
        <v>65</v>
      </c>
      <c r="S376" s="4">
        <v>1</v>
      </c>
      <c r="T376" s="4">
        <v>1</v>
      </c>
      <c r="U376" s="5" t="s">
        <v>4802</v>
      </c>
      <c r="V376" s="5" t="s">
        <v>4802</v>
      </c>
      <c r="W376" s="5" t="s">
        <v>4803</v>
      </c>
      <c r="X376" s="5" t="s">
        <v>4803</v>
      </c>
      <c r="Y376" s="4">
        <v>109</v>
      </c>
      <c r="Z376" s="4">
        <v>69</v>
      </c>
      <c r="AA376" s="4">
        <v>86</v>
      </c>
      <c r="AB376" s="4">
        <v>1</v>
      </c>
      <c r="AC376" s="4">
        <v>1</v>
      </c>
      <c r="AD376" s="4">
        <v>3</v>
      </c>
      <c r="AE376" s="4">
        <v>4</v>
      </c>
      <c r="AF376" s="4">
        <v>0</v>
      </c>
      <c r="AG376" s="4">
        <v>1</v>
      </c>
      <c r="AH376" s="4">
        <v>1</v>
      </c>
      <c r="AI376" s="4">
        <v>1</v>
      </c>
      <c r="AJ376" s="4">
        <v>2</v>
      </c>
      <c r="AK376" s="4">
        <v>2</v>
      </c>
      <c r="AL376" s="4">
        <v>0</v>
      </c>
      <c r="AM376" s="4">
        <v>0</v>
      </c>
      <c r="AN376" s="4">
        <v>0</v>
      </c>
      <c r="AO376" s="4">
        <v>0</v>
      </c>
      <c r="AP376" s="3" t="s">
        <v>58</v>
      </c>
      <c r="AQ376" s="3" t="s">
        <v>68</v>
      </c>
      <c r="AR376" s="6" t="str">
        <f>HYPERLINK("http://catalog.hathitrust.org/Record/003346454","HathiTrust Record")</f>
        <v>HathiTrust Record</v>
      </c>
      <c r="AS376" s="6" t="str">
        <f>HYPERLINK("https://creighton-primo.hosted.exlibrisgroup.com/primo-explore/search?tab=default_tab&amp;search_scope=EVERYTHING&amp;vid=01CRU&amp;lang=en_US&amp;offset=0&amp;query=any,contains,991003001279702656","Catalog Record")</f>
        <v>Catalog Record</v>
      </c>
      <c r="AT376" s="6" t="str">
        <f>HYPERLINK("http://www.worldcat.org/oclc/40662168","WorldCat Record")</f>
        <v>WorldCat Record</v>
      </c>
      <c r="AU376" s="3" t="s">
        <v>4804</v>
      </c>
      <c r="AV376" s="3" t="s">
        <v>4805</v>
      </c>
      <c r="AW376" s="3" t="s">
        <v>4806</v>
      </c>
      <c r="AX376" s="3" t="s">
        <v>4806</v>
      </c>
      <c r="AY376" s="3" t="s">
        <v>4807</v>
      </c>
      <c r="AZ376" s="3" t="s">
        <v>73</v>
      </c>
      <c r="BB376" s="3" t="s">
        <v>4808</v>
      </c>
      <c r="BC376" s="3" t="s">
        <v>4809</v>
      </c>
      <c r="BD376" s="3" t="s">
        <v>4810</v>
      </c>
    </row>
    <row r="377" spans="1:56" ht="51" customHeight="1" x14ac:dyDescent="0.25">
      <c r="A377" s="7" t="s">
        <v>58</v>
      </c>
      <c r="B377" s="2" t="s">
        <v>4811</v>
      </c>
      <c r="C377" s="2" t="s">
        <v>4812</v>
      </c>
      <c r="D377" s="2" t="s">
        <v>4813</v>
      </c>
      <c r="F377" s="3" t="s">
        <v>58</v>
      </c>
      <c r="G377" s="3" t="s">
        <v>59</v>
      </c>
      <c r="H377" s="3" t="s">
        <v>58</v>
      </c>
      <c r="I377" s="3" t="s">
        <v>68</v>
      </c>
      <c r="J377" s="3" t="s">
        <v>60</v>
      </c>
      <c r="K377" s="2" t="s">
        <v>4814</v>
      </c>
      <c r="L377" s="2" t="s">
        <v>4815</v>
      </c>
      <c r="M377" s="3" t="s">
        <v>996</v>
      </c>
      <c r="O377" s="3" t="s">
        <v>63</v>
      </c>
      <c r="P377" s="3" t="s">
        <v>214</v>
      </c>
      <c r="R377" s="3" t="s">
        <v>65</v>
      </c>
      <c r="S377" s="4">
        <v>2</v>
      </c>
      <c r="T377" s="4">
        <v>2</v>
      </c>
      <c r="U377" s="5" t="s">
        <v>4816</v>
      </c>
      <c r="V377" s="5" t="s">
        <v>4816</v>
      </c>
      <c r="W377" s="5" t="s">
        <v>3348</v>
      </c>
      <c r="X377" s="5" t="s">
        <v>3348</v>
      </c>
      <c r="Y377" s="4">
        <v>469</v>
      </c>
      <c r="Z377" s="4">
        <v>406</v>
      </c>
      <c r="AA377" s="4">
        <v>822</v>
      </c>
      <c r="AB377" s="4">
        <v>5</v>
      </c>
      <c r="AC377" s="4">
        <v>10</v>
      </c>
      <c r="AD377" s="4">
        <v>19</v>
      </c>
      <c r="AE377" s="4">
        <v>41</v>
      </c>
      <c r="AF377" s="4">
        <v>7</v>
      </c>
      <c r="AG377" s="4">
        <v>15</v>
      </c>
      <c r="AH377" s="4">
        <v>4</v>
      </c>
      <c r="AI377" s="4">
        <v>9</v>
      </c>
      <c r="AJ377" s="4">
        <v>10</v>
      </c>
      <c r="AK377" s="4">
        <v>16</v>
      </c>
      <c r="AL377" s="4">
        <v>4</v>
      </c>
      <c r="AM377" s="4">
        <v>9</v>
      </c>
      <c r="AN377" s="4">
        <v>0</v>
      </c>
      <c r="AO377" s="4">
        <v>1</v>
      </c>
      <c r="AP377" s="3" t="s">
        <v>58</v>
      </c>
      <c r="AQ377" s="3" t="s">
        <v>68</v>
      </c>
      <c r="AR377" s="6" t="str">
        <f>HYPERLINK("http://catalog.hathitrust.org/Record/001243043","HathiTrust Record")</f>
        <v>HathiTrust Record</v>
      </c>
      <c r="AS377" s="6" t="str">
        <f>HYPERLINK("https://creighton-primo.hosted.exlibrisgroup.com/primo-explore/search?tab=default_tab&amp;search_scope=EVERYTHING&amp;vid=01CRU&amp;lang=en_US&amp;offset=0&amp;query=any,contains,991002941459702656","Catalog Record")</f>
        <v>Catalog Record</v>
      </c>
      <c r="AT377" s="6" t="str">
        <f>HYPERLINK("http://www.worldcat.org/oclc/535237","WorldCat Record")</f>
        <v>WorldCat Record</v>
      </c>
      <c r="AU377" s="3" t="s">
        <v>4817</v>
      </c>
      <c r="AV377" s="3" t="s">
        <v>4818</v>
      </c>
      <c r="AW377" s="3" t="s">
        <v>4819</v>
      </c>
      <c r="AX377" s="3" t="s">
        <v>4819</v>
      </c>
      <c r="AY377" s="3" t="s">
        <v>4820</v>
      </c>
      <c r="AZ377" s="3" t="s">
        <v>73</v>
      </c>
      <c r="BC377" s="3" t="s">
        <v>4821</v>
      </c>
      <c r="BD377" s="3" t="s">
        <v>4822</v>
      </c>
    </row>
    <row r="378" spans="1:56" ht="51" customHeight="1" x14ac:dyDescent="0.25">
      <c r="A378" s="7" t="s">
        <v>58</v>
      </c>
      <c r="B378" s="2" t="s">
        <v>4823</v>
      </c>
      <c r="C378" s="2" t="s">
        <v>4824</v>
      </c>
      <c r="D378" s="2" t="s">
        <v>4825</v>
      </c>
      <c r="E378" s="3" t="s">
        <v>4826</v>
      </c>
      <c r="F378" s="3" t="s">
        <v>68</v>
      </c>
      <c r="G378" s="3" t="s">
        <v>59</v>
      </c>
      <c r="H378" s="3" t="s">
        <v>58</v>
      </c>
      <c r="I378" s="3" t="s">
        <v>58</v>
      </c>
      <c r="J378" s="3" t="s">
        <v>60</v>
      </c>
      <c r="K378" s="2" t="s">
        <v>4814</v>
      </c>
      <c r="L378" s="2" t="s">
        <v>4827</v>
      </c>
      <c r="M378" s="3" t="s">
        <v>1153</v>
      </c>
      <c r="O378" s="3" t="s">
        <v>63</v>
      </c>
      <c r="P378" s="3" t="s">
        <v>4828</v>
      </c>
      <c r="R378" s="3" t="s">
        <v>65</v>
      </c>
      <c r="S378" s="4">
        <v>1</v>
      </c>
      <c r="T378" s="4">
        <v>18</v>
      </c>
      <c r="U378" s="5" t="s">
        <v>4829</v>
      </c>
      <c r="V378" s="5" t="s">
        <v>4830</v>
      </c>
      <c r="W378" s="5" t="s">
        <v>4831</v>
      </c>
      <c r="X378" s="5" t="s">
        <v>3242</v>
      </c>
      <c r="Y378" s="4">
        <v>713</v>
      </c>
      <c r="Z378" s="4">
        <v>580</v>
      </c>
      <c r="AA378" s="4">
        <v>637</v>
      </c>
      <c r="AB378" s="4">
        <v>4</v>
      </c>
      <c r="AC378" s="4">
        <v>4</v>
      </c>
      <c r="AD378" s="4">
        <v>38</v>
      </c>
      <c r="AE378" s="4">
        <v>41</v>
      </c>
      <c r="AF378" s="4">
        <v>14</v>
      </c>
      <c r="AG378" s="4">
        <v>15</v>
      </c>
      <c r="AH378" s="4">
        <v>9</v>
      </c>
      <c r="AI378" s="4">
        <v>11</v>
      </c>
      <c r="AJ378" s="4">
        <v>22</v>
      </c>
      <c r="AK378" s="4">
        <v>23</v>
      </c>
      <c r="AL378" s="4">
        <v>2</v>
      </c>
      <c r="AM378" s="4">
        <v>2</v>
      </c>
      <c r="AN378" s="4">
        <v>0</v>
      </c>
      <c r="AO378" s="4">
        <v>1</v>
      </c>
      <c r="AP378" s="3" t="s">
        <v>58</v>
      </c>
      <c r="AQ378" s="3" t="s">
        <v>68</v>
      </c>
      <c r="AR378" s="6" t="str">
        <f>HYPERLINK("http://catalog.hathitrust.org/Record/000710723","HathiTrust Record")</f>
        <v>HathiTrust Record</v>
      </c>
      <c r="AS378" s="6" t="str">
        <f>HYPERLINK("https://creighton-primo.hosted.exlibrisgroup.com/primo-explore/search?tab=default_tab&amp;search_scope=EVERYTHING&amp;vid=01CRU&amp;lang=en_US&amp;offset=0&amp;query=any,contains,991003375249702656","Catalog Record")</f>
        <v>Catalog Record</v>
      </c>
      <c r="AT378" s="6" t="str">
        <f>HYPERLINK("http://www.worldcat.org/oclc/912175","WorldCat Record")</f>
        <v>WorldCat Record</v>
      </c>
      <c r="AU378" s="3" t="s">
        <v>4832</v>
      </c>
      <c r="AV378" s="3" t="s">
        <v>4833</v>
      </c>
      <c r="AW378" s="3" t="s">
        <v>4834</v>
      </c>
      <c r="AX378" s="3" t="s">
        <v>4834</v>
      </c>
      <c r="AY378" s="3" t="s">
        <v>4835</v>
      </c>
      <c r="AZ378" s="3" t="s">
        <v>73</v>
      </c>
      <c r="BB378" s="3" t="s">
        <v>4836</v>
      </c>
      <c r="BC378" s="3" t="s">
        <v>4837</v>
      </c>
      <c r="BD378" s="3" t="s">
        <v>4838</v>
      </c>
    </row>
    <row r="379" spans="1:56" ht="51" customHeight="1" x14ac:dyDescent="0.25">
      <c r="A379" s="7" t="s">
        <v>58</v>
      </c>
      <c r="B379" s="2" t="s">
        <v>4823</v>
      </c>
      <c r="C379" s="2" t="s">
        <v>4824</v>
      </c>
      <c r="D379" s="2" t="s">
        <v>4825</v>
      </c>
      <c r="E379" s="3" t="s">
        <v>210</v>
      </c>
      <c r="F379" s="3" t="s">
        <v>68</v>
      </c>
      <c r="G379" s="3" t="s">
        <v>59</v>
      </c>
      <c r="H379" s="3" t="s">
        <v>58</v>
      </c>
      <c r="I379" s="3" t="s">
        <v>58</v>
      </c>
      <c r="J379" s="3" t="s">
        <v>60</v>
      </c>
      <c r="K379" s="2" t="s">
        <v>4814</v>
      </c>
      <c r="L379" s="2" t="s">
        <v>4827</v>
      </c>
      <c r="M379" s="3" t="s">
        <v>1153</v>
      </c>
      <c r="O379" s="3" t="s">
        <v>63</v>
      </c>
      <c r="P379" s="3" t="s">
        <v>4828</v>
      </c>
      <c r="R379" s="3" t="s">
        <v>65</v>
      </c>
      <c r="S379" s="4">
        <v>6</v>
      </c>
      <c r="T379" s="4">
        <v>18</v>
      </c>
      <c r="U379" s="5" t="s">
        <v>4830</v>
      </c>
      <c r="V379" s="5" t="s">
        <v>4830</v>
      </c>
      <c r="W379" s="5" t="s">
        <v>1273</v>
      </c>
      <c r="X379" s="5" t="s">
        <v>3242</v>
      </c>
      <c r="Y379" s="4">
        <v>713</v>
      </c>
      <c r="Z379" s="4">
        <v>580</v>
      </c>
      <c r="AA379" s="4">
        <v>637</v>
      </c>
      <c r="AB379" s="4">
        <v>4</v>
      </c>
      <c r="AC379" s="4">
        <v>4</v>
      </c>
      <c r="AD379" s="4">
        <v>38</v>
      </c>
      <c r="AE379" s="4">
        <v>41</v>
      </c>
      <c r="AF379" s="4">
        <v>14</v>
      </c>
      <c r="AG379" s="4">
        <v>15</v>
      </c>
      <c r="AH379" s="4">
        <v>9</v>
      </c>
      <c r="AI379" s="4">
        <v>11</v>
      </c>
      <c r="AJ379" s="4">
        <v>22</v>
      </c>
      <c r="AK379" s="4">
        <v>23</v>
      </c>
      <c r="AL379" s="4">
        <v>2</v>
      </c>
      <c r="AM379" s="4">
        <v>2</v>
      </c>
      <c r="AN379" s="4">
        <v>0</v>
      </c>
      <c r="AO379" s="4">
        <v>1</v>
      </c>
      <c r="AP379" s="3" t="s">
        <v>58</v>
      </c>
      <c r="AQ379" s="3" t="s">
        <v>68</v>
      </c>
      <c r="AR379" s="6" t="str">
        <f>HYPERLINK("http://catalog.hathitrust.org/Record/000710723","HathiTrust Record")</f>
        <v>HathiTrust Record</v>
      </c>
      <c r="AS379" s="6" t="str">
        <f>HYPERLINK("https://creighton-primo.hosted.exlibrisgroup.com/primo-explore/search?tab=default_tab&amp;search_scope=EVERYTHING&amp;vid=01CRU&amp;lang=en_US&amp;offset=0&amp;query=any,contains,991003375249702656","Catalog Record")</f>
        <v>Catalog Record</v>
      </c>
      <c r="AT379" s="6" t="str">
        <f>HYPERLINK("http://www.worldcat.org/oclc/912175","WorldCat Record")</f>
        <v>WorldCat Record</v>
      </c>
      <c r="AU379" s="3" t="s">
        <v>4832</v>
      </c>
      <c r="AV379" s="3" t="s">
        <v>4833</v>
      </c>
      <c r="AW379" s="3" t="s">
        <v>4834</v>
      </c>
      <c r="AX379" s="3" t="s">
        <v>4834</v>
      </c>
      <c r="AY379" s="3" t="s">
        <v>4835</v>
      </c>
      <c r="AZ379" s="3" t="s">
        <v>73</v>
      </c>
      <c r="BB379" s="3" t="s">
        <v>4836</v>
      </c>
      <c r="BC379" s="3" t="s">
        <v>4839</v>
      </c>
      <c r="BD379" s="3" t="s">
        <v>4840</v>
      </c>
    </row>
    <row r="380" spans="1:56" ht="51" customHeight="1" x14ac:dyDescent="0.25">
      <c r="A380" s="7" t="s">
        <v>58</v>
      </c>
      <c r="B380" s="2" t="s">
        <v>4823</v>
      </c>
      <c r="C380" s="2" t="s">
        <v>4824</v>
      </c>
      <c r="D380" s="2" t="s">
        <v>4825</v>
      </c>
      <c r="E380" s="3" t="s">
        <v>4841</v>
      </c>
      <c r="F380" s="3" t="s">
        <v>68</v>
      </c>
      <c r="G380" s="3" t="s">
        <v>59</v>
      </c>
      <c r="H380" s="3" t="s">
        <v>58</v>
      </c>
      <c r="I380" s="3" t="s">
        <v>58</v>
      </c>
      <c r="J380" s="3" t="s">
        <v>60</v>
      </c>
      <c r="K380" s="2" t="s">
        <v>4814</v>
      </c>
      <c r="L380" s="2" t="s">
        <v>4827</v>
      </c>
      <c r="M380" s="3" t="s">
        <v>1153</v>
      </c>
      <c r="O380" s="3" t="s">
        <v>63</v>
      </c>
      <c r="P380" s="3" t="s">
        <v>4828</v>
      </c>
      <c r="R380" s="3" t="s">
        <v>65</v>
      </c>
      <c r="S380" s="4">
        <v>3</v>
      </c>
      <c r="T380" s="4">
        <v>18</v>
      </c>
      <c r="U380" s="5" t="s">
        <v>4829</v>
      </c>
      <c r="V380" s="5" t="s">
        <v>4830</v>
      </c>
      <c r="W380" s="5" t="s">
        <v>4831</v>
      </c>
      <c r="X380" s="5" t="s">
        <v>3242</v>
      </c>
      <c r="Y380" s="4">
        <v>713</v>
      </c>
      <c r="Z380" s="4">
        <v>580</v>
      </c>
      <c r="AA380" s="4">
        <v>637</v>
      </c>
      <c r="AB380" s="4">
        <v>4</v>
      </c>
      <c r="AC380" s="4">
        <v>4</v>
      </c>
      <c r="AD380" s="4">
        <v>38</v>
      </c>
      <c r="AE380" s="4">
        <v>41</v>
      </c>
      <c r="AF380" s="4">
        <v>14</v>
      </c>
      <c r="AG380" s="4">
        <v>15</v>
      </c>
      <c r="AH380" s="4">
        <v>9</v>
      </c>
      <c r="AI380" s="4">
        <v>11</v>
      </c>
      <c r="AJ380" s="4">
        <v>22</v>
      </c>
      <c r="AK380" s="4">
        <v>23</v>
      </c>
      <c r="AL380" s="4">
        <v>2</v>
      </c>
      <c r="AM380" s="4">
        <v>2</v>
      </c>
      <c r="AN380" s="4">
        <v>0</v>
      </c>
      <c r="AO380" s="4">
        <v>1</v>
      </c>
      <c r="AP380" s="3" t="s">
        <v>58</v>
      </c>
      <c r="AQ380" s="3" t="s">
        <v>68</v>
      </c>
      <c r="AR380" s="6" t="str">
        <f>HYPERLINK("http://catalog.hathitrust.org/Record/000710723","HathiTrust Record")</f>
        <v>HathiTrust Record</v>
      </c>
      <c r="AS380" s="6" t="str">
        <f>HYPERLINK("https://creighton-primo.hosted.exlibrisgroup.com/primo-explore/search?tab=default_tab&amp;search_scope=EVERYTHING&amp;vid=01CRU&amp;lang=en_US&amp;offset=0&amp;query=any,contains,991003375249702656","Catalog Record")</f>
        <v>Catalog Record</v>
      </c>
      <c r="AT380" s="6" t="str">
        <f>HYPERLINK("http://www.worldcat.org/oclc/912175","WorldCat Record")</f>
        <v>WorldCat Record</v>
      </c>
      <c r="AU380" s="3" t="s">
        <v>4832</v>
      </c>
      <c r="AV380" s="3" t="s">
        <v>4833</v>
      </c>
      <c r="AW380" s="3" t="s">
        <v>4834</v>
      </c>
      <c r="AX380" s="3" t="s">
        <v>4834</v>
      </c>
      <c r="AY380" s="3" t="s">
        <v>4835</v>
      </c>
      <c r="AZ380" s="3" t="s">
        <v>73</v>
      </c>
      <c r="BB380" s="3" t="s">
        <v>4836</v>
      </c>
      <c r="BC380" s="3" t="s">
        <v>4842</v>
      </c>
      <c r="BD380" s="3" t="s">
        <v>4843</v>
      </c>
    </row>
    <row r="381" spans="1:56" ht="51" customHeight="1" x14ac:dyDescent="0.25">
      <c r="A381" s="7" t="s">
        <v>58</v>
      </c>
      <c r="B381" s="2" t="s">
        <v>4823</v>
      </c>
      <c r="C381" s="2" t="s">
        <v>4824</v>
      </c>
      <c r="D381" s="2" t="s">
        <v>4825</v>
      </c>
      <c r="E381" s="3" t="s">
        <v>223</v>
      </c>
      <c r="F381" s="3" t="s">
        <v>68</v>
      </c>
      <c r="G381" s="3" t="s">
        <v>59</v>
      </c>
      <c r="H381" s="3" t="s">
        <v>58</v>
      </c>
      <c r="I381" s="3" t="s">
        <v>58</v>
      </c>
      <c r="J381" s="3" t="s">
        <v>60</v>
      </c>
      <c r="K381" s="2" t="s">
        <v>4814</v>
      </c>
      <c r="L381" s="2" t="s">
        <v>4827</v>
      </c>
      <c r="M381" s="3" t="s">
        <v>1153</v>
      </c>
      <c r="O381" s="3" t="s">
        <v>63</v>
      </c>
      <c r="P381" s="3" t="s">
        <v>4828</v>
      </c>
      <c r="R381" s="3" t="s">
        <v>65</v>
      </c>
      <c r="S381" s="4">
        <v>8</v>
      </c>
      <c r="T381" s="4">
        <v>18</v>
      </c>
      <c r="U381" s="5" t="s">
        <v>4844</v>
      </c>
      <c r="V381" s="5" t="s">
        <v>4830</v>
      </c>
      <c r="W381" s="5" t="s">
        <v>3242</v>
      </c>
      <c r="X381" s="5" t="s">
        <v>3242</v>
      </c>
      <c r="Y381" s="4">
        <v>713</v>
      </c>
      <c r="Z381" s="4">
        <v>580</v>
      </c>
      <c r="AA381" s="4">
        <v>637</v>
      </c>
      <c r="AB381" s="4">
        <v>4</v>
      </c>
      <c r="AC381" s="4">
        <v>4</v>
      </c>
      <c r="AD381" s="4">
        <v>38</v>
      </c>
      <c r="AE381" s="4">
        <v>41</v>
      </c>
      <c r="AF381" s="4">
        <v>14</v>
      </c>
      <c r="AG381" s="4">
        <v>15</v>
      </c>
      <c r="AH381" s="4">
        <v>9</v>
      </c>
      <c r="AI381" s="4">
        <v>11</v>
      </c>
      <c r="AJ381" s="4">
        <v>22</v>
      </c>
      <c r="AK381" s="4">
        <v>23</v>
      </c>
      <c r="AL381" s="4">
        <v>2</v>
      </c>
      <c r="AM381" s="4">
        <v>2</v>
      </c>
      <c r="AN381" s="4">
        <v>0</v>
      </c>
      <c r="AO381" s="4">
        <v>1</v>
      </c>
      <c r="AP381" s="3" t="s">
        <v>58</v>
      </c>
      <c r="AQ381" s="3" t="s">
        <v>68</v>
      </c>
      <c r="AR381" s="6" t="str">
        <f>HYPERLINK("http://catalog.hathitrust.org/Record/000710723","HathiTrust Record")</f>
        <v>HathiTrust Record</v>
      </c>
      <c r="AS381" s="6" t="str">
        <f>HYPERLINK("https://creighton-primo.hosted.exlibrisgroup.com/primo-explore/search?tab=default_tab&amp;search_scope=EVERYTHING&amp;vid=01CRU&amp;lang=en_US&amp;offset=0&amp;query=any,contains,991003375249702656","Catalog Record")</f>
        <v>Catalog Record</v>
      </c>
      <c r="AT381" s="6" t="str">
        <f>HYPERLINK("http://www.worldcat.org/oclc/912175","WorldCat Record")</f>
        <v>WorldCat Record</v>
      </c>
      <c r="AU381" s="3" t="s">
        <v>4832</v>
      </c>
      <c r="AV381" s="3" t="s">
        <v>4833</v>
      </c>
      <c r="AW381" s="3" t="s">
        <v>4834</v>
      </c>
      <c r="AX381" s="3" t="s">
        <v>4834</v>
      </c>
      <c r="AY381" s="3" t="s">
        <v>4835</v>
      </c>
      <c r="AZ381" s="3" t="s">
        <v>73</v>
      </c>
      <c r="BB381" s="3" t="s">
        <v>4836</v>
      </c>
      <c r="BC381" s="3" t="s">
        <v>4845</v>
      </c>
      <c r="BD381" s="3" t="s">
        <v>4846</v>
      </c>
    </row>
    <row r="382" spans="1:56" ht="51" customHeight="1" x14ac:dyDescent="0.25">
      <c r="A382" s="7" t="s">
        <v>58</v>
      </c>
      <c r="B382" s="2" t="s">
        <v>4847</v>
      </c>
      <c r="C382" s="2" t="s">
        <v>4848</v>
      </c>
      <c r="D382" s="2" t="s">
        <v>4849</v>
      </c>
      <c r="F382" s="3" t="s">
        <v>58</v>
      </c>
      <c r="G382" s="3" t="s">
        <v>59</v>
      </c>
      <c r="H382" s="3" t="s">
        <v>58</v>
      </c>
      <c r="I382" s="3" t="s">
        <v>58</v>
      </c>
      <c r="J382" s="3" t="s">
        <v>60</v>
      </c>
      <c r="K382" s="2" t="s">
        <v>4814</v>
      </c>
      <c r="L382" s="2" t="s">
        <v>4850</v>
      </c>
      <c r="M382" s="3" t="s">
        <v>4851</v>
      </c>
      <c r="O382" s="3" t="s">
        <v>63</v>
      </c>
      <c r="P382" s="3" t="s">
        <v>214</v>
      </c>
      <c r="R382" s="3" t="s">
        <v>65</v>
      </c>
      <c r="S382" s="4">
        <v>2</v>
      </c>
      <c r="T382" s="4">
        <v>2</v>
      </c>
      <c r="U382" s="5" t="s">
        <v>4746</v>
      </c>
      <c r="V382" s="5" t="s">
        <v>4746</v>
      </c>
      <c r="W382" s="5" t="s">
        <v>4852</v>
      </c>
      <c r="X382" s="5" t="s">
        <v>4852</v>
      </c>
      <c r="Y382" s="4">
        <v>794</v>
      </c>
      <c r="Z382" s="4">
        <v>719</v>
      </c>
      <c r="AA382" s="4">
        <v>739</v>
      </c>
      <c r="AB382" s="4">
        <v>6</v>
      </c>
      <c r="AC382" s="4">
        <v>6</v>
      </c>
      <c r="AD382" s="4">
        <v>32</v>
      </c>
      <c r="AE382" s="4">
        <v>33</v>
      </c>
      <c r="AF382" s="4">
        <v>13</v>
      </c>
      <c r="AG382" s="4">
        <v>14</v>
      </c>
      <c r="AH382" s="4">
        <v>5</v>
      </c>
      <c r="AI382" s="4">
        <v>5</v>
      </c>
      <c r="AJ382" s="4">
        <v>19</v>
      </c>
      <c r="AK382" s="4">
        <v>20</v>
      </c>
      <c r="AL382" s="4">
        <v>3</v>
      </c>
      <c r="AM382" s="4">
        <v>3</v>
      </c>
      <c r="AN382" s="4">
        <v>0</v>
      </c>
      <c r="AO382" s="4">
        <v>0</v>
      </c>
      <c r="AP382" s="3" t="s">
        <v>58</v>
      </c>
      <c r="AQ382" s="3" t="s">
        <v>58</v>
      </c>
      <c r="AS382" s="6" t="str">
        <f>HYPERLINK("https://creighton-primo.hosted.exlibrisgroup.com/primo-explore/search?tab=default_tab&amp;search_scope=EVERYTHING&amp;vid=01CRU&amp;lang=en_US&amp;offset=0&amp;query=any,contains,991002892249702656","Catalog Record")</f>
        <v>Catalog Record</v>
      </c>
      <c r="AT382" s="6" t="str">
        <f>HYPERLINK("http://www.worldcat.org/oclc/512261","WorldCat Record")</f>
        <v>WorldCat Record</v>
      </c>
      <c r="AU382" s="3" t="s">
        <v>4853</v>
      </c>
      <c r="AV382" s="3" t="s">
        <v>4854</v>
      </c>
      <c r="AW382" s="3" t="s">
        <v>4855</v>
      </c>
      <c r="AX382" s="3" t="s">
        <v>4855</v>
      </c>
      <c r="AY382" s="3" t="s">
        <v>4856</v>
      </c>
      <c r="AZ382" s="3" t="s">
        <v>73</v>
      </c>
      <c r="BC382" s="3" t="s">
        <v>4857</v>
      </c>
      <c r="BD382" s="3" t="s">
        <v>4858</v>
      </c>
    </row>
    <row r="383" spans="1:56" ht="51" customHeight="1" x14ac:dyDescent="0.25">
      <c r="A383" s="7" t="s">
        <v>58</v>
      </c>
      <c r="B383" s="2" t="s">
        <v>4859</v>
      </c>
      <c r="C383" s="2" t="s">
        <v>4860</v>
      </c>
      <c r="D383" s="2" t="s">
        <v>4861</v>
      </c>
      <c r="F383" s="3" t="s">
        <v>58</v>
      </c>
      <c r="G383" s="3" t="s">
        <v>59</v>
      </c>
      <c r="H383" s="3" t="s">
        <v>58</v>
      </c>
      <c r="I383" s="3" t="s">
        <v>58</v>
      </c>
      <c r="J383" s="3" t="s">
        <v>60</v>
      </c>
      <c r="K383" s="2" t="s">
        <v>4671</v>
      </c>
      <c r="L383" s="2" t="s">
        <v>4862</v>
      </c>
      <c r="M383" s="3" t="s">
        <v>1091</v>
      </c>
      <c r="O383" s="3" t="s">
        <v>63</v>
      </c>
      <c r="P383" s="3" t="s">
        <v>4863</v>
      </c>
      <c r="Q383" s="2" t="s">
        <v>4864</v>
      </c>
      <c r="R383" s="3" t="s">
        <v>65</v>
      </c>
      <c r="S383" s="4">
        <v>1</v>
      </c>
      <c r="T383" s="4">
        <v>1</v>
      </c>
      <c r="U383" s="5" t="s">
        <v>4865</v>
      </c>
      <c r="V383" s="5" t="s">
        <v>4865</v>
      </c>
      <c r="W383" s="5" t="s">
        <v>4865</v>
      </c>
      <c r="X383" s="5" t="s">
        <v>4865</v>
      </c>
      <c r="Y383" s="4">
        <v>130</v>
      </c>
      <c r="Z383" s="4">
        <v>102</v>
      </c>
      <c r="AA383" s="4">
        <v>103</v>
      </c>
      <c r="AB383" s="4">
        <v>1</v>
      </c>
      <c r="AC383" s="4">
        <v>1</v>
      </c>
      <c r="AD383" s="4">
        <v>9</v>
      </c>
      <c r="AE383" s="4">
        <v>10</v>
      </c>
      <c r="AF383" s="4">
        <v>1</v>
      </c>
      <c r="AG383" s="4">
        <v>2</v>
      </c>
      <c r="AH383" s="4">
        <v>4</v>
      </c>
      <c r="AI383" s="4">
        <v>4</v>
      </c>
      <c r="AJ383" s="4">
        <v>7</v>
      </c>
      <c r="AK383" s="4">
        <v>8</v>
      </c>
      <c r="AL383" s="4">
        <v>0</v>
      </c>
      <c r="AM383" s="4">
        <v>0</v>
      </c>
      <c r="AN383" s="4">
        <v>0</v>
      </c>
      <c r="AO383" s="4">
        <v>0</v>
      </c>
      <c r="AP383" s="3" t="s">
        <v>58</v>
      </c>
      <c r="AQ383" s="3" t="s">
        <v>58</v>
      </c>
      <c r="AS383" s="6" t="str">
        <f>HYPERLINK("https://creighton-primo.hosted.exlibrisgroup.com/primo-explore/search?tab=default_tab&amp;search_scope=EVERYTHING&amp;vid=01CRU&amp;lang=en_US&amp;offset=0&amp;query=any,contains,991004145599702656","Catalog Record")</f>
        <v>Catalog Record</v>
      </c>
      <c r="AT383" s="6" t="str">
        <f>HYPERLINK("http://www.worldcat.org/oclc/46895445","WorldCat Record")</f>
        <v>WorldCat Record</v>
      </c>
      <c r="AU383" s="3" t="s">
        <v>4866</v>
      </c>
      <c r="AV383" s="3" t="s">
        <v>4867</v>
      </c>
      <c r="AW383" s="3" t="s">
        <v>4868</v>
      </c>
      <c r="AX383" s="3" t="s">
        <v>4868</v>
      </c>
      <c r="AY383" s="3" t="s">
        <v>4869</v>
      </c>
      <c r="AZ383" s="3" t="s">
        <v>73</v>
      </c>
      <c r="BB383" s="3" t="s">
        <v>4870</v>
      </c>
      <c r="BC383" s="3" t="s">
        <v>4871</v>
      </c>
      <c r="BD383" s="3" t="s">
        <v>4872</v>
      </c>
    </row>
    <row r="384" spans="1:56" ht="51" customHeight="1" x14ac:dyDescent="0.25">
      <c r="A384" s="7" t="s">
        <v>58</v>
      </c>
      <c r="B384" s="2" t="s">
        <v>4873</v>
      </c>
      <c r="C384" s="2" t="s">
        <v>4874</v>
      </c>
      <c r="D384" s="2" t="s">
        <v>4875</v>
      </c>
      <c r="F384" s="3" t="s">
        <v>58</v>
      </c>
      <c r="G384" s="3" t="s">
        <v>59</v>
      </c>
      <c r="H384" s="3" t="s">
        <v>58</v>
      </c>
      <c r="I384" s="3" t="s">
        <v>58</v>
      </c>
      <c r="J384" s="3" t="s">
        <v>60</v>
      </c>
      <c r="K384" s="2" t="s">
        <v>4876</v>
      </c>
      <c r="L384" s="2" t="s">
        <v>4877</v>
      </c>
      <c r="M384" s="3" t="s">
        <v>1399</v>
      </c>
      <c r="O384" s="3" t="s">
        <v>554</v>
      </c>
      <c r="P384" s="3" t="s">
        <v>555</v>
      </c>
      <c r="Q384" s="2" t="s">
        <v>4878</v>
      </c>
      <c r="R384" s="3" t="s">
        <v>65</v>
      </c>
      <c r="S384" s="4">
        <v>1</v>
      </c>
      <c r="T384" s="4">
        <v>1</v>
      </c>
      <c r="U384" s="5" t="s">
        <v>4879</v>
      </c>
      <c r="V384" s="5" t="s">
        <v>4879</v>
      </c>
      <c r="W384" s="5" t="s">
        <v>4880</v>
      </c>
      <c r="X384" s="5" t="s">
        <v>4880</v>
      </c>
      <c r="Y384" s="4">
        <v>131</v>
      </c>
      <c r="Z384" s="4">
        <v>60</v>
      </c>
      <c r="AA384" s="4">
        <v>61</v>
      </c>
      <c r="AB384" s="4">
        <v>1</v>
      </c>
      <c r="AC384" s="4">
        <v>1</v>
      </c>
      <c r="AD384" s="4">
        <v>2</v>
      </c>
      <c r="AE384" s="4">
        <v>2</v>
      </c>
      <c r="AF384" s="4">
        <v>0</v>
      </c>
      <c r="AG384" s="4">
        <v>0</v>
      </c>
      <c r="AH384" s="4">
        <v>1</v>
      </c>
      <c r="AI384" s="4">
        <v>1</v>
      </c>
      <c r="AJ384" s="4">
        <v>1</v>
      </c>
      <c r="AK384" s="4">
        <v>1</v>
      </c>
      <c r="AL384" s="4">
        <v>0</v>
      </c>
      <c r="AM384" s="4">
        <v>0</v>
      </c>
      <c r="AN384" s="4">
        <v>0</v>
      </c>
      <c r="AO384" s="4">
        <v>0</v>
      </c>
      <c r="AP384" s="3" t="s">
        <v>58</v>
      </c>
      <c r="AQ384" s="3" t="s">
        <v>68</v>
      </c>
      <c r="AR384" s="6" t="str">
        <f>HYPERLINK("http://catalog.hathitrust.org/Record/001299380","HathiTrust Record")</f>
        <v>HathiTrust Record</v>
      </c>
      <c r="AS384" s="6" t="str">
        <f>HYPERLINK("https://creighton-primo.hosted.exlibrisgroup.com/primo-explore/search?tab=default_tab&amp;search_scope=EVERYTHING&amp;vid=01CRU&amp;lang=en_US&amp;offset=0&amp;query=any,contains,991001337339702656","Catalog Record")</f>
        <v>Catalog Record</v>
      </c>
      <c r="AT384" s="6" t="str">
        <f>HYPERLINK("http://www.worldcat.org/oclc/18357208","WorldCat Record")</f>
        <v>WorldCat Record</v>
      </c>
      <c r="AU384" s="3" t="s">
        <v>4881</v>
      </c>
      <c r="AV384" s="3" t="s">
        <v>4882</v>
      </c>
      <c r="AW384" s="3" t="s">
        <v>4883</v>
      </c>
      <c r="AX384" s="3" t="s">
        <v>4883</v>
      </c>
      <c r="AY384" s="3" t="s">
        <v>4884</v>
      </c>
      <c r="AZ384" s="3" t="s">
        <v>73</v>
      </c>
      <c r="BB384" s="3" t="s">
        <v>4885</v>
      </c>
      <c r="BC384" s="3" t="s">
        <v>4886</v>
      </c>
      <c r="BD384" s="3" t="s">
        <v>4887</v>
      </c>
    </row>
    <row r="385" spans="1:56" ht="51" customHeight="1" x14ac:dyDescent="0.25">
      <c r="A385" s="7" t="s">
        <v>58</v>
      </c>
      <c r="B385" s="2" t="s">
        <v>4888</v>
      </c>
      <c r="C385" s="2" t="s">
        <v>4889</v>
      </c>
      <c r="D385" s="2" t="s">
        <v>4890</v>
      </c>
      <c r="F385" s="3" t="s">
        <v>58</v>
      </c>
      <c r="G385" s="3" t="s">
        <v>59</v>
      </c>
      <c r="H385" s="3" t="s">
        <v>58</v>
      </c>
      <c r="I385" s="3" t="s">
        <v>58</v>
      </c>
      <c r="J385" s="3" t="s">
        <v>60</v>
      </c>
      <c r="K385" s="2" t="s">
        <v>4891</v>
      </c>
      <c r="L385" s="2" t="s">
        <v>4892</v>
      </c>
      <c r="M385" s="3" t="s">
        <v>800</v>
      </c>
      <c r="N385" s="2" t="s">
        <v>338</v>
      </c>
      <c r="O385" s="3" t="s">
        <v>63</v>
      </c>
      <c r="P385" s="3" t="s">
        <v>214</v>
      </c>
      <c r="R385" s="3" t="s">
        <v>65</v>
      </c>
      <c r="S385" s="4">
        <v>3</v>
      </c>
      <c r="T385" s="4">
        <v>3</v>
      </c>
      <c r="U385" s="5" t="s">
        <v>4893</v>
      </c>
      <c r="V385" s="5" t="s">
        <v>4893</v>
      </c>
      <c r="W385" s="5" t="s">
        <v>4894</v>
      </c>
      <c r="X385" s="5" t="s">
        <v>4894</v>
      </c>
      <c r="Y385" s="4">
        <v>35</v>
      </c>
      <c r="Z385" s="4">
        <v>30</v>
      </c>
      <c r="AA385" s="4">
        <v>38</v>
      </c>
      <c r="AB385" s="4">
        <v>1</v>
      </c>
      <c r="AC385" s="4">
        <v>1</v>
      </c>
      <c r="AD385" s="4">
        <v>1</v>
      </c>
      <c r="AE385" s="4">
        <v>1</v>
      </c>
      <c r="AF385" s="4">
        <v>0</v>
      </c>
      <c r="AG385" s="4">
        <v>0</v>
      </c>
      <c r="AH385" s="4">
        <v>1</v>
      </c>
      <c r="AI385" s="4">
        <v>1</v>
      </c>
      <c r="AJ385" s="4">
        <v>0</v>
      </c>
      <c r="AK385" s="4">
        <v>0</v>
      </c>
      <c r="AL385" s="4">
        <v>0</v>
      </c>
      <c r="AM385" s="4">
        <v>0</v>
      </c>
      <c r="AN385" s="4">
        <v>0</v>
      </c>
      <c r="AO385" s="4">
        <v>0</v>
      </c>
      <c r="AP385" s="3" t="s">
        <v>58</v>
      </c>
      <c r="AQ385" s="3" t="s">
        <v>68</v>
      </c>
      <c r="AR385" s="6" t="str">
        <f>HYPERLINK("http://catalog.hathitrust.org/Record/009932758","HathiTrust Record")</f>
        <v>HathiTrust Record</v>
      </c>
      <c r="AS385" s="6" t="str">
        <f>HYPERLINK("https://creighton-primo.hosted.exlibrisgroup.com/primo-explore/search?tab=default_tab&amp;search_scope=EVERYTHING&amp;vid=01CRU&amp;lang=en_US&amp;offset=0&amp;query=any,contains,991002602459702656","Catalog Record")</f>
        <v>Catalog Record</v>
      </c>
      <c r="AT385" s="6" t="str">
        <f>HYPERLINK("http://www.worldcat.org/oclc/34089904","WorldCat Record")</f>
        <v>WorldCat Record</v>
      </c>
      <c r="AU385" s="3" t="s">
        <v>4895</v>
      </c>
      <c r="AV385" s="3" t="s">
        <v>4896</v>
      </c>
      <c r="AW385" s="3" t="s">
        <v>4897</v>
      </c>
      <c r="AX385" s="3" t="s">
        <v>4897</v>
      </c>
      <c r="AY385" s="3" t="s">
        <v>4898</v>
      </c>
      <c r="AZ385" s="3" t="s">
        <v>73</v>
      </c>
      <c r="BB385" s="3" t="s">
        <v>4899</v>
      </c>
      <c r="BC385" s="3" t="s">
        <v>4900</v>
      </c>
      <c r="BD385" s="3" t="s">
        <v>4901</v>
      </c>
    </row>
    <row r="386" spans="1:56" ht="51" customHeight="1" x14ac:dyDescent="0.25">
      <c r="A386" s="7" t="s">
        <v>58</v>
      </c>
      <c r="B386" s="2" t="s">
        <v>4902</v>
      </c>
      <c r="C386" s="2" t="s">
        <v>4903</v>
      </c>
      <c r="D386" s="2" t="s">
        <v>4904</v>
      </c>
      <c r="F386" s="3" t="s">
        <v>58</v>
      </c>
      <c r="G386" s="3" t="s">
        <v>59</v>
      </c>
      <c r="H386" s="3" t="s">
        <v>58</v>
      </c>
      <c r="I386" s="3" t="s">
        <v>58</v>
      </c>
      <c r="J386" s="3" t="s">
        <v>60</v>
      </c>
      <c r="K386" s="2" t="s">
        <v>4905</v>
      </c>
      <c r="L386" s="2" t="s">
        <v>4906</v>
      </c>
      <c r="M386" s="3" t="s">
        <v>1544</v>
      </c>
      <c r="O386" s="3" t="s">
        <v>63</v>
      </c>
      <c r="P386" s="3" t="s">
        <v>584</v>
      </c>
      <c r="R386" s="3" t="s">
        <v>65</v>
      </c>
      <c r="S386" s="4">
        <v>5</v>
      </c>
      <c r="T386" s="4">
        <v>5</v>
      </c>
      <c r="U386" s="5" t="s">
        <v>4907</v>
      </c>
      <c r="V386" s="5" t="s">
        <v>4907</v>
      </c>
      <c r="W386" s="5" t="s">
        <v>4908</v>
      </c>
      <c r="X386" s="5" t="s">
        <v>4908</v>
      </c>
      <c r="Y386" s="4">
        <v>358</v>
      </c>
      <c r="Z386" s="4">
        <v>254</v>
      </c>
      <c r="AA386" s="4">
        <v>268</v>
      </c>
      <c r="AB386" s="4">
        <v>3</v>
      </c>
      <c r="AC386" s="4">
        <v>3</v>
      </c>
      <c r="AD386" s="4">
        <v>15</v>
      </c>
      <c r="AE386" s="4">
        <v>15</v>
      </c>
      <c r="AF386" s="4">
        <v>4</v>
      </c>
      <c r="AG386" s="4">
        <v>4</v>
      </c>
      <c r="AH386" s="4">
        <v>4</v>
      </c>
      <c r="AI386" s="4">
        <v>4</v>
      </c>
      <c r="AJ386" s="4">
        <v>8</v>
      </c>
      <c r="AK386" s="4">
        <v>8</v>
      </c>
      <c r="AL386" s="4">
        <v>2</v>
      </c>
      <c r="AM386" s="4">
        <v>2</v>
      </c>
      <c r="AN386" s="4">
        <v>0</v>
      </c>
      <c r="AO386" s="4">
        <v>0</v>
      </c>
      <c r="AP386" s="3" t="s">
        <v>58</v>
      </c>
      <c r="AQ386" s="3" t="s">
        <v>58</v>
      </c>
      <c r="AS386" s="6" t="str">
        <f>HYPERLINK("https://creighton-primo.hosted.exlibrisgroup.com/primo-explore/search?tab=default_tab&amp;search_scope=EVERYTHING&amp;vid=01CRU&amp;lang=en_US&amp;offset=0&amp;query=any,contains,991001943629702656","Catalog Record")</f>
        <v>Catalog Record</v>
      </c>
      <c r="AT386" s="6" t="str">
        <f>HYPERLINK("http://www.worldcat.org/oclc/24546179","WorldCat Record")</f>
        <v>WorldCat Record</v>
      </c>
      <c r="AU386" s="3" t="s">
        <v>4909</v>
      </c>
      <c r="AV386" s="3" t="s">
        <v>4910</v>
      </c>
      <c r="AW386" s="3" t="s">
        <v>4911</v>
      </c>
      <c r="AX386" s="3" t="s">
        <v>4911</v>
      </c>
      <c r="AY386" s="3" t="s">
        <v>4912</v>
      </c>
      <c r="AZ386" s="3" t="s">
        <v>73</v>
      </c>
      <c r="BB386" s="3" t="s">
        <v>4913</v>
      </c>
      <c r="BC386" s="3" t="s">
        <v>4914</v>
      </c>
      <c r="BD386" s="3" t="s">
        <v>4915</v>
      </c>
    </row>
    <row r="387" spans="1:56" ht="51" customHeight="1" x14ac:dyDescent="0.25">
      <c r="A387" s="7" t="s">
        <v>58</v>
      </c>
      <c r="B387" s="2" t="s">
        <v>4916</v>
      </c>
      <c r="C387" s="2" t="s">
        <v>4917</v>
      </c>
      <c r="D387" s="2" t="s">
        <v>4918</v>
      </c>
      <c r="F387" s="3" t="s">
        <v>58</v>
      </c>
      <c r="G387" s="3" t="s">
        <v>59</v>
      </c>
      <c r="H387" s="3" t="s">
        <v>58</v>
      </c>
      <c r="I387" s="3" t="s">
        <v>58</v>
      </c>
      <c r="J387" s="3" t="s">
        <v>60</v>
      </c>
      <c r="K387" s="2" t="s">
        <v>4786</v>
      </c>
      <c r="L387" s="2" t="s">
        <v>4919</v>
      </c>
      <c r="M387" s="3" t="s">
        <v>423</v>
      </c>
      <c r="O387" s="3" t="s">
        <v>63</v>
      </c>
      <c r="P387" s="3" t="s">
        <v>584</v>
      </c>
      <c r="Q387" s="2" t="s">
        <v>4920</v>
      </c>
      <c r="R387" s="3" t="s">
        <v>65</v>
      </c>
      <c r="S387" s="4">
        <v>3</v>
      </c>
      <c r="T387" s="4">
        <v>3</v>
      </c>
      <c r="U387" s="5" t="s">
        <v>4921</v>
      </c>
      <c r="V387" s="5" t="s">
        <v>4921</v>
      </c>
      <c r="W387" s="5" t="s">
        <v>3814</v>
      </c>
      <c r="X387" s="5" t="s">
        <v>3814</v>
      </c>
      <c r="Y387" s="4">
        <v>219</v>
      </c>
      <c r="Z387" s="4">
        <v>145</v>
      </c>
      <c r="AA387" s="4">
        <v>147</v>
      </c>
      <c r="AB387" s="4">
        <v>1</v>
      </c>
      <c r="AC387" s="4">
        <v>1</v>
      </c>
      <c r="AD387" s="4">
        <v>8</v>
      </c>
      <c r="AE387" s="4">
        <v>8</v>
      </c>
      <c r="AF387" s="4">
        <v>2</v>
      </c>
      <c r="AG387" s="4">
        <v>2</v>
      </c>
      <c r="AH387" s="4">
        <v>3</v>
      </c>
      <c r="AI387" s="4">
        <v>3</v>
      </c>
      <c r="AJ387" s="4">
        <v>4</v>
      </c>
      <c r="AK387" s="4">
        <v>4</v>
      </c>
      <c r="AL387" s="4">
        <v>0</v>
      </c>
      <c r="AM387" s="4">
        <v>0</v>
      </c>
      <c r="AN387" s="4">
        <v>0</v>
      </c>
      <c r="AO387" s="4">
        <v>0</v>
      </c>
      <c r="AP387" s="3" t="s">
        <v>58</v>
      </c>
      <c r="AQ387" s="3" t="s">
        <v>68</v>
      </c>
      <c r="AR387" s="6" t="str">
        <f>HYPERLINK("http://catalog.hathitrust.org/Record/003991615","HathiTrust Record")</f>
        <v>HathiTrust Record</v>
      </c>
      <c r="AS387" s="6" t="str">
        <f>HYPERLINK("https://creighton-primo.hosted.exlibrisgroup.com/primo-explore/search?tab=default_tab&amp;search_scope=EVERYTHING&amp;vid=01CRU&amp;lang=en_US&amp;offset=0&amp;query=any,contains,991002953399702656","Catalog Record")</f>
        <v>Catalog Record</v>
      </c>
      <c r="AT387" s="6" t="str">
        <f>HYPERLINK("http://www.worldcat.org/oclc/39366967","WorldCat Record")</f>
        <v>WorldCat Record</v>
      </c>
      <c r="AU387" s="3" t="s">
        <v>4922</v>
      </c>
      <c r="AV387" s="3" t="s">
        <v>4923</v>
      </c>
      <c r="AW387" s="3" t="s">
        <v>4924</v>
      </c>
      <c r="AX387" s="3" t="s">
        <v>4924</v>
      </c>
      <c r="AY387" s="3" t="s">
        <v>4925</v>
      </c>
      <c r="AZ387" s="3" t="s">
        <v>73</v>
      </c>
      <c r="BB387" s="3" t="s">
        <v>4926</v>
      </c>
      <c r="BC387" s="3" t="s">
        <v>4927</v>
      </c>
      <c r="BD387" s="3" t="s">
        <v>4928</v>
      </c>
    </row>
    <row r="388" spans="1:56" ht="51" customHeight="1" x14ac:dyDescent="0.25">
      <c r="A388" s="7" t="s">
        <v>58</v>
      </c>
      <c r="B388" s="2" t="s">
        <v>4929</v>
      </c>
      <c r="C388" s="2" t="s">
        <v>4930</v>
      </c>
      <c r="D388" s="2" t="s">
        <v>4931</v>
      </c>
      <c r="F388" s="3" t="s">
        <v>58</v>
      </c>
      <c r="G388" s="3" t="s">
        <v>59</v>
      </c>
      <c r="H388" s="3" t="s">
        <v>58</v>
      </c>
      <c r="I388" s="3" t="s">
        <v>58</v>
      </c>
      <c r="J388" s="3" t="s">
        <v>60</v>
      </c>
      <c r="K388" s="2" t="s">
        <v>4932</v>
      </c>
      <c r="L388" s="2" t="s">
        <v>4933</v>
      </c>
      <c r="M388" s="3" t="s">
        <v>353</v>
      </c>
      <c r="O388" s="3" t="s">
        <v>63</v>
      </c>
      <c r="P388" s="3" t="s">
        <v>760</v>
      </c>
      <c r="R388" s="3" t="s">
        <v>65</v>
      </c>
      <c r="S388" s="4">
        <v>8</v>
      </c>
      <c r="T388" s="4">
        <v>8</v>
      </c>
      <c r="U388" s="5" t="s">
        <v>4746</v>
      </c>
      <c r="V388" s="5" t="s">
        <v>4746</v>
      </c>
      <c r="W388" s="5" t="s">
        <v>1473</v>
      </c>
      <c r="X388" s="5" t="s">
        <v>1473</v>
      </c>
      <c r="Y388" s="4">
        <v>483</v>
      </c>
      <c r="Z388" s="4">
        <v>373</v>
      </c>
      <c r="AA388" s="4">
        <v>373</v>
      </c>
      <c r="AB388" s="4">
        <v>2</v>
      </c>
      <c r="AC388" s="4">
        <v>2</v>
      </c>
      <c r="AD388" s="4">
        <v>20</v>
      </c>
      <c r="AE388" s="4">
        <v>20</v>
      </c>
      <c r="AF388" s="4">
        <v>6</v>
      </c>
      <c r="AG388" s="4">
        <v>6</v>
      </c>
      <c r="AH388" s="4">
        <v>7</v>
      </c>
      <c r="AI388" s="4">
        <v>7</v>
      </c>
      <c r="AJ388" s="4">
        <v>15</v>
      </c>
      <c r="AK388" s="4">
        <v>15</v>
      </c>
      <c r="AL388" s="4">
        <v>1</v>
      </c>
      <c r="AM388" s="4">
        <v>1</v>
      </c>
      <c r="AN388" s="4">
        <v>0</v>
      </c>
      <c r="AO388" s="4">
        <v>0</v>
      </c>
      <c r="AP388" s="3" t="s">
        <v>58</v>
      </c>
      <c r="AQ388" s="3" t="s">
        <v>58</v>
      </c>
      <c r="AS388" s="6" t="str">
        <f>HYPERLINK("https://creighton-primo.hosted.exlibrisgroup.com/primo-explore/search?tab=default_tab&amp;search_scope=EVERYTHING&amp;vid=01CRU&amp;lang=en_US&amp;offset=0&amp;query=any,contains,991001023639702656","Catalog Record")</f>
        <v>Catalog Record</v>
      </c>
      <c r="AT388" s="6" t="str">
        <f>HYPERLINK("http://www.worldcat.org/oclc/15424318","WorldCat Record")</f>
        <v>WorldCat Record</v>
      </c>
      <c r="AU388" s="3" t="s">
        <v>4934</v>
      </c>
      <c r="AV388" s="3" t="s">
        <v>4935</v>
      </c>
      <c r="AW388" s="3" t="s">
        <v>4936</v>
      </c>
      <c r="AX388" s="3" t="s">
        <v>4936</v>
      </c>
      <c r="AY388" s="3" t="s">
        <v>4937</v>
      </c>
      <c r="AZ388" s="3" t="s">
        <v>73</v>
      </c>
      <c r="BB388" s="3" t="s">
        <v>4938</v>
      </c>
      <c r="BC388" s="3" t="s">
        <v>4939</v>
      </c>
      <c r="BD388" s="3" t="s">
        <v>4940</v>
      </c>
    </row>
    <row r="389" spans="1:56" ht="51" customHeight="1" x14ac:dyDescent="0.25">
      <c r="A389" s="7" t="s">
        <v>58</v>
      </c>
      <c r="B389" s="2" t="s">
        <v>4941</v>
      </c>
      <c r="C389" s="2" t="s">
        <v>4942</v>
      </c>
      <c r="D389" s="2" t="s">
        <v>4943</v>
      </c>
      <c r="F389" s="3" t="s">
        <v>58</v>
      </c>
      <c r="G389" s="3" t="s">
        <v>59</v>
      </c>
      <c r="H389" s="3" t="s">
        <v>58</v>
      </c>
      <c r="I389" s="3" t="s">
        <v>58</v>
      </c>
      <c r="J389" s="3" t="s">
        <v>60</v>
      </c>
      <c r="K389" s="2" t="s">
        <v>465</v>
      </c>
      <c r="L389" s="2" t="s">
        <v>4944</v>
      </c>
      <c r="M389" s="3" t="s">
        <v>368</v>
      </c>
      <c r="O389" s="3" t="s">
        <v>63</v>
      </c>
      <c r="P389" s="3" t="s">
        <v>214</v>
      </c>
      <c r="R389" s="3" t="s">
        <v>65</v>
      </c>
      <c r="S389" s="4">
        <v>3</v>
      </c>
      <c r="T389" s="4">
        <v>3</v>
      </c>
      <c r="U389" s="5" t="s">
        <v>3566</v>
      </c>
      <c r="V389" s="5" t="s">
        <v>3566</v>
      </c>
      <c r="W389" s="5" t="s">
        <v>3348</v>
      </c>
      <c r="X389" s="5" t="s">
        <v>3348</v>
      </c>
      <c r="Y389" s="4">
        <v>532</v>
      </c>
      <c r="Z389" s="4">
        <v>488</v>
      </c>
      <c r="AA389" s="4">
        <v>547</v>
      </c>
      <c r="AB389" s="4">
        <v>5</v>
      </c>
      <c r="AC389" s="4">
        <v>6</v>
      </c>
      <c r="AD389" s="4">
        <v>22</v>
      </c>
      <c r="AE389" s="4">
        <v>23</v>
      </c>
      <c r="AF389" s="4">
        <v>7</v>
      </c>
      <c r="AG389" s="4">
        <v>7</v>
      </c>
      <c r="AH389" s="4">
        <v>5</v>
      </c>
      <c r="AI389" s="4">
        <v>5</v>
      </c>
      <c r="AJ389" s="4">
        <v>11</v>
      </c>
      <c r="AK389" s="4">
        <v>11</v>
      </c>
      <c r="AL389" s="4">
        <v>4</v>
      </c>
      <c r="AM389" s="4">
        <v>5</v>
      </c>
      <c r="AN389" s="4">
        <v>0</v>
      </c>
      <c r="AO389" s="4">
        <v>0</v>
      </c>
      <c r="AP389" s="3" t="s">
        <v>58</v>
      </c>
      <c r="AQ389" s="3" t="s">
        <v>68</v>
      </c>
      <c r="AR389" s="6" t="str">
        <f>HYPERLINK("http://catalog.hathitrust.org/Record/000034887","HathiTrust Record")</f>
        <v>HathiTrust Record</v>
      </c>
      <c r="AS389" s="6" t="str">
        <f>HYPERLINK("https://creighton-primo.hosted.exlibrisgroup.com/primo-explore/search?tab=default_tab&amp;search_scope=EVERYTHING&amp;vid=01CRU&amp;lang=en_US&amp;offset=0&amp;query=any,contains,991003691049702656","Catalog Record")</f>
        <v>Catalog Record</v>
      </c>
      <c r="AT389" s="6" t="str">
        <f>HYPERLINK("http://www.worldcat.org/oclc/1322192","WorldCat Record")</f>
        <v>WorldCat Record</v>
      </c>
      <c r="AU389" s="3" t="s">
        <v>4945</v>
      </c>
      <c r="AV389" s="3" t="s">
        <v>4946</v>
      </c>
      <c r="AW389" s="3" t="s">
        <v>4947</v>
      </c>
      <c r="AX389" s="3" t="s">
        <v>4947</v>
      </c>
      <c r="AY389" s="3" t="s">
        <v>4948</v>
      </c>
      <c r="AZ389" s="3" t="s">
        <v>73</v>
      </c>
      <c r="BB389" s="3" t="s">
        <v>4949</v>
      </c>
      <c r="BC389" s="3" t="s">
        <v>4950</v>
      </c>
      <c r="BD389" s="3" t="s">
        <v>4951</v>
      </c>
    </row>
    <row r="390" spans="1:56" ht="51" customHeight="1" x14ac:dyDescent="0.25">
      <c r="A390" s="7" t="s">
        <v>58</v>
      </c>
      <c r="B390" s="2" t="s">
        <v>4952</v>
      </c>
      <c r="C390" s="2" t="s">
        <v>4953</v>
      </c>
      <c r="D390" s="2" t="s">
        <v>4954</v>
      </c>
      <c r="F390" s="3" t="s">
        <v>58</v>
      </c>
      <c r="G390" s="3" t="s">
        <v>59</v>
      </c>
      <c r="H390" s="3" t="s">
        <v>58</v>
      </c>
      <c r="I390" s="3" t="s">
        <v>58</v>
      </c>
      <c r="J390" s="3" t="s">
        <v>60</v>
      </c>
      <c r="K390" s="2" t="s">
        <v>4955</v>
      </c>
      <c r="L390" s="2" t="s">
        <v>4956</v>
      </c>
      <c r="M390" s="3" t="s">
        <v>951</v>
      </c>
      <c r="O390" s="3" t="s">
        <v>63</v>
      </c>
      <c r="P390" s="3" t="s">
        <v>4828</v>
      </c>
      <c r="R390" s="3" t="s">
        <v>65</v>
      </c>
      <c r="S390" s="4">
        <v>1</v>
      </c>
      <c r="T390" s="4">
        <v>1</v>
      </c>
      <c r="U390" s="5" t="s">
        <v>4957</v>
      </c>
      <c r="V390" s="5" t="s">
        <v>4957</v>
      </c>
      <c r="W390" s="5" t="s">
        <v>4958</v>
      </c>
      <c r="X390" s="5" t="s">
        <v>4958</v>
      </c>
      <c r="Y390" s="4">
        <v>252</v>
      </c>
      <c r="Z390" s="4">
        <v>200</v>
      </c>
      <c r="AA390" s="4">
        <v>532</v>
      </c>
      <c r="AB390" s="4">
        <v>1</v>
      </c>
      <c r="AC390" s="4">
        <v>5</v>
      </c>
      <c r="AD390" s="4">
        <v>12</v>
      </c>
      <c r="AE390" s="4">
        <v>27</v>
      </c>
      <c r="AF390" s="4">
        <v>2</v>
      </c>
      <c r="AG390" s="4">
        <v>8</v>
      </c>
      <c r="AH390" s="4">
        <v>5</v>
      </c>
      <c r="AI390" s="4">
        <v>8</v>
      </c>
      <c r="AJ390" s="4">
        <v>7</v>
      </c>
      <c r="AK390" s="4">
        <v>11</v>
      </c>
      <c r="AL390" s="4">
        <v>0</v>
      </c>
      <c r="AM390" s="4">
        <v>4</v>
      </c>
      <c r="AN390" s="4">
        <v>0</v>
      </c>
      <c r="AO390" s="4">
        <v>0</v>
      </c>
      <c r="AP390" s="3" t="s">
        <v>58</v>
      </c>
      <c r="AQ390" s="3" t="s">
        <v>58</v>
      </c>
      <c r="AS390" s="6" t="str">
        <f>HYPERLINK("https://creighton-primo.hosted.exlibrisgroup.com/primo-explore/search?tab=default_tab&amp;search_scope=EVERYTHING&amp;vid=01CRU&amp;lang=en_US&amp;offset=0&amp;query=any,contains,991003229159702656","Catalog Record")</f>
        <v>Catalog Record</v>
      </c>
      <c r="AT390" s="6" t="str">
        <f>HYPERLINK("http://www.worldcat.org/oclc/42136207","WorldCat Record")</f>
        <v>WorldCat Record</v>
      </c>
      <c r="AU390" s="3" t="s">
        <v>4959</v>
      </c>
      <c r="AV390" s="3" t="s">
        <v>4960</v>
      </c>
      <c r="AW390" s="3" t="s">
        <v>4961</v>
      </c>
      <c r="AX390" s="3" t="s">
        <v>4961</v>
      </c>
      <c r="AY390" s="3" t="s">
        <v>4962</v>
      </c>
      <c r="AZ390" s="3" t="s">
        <v>73</v>
      </c>
      <c r="BB390" s="3" t="s">
        <v>4963</v>
      </c>
      <c r="BC390" s="3" t="s">
        <v>4964</v>
      </c>
      <c r="BD390" s="3" t="s">
        <v>4965</v>
      </c>
    </row>
    <row r="391" spans="1:56" ht="51" customHeight="1" x14ac:dyDescent="0.25">
      <c r="A391" s="7" t="s">
        <v>58</v>
      </c>
      <c r="B391" s="2" t="s">
        <v>4966</v>
      </c>
      <c r="C391" s="2" t="s">
        <v>4967</v>
      </c>
      <c r="D391" s="2" t="s">
        <v>4968</v>
      </c>
      <c r="F391" s="3" t="s">
        <v>58</v>
      </c>
      <c r="G391" s="3" t="s">
        <v>59</v>
      </c>
      <c r="H391" s="3" t="s">
        <v>58</v>
      </c>
      <c r="I391" s="3" t="s">
        <v>58</v>
      </c>
      <c r="J391" s="3" t="s">
        <v>60</v>
      </c>
      <c r="K391" s="2" t="s">
        <v>4969</v>
      </c>
      <c r="L391" s="2" t="s">
        <v>4970</v>
      </c>
      <c r="M391" s="3" t="s">
        <v>951</v>
      </c>
      <c r="O391" s="3" t="s">
        <v>63</v>
      </c>
      <c r="P391" s="3" t="s">
        <v>2061</v>
      </c>
      <c r="Q391" s="2" t="s">
        <v>4971</v>
      </c>
      <c r="R391" s="3" t="s">
        <v>65</v>
      </c>
      <c r="S391" s="4">
        <v>2</v>
      </c>
      <c r="T391" s="4">
        <v>2</v>
      </c>
      <c r="U391" s="5" t="s">
        <v>655</v>
      </c>
      <c r="V391" s="5" t="s">
        <v>655</v>
      </c>
      <c r="W391" s="5" t="s">
        <v>4972</v>
      </c>
      <c r="X391" s="5" t="s">
        <v>4972</v>
      </c>
      <c r="Y391" s="4">
        <v>428</v>
      </c>
      <c r="Z391" s="4">
        <v>351</v>
      </c>
      <c r="AA391" s="4">
        <v>351</v>
      </c>
      <c r="AB391" s="4">
        <v>1</v>
      </c>
      <c r="AC391" s="4">
        <v>1</v>
      </c>
      <c r="AD391" s="4">
        <v>27</v>
      </c>
      <c r="AE391" s="4">
        <v>27</v>
      </c>
      <c r="AF391" s="4">
        <v>12</v>
      </c>
      <c r="AG391" s="4">
        <v>12</v>
      </c>
      <c r="AH391" s="4">
        <v>6</v>
      </c>
      <c r="AI391" s="4">
        <v>6</v>
      </c>
      <c r="AJ391" s="4">
        <v>16</v>
      </c>
      <c r="AK391" s="4">
        <v>16</v>
      </c>
      <c r="AL391" s="4">
        <v>0</v>
      </c>
      <c r="AM391" s="4">
        <v>0</v>
      </c>
      <c r="AN391" s="4">
        <v>0</v>
      </c>
      <c r="AO391" s="4">
        <v>0</v>
      </c>
      <c r="AP391" s="3" t="s">
        <v>58</v>
      </c>
      <c r="AQ391" s="3" t="s">
        <v>58</v>
      </c>
      <c r="AS391" s="6" t="str">
        <f>HYPERLINK("https://creighton-primo.hosted.exlibrisgroup.com/primo-explore/search?tab=default_tab&amp;search_scope=EVERYTHING&amp;vid=01CRU&amp;lang=en_US&amp;offset=0&amp;query=any,contains,991003695669702656","Catalog Record")</f>
        <v>Catalog Record</v>
      </c>
      <c r="AT391" s="6" t="str">
        <f>HYPERLINK("http://www.worldcat.org/oclc/43441569","WorldCat Record")</f>
        <v>WorldCat Record</v>
      </c>
      <c r="AU391" s="3" t="s">
        <v>4973</v>
      </c>
      <c r="AV391" s="3" t="s">
        <v>4974</v>
      </c>
      <c r="AW391" s="3" t="s">
        <v>4975</v>
      </c>
      <c r="AX391" s="3" t="s">
        <v>4975</v>
      </c>
      <c r="AY391" s="3" t="s">
        <v>4976</v>
      </c>
      <c r="AZ391" s="3" t="s">
        <v>73</v>
      </c>
      <c r="BB391" s="3" t="s">
        <v>4977</v>
      </c>
      <c r="BC391" s="3" t="s">
        <v>4978</v>
      </c>
      <c r="BD391" s="3" t="s">
        <v>4979</v>
      </c>
    </row>
    <row r="392" spans="1:56" ht="51" customHeight="1" x14ac:dyDescent="0.25">
      <c r="A392" s="7" t="s">
        <v>58</v>
      </c>
      <c r="B392" s="2" t="s">
        <v>4980</v>
      </c>
      <c r="C392" s="2" t="s">
        <v>4981</v>
      </c>
      <c r="D392" s="2" t="s">
        <v>4982</v>
      </c>
      <c r="F392" s="3" t="s">
        <v>58</v>
      </c>
      <c r="G392" s="3" t="s">
        <v>59</v>
      </c>
      <c r="H392" s="3" t="s">
        <v>58</v>
      </c>
      <c r="I392" s="3" t="s">
        <v>58</v>
      </c>
      <c r="J392" s="3" t="s">
        <v>60</v>
      </c>
      <c r="K392" s="2" t="s">
        <v>4983</v>
      </c>
      <c r="L392" s="2" t="s">
        <v>4984</v>
      </c>
      <c r="M392" s="3" t="s">
        <v>196</v>
      </c>
      <c r="O392" s="3" t="s">
        <v>63</v>
      </c>
      <c r="P392" s="3" t="s">
        <v>451</v>
      </c>
      <c r="Q392" s="2" t="s">
        <v>4985</v>
      </c>
      <c r="R392" s="3" t="s">
        <v>65</v>
      </c>
      <c r="S392" s="4">
        <v>1</v>
      </c>
      <c r="T392" s="4">
        <v>1</v>
      </c>
      <c r="U392" s="5" t="s">
        <v>4986</v>
      </c>
      <c r="V392" s="5" t="s">
        <v>4986</v>
      </c>
      <c r="W392" s="5" t="s">
        <v>4987</v>
      </c>
      <c r="X392" s="5" t="s">
        <v>4987</v>
      </c>
      <c r="Y392" s="4">
        <v>249</v>
      </c>
      <c r="Z392" s="4">
        <v>213</v>
      </c>
      <c r="AA392" s="4">
        <v>638</v>
      </c>
      <c r="AB392" s="4">
        <v>2</v>
      </c>
      <c r="AC392" s="4">
        <v>5</v>
      </c>
      <c r="AD392" s="4">
        <v>15</v>
      </c>
      <c r="AE392" s="4">
        <v>22</v>
      </c>
      <c r="AF392" s="4">
        <v>4</v>
      </c>
      <c r="AG392" s="4">
        <v>8</v>
      </c>
      <c r="AH392" s="4">
        <v>6</v>
      </c>
      <c r="AI392" s="4">
        <v>6</v>
      </c>
      <c r="AJ392" s="4">
        <v>9</v>
      </c>
      <c r="AK392" s="4">
        <v>10</v>
      </c>
      <c r="AL392" s="4">
        <v>1</v>
      </c>
      <c r="AM392" s="4">
        <v>4</v>
      </c>
      <c r="AN392" s="4">
        <v>0</v>
      </c>
      <c r="AO392" s="4">
        <v>0</v>
      </c>
      <c r="AP392" s="3" t="s">
        <v>58</v>
      </c>
      <c r="AQ392" s="3" t="s">
        <v>68</v>
      </c>
      <c r="AR392" s="6" t="str">
        <f>HYPERLINK("http://catalog.hathitrust.org/Record/003069828","HathiTrust Record")</f>
        <v>HathiTrust Record</v>
      </c>
      <c r="AS392" s="6" t="str">
        <f>HYPERLINK("https://creighton-primo.hosted.exlibrisgroup.com/primo-explore/search?tab=default_tab&amp;search_scope=EVERYTHING&amp;vid=01CRU&amp;lang=en_US&amp;offset=0&amp;query=any,contains,991002663169702656","Catalog Record")</f>
        <v>Catalog Record</v>
      </c>
      <c r="AT392" s="6" t="str">
        <f>HYPERLINK("http://www.worldcat.org/oclc/34799902","WorldCat Record")</f>
        <v>WorldCat Record</v>
      </c>
      <c r="AU392" s="3" t="s">
        <v>4988</v>
      </c>
      <c r="AV392" s="3" t="s">
        <v>4989</v>
      </c>
      <c r="AW392" s="3" t="s">
        <v>4990</v>
      </c>
      <c r="AX392" s="3" t="s">
        <v>4990</v>
      </c>
      <c r="AY392" s="3" t="s">
        <v>4991</v>
      </c>
      <c r="AZ392" s="3" t="s">
        <v>73</v>
      </c>
      <c r="BB392" s="3" t="s">
        <v>4992</v>
      </c>
      <c r="BC392" s="3" t="s">
        <v>4993</v>
      </c>
      <c r="BD392" s="3" t="s">
        <v>4994</v>
      </c>
    </row>
    <row r="393" spans="1:56" ht="51" customHeight="1" x14ac:dyDescent="0.25">
      <c r="A393" s="7" t="s">
        <v>58</v>
      </c>
      <c r="B393" s="2" t="s">
        <v>4995</v>
      </c>
      <c r="C393" s="2" t="s">
        <v>4996</v>
      </c>
      <c r="D393" s="2" t="s">
        <v>4997</v>
      </c>
      <c r="F393" s="3" t="s">
        <v>58</v>
      </c>
      <c r="G393" s="3" t="s">
        <v>59</v>
      </c>
      <c r="H393" s="3" t="s">
        <v>58</v>
      </c>
      <c r="I393" s="3" t="s">
        <v>58</v>
      </c>
      <c r="J393" s="3" t="s">
        <v>60</v>
      </c>
      <c r="K393" s="2" t="s">
        <v>4998</v>
      </c>
      <c r="L393" s="2" t="s">
        <v>4999</v>
      </c>
      <c r="M393" s="3" t="s">
        <v>2214</v>
      </c>
      <c r="N393" s="2" t="s">
        <v>338</v>
      </c>
      <c r="O393" s="3" t="s">
        <v>63</v>
      </c>
      <c r="P393" s="3" t="s">
        <v>214</v>
      </c>
      <c r="R393" s="3" t="s">
        <v>65</v>
      </c>
      <c r="S393" s="4">
        <v>1</v>
      </c>
      <c r="T393" s="4">
        <v>1</v>
      </c>
      <c r="U393" s="5" t="s">
        <v>5000</v>
      </c>
      <c r="V393" s="5" t="s">
        <v>5000</v>
      </c>
      <c r="W393" s="5" t="s">
        <v>5000</v>
      </c>
      <c r="X393" s="5" t="s">
        <v>5000</v>
      </c>
      <c r="Y393" s="4">
        <v>989</v>
      </c>
      <c r="Z393" s="4">
        <v>922</v>
      </c>
      <c r="AA393" s="4">
        <v>989</v>
      </c>
      <c r="AB393" s="4">
        <v>7</v>
      </c>
      <c r="AC393" s="4">
        <v>7</v>
      </c>
      <c r="AD393" s="4">
        <v>33</v>
      </c>
      <c r="AE393" s="4">
        <v>34</v>
      </c>
      <c r="AF393" s="4">
        <v>13</v>
      </c>
      <c r="AG393" s="4">
        <v>14</v>
      </c>
      <c r="AH393" s="4">
        <v>7</v>
      </c>
      <c r="AI393" s="4">
        <v>8</v>
      </c>
      <c r="AJ393" s="4">
        <v>14</v>
      </c>
      <c r="AK393" s="4">
        <v>14</v>
      </c>
      <c r="AL393" s="4">
        <v>6</v>
      </c>
      <c r="AM393" s="4">
        <v>6</v>
      </c>
      <c r="AN393" s="4">
        <v>0</v>
      </c>
      <c r="AO393" s="4">
        <v>0</v>
      </c>
      <c r="AP393" s="3" t="s">
        <v>58</v>
      </c>
      <c r="AQ393" s="3" t="s">
        <v>58</v>
      </c>
      <c r="AS393" s="6" t="str">
        <f>HYPERLINK("https://creighton-primo.hosted.exlibrisgroup.com/primo-explore/search?tab=default_tab&amp;search_scope=EVERYTHING&amp;vid=01CRU&amp;lang=en_US&amp;offset=0&amp;query=any,contains,991004587729702656","Catalog Record")</f>
        <v>Catalog Record</v>
      </c>
      <c r="AT393" s="6" t="str">
        <f>HYPERLINK("http://www.worldcat.org/oclc/55877545","WorldCat Record")</f>
        <v>WorldCat Record</v>
      </c>
      <c r="AU393" s="3" t="s">
        <v>5001</v>
      </c>
      <c r="AV393" s="3" t="s">
        <v>5002</v>
      </c>
      <c r="AW393" s="3" t="s">
        <v>5003</v>
      </c>
      <c r="AX393" s="3" t="s">
        <v>5003</v>
      </c>
      <c r="AY393" s="3" t="s">
        <v>5004</v>
      </c>
      <c r="AZ393" s="3" t="s">
        <v>73</v>
      </c>
      <c r="BB393" s="3" t="s">
        <v>5005</v>
      </c>
      <c r="BC393" s="3" t="s">
        <v>5006</v>
      </c>
      <c r="BD393" s="3" t="s">
        <v>5007</v>
      </c>
    </row>
    <row r="394" spans="1:56" ht="51" customHeight="1" x14ac:dyDescent="0.25">
      <c r="A394" s="7" t="s">
        <v>58</v>
      </c>
      <c r="B394" s="2" t="s">
        <v>5008</v>
      </c>
      <c r="C394" s="2" t="s">
        <v>5009</v>
      </c>
      <c r="D394" s="2" t="s">
        <v>5010</v>
      </c>
      <c r="F394" s="3" t="s">
        <v>58</v>
      </c>
      <c r="G394" s="3" t="s">
        <v>59</v>
      </c>
      <c r="H394" s="3" t="s">
        <v>58</v>
      </c>
      <c r="I394" s="3" t="s">
        <v>58</v>
      </c>
      <c r="J394" s="3" t="s">
        <v>60</v>
      </c>
      <c r="K394" s="2" t="s">
        <v>4891</v>
      </c>
      <c r="L394" s="2" t="s">
        <v>5011</v>
      </c>
      <c r="M394" s="3" t="s">
        <v>855</v>
      </c>
      <c r="N394" s="2" t="s">
        <v>338</v>
      </c>
      <c r="O394" s="3" t="s">
        <v>63</v>
      </c>
      <c r="P394" s="3" t="s">
        <v>214</v>
      </c>
      <c r="R394" s="3" t="s">
        <v>65</v>
      </c>
      <c r="S394" s="4">
        <v>3</v>
      </c>
      <c r="T394" s="4">
        <v>3</v>
      </c>
      <c r="U394" s="5" t="s">
        <v>156</v>
      </c>
      <c r="V394" s="5" t="s">
        <v>156</v>
      </c>
      <c r="W394" s="5" t="s">
        <v>4894</v>
      </c>
      <c r="X394" s="5" t="s">
        <v>4894</v>
      </c>
      <c r="Y394" s="4">
        <v>35</v>
      </c>
      <c r="Z394" s="4">
        <v>31</v>
      </c>
      <c r="AA394" s="4">
        <v>51</v>
      </c>
      <c r="AB394" s="4">
        <v>1</v>
      </c>
      <c r="AC394" s="4">
        <v>1</v>
      </c>
      <c r="AD394" s="4">
        <v>0</v>
      </c>
      <c r="AE394" s="4">
        <v>1</v>
      </c>
      <c r="AF394" s="4">
        <v>0</v>
      </c>
      <c r="AG394" s="4">
        <v>0</v>
      </c>
      <c r="AH394" s="4">
        <v>0</v>
      </c>
      <c r="AI394" s="4">
        <v>1</v>
      </c>
      <c r="AJ394" s="4">
        <v>0</v>
      </c>
      <c r="AK394" s="4">
        <v>0</v>
      </c>
      <c r="AL394" s="4">
        <v>0</v>
      </c>
      <c r="AM394" s="4">
        <v>0</v>
      </c>
      <c r="AN394" s="4">
        <v>0</v>
      </c>
      <c r="AO394" s="4">
        <v>0</v>
      </c>
      <c r="AP394" s="3" t="s">
        <v>58</v>
      </c>
      <c r="AQ394" s="3" t="s">
        <v>68</v>
      </c>
      <c r="AR394" s="6" t="str">
        <f>HYPERLINK("http://catalog.hathitrust.org/Record/009813172","HathiTrust Record")</f>
        <v>HathiTrust Record</v>
      </c>
      <c r="AS394" s="6" t="str">
        <f>HYPERLINK("https://creighton-primo.hosted.exlibrisgroup.com/primo-explore/search?tab=default_tab&amp;search_scope=EVERYTHING&amp;vid=01CRU&amp;lang=en_US&amp;offset=0&amp;query=any,contains,991002292909702656","Catalog Record")</f>
        <v>Catalog Record</v>
      </c>
      <c r="AT394" s="6" t="str">
        <f>HYPERLINK("http://www.worldcat.org/oclc/29709483","WorldCat Record")</f>
        <v>WorldCat Record</v>
      </c>
      <c r="AU394" s="3" t="s">
        <v>5012</v>
      </c>
      <c r="AV394" s="3" t="s">
        <v>5013</v>
      </c>
      <c r="AW394" s="3" t="s">
        <v>5014</v>
      </c>
      <c r="AX394" s="3" t="s">
        <v>5014</v>
      </c>
      <c r="AY394" s="3" t="s">
        <v>5015</v>
      </c>
      <c r="AZ394" s="3" t="s">
        <v>73</v>
      </c>
      <c r="BC394" s="3" t="s">
        <v>5016</v>
      </c>
      <c r="BD394" s="3" t="s">
        <v>5017</v>
      </c>
    </row>
    <row r="395" spans="1:56" ht="51" customHeight="1" x14ac:dyDescent="0.25">
      <c r="A395" s="7" t="s">
        <v>58</v>
      </c>
      <c r="B395" s="2" t="s">
        <v>5018</v>
      </c>
      <c r="C395" s="2" t="s">
        <v>5019</v>
      </c>
      <c r="D395" s="2" t="s">
        <v>5020</v>
      </c>
      <c r="F395" s="3" t="s">
        <v>58</v>
      </c>
      <c r="G395" s="3" t="s">
        <v>59</v>
      </c>
      <c r="H395" s="3" t="s">
        <v>58</v>
      </c>
      <c r="I395" s="3" t="s">
        <v>58</v>
      </c>
      <c r="J395" s="3" t="s">
        <v>60</v>
      </c>
      <c r="K395" s="2" t="s">
        <v>5021</v>
      </c>
      <c r="L395" s="2" t="s">
        <v>3416</v>
      </c>
      <c r="M395" s="3" t="s">
        <v>397</v>
      </c>
      <c r="N395" s="2" t="s">
        <v>338</v>
      </c>
      <c r="O395" s="3" t="s">
        <v>63</v>
      </c>
      <c r="P395" s="3" t="s">
        <v>214</v>
      </c>
      <c r="R395" s="3" t="s">
        <v>65</v>
      </c>
      <c r="S395" s="4">
        <v>1</v>
      </c>
      <c r="T395" s="4">
        <v>1</v>
      </c>
      <c r="U395" s="5" t="s">
        <v>5022</v>
      </c>
      <c r="V395" s="5" t="s">
        <v>5022</v>
      </c>
      <c r="W395" s="5" t="s">
        <v>585</v>
      </c>
      <c r="X395" s="5" t="s">
        <v>585</v>
      </c>
      <c r="Y395" s="4">
        <v>451</v>
      </c>
      <c r="Z395" s="4">
        <v>382</v>
      </c>
      <c r="AA395" s="4">
        <v>391</v>
      </c>
      <c r="AB395" s="4">
        <v>4</v>
      </c>
      <c r="AC395" s="4">
        <v>4</v>
      </c>
      <c r="AD395" s="4">
        <v>15</v>
      </c>
      <c r="AE395" s="4">
        <v>15</v>
      </c>
      <c r="AF395" s="4">
        <v>3</v>
      </c>
      <c r="AG395" s="4">
        <v>3</v>
      </c>
      <c r="AH395" s="4">
        <v>6</v>
      </c>
      <c r="AI395" s="4">
        <v>6</v>
      </c>
      <c r="AJ395" s="4">
        <v>7</v>
      </c>
      <c r="AK395" s="4">
        <v>7</v>
      </c>
      <c r="AL395" s="4">
        <v>3</v>
      </c>
      <c r="AM395" s="4">
        <v>3</v>
      </c>
      <c r="AN395" s="4">
        <v>0</v>
      </c>
      <c r="AO395" s="4">
        <v>0</v>
      </c>
      <c r="AP395" s="3" t="s">
        <v>58</v>
      </c>
      <c r="AQ395" s="3" t="s">
        <v>68</v>
      </c>
      <c r="AR395" s="6" t="str">
        <f>HYPERLINK("http://catalog.hathitrust.org/Record/000467134","HathiTrust Record")</f>
        <v>HathiTrust Record</v>
      </c>
      <c r="AS395" s="6" t="str">
        <f>HYPERLINK("https://creighton-primo.hosted.exlibrisgroup.com/primo-explore/search?tab=default_tab&amp;search_scope=EVERYTHING&amp;vid=01CRU&amp;lang=en_US&amp;offset=0&amp;query=any,contains,991000677719702656","Catalog Record")</f>
        <v>Catalog Record</v>
      </c>
      <c r="AT395" s="6" t="str">
        <f>HYPERLINK("http://www.worldcat.org/oclc/12370448","WorldCat Record")</f>
        <v>WorldCat Record</v>
      </c>
      <c r="AU395" s="3" t="s">
        <v>5023</v>
      </c>
      <c r="AV395" s="3" t="s">
        <v>5024</v>
      </c>
      <c r="AW395" s="3" t="s">
        <v>5025</v>
      </c>
      <c r="AX395" s="3" t="s">
        <v>5025</v>
      </c>
      <c r="AY395" s="3" t="s">
        <v>5026</v>
      </c>
      <c r="AZ395" s="3" t="s">
        <v>73</v>
      </c>
      <c r="BB395" s="3" t="s">
        <v>5027</v>
      </c>
      <c r="BC395" s="3" t="s">
        <v>5028</v>
      </c>
      <c r="BD395" s="3" t="s">
        <v>5029</v>
      </c>
    </row>
    <row r="396" spans="1:56" ht="51" customHeight="1" x14ac:dyDescent="0.25">
      <c r="A396" s="7" t="s">
        <v>58</v>
      </c>
      <c r="B396" s="2" t="s">
        <v>5030</v>
      </c>
      <c r="C396" s="2" t="s">
        <v>5031</v>
      </c>
      <c r="D396" s="2" t="s">
        <v>5032</v>
      </c>
      <c r="F396" s="3" t="s">
        <v>58</v>
      </c>
      <c r="G396" s="3" t="s">
        <v>59</v>
      </c>
      <c r="H396" s="3" t="s">
        <v>58</v>
      </c>
      <c r="I396" s="3" t="s">
        <v>58</v>
      </c>
      <c r="J396" s="3" t="s">
        <v>60</v>
      </c>
      <c r="K396" s="2" t="s">
        <v>5033</v>
      </c>
      <c r="L396" s="2" t="s">
        <v>5034</v>
      </c>
      <c r="M396" s="3" t="s">
        <v>423</v>
      </c>
      <c r="O396" s="3" t="s">
        <v>63</v>
      </c>
      <c r="P396" s="3" t="s">
        <v>411</v>
      </c>
      <c r="R396" s="3" t="s">
        <v>65</v>
      </c>
      <c r="S396" s="4">
        <v>2</v>
      </c>
      <c r="T396" s="4">
        <v>2</v>
      </c>
      <c r="U396" s="5" t="s">
        <v>5035</v>
      </c>
      <c r="V396" s="5" t="s">
        <v>5035</v>
      </c>
      <c r="W396" s="5" t="s">
        <v>5036</v>
      </c>
      <c r="X396" s="5" t="s">
        <v>5036</v>
      </c>
      <c r="Y396" s="4">
        <v>563</v>
      </c>
      <c r="Z396" s="4">
        <v>501</v>
      </c>
      <c r="AA396" s="4">
        <v>562</v>
      </c>
      <c r="AB396" s="4">
        <v>3</v>
      </c>
      <c r="AC396" s="4">
        <v>3</v>
      </c>
      <c r="AD396" s="4">
        <v>22</v>
      </c>
      <c r="AE396" s="4">
        <v>24</v>
      </c>
      <c r="AF396" s="4">
        <v>7</v>
      </c>
      <c r="AG396" s="4">
        <v>8</v>
      </c>
      <c r="AH396" s="4">
        <v>6</v>
      </c>
      <c r="AI396" s="4">
        <v>6</v>
      </c>
      <c r="AJ396" s="4">
        <v>12</v>
      </c>
      <c r="AK396" s="4">
        <v>14</v>
      </c>
      <c r="AL396" s="4">
        <v>2</v>
      </c>
      <c r="AM396" s="4">
        <v>2</v>
      </c>
      <c r="AN396" s="4">
        <v>0</v>
      </c>
      <c r="AO396" s="4">
        <v>0</v>
      </c>
      <c r="AP396" s="3" t="s">
        <v>58</v>
      </c>
      <c r="AQ396" s="3" t="s">
        <v>68</v>
      </c>
      <c r="AR396" s="6" t="str">
        <f>HYPERLINK("http://catalog.hathitrust.org/Record/003978489","HathiTrust Record")</f>
        <v>HathiTrust Record</v>
      </c>
      <c r="AS396" s="6" t="str">
        <f>HYPERLINK("https://creighton-primo.hosted.exlibrisgroup.com/primo-explore/search?tab=default_tab&amp;search_scope=EVERYTHING&amp;vid=01CRU&amp;lang=en_US&amp;offset=0&amp;query=any,contains,991002915679702656","Catalog Record")</f>
        <v>Catalog Record</v>
      </c>
      <c r="AT396" s="6" t="str">
        <f>HYPERLINK("http://www.worldcat.org/oclc/38550294","WorldCat Record")</f>
        <v>WorldCat Record</v>
      </c>
      <c r="AU396" s="3" t="s">
        <v>5037</v>
      </c>
      <c r="AV396" s="3" t="s">
        <v>5038</v>
      </c>
      <c r="AW396" s="3" t="s">
        <v>5039</v>
      </c>
      <c r="AX396" s="3" t="s">
        <v>5039</v>
      </c>
      <c r="AY396" s="3" t="s">
        <v>5040</v>
      </c>
      <c r="AZ396" s="3" t="s">
        <v>73</v>
      </c>
      <c r="BB396" s="3" t="s">
        <v>5041</v>
      </c>
      <c r="BC396" s="3" t="s">
        <v>5042</v>
      </c>
      <c r="BD396" s="3" t="s">
        <v>5043</v>
      </c>
    </row>
    <row r="397" spans="1:56" ht="51" customHeight="1" x14ac:dyDescent="0.25">
      <c r="A397" s="7" t="s">
        <v>58</v>
      </c>
      <c r="B397" s="2" t="s">
        <v>5044</v>
      </c>
      <c r="C397" s="2" t="s">
        <v>5045</v>
      </c>
      <c r="D397" s="2" t="s">
        <v>5046</v>
      </c>
      <c r="F397" s="3" t="s">
        <v>58</v>
      </c>
      <c r="G397" s="3" t="s">
        <v>59</v>
      </c>
      <c r="H397" s="3" t="s">
        <v>58</v>
      </c>
      <c r="I397" s="3" t="s">
        <v>58</v>
      </c>
      <c r="J397" s="3" t="s">
        <v>60</v>
      </c>
      <c r="K397" s="2" t="s">
        <v>5047</v>
      </c>
      <c r="L397" s="2" t="s">
        <v>5048</v>
      </c>
      <c r="M397" s="3" t="s">
        <v>653</v>
      </c>
      <c r="O397" s="3" t="s">
        <v>63</v>
      </c>
      <c r="P397" s="3" t="s">
        <v>1837</v>
      </c>
      <c r="R397" s="3" t="s">
        <v>65</v>
      </c>
      <c r="S397" s="4">
        <v>5</v>
      </c>
      <c r="T397" s="4">
        <v>5</v>
      </c>
      <c r="U397" s="5" t="s">
        <v>5049</v>
      </c>
      <c r="V397" s="5" t="s">
        <v>5049</v>
      </c>
      <c r="W397" s="5" t="s">
        <v>5050</v>
      </c>
      <c r="X397" s="5" t="s">
        <v>5050</v>
      </c>
      <c r="Y397" s="4">
        <v>235</v>
      </c>
      <c r="Z397" s="4">
        <v>209</v>
      </c>
      <c r="AA397" s="4">
        <v>455</v>
      </c>
      <c r="AB397" s="4">
        <v>2</v>
      </c>
      <c r="AC397" s="4">
        <v>3</v>
      </c>
      <c r="AD397" s="4">
        <v>11</v>
      </c>
      <c r="AE397" s="4">
        <v>21</v>
      </c>
      <c r="AF397" s="4">
        <v>7</v>
      </c>
      <c r="AG397" s="4">
        <v>9</v>
      </c>
      <c r="AH397" s="4">
        <v>1</v>
      </c>
      <c r="AI397" s="4">
        <v>5</v>
      </c>
      <c r="AJ397" s="4">
        <v>6</v>
      </c>
      <c r="AK397" s="4">
        <v>10</v>
      </c>
      <c r="AL397" s="4">
        <v>0</v>
      </c>
      <c r="AM397" s="4">
        <v>1</v>
      </c>
      <c r="AN397" s="4">
        <v>0</v>
      </c>
      <c r="AO397" s="4">
        <v>0</v>
      </c>
      <c r="AP397" s="3" t="s">
        <v>58</v>
      </c>
      <c r="AQ397" s="3" t="s">
        <v>68</v>
      </c>
      <c r="AR397" s="6" t="str">
        <f>HYPERLINK("http://catalog.hathitrust.org/Record/002514543","HathiTrust Record")</f>
        <v>HathiTrust Record</v>
      </c>
      <c r="AS397" s="6" t="str">
        <f>HYPERLINK("https://creighton-primo.hosted.exlibrisgroup.com/primo-explore/search?tab=default_tab&amp;search_scope=EVERYTHING&amp;vid=01CRU&amp;lang=en_US&amp;offset=0&amp;query=any,contains,991001905539702656","Catalog Record")</f>
        <v>Catalog Record</v>
      </c>
      <c r="AT397" s="6" t="str">
        <f>HYPERLINK("http://www.worldcat.org/oclc/24067452","WorldCat Record")</f>
        <v>WorldCat Record</v>
      </c>
      <c r="AU397" s="3" t="s">
        <v>5051</v>
      </c>
      <c r="AV397" s="3" t="s">
        <v>5052</v>
      </c>
      <c r="AW397" s="3" t="s">
        <v>5053</v>
      </c>
      <c r="AX397" s="3" t="s">
        <v>5053</v>
      </c>
      <c r="AY397" s="3" t="s">
        <v>5054</v>
      </c>
      <c r="AZ397" s="3" t="s">
        <v>73</v>
      </c>
      <c r="BB397" s="3" t="s">
        <v>5055</v>
      </c>
      <c r="BC397" s="3" t="s">
        <v>5056</v>
      </c>
      <c r="BD397" s="3" t="s">
        <v>5057</v>
      </c>
    </row>
    <row r="398" spans="1:56" ht="51" customHeight="1" x14ac:dyDescent="0.25">
      <c r="A398" s="7" t="s">
        <v>58</v>
      </c>
      <c r="B398" s="2" t="s">
        <v>5058</v>
      </c>
      <c r="C398" s="2" t="s">
        <v>5059</v>
      </c>
      <c r="D398" s="2" t="s">
        <v>5060</v>
      </c>
      <c r="F398" s="3" t="s">
        <v>58</v>
      </c>
      <c r="G398" s="3" t="s">
        <v>59</v>
      </c>
      <c r="H398" s="3" t="s">
        <v>58</v>
      </c>
      <c r="I398" s="3" t="s">
        <v>58</v>
      </c>
      <c r="J398" s="3" t="s">
        <v>60</v>
      </c>
      <c r="K398" s="2" t="s">
        <v>5061</v>
      </c>
      <c r="L398" s="2" t="s">
        <v>5062</v>
      </c>
      <c r="M398" s="3" t="s">
        <v>1399</v>
      </c>
      <c r="O398" s="3" t="s">
        <v>63</v>
      </c>
      <c r="P398" s="3" t="s">
        <v>214</v>
      </c>
      <c r="Q398" s="2" t="s">
        <v>5063</v>
      </c>
      <c r="R398" s="3" t="s">
        <v>65</v>
      </c>
      <c r="S398" s="4">
        <v>12</v>
      </c>
      <c r="T398" s="4">
        <v>12</v>
      </c>
      <c r="U398" s="5" t="s">
        <v>3566</v>
      </c>
      <c r="V398" s="5" t="s">
        <v>3566</v>
      </c>
      <c r="W398" s="5" t="s">
        <v>5064</v>
      </c>
      <c r="X398" s="5" t="s">
        <v>5064</v>
      </c>
      <c r="Y398" s="4">
        <v>707</v>
      </c>
      <c r="Z398" s="4">
        <v>553</v>
      </c>
      <c r="AA398" s="4">
        <v>689</v>
      </c>
      <c r="AB398" s="4">
        <v>3</v>
      </c>
      <c r="AC398" s="4">
        <v>5</v>
      </c>
      <c r="AD398" s="4">
        <v>18</v>
      </c>
      <c r="AE398" s="4">
        <v>29</v>
      </c>
      <c r="AF398" s="4">
        <v>6</v>
      </c>
      <c r="AG398" s="4">
        <v>11</v>
      </c>
      <c r="AH398" s="4">
        <v>6</v>
      </c>
      <c r="AI398" s="4">
        <v>8</v>
      </c>
      <c r="AJ398" s="4">
        <v>9</v>
      </c>
      <c r="AK398" s="4">
        <v>13</v>
      </c>
      <c r="AL398" s="4">
        <v>2</v>
      </c>
      <c r="AM398" s="4">
        <v>4</v>
      </c>
      <c r="AN398" s="4">
        <v>0</v>
      </c>
      <c r="AO398" s="4">
        <v>0</v>
      </c>
      <c r="AP398" s="3" t="s">
        <v>58</v>
      </c>
      <c r="AQ398" s="3" t="s">
        <v>58</v>
      </c>
      <c r="AS398" s="6" t="str">
        <f>HYPERLINK("https://creighton-primo.hosted.exlibrisgroup.com/primo-explore/search?tab=default_tab&amp;search_scope=EVERYTHING&amp;vid=01CRU&amp;lang=en_US&amp;offset=0&amp;query=any,contains,991001131119702656","Catalog Record")</f>
        <v>Catalog Record</v>
      </c>
      <c r="AT398" s="6" t="str">
        <f>HYPERLINK("http://www.worldcat.org/oclc/16683074","WorldCat Record")</f>
        <v>WorldCat Record</v>
      </c>
      <c r="AU398" s="3" t="s">
        <v>5065</v>
      </c>
      <c r="AV398" s="3" t="s">
        <v>5066</v>
      </c>
      <c r="AW398" s="3" t="s">
        <v>5067</v>
      </c>
      <c r="AX398" s="3" t="s">
        <v>5067</v>
      </c>
      <c r="AY398" s="3" t="s">
        <v>5068</v>
      </c>
      <c r="AZ398" s="3" t="s">
        <v>73</v>
      </c>
      <c r="BB398" s="3" t="s">
        <v>5069</v>
      </c>
      <c r="BC398" s="3" t="s">
        <v>5070</v>
      </c>
      <c r="BD398" s="3" t="s">
        <v>5071</v>
      </c>
    </row>
    <row r="399" spans="1:56" ht="51" customHeight="1" x14ac:dyDescent="0.25">
      <c r="A399" s="7" t="s">
        <v>58</v>
      </c>
      <c r="B399" s="2" t="s">
        <v>5072</v>
      </c>
      <c r="C399" s="2" t="s">
        <v>5073</v>
      </c>
      <c r="D399" s="2" t="s">
        <v>5074</v>
      </c>
      <c r="F399" s="3" t="s">
        <v>58</v>
      </c>
      <c r="G399" s="3" t="s">
        <v>59</v>
      </c>
      <c r="H399" s="3" t="s">
        <v>58</v>
      </c>
      <c r="I399" s="3" t="s">
        <v>58</v>
      </c>
      <c r="J399" s="3" t="s">
        <v>60</v>
      </c>
      <c r="K399" s="2" t="s">
        <v>4891</v>
      </c>
      <c r="L399" s="2" t="s">
        <v>5075</v>
      </c>
      <c r="M399" s="3" t="s">
        <v>552</v>
      </c>
      <c r="N399" s="2" t="s">
        <v>338</v>
      </c>
      <c r="O399" s="3" t="s">
        <v>63</v>
      </c>
      <c r="P399" s="3" t="s">
        <v>214</v>
      </c>
      <c r="R399" s="3" t="s">
        <v>65</v>
      </c>
      <c r="S399" s="4">
        <v>0</v>
      </c>
      <c r="T399" s="4">
        <v>0</v>
      </c>
      <c r="U399" s="5" t="s">
        <v>5076</v>
      </c>
      <c r="V399" s="5" t="s">
        <v>5076</v>
      </c>
      <c r="W399" s="5" t="s">
        <v>4894</v>
      </c>
      <c r="X399" s="5" t="s">
        <v>4894</v>
      </c>
      <c r="Y399" s="4">
        <v>49</v>
      </c>
      <c r="Z399" s="4">
        <v>41</v>
      </c>
      <c r="AA399" s="4">
        <v>71</v>
      </c>
      <c r="AB399" s="4">
        <v>1</v>
      </c>
      <c r="AC399" s="4">
        <v>1</v>
      </c>
      <c r="AD399" s="4">
        <v>0</v>
      </c>
      <c r="AE399" s="4">
        <v>2</v>
      </c>
      <c r="AF399" s="4">
        <v>0</v>
      </c>
      <c r="AG399" s="4">
        <v>1</v>
      </c>
      <c r="AH399" s="4">
        <v>0</v>
      </c>
      <c r="AI399" s="4">
        <v>1</v>
      </c>
      <c r="AJ399" s="4">
        <v>0</v>
      </c>
      <c r="AK399" s="4">
        <v>1</v>
      </c>
      <c r="AL399" s="4">
        <v>0</v>
      </c>
      <c r="AM399" s="4">
        <v>0</v>
      </c>
      <c r="AN399" s="4">
        <v>0</v>
      </c>
      <c r="AO399" s="4">
        <v>0</v>
      </c>
      <c r="AP399" s="3" t="s">
        <v>58</v>
      </c>
      <c r="AQ399" s="3" t="s">
        <v>58</v>
      </c>
      <c r="AS399" s="6" t="str">
        <f>HYPERLINK("https://creighton-primo.hosted.exlibrisgroup.com/primo-explore/search?tab=default_tab&amp;search_scope=EVERYTHING&amp;vid=01CRU&amp;lang=en_US&amp;offset=0&amp;query=any,contains,991001983369702656","Catalog Record")</f>
        <v>Catalog Record</v>
      </c>
      <c r="AT399" s="6" t="str">
        <f>HYPERLINK("http://www.worldcat.org/oclc/25165146","WorldCat Record")</f>
        <v>WorldCat Record</v>
      </c>
      <c r="AU399" s="3" t="s">
        <v>5077</v>
      </c>
      <c r="AV399" s="3" t="s">
        <v>5078</v>
      </c>
      <c r="AW399" s="3" t="s">
        <v>5079</v>
      </c>
      <c r="AX399" s="3" t="s">
        <v>5079</v>
      </c>
      <c r="AY399" s="3" t="s">
        <v>5080</v>
      </c>
      <c r="AZ399" s="3" t="s">
        <v>73</v>
      </c>
      <c r="BC399" s="3" t="s">
        <v>5081</v>
      </c>
      <c r="BD399" s="3" t="s">
        <v>5082</v>
      </c>
    </row>
    <row r="400" spans="1:56" ht="51" customHeight="1" x14ac:dyDescent="0.25">
      <c r="A400" s="7" t="s">
        <v>58</v>
      </c>
      <c r="B400" s="2" t="s">
        <v>5083</v>
      </c>
      <c r="C400" s="2" t="s">
        <v>5084</v>
      </c>
      <c r="D400" s="2" t="s">
        <v>5085</v>
      </c>
      <c r="F400" s="3" t="s">
        <v>58</v>
      </c>
      <c r="G400" s="3" t="s">
        <v>59</v>
      </c>
      <c r="H400" s="3" t="s">
        <v>58</v>
      </c>
      <c r="I400" s="3" t="s">
        <v>58</v>
      </c>
      <c r="J400" s="3" t="s">
        <v>60</v>
      </c>
      <c r="K400" s="2" t="s">
        <v>5086</v>
      </c>
      <c r="L400" s="2" t="s">
        <v>5087</v>
      </c>
      <c r="M400" s="3" t="s">
        <v>996</v>
      </c>
      <c r="O400" s="3" t="s">
        <v>63</v>
      </c>
      <c r="P400" s="3" t="s">
        <v>495</v>
      </c>
      <c r="R400" s="3" t="s">
        <v>65</v>
      </c>
      <c r="S400" s="4">
        <v>5</v>
      </c>
      <c r="T400" s="4">
        <v>5</v>
      </c>
      <c r="U400" s="5" t="s">
        <v>5088</v>
      </c>
      <c r="V400" s="5" t="s">
        <v>5088</v>
      </c>
      <c r="W400" s="5" t="s">
        <v>3242</v>
      </c>
      <c r="X400" s="5" t="s">
        <v>3242</v>
      </c>
      <c r="Y400" s="4">
        <v>313</v>
      </c>
      <c r="Z400" s="4">
        <v>290</v>
      </c>
      <c r="AA400" s="4">
        <v>320</v>
      </c>
      <c r="AB400" s="4">
        <v>3</v>
      </c>
      <c r="AC400" s="4">
        <v>3</v>
      </c>
      <c r="AD400" s="4">
        <v>13</v>
      </c>
      <c r="AE400" s="4">
        <v>13</v>
      </c>
      <c r="AF400" s="4">
        <v>3</v>
      </c>
      <c r="AG400" s="4">
        <v>3</v>
      </c>
      <c r="AH400" s="4">
        <v>5</v>
      </c>
      <c r="AI400" s="4">
        <v>5</v>
      </c>
      <c r="AJ400" s="4">
        <v>6</v>
      </c>
      <c r="AK400" s="4">
        <v>6</v>
      </c>
      <c r="AL400" s="4">
        <v>2</v>
      </c>
      <c r="AM400" s="4">
        <v>2</v>
      </c>
      <c r="AN400" s="4">
        <v>0</v>
      </c>
      <c r="AO400" s="4">
        <v>0</v>
      </c>
      <c r="AP400" s="3" t="s">
        <v>58</v>
      </c>
      <c r="AQ400" s="3" t="s">
        <v>58</v>
      </c>
      <c r="AS400" s="6" t="str">
        <f>HYPERLINK("https://creighton-primo.hosted.exlibrisgroup.com/primo-explore/search?tab=default_tab&amp;search_scope=EVERYTHING&amp;vid=01CRU&amp;lang=en_US&amp;offset=0&amp;query=any,contains,991001905899702656","Catalog Record")</f>
        <v>Catalog Record</v>
      </c>
      <c r="AT400" s="6" t="str">
        <f>HYPERLINK("http://www.worldcat.org/oclc/240386","WorldCat Record")</f>
        <v>WorldCat Record</v>
      </c>
      <c r="AU400" s="3" t="s">
        <v>5089</v>
      </c>
      <c r="AV400" s="3" t="s">
        <v>5090</v>
      </c>
      <c r="AW400" s="3" t="s">
        <v>5091</v>
      </c>
      <c r="AX400" s="3" t="s">
        <v>5091</v>
      </c>
      <c r="AY400" s="3" t="s">
        <v>5092</v>
      </c>
      <c r="AZ400" s="3" t="s">
        <v>73</v>
      </c>
      <c r="BB400" s="3" t="s">
        <v>5093</v>
      </c>
      <c r="BC400" s="3" t="s">
        <v>5094</v>
      </c>
      <c r="BD400" s="3" t="s">
        <v>5095</v>
      </c>
    </row>
    <row r="401" spans="1:56" ht="51" customHeight="1" x14ac:dyDescent="0.25">
      <c r="A401" s="7" t="s">
        <v>58</v>
      </c>
      <c r="B401" s="2" t="s">
        <v>5096</v>
      </c>
      <c r="C401" s="2" t="s">
        <v>5097</v>
      </c>
      <c r="D401" s="2" t="s">
        <v>5098</v>
      </c>
      <c r="F401" s="3" t="s">
        <v>58</v>
      </c>
      <c r="G401" s="3" t="s">
        <v>59</v>
      </c>
      <c r="H401" s="3" t="s">
        <v>58</v>
      </c>
      <c r="I401" s="3" t="s">
        <v>58</v>
      </c>
      <c r="J401" s="3" t="s">
        <v>60</v>
      </c>
      <c r="K401" s="2" t="s">
        <v>5099</v>
      </c>
      <c r="L401" s="2" t="s">
        <v>5100</v>
      </c>
      <c r="M401" s="3" t="s">
        <v>1385</v>
      </c>
      <c r="O401" s="3" t="s">
        <v>63</v>
      </c>
      <c r="P401" s="3" t="s">
        <v>214</v>
      </c>
      <c r="R401" s="3" t="s">
        <v>65</v>
      </c>
      <c r="S401" s="4">
        <v>1</v>
      </c>
      <c r="T401" s="4">
        <v>1</v>
      </c>
      <c r="U401" s="5" t="s">
        <v>2865</v>
      </c>
      <c r="V401" s="5" t="s">
        <v>2865</v>
      </c>
      <c r="W401" s="5" t="s">
        <v>3348</v>
      </c>
      <c r="X401" s="5" t="s">
        <v>3348</v>
      </c>
      <c r="Y401" s="4">
        <v>591</v>
      </c>
      <c r="Z401" s="4">
        <v>490</v>
      </c>
      <c r="AA401" s="4">
        <v>504</v>
      </c>
      <c r="AB401" s="4">
        <v>3</v>
      </c>
      <c r="AC401" s="4">
        <v>3</v>
      </c>
      <c r="AD401" s="4">
        <v>21</v>
      </c>
      <c r="AE401" s="4">
        <v>22</v>
      </c>
      <c r="AF401" s="4">
        <v>10</v>
      </c>
      <c r="AG401" s="4">
        <v>10</v>
      </c>
      <c r="AH401" s="4">
        <v>6</v>
      </c>
      <c r="AI401" s="4">
        <v>7</v>
      </c>
      <c r="AJ401" s="4">
        <v>9</v>
      </c>
      <c r="AK401" s="4">
        <v>10</v>
      </c>
      <c r="AL401" s="4">
        <v>2</v>
      </c>
      <c r="AM401" s="4">
        <v>2</v>
      </c>
      <c r="AN401" s="4">
        <v>0</v>
      </c>
      <c r="AO401" s="4">
        <v>0</v>
      </c>
      <c r="AP401" s="3" t="s">
        <v>58</v>
      </c>
      <c r="AQ401" s="3" t="s">
        <v>68</v>
      </c>
      <c r="AR401" s="6" t="str">
        <f>HYPERLINK("http://catalog.hathitrust.org/Record/001243159","HathiTrust Record")</f>
        <v>HathiTrust Record</v>
      </c>
      <c r="AS401" s="6" t="str">
        <f>HYPERLINK("https://creighton-primo.hosted.exlibrisgroup.com/primo-explore/search?tab=default_tab&amp;search_scope=EVERYTHING&amp;vid=01CRU&amp;lang=en_US&amp;offset=0&amp;query=any,contains,991003278089702656","Catalog Record")</f>
        <v>Catalog Record</v>
      </c>
      <c r="AT401" s="6" t="str">
        <f>HYPERLINK("http://www.worldcat.org/oclc/801560","WorldCat Record")</f>
        <v>WorldCat Record</v>
      </c>
      <c r="AU401" s="3" t="s">
        <v>5101</v>
      </c>
      <c r="AV401" s="3" t="s">
        <v>5102</v>
      </c>
      <c r="AW401" s="3" t="s">
        <v>5103</v>
      </c>
      <c r="AX401" s="3" t="s">
        <v>5103</v>
      </c>
      <c r="AY401" s="3" t="s">
        <v>5104</v>
      </c>
      <c r="AZ401" s="3" t="s">
        <v>73</v>
      </c>
      <c r="BB401" s="3" t="s">
        <v>5105</v>
      </c>
      <c r="BC401" s="3" t="s">
        <v>5106</v>
      </c>
      <c r="BD401" s="3" t="s">
        <v>5107</v>
      </c>
    </row>
    <row r="402" spans="1:56" ht="51" customHeight="1" x14ac:dyDescent="0.25">
      <c r="A402" s="7" t="s">
        <v>58</v>
      </c>
      <c r="B402" s="2" t="s">
        <v>5108</v>
      </c>
      <c r="C402" s="2" t="s">
        <v>5109</v>
      </c>
      <c r="D402" s="2" t="s">
        <v>5110</v>
      </c>
      <c r="F402" s="3" t="s">
        <v>58</v>
      </c>
      <c r="G402" s="3" t="s">
        <v>59</v>
      </c>
      <c r="H402" s="3" t="s">
        <v>58</v>
      </c>
      <c r="I402" s="3" t="s">
        <v>58</v>
      </c>
      <c r="J402" s="3" t="s">
        <v>60</v>
      </c>
      <c r="K402" s="2" t="s">
        <v>5111</v>
      </c>
      <c r="L402" s="2" t="s">
        <v>5112</v>
      </c>
      <c r="M402" s="3" t="s">
        <v>626</v>
      </c>
      <c r="O402" s="3" t="s">
        <v>63</v>
      </c>
      <c r="P402" s="3" t="s">
        <v>214</v>
      </c>
      <c r="R402" s="3" t="s">
        <v>65</v>
      </c>
      <c r="S402" s="4">
        <v>3</v>
      </c>
      <c r="T402" s="4">
        <v>3</v>
      </c>
      <c r="U402" s="5" t="s">
        <v>2865</v>
      </c>
      <c r="V402" s="5" t="s">
        <v>2865</v>
      </c>
      <c r="W402" s="5" t="s">
        <v>585</v>
      </c>
      <c r="X402" s="5" t="s">
        <v>585</v>
      </c>
      <c r="Y402" s="4">
        <v>949</v>
      </c>
      <c r="Z402" s="4">
        <v>868</v>
      </c>
      <c r="AA402" s="4">
        <v>889</v>
      </c>
      <c r="AB402" s="4">
        <v>6</v>
      </c>
      <c r="AC402" s="4">
        <v>6</v>
      </c>
      <c r="AD402" s="4">
        <v>29</v>
      </c>
      <c r="AE402" s="4">
        <v>29</v>
      </c>
      <c r="AF402" s="4">
        <v>11</v>
      </c>
      <c r="AG402" s="4">
        <v>11</v>
      </c>
      <c r="AH402" s="4">
        <v>6</v>
      </c>
      <c r="AI402" s="4">
        <v>6</v>
      </c>
      <c r="AJ402" s="4">
        <v>14</v>
      </c>
      <c r="AK402" s="4">
        <v>14</v>
      </c>
      <c r="AL402" s="4">
        <v>4</v>
      </c>
      <c r="AM402" s="4">
        <v>4</v>
      </c>
      <c r="AN402" s="4">
        <v>0</v>
      </c>
      <c r="AO402" s="4">
        <v>0</v>
      </c>
      <c r="AP402" s="3" t="s">
        <v>58</v>
      </c>
      <c r="AQ402" s="3" t="s">
        <v>68</v>
      </c>
      <c r="AR402" s="6" t="str">
        <f>HYPERLINK("http://catalog.hathitrust.org/Record/000777659","HathiTrust Record")</f>
        <v>HathiTrust Record</v>
      </c>
      <c r="AS402" s="6" t="str">
        <f>HYPERLINK("https://creighton-primo.hosted.exlibrisgroup.com/primo-explore/search?tab=default_tab&amp;search_scope=EVERYTHING&amp;vid=01CRU&amp;lang=en_US&amp;offset=0&amp;query=any,contains,991000228929702656","Catalog Record")</f>
        <v>Catalog Record</v>
      </c>
      <c r="AT402" s="6" t="str">
        <f>HYPERLINK("http://www.worldcat.org/oclc/9622506","WorldCat Record")</f>
        <v>WorldCat Record</v>
      </c>
      <c r="AU402" s="3" t="s">
        <v>5113</v>
      </c>
      <c r="AV402" s="3" t="s">
        <v>5114</v>
      </c>
      <c r="AW402" s="3" t="s">
        <v>5115</v>
      </c>
      <c r="AX402" s="3" t="s">
        <v>5115</v>
      </c>
      <c r="AY402" s="3" t="s">
        <v>5116</v>
      </c>
      <c r="AZ402" s="3" t="s">
        <v>73</v>
      </c>
      <c r="BB402" s="3" t="s">
        <v>5117</v>
      </c>
      <c r="BC402" s="3" t="s">
        <v>5118</v>
      </c>
      <c r="BD402" s="3" t="s">
        <v>5119</v>
      </c>
    </row>
    <row r="403" spans="1:56" ht="51" customHeight="1" x14ac:dyDescent="0.25">
      <c r="A403" s="7" t="s">
        <v>58</v>
      </c>
      <c r="B403" s="2" t="s">
        <v>5120</v>
      </c>
      <c r="C403" s="2" t="s">
        <v>5121</v>
      </c>
      <c r="D403" s="2" t="s">
        <v>5122</v>
      </c>
      <c r="F403" s="3" t="s">
        <v>58</v>
      </c>
      <c r="G403" s="3" t="s">
        <v>59</v>
      </c>
      <c r="H403" s="3" t="s">
        <v>58</v>
      </c>
      <c r="I403" s="3" t="s">
        <v>58</v>
      </c>
      <c r="J403" s="3" t="s">
        <v>60</v>
      </c>
      <c r="K403" s="2" t="s">
        <v>5123</v>
      </c>
      <c r="L403" s="2" t="s">
        <v>5124</v>
      </c>
      <c r="M403" s="3" t="s">
        <v>353</v>
      </c>
      <c r="O403" s="3" t="s">
        <v>63</v>
      </c>
      <c r="P403" s="3" t="s">
        <v>816</v>
      </c>
      <c r="R403" s="3" t="s">
        <v>65</v>
      </c>
      <c r="S403" s="4">
        <v>1</v>
      </c>
      <c r="T403" s="4">
        <v>1</v>
      </c>
      <c r="U403" s="5" t="s">
        <v>5125</v>
      </c>
      <c r="V403" s="5" t="s">
        <v>5125</v>
      </c>
      <c r="W403" s="5" t="s">
        <v>585</v>
      </c>
      <c r="X403" s="5" t="s">
        <v>585</v>
      </c>
      <c r="Y403" s="4">
        <v>903</v>
      </c>
      <c r="Z403" s="4">
        <v>799</v>
      </c>
      <c r="AA403" s="4">
        <v>802</v>
      </c>
      <c r="AB403" s="4">
        <v>5</v>
      </c>
      <c r="AC403" s="4">
        <v>5</v>
      </c>
      <c r="AD403" s="4">
        <v>27</v>
      </c>
      <c r="AE403" s="4">
        <v>28</v>
      </c>
      <c r="AF403" s="4">
        <v>8</v>
      </c>
      <c r="AG403" s="4">
        <v>8</v>
      </c>
      <c r="AH403" s="4">
        <v>10</v>
      </c>
      <c r="AI403" s="4">
        <v>10</v>
      </c>
      <c r="AJ403" s="4">
        <v>14</v>
      </c>
      <c r="AK403" s="4">
        <v>15</v>
      </c>
      <c r="AL403" s="4">
        <v>4</v>
      </c>
      <c r="AM403" s="4">
        <v>4</v>
      </c>
      <c r="AN403" s="4">
        <v>0</v>
      </c>
      <c r="AO403" s="4">
        <v>0</v>
      </c>
      <c r="AP403" s="3" t="s">
        <v>58</v>
      </c>
      <c r="AQ403" s="3" t="s">
        <v>68</v>
      </c>
      <c r="AR403" s="6" t="str">
        <f>HYPERLINK("http://catalog.hathitrust.org/Record/000831056","HathiTrust Record")</f>
        <v>HathiTrust Record</v>
      </c>
      <c r="AS403" s="6" t="str">
        <f>HYPERLINK("https://creighton-primo.hosted.exlibrisgroup.com/primo-explore/search?tab=default_tab&amp;search_scope=EVERYTHING&amp;vid=01CRU&amp;lang=en_US&amp;offset=0&amp;query=any,contains,991000969089702656","Catalog Record")</f>
        <v>Catalog Record</v>
      </c>
      <c r="AT403" s="6" t="str">
        <f>HYPERLINK("http://www.worldcat.org/oclc/14932630","WorldCat Record")</f>
        <v>WorldCat Record</v>
      </c>
      <c r="AU403" s="3" t="s">
        <v>5126</v>
      </c>
      <c r="AV403" s="3" t="s">
        <v>5127</v>
      </c>
      <c r="AW403" s="3" t="s">
        <v>5128</v>
      </c>
      <c r="AX403" s="3" t="s">
        <v>5128</v>
      </c>
      <c r="AY403" s="3" t="s">
        <v>5129</v>
      </c>
      <c r="AZ403" s="3" t="s">
        <v>73</v>
      </c>
      <c r="BB403" s="3" t="s">
        <v>5130</v>
      </c>
      <c r="BC403" s="3" t="s">
        <v>5131</v>
      </c>
      <c r="BD403" s="3" t="s">
        <v>5132</v>
      </c>
    </row>
    <row r="404" spans="1:56" ht="51" customHeight="1" x14ac:dyDescent="0.25">
      <c r="A404" s="7" t="s">
        <v>58</v>
      </c>
      <c r="B404" s="2" t="s">
        <v>5133</v>
      </c>
      <c r="C404" s="2" t="s">
        <v>5134</v>
      </c>
      <c r="D404" s="2" t="s">
        <v>5135</v>
      </c>
      <c r="F404" s="3" t="s">
        <v>58</v>
      </c>
      <c r="G404" s="3" t="s">
        <v>59</v>
      </c>
      <c r="H404" s="3" t="s">
        <v>58</v>
      </c>
      <c r="I404" s="3" t="s">
        <v>58</v>
      </c>
      <c r="J404" s="3" t="s">
        <v>60</v>
      </c>
      <c r="K404" s="2" t="s">
        <v>5136</v>
      </c>
      <c r="L404" s="2" t="s">
        <v>5137</v>
      </c>
      <c r="M404" s="3" t="s">
        <v>2186</v>
      </c>
      <c r="N404" s="2" t="s">
        <v>1009</v>
      </c>
      <c r="O404" s="3" t="s">
        <v>63</v>
      </c>
      <c r="P404" s="3" t="s">
        <v>214</v>
      </c>
      <c r="R404" s="3" t="s">
        <v>65</v>
      </c>
      <c r="S404" s="4">
        <v>1</v>
      </c>
      <c r="T404" s="4">
        <v>1</v>
      </c>
      <c r="U404" s="5" t="s">
        <v>1787</v>
      </c>
      <c r="V404" s="5" t="s">
        <v>1787</v>
      </c>
      <c r="W404" s="5" t="s">
        <v>1787</v>
      </c>
      <c r="X404" s="5" t="s">
        <v>1787</v>
      </c>
      <c r="Y404" s="4">
        <v>382</v>
      </c>
      <c r="Z404" s="4">
        <v>354</v>
      </c>
      <c r="AA404" s="4">
        <v>387</v>
      </c>
      <c r="AB404" s="4">
        <v>2</v>
      </c>
      <c r="AC404" s="4">
        <v>2</v>
      </c>
      <c r="AD404" s="4">
        <v>6</v>
      </c>
      <c r="AE404" s="4">
        <v>8</v>
      </c>
      <c r="AF404" s="4">
        <v>3</v>
      </c>
      <c r="AG404" s="4">
        <v>4</v>
      </c>
      <c r="AH404" s="4">
        <v>2</v>
      </c>
      <c r="AI404" s="4">
        <v>3</v>
      </c>
      <c r="AJ404" s="4">
        <v>2</v>
      </c>
      <c r="AK404" s="4">
        <v>3</v>
      </c>
      <c r="AL404" s="4">
        <v>1</v>
      </c>
      <c r="AM404" s="4">
        <v>1</v>
      </c>
      <c r="AN404" s="4">
        <v>0</v>
      </c>
      <c r="AO404" s="4">
        <v>0</v>
      </c>
      <c r="AP404" s="3" t="s">
        <v>58</v>
      </c>
      <c r="AQ404" s="3" t="s">
        <v>58</v>
      </c>
      <c r="AS404" s="6" t="str">
        <f>HYPERLINK("https://creighton-primo.hosted.exlibrisgroup.com/primo-explore/search?tab=default_tab&amp;search_scope=EVERYTHING&amp;vid=01CRU&amp;lang=en_US&amp;offset=0&amp;query=any,contains,991004988719702656","Catalog Record")</f>
        <v>Catalog Record</v>
      </c>
      <c r="AT404" s="6" t="str">
        <f>HYPERLINK("http://www.worldcat.org/oclc/71189900","WorldCat Record")</f>
        <v>WorldCat Record</v>
      </c>
      <c r="AU404" s="3" t="s">
        <v>5138</v>
      </c>
      <c r="AV404" s="3" t="s">
        <v>5139</v>
      </c>
      <c r="AW404" s="3" t="s">
        <v>5140</v>
      </c>
      <c r="AX404" s="3" t="s">
        <v>5140</v>
      </c>
      <c r="AY404" s="3" t="s">
        <v>5141</v>
      </c>
      <c r="AZ404" s="3" t="s">
        <v>73</v>
      </c>
      <c r="BB404" s="3" t="s">
        <v>5142</v>
      </c>
      <c r="BC404" s="3" t="s">
        <v>5143</v>
      </c>
      <c r="BD404" s="3" t="s">
        <v>5144</v>
      </c>
    </row>
    <row r="405" spans="1:56" ht="51" customHeight="1" x14ac:dyDescent="0.25">
      <c r="A405" s="7" t="s">
        <v>58</v>
      </c>
      <c r="B405" s="2" t="s">
        <v>5145</v>
      </c>
      <c r="C405" s="2" t="s">
        <v>5146</v>
      </c>
      <c r="D405" s="2" t="s">
        <v>5147</v>
      </c>
      <c r="F405" s="3" t="s">
        <v>58</v>
      </c>
      <c r="G405" s="3" t="s">
        <v>59</v>
      </c>
      <c r="H405" s="3" t="s">
        <v>58</v>
      </c>
      <c r="I405" s="3" t="s">
        <v>58</v>
      </c>
      <c r="J405" s="3" t="s">
        <v>60</v>
      </c>
      <c r="K405" s="2" t="s">
        <v>5148</v>
      </c>
      <c r="L405" s="2" t="s">
        <v>5149</v>
      </c>
      <c r="M405" s="3" t="s">
        <v>4851</v>
      </c>
      <c r="O405" s="3" t="s">
        <v>63</v>
      </c>
      <c r="P405" s="3" t="s">
        <v>214</v>
      </c>
      <c r="R405" s="3" t="s">
        <v>65</v>
      </c>
      <c r="S405" s="4">
        <v>2</v>
      </c>
      <c r="T405" s="4">
        <v>2</v>
      </c>
      <c r="U405" s="5" t="s">
        <v>5150</v>
      </c>
      <c r="V405" s="5" t="s">
        <v>5150</v>
      </c>
      <c r="W405" s="5" t="s">
        <v>886</v>
      </c>
      <c r="X405" s="5" t="s">
        <v>886</v>
      </c>
      <c r="Y405" s="4">
        <v>447</v>
      </c>
      <c r="Z405" s="4">
        <v>412</v>
      </c>
      <c r="AA405" s="4">
        <v>668</v>
      </c>
      <c r="AB405" s="4">
        <v>3</v>
      </c>
      <c r="AC405" s="4">
        <v>7</v>
      </c>
      <c r="AD405" s="4">
        <v>27</v>
      </c>
      <c r="AE405" s="4">
        <v>46</v>
      </c>
      <c r="AF405" s="4">
        <v>12</v>
      </c>
      <c r="AG405" s="4">
        <v>16</v>
      </c>
      <c r="AH405" s="4">
        <v>7</v>
      </c>
      <c r="AI405" s="4">
        <v>10</v>
      </c>
      <c r="AJ405" s="4">
        <v>11</v>
      </c>
      <c r="AK405" s="4">
        <v>21</v>
      </c>
      <c r="AL405" s="4">
        <v>2</v>
      </c>
      <c r="AM405" s="4">
        <v>6</v>
      </c>
      <c r="AN405" s="4">
        <v>2</v>
      </c>
      <c r="AO405" s="4">
        <v>3</v>
      </c>
      <c r="AP405" s="3" t="s">
        <v>58</v>
      </c>
      <c r="AQ405" s="3" t="s">
        <v>58</v>
      </c>
      <c r="AS405" s="6" t="str">
        <f>HYPERLINK("https://creighton-primo.hosted.exlibrisgroup.com/primo-explore/search?tab=default_tab&amp;search_scope=EVERYTHING&amp;vid=01CRU&amp;lang=en_US&amp;offset=0&amp;query=any,contains,991002710309702656","Catalog Record")</f>
        <v>Catalog Record</v>
      </c>
      <c r="AT405" s="6" t="str">
        <f>HYPERLINK("http://www.worldcat.org/oclc/408963","WorldCat Record")</f>
        <v>WorldCat Record</v>
      </c>
      <c r="AU405" s="3" t="s">
        <v>5151</v>
      </c>
      <c r="AV405" s="3" t="s">
        <v>5152</v>
      </c>
      <c r="AW405" s="3" t="s">
        <v>5153</v>
      </c>
      <c r="AX405" s="3" t="s">
        <v>5153</v>
      </c>
      <c r="AY405" s="3" t="s">
        <v>5154</v>
      </c>
      <c r="AZ405" s="3" t="s">
        <v>73</v>
      </c>
      <c r="BC405" s="3" t="s">
        <v>5155</v>
      </c>
      <c r="BD405" s="3" t="s">
        <v>5156</v>
      </c>
    </row>
    <row r="406" spans="1:56" ht="51" customHeight="1" x14ac:dyDescent="0.25">
      <c r="A406" s="7" t="s">
        <v>58</v>
      </c>
      <c r="B406" s="2" t="s">
        <v>5157</v>
      </c>
      <c r="C406" s="2" t="s">
        <v>5158</v>
      </c>
      <c r="D406" s="2" t="s">
        <v>5159</v>
      </c>
      <c r="F406" s="3" t="s">
        <v>58</v>
      </c>
      <c r="G406" s="3" t="s">
        <v>59</v>
      </c>
      <c r="H406" s="3" t="s">
        <v>58</v>
      </c>
      <c r="I406" s="3" t="s">
        <v>58</v>
      </c>
      <c r="J406" s="3" t="s">
        <v>60</v>
      </c>
      <c r="K406" s="2" t="s">
        <v>5160</v>
      </c>
      <c r="L406" s="2" t="s">
        <v>5161</v>
      </c>
      <c r="M406" s="3" t="s">
        <v>1399</v>
      </c>
      <c r="O406" s="3" t="s">
        <v>63</v>
      </c>
      <c r="P406" s="3" t="s">
        <v>584</v>
      </c>
      <c r="R406" s="3" t="s">
        <v>65</v>
      </c>
      <c r="S406" s="4">
        <v>6</v>
      </c>
      <c r="T406" s="4">
        <v>6</v>
      </c>
      <c r="U406" s="5" t="s">
        <v>398</v>
      </c>
      <c r="V406" s="5" t="s">
        <v>398</v>
      </c>
      <c r="W406" s="5" t="s">
        <v>3151</v>
      </c>
      <c r="X406" s="5" t="s">
        <v>3151</v>
      </c>
      <c r="Y406" s="4">
        <v>284</v>
      </c>
      <c r="Z406" s="4">
        <v>153</v>
      </c>
      <c r="AA406" s="4">
        <v>222</v>
      </c>
      <c r="AB406" s="4">
        <v>3</v>
      </c>
      <c r="AC406" s="4">
        <v>3</v>
      </c>
      <c r="AD406" s="4">
        <v>7</v>
      </c>
      <c r="AE406" s="4">
        <v>11</v>
      </c>
      <c r="AF406" s="4">
        <v>1</v>
      </c>
      <c r="AG406" s="4">
        <v>1</v>
      </c>
      <c r="AH406" s="4">
        <v>1</v>
      </c>
      <c r="AI406" s="4">
        <v>3</v>
      </c>
      <c r="AJ406" s="4">
        <v>4</v>
      </c>
      <c r="AK406" s="4">
        <v>6</v>
      </c>
      <c r="AL406" s="4">
        <v>2</v>
      </c>
      <c r="AM406" s="4">
        <v>2</v>
      </c>
      <c r="AN406" s="4">
        <v>1</v>
      </c>
      <c r="AO406" s="4">
        <v>1</v>
      </c>
      <c r="AP406" s="3" t="s">
        <v>58</v>
      </c>
      <c r="AQ406" s="3" t="s">
        <v>58</v>
      </c>
      <c r="AS406" s="6" t="str">
        <f>HYPERLINK("https://creighton-primo.hosted.exlibrisgroup.com/primo-explore/search?tab=default_tab&amp;search_scope=EVERYTHING&amp;vid=01CRU&amp;lang=en_US&amp;offset=0&amp;query=any,contains,991001043119702656","Catalog Record")</f>
        <v>Catalog Record</v>
      </c>
      <c r="AT406" s="6" t="str">
        <f>HYPERLINK("http://www.worldcat.org/oclc/18191315","WorldCat Record")</f>
        <v>WorldCat Record</v>
      </c>
      <c r="AU406" s="3" t="s">
        <v>5162</v>
      </c>
      <c r="AV406" s="3" t="s">
        <v>5163</v>
      </c>
      <c r="AW406" s="3" t="s">
        <v>5164</v>
      </c>
      <c r="AX406" s="3" t="s">
        <v>5164</v>
      </c>
      <c r="AY406" s="3" t="s">
        <v>5165</v>
      </c>
      <c r="AZ406" s="3" t="s">
        <v>73</v>
      </c>
      <c r="BB406" s="3" t="s">
        <v>5166</v>
      </c>
      <c r="BC406" s="3" t="s">
        <v>5167</v>
      </c>
      <c r="BD406" s="3" t="s">
        <v>5168</v>
      </c>
    </row>
    <row r="407" spans="1:56" ht="51" customHeight="1" x14ac:dyDescent="0.25">
      <c r="A407" s="7" t="s">
        <v>58</v>
      </c>
      <c r="B407" s="2" t="s">
        <v>5169</v>
      </c>
      <c r="C407" s="2" t="s">
        <v>5170</v>
      </c>
      <c r="D407" s="2" t="s">
        <v>5171</v>
      </c>
      <c r="F407" s="3" t="s">
        <v>58</v>
      </c>
      <c r="G407" s="3" t="s">
        <v>59</v>
      </c>
      <c r="H407" s="3" t="s">
        <v>58</v>
      </c>
      <c r="I407" s="3" t="s">
        <v>58</v>
      </c>
      <c r="J407" s="3" t="s">
        <v>60</v>
      </c>
      <c r="K407" s="2" t="s">
        <v>5172</v>
      </c>
      <c r="L407" s="2" t="s">
        <v>5173</v>
      </c>
      <c r="M407" s="3" t="s">
        <v>83</v>
      </c>
      <c r="O407" s="3" t="s">
        <v>63</v>
      </c>
      <c r="P407" s="3" t="s">
        <v>214</v>
      </c>
      <c r="R407" s="3" t="s">
        <v>65</v>
      </c>
      <c r="S407" s="4">
        <v>7</v>
      </c>
      <c r="T407" s="4">
        <v>7</v>
      </c>
      <c r="U407" s="5" t="s">
        <v>5174</v>
      </c>
      <c r="V407" s="5" t="s">
        <v>5174</v>
      </c>
      <c r="W407" s="5" t="s">
        <v>585</v>
      </c>
      <c r="X407" s="5" t="s">
        <v>585</v>
      </c>
      <c r="Y407" s="4">
        <v>359</v>
      </c>
      <c r="Z407" s="4">
        <v>307</v>
      </c>
      <c r="AA407" s="4">
        <v>356</v>
      </c>
      <c r="AB407" s="4">
        <v>2</v>
      </c>
      <c r="AC407" s="4">
        <v>4</v>
      </c>
      <c r="AD407" s="4">
        <v>13</v>
      </c>
      <c r="AE407" s="4">
        <v>16</v>
      </c>
      <c r="AF407" s="4">
        <v>2</v>
      </c>
      <c r="AG407" s="4">
        <v>2</v>
      </c>
      <c r="AH407" s="4">
        <v>7</v>
      </c>
      <c r="AI407" s="4">
        <v>7</v>
      </c>
      <c r="AJ407" s="4">
        <v>7</v>
      </c>
      <c r="AK407" s="4">
        <v>8</v>
      </c>
      <c r="AL407" s="4">
        <v>1</v>
      </c>
      <c r="AM407" s="4">
        <v>3</v>
      </c>
      <c r="AN407" s="4">
        <v>0</v>
      </c>
      <c r="AO407" s="4">
        <v>0</v>
      </c>
      <c r="AP407" s="3" t="s">
        <v>58</v>
      </c>
      <c r="AQ407" s="3" t="s">
        <v>68</v>
      </c>
      <c r="AR407" s="6" t="str">
        <f>HYPERLINK("http://catalog.hathitrust.org/Record/000092055","HathiTrust Record")</f>
        <v>HathiTrust Record</v>
      </c>
      <c r="AS407" s="6" t="str">
        <f>HYPERLINK("https://creighton-primo.hosted.exlibrisgroup.com/primo-explore/search?tab=default_tab&amp;search_scope=EVERYTHING&amp;vid=01CRU&amp;lang=en_US&amp;offset=0&amp;query=any,contains,991004480479702656","Catalog Record")</f>
        <v>Catalog Record</v>
      </c>
      <c r="AT407" s="6" t="str">
        <f>HYPERLINK("http://www.worldcat.org/oclc/3627274","WorldCat Record")</f>
        <v>WorldCat Record</v>
      </c>
      <c r="AU407" s="3" t="s">
        <v>5175</v>
      </c>
      <c r="AV407" s="3" t="s">
        <v>5176</v>
      </c>
      <c r="AW407" s="3" t="s">
        <v>5177</v>
      </c>
      <c r="AX407" s="3" t="s">
        <v>5177</v>
      </c>
      <c r="AY407" s="3" t="s">
        <v>5178</v>
      </c>
      <c r="AZ407" s="3" t="s">
        <v>73</v>
      </c>
      <c r="BB407" s="3" t="s">
        <v>5179</v>
      </c>
      <c r="BC407" s="3" t="s">
        <v>5180</v>
      </c>
      <c r="BD407" s="3" t="s">
        <v>5181</v>
      </c>
    </row>
    <row r="408" spans="1:56" ht="51" customHeight="1" x14ac:dyDescent="0.25">
      <c r="A408" s="7" t="s">
        <v>58</v>
      </c>
      <c r="B408" s="2" t="s">
        <v>5182</v>
      </c>
      <c r="C408" s="2" t="s">
        <v>5183</v>
      </c>
      <c r="D408" s="2" t="s">
        <v>5184</v>
      </c>
      <c r="F408" s="3" t="s">
        <v>58</v>
      </c>
      <c r="G408" s="3" t="s">
        <v>59</v>
      </c>
      <c r="H408" s="3" t="s">
        <v>58</v>
      </c>
      <c r="I408" s="3" t="s">
        <v>58</v>
      </c>
      <c r="J408" s="3" t="s">
        <v>60</v>
      </c>
      <c r="K408" s="2" t="s">
        <v>5185</v>
      </c>
      <c r="L408" s="2" t="s">
        <v>5186</v>
      </c>
      <c r="M408" s="3" t="s">
        <v>368</v>
      </c>
      <c r="O408" s="3" t="s">
        <v>63</v>
      </c>
      <c r="P408" s="3" t="s">
        <v>510</v>
      </c>
      <c r="R408" s="3" t="s">
        <v>65</v>
      </c>
      <c r="S408" s="4">
        <v>4</v>
      </c>
      <c r="T408" s="4">
        <v>4</v>
      </c>
      <c r="U408" s="5" t="s">
        <v>5187</v>
      </c>
      <c r="V408" s="5" t="s">
        <v>5187</v>
      </c>
      <c r="W408" s="5" t="s">
        <v>5188</v>
      </c>
      <c r="X408" s="5" t="s">
        <v>5188</v>
      </c>
      <c r="Y408" s="4">
        <v>164</v>
      </c>
      <c r="Z408" s="4">
        <v>128</v>
      </c>
      <c r="AA408" s="4">
        <v>229</v>
      </c>
      <c r="AB408" s="4">
        <v>2</v>
      </c>
      <c r="AC408" s="4">
        <v>2</v>
      </c>
      <c r="AD408" s="4">
        <v>6</v>
      </c>
      <c r="AE408" s="4">
        <v>8</v>
      </c>
      <c r="AF408" s="4">
        <v>2</v>
      </c>
      <c r="AG408" s="4">
        <v>2</v>
      </c>
      <c r="AH408" s="4">
        <v>2</v>
      </c>
      <c r="AI408" s="4">
        <v>3</v>
      </c>
      <c r="AJ408" s="4">
        <v>4</v>
      </c>
      <c r="AK408" s="4">
        <v>5</v>
      </c>
      <c r="AL408" s="4">
        <v>1</v>
      </c>
      <c r="AM408" s="4">
        <v>1</v>
      </c>
      <c r="AN408" s="4">
        <v>0</v>
      </c>
      <c r="AO408" s="4">
        <v>0</v>
      </c>
      <c r="AP408" s="3" t="s">
        <v>58</v>
      </c>
      <c r="AQ408" s="3" t="s">
        <v>58</v>
      </c>
      <c r="AS408" s="6" t="str">
        <f>HYPERLINK("https://creighton-primo.hosted.exlibrisgroup.com/primo-explore/search?tab=default_tab&amp;search_scope=EVERYTHING&amp;vid=01CRU&amp;lang=en_US&amp;offset=0&amp;query=any,contains,991004137729702656","Catalog Record")</f>
        <v>Catalog Record</v>
      </c>
      <c r="AT408" s="6" t="str">
        <f>HYPERLINK("http://www.worldcat.org/oclc/2491399","WorldCat Record")</f>
        <v>WorldCat Record</v>
      </c>
      <c r="AU408" s="3" t="s">
        <v>5189</v>
      </c>
      <c r="AV408" s="3" t="s">
        <v>5190</v>
      </c>
      <c r="AW408" s="3" t="s">
        <v>5191</v>
      </c>
      <c r="AX408" s="3" t="s">
        <v>5191</v>
      </c>
      <c r="AY408" s="3" t="s">
        <v>5192</v>
      </c>
      <c r="AZ408" s="3" t="s">
        <v>73</v>
      </c>
      <c r="BB408" s="3" t="s">
        <v>5193</v>
      </c>
      <c r="BC408" s="3" t="s">
        <v>5194</v>
      </c>
      <c r="BD408" s="3" t="s">
        <v>5195</v>
      </c>
    </row>
    <row r="409" spans="1:56" ht="51" customHeight="1" x14ac:dyDescent="0.25">
      <c r="A409" s="7" t="s">
        <v>58</v>
      </c>
      <c r="B409" s="2" t="s">
        <v>5196</v>
      </c>
      <c r="C409" s="2" t="s">
        <v>5197</v>
      </c>
      <c r="D409" s="2" t="s">
        <v>5198</v>
      </c>
      <c r="F409" s="3" t="s">
        <v>58</v>
      </c>
      <c r="G409" s="3" t="s">
        <v>59</v>
      </c>
      <c r="H409" s="3" t="s">
        <v>58</v>
      </c>
      <c r="I409" s="3" t="s">
        <v>58</v>
      </c>
      <c r="J409" s="3" t="s">
        <v>60</v>
      </c>
      <c r="K409" s="2" t="s">
        <v>5199</v>
      </c>
      <c r="L409" s="2" t="s">
        <v>5200</v>
      </c>
      <c r="M409" s="3" t="s">
        <v>1153</v>
      </c>
      <c r="O409" s="3" t="s">
        <v>63</v>
      </c>
      <c r="P409" s="3" t="s">
        <v>214</v>
      </c>
      <c r="R409" s="3" t="s">
        <v>65</v>
      </c>
      <c r="S409" s="4">
        <v>2</v>
      </c>
      <c r="T409" s="4">
        <v>2</v>
      </c>
      <c r="U409" s="5" t="s">
        <v>5187</v>
      </c>
      <c r="V409" s="5" t="s">
        <v>5187</v>
      </c>
      <c r="W409" s="5" t="s">
        <v>3201</v>
      </c>
      <c r="X409" s="5" t="s">
        <v>3201</v>
      </c>
      <c r="Y409" s="4">
        <v>456</v>
      </c>
      <c r="Z409" s="4">
        <v>414</v>
      </c>
      <c r="AA409" s="4">
        <v>576</v>
      </c>
      <c r="AB409" s="4">
        <v>2</v>
      </c>
      <c r="AC409" s="4">
        <v>3</v>
      </c>
      <c r="AD409" s="4">
        <v>20</v>
      </c>
      <c r="AE409" s="4">
        <v>26</v>
      </c>
      <c r="AF409" s="4">
        <v>9</v>
      </c>
      <c r="AG409" s="4">
        <v>9</v>
      </c>
      <c r="AH409" s="4">
        <v>6</v>
      </c>
      <c r="AI409" s="4">
        <v>7</v>
      </c>
      <c r="AJ409" s="4">
        <v>11</v>
      </c>
      <c r="AK409" s="4">
        <v>15</v>
      </c>
      <c r="AL409" s="4">
        <v>1</v>
      </c>
      <c r="AM409" s="4">
        <v>2</v>
      </c>
      <c r="AN409" s="4">
        <v>0</v>
      </c>
      <c r="AO409" s="4">
        <v>0</v>
      </c>
      <c r="AP409" s="3" t="s">
        <v>58</v>
      </c>
      <c r="AQ409" s="3" t="s">
        <v>68</v>
      </c>
      <c r="AR409" s="6" t="str">
        <f>HYPERLINK("http://catalog.hathitrust.org/Record/001243253","HathiTrust Record")</f>
        <v>HathiTrust Record</v>
      </c>
      <c r="AS409" s="6" t="str">
        <f>HYPERLINK("https://creighton-primo.hosted.exlibrisgroup.com/primo-explore/search?tab=default_tab&amp;search_scope=EVERYTHING&amp;vid=01CRU&amp;lang=en_US&amp;offset=0&amp;query=any,contains,991003009279702656","Catalog Record")</f>
        <v>Catalog Record</v>
      </c>
      <c r="AT409" s="6" t="str">
        <f>HYPERLINK("http://www.worldcat.org/oclc/576583","WorldCat Record")</f>
        <v>WorldCat Record</v>
      </c>
      <c r="AU409" s="3" t="s">
        <v>5201</v>
      </c>
      <c r="AV409" s="3" t="s">
        <v>5202</v>
      </c>
      <c r="AW409" s="3" t="s">
        <v>5203</v>
      </c>
      <c r="AX409" s="3" t="s">
        <v>5203</v>
      </c>
      <c r="AY409" s="3" t="s">
        <v>5204</v>
      </c>
      <c r="AZ409" s="3" t="s">
        <v>73</v>
      </c>
      <c r="BB409" s="3" t="s">
        <v>5205</v>
      </c>
      <c r="BC409" s="3" t="s">
        <v>5206</v>
      </c>
      <c r="BD409" s="3" t="s">
        <v>5207</v>
      </c>
    </row>
    <row r="410" spans="1:56" ht="51" customHeight="1" x14ac:dyDescent="0.25">
      <c r="A410" s="7" t="s">
        <v>58</v>
      </c>
      <c r="B410" s="2" t="s">
        <v>5208</v>
      </c>
      <c r="C410" s="2" t="s">
        <v>5209</v>
      </c>
      <c r="D410" s="2" t="s">
        <v>5210</v>
      </c>
      <c r="F410" s="3" t="s">
        <v>58</v>
      </c>
      <c r="G410" s="3" t="s">
        <v>59</v>
      </c>
      <c r="H410" s="3" t="s">
        <v>58</v>
      </c>
      <c r="I410" s="3" t="s">
        <v>58</v>
      </c>
      <c r="J410" s="3" t="s">
        <v>60</v>
      </c>
      <c r="K410" s="2" t="s">
        <v>5211</v>
      </c>
      <c r="L410" s="2" t="s">
        <v>5212</v>
      </c>
      <c r="M410" s="3" t="s">
        <v>83</v>
      </c>
      <c r="O410" s="3" t="s">
        <v>63</v>
      </c>
      <c r="P410" s="3" t="s">
        <v>584</v>
      </c>
      <c r="R410" s="3" t="s">
        <v>65</v>
      </c>
      <c r="S410" s="4">
        <v>2</v>
      </c>
      <c r="T410" s="4">
        <v>2</v>
      </c>
      <c r="U410" s="5" t="s">
        <v>5213</v>
      </c>
      <c r="V410" s="5" t="s">
        <v>5213</v>
      </c>
      <c r="W410" s="5" t="s">
        <v>3242</v>
      </c>
      <c r="X410" s="5" t="s">
        <v>3242</v>
      </c>
      <c r="Y410" s="4">
        <v>347</v>
      </c>
      <c r="Z410" s="4">
        <v>245</v>
      </c>
      <c r="AA410" s="4">
        <v>260</v>
      </c>
      <c r="AB410" s="4">
        <v>3</v>
      </c>
      <c r="AC410" s="4">
        <v>3</v>
      </c>
      <c r="AD410" s="4">
        <v>11</v>
      </c>
      <c r="AE410" s="4">
        <v>11</v>
      </c>
      <c r="AF410" s="4">
        <v>3</v>
      </c>
      <c r="AG410" s="4">
        <v>3</v>
      </c>
      <c r="AH410" s="4">
        <v>6</v>
      </c>
      <c r="AI410" s="4">
        <v>6</v>
      </c>
      <c r="AJ410" s="4">
        <v>3</v>
      </c>
      <c r="AK410" s="4">
        <v>3</v>
      </c>
      <c r="AL410" s="4">
        <v>2</v>
      </c>
      <c r="AM410" s="4">
        <v>2</v>
      </c>
      <c r="AN410" s="4">
        <v>0</v>
      </c>
      <c r="AO410" s="4">
        <v>0</v>
      </c>
      <c r="AP410" s="3" t="s">
        <v>58</v>
      </c>
      <c r="AQ410" s="3" t="s">
        <v>58</v>
      </c>
      <c r="AS410" s="6" t="str">
        <f>HYPERLINK("https://creighton-primo.hosted.exlibrisgroup.com/primo-explore/search?tab=default_tab&amp;search_scope=EVERYTHING&amp;vid=01CRU&amp;lang=en_US&amp;offset=0&amp;query=any,contains,991004641639702656","Catalog Record")</f>
        <v>Catalog Record</v>
      </c>
      <c r="AT410" s="6" t="str">
        <f>HYPERLINK("http://www.worldcat.org/oclc/4465061","WorldCat Record")</f>
        <v>WorldCat Record</v>
      </c>
      <c r="AU410" s="3" t="s">
        <v>5214</v>
      </c>
      <c r="AV410" s="3" t="s">
        <v>5215</v>
      </c>
      <c r="AW410" s="3" t="s">
        <v>5216</v>
      </c>
      <c r="AX410" s="3" t="s">
        <v>5216</v>
      </c>
      <c r="AY410" s="3" t="s">
        <v>5217</v>
      </c>
      <c r="AZ410" s="3" t="s">
        <v>73</v>
      </c>
      <c r="BB410" s="3" t="s">
        <v>5218</v>
      </c>
      <c r="BC410" s="3" t="s">
        <v>5219</v>
      </c>
      <c r="BD410" s="3" t="s">
        <v>5220</v>
      </c>
    </row>
    <row r="411" spans="1:56" ht="51" customHeight="1" x14ac:dyDescent="0.25">
      <c r="A411" s="7" t="s">
        <v>58</v>
      </c>
      <c r="B411" s="2" t="s">
        <v>5221</v>
      </c>
      <c r="C411" s="2" t="s">
        <v>5222</v>
      </c>
      <c r="D411" s="2" t="s">
        <v>5223</v>
      </c>
      <c r="F411" s="3" t="s">
        <v>58</v>
      </c>
      <c r="G411" s="3" t="s">
        <v>59</v>
      </c>
      <c r="H411" s="3" t="s">
        <v>58</v>
      </c>
      <c r="I411" s="3" t="s">
        <v>58</v>
      </c>
      <c r="J411" s="3" t="s">
        <v>60</v>
      </c>
      <c r="K411" s="2" t="s">
        <v>5224</v>
      </c>
      <c r="L411" s="2" t="s">
        <v>5225</v>
      </c>
      <c r="M411" s="3" t="s">
        <v>884</v>
      </c>
      <c r="O411" s="3" t="s">
        <v>63</v>
      </c>
      <c r="P411" s="3" t="s">
        <v>214</v>
      </c>
      <c r="R411" s="3" t="s">
        <v>65</v>
      </c>
      <c r="S411" s="4">
        <v>4</v>
      </c>
      <c r="T411" s="4">
        <v>4</v>
      </c>
      <c r="U411" s="5" t="s">
        <v>5226</v>
      </c>
      <c r="V411" s="5" t="s">
        <v>5226</v>
      </c>
      <c r="W411" s="5" t="s">
        <v>3348</v>
      </c>
      <c r="X411" s="5" t="s">
        <v>3348</v>
      </c>
      <c r="Y411" s="4">
        <v>634</v>
      </c>
      <c r="Z411" s="4">
        <v>614</v>
      </c>
      <c r="AA411" s="4">
        <v>616</v>
      </c>
      <c r="AB411" s="4">
        <v>8</v>
      </c>
      <c r="AC411" s="4">
        <v>8</v>
      </c>
      <c r="AD411" s="4">
        <v>33</v>
      </c>
      <c r="AE411" s="4">
        <v>33</v>
      </c>
      <c r="AF411" s="4">
        <v>11</v>
      </c>
      <c r="AG411" s="4">
        <v>11</v>
      </c>
      <c r="AH411" s="4">
        <v>7</v>
      </c>
      <c r="AI411" s="4">
        <v>7</v>
      </c>
      <c r="AJ411" s="4">
        <v>17</v>
      </c>
      <c r="AK411" s="4">
        <v>17</v>
      </c>
      <c r="AL411" s="4">
        <v>7</v>
      </c>
      <c r="AM411" s="4">
        <v>7</v>
      </c>
      <c r="AN411" s="4">
        <v>0</v>
      </c>
      <c r="AO411" s="4">
        <v>0</v>
      </c>
      <c r="AP411" s="3" t="s">
        <v>58</v>
      </c>
      <c r="AQ411" s="3" t="s">
        <v>68</v>
      </c>
      <c r="AR411" s="6" t="str">
        <f>HYPERLINK("http://catalog.hathitrust.org/Record/001243271","HathiTrust Record")</f>
        <v>HathiTrust Record</v>
      </c>
      <c r="AS411" s="6" t="str">
        <f>HYPERLINK("https://creighton-primo.hosted.exlibrisgroup.com/primo-explore/search?tab=default_tab&amp;search_scope=EVERYTHING&amp;vid=01CRU&amp;lang=en_US&amp;offset=0&amp;query=any,contains,991003520559702656","Catalog Record")</f>
        <v>Catalog Record</v>
      </c>
      <c r="AT411" s="6" t="str">
        <f>HYPERLINK("http://www.worldcat.org/oclc/1080781","WorldCat Record")</f>
        <v>WorldCat Record</v>
      </c>
      <c r="AU411" s="3" t="s">
        <v>5227</v>
      </c>
      <c r="AV411" s="3" t="s">
        <v>5228</v>
      </c>
      <c r="AW411" s="3" t="s">
        <v>5229</v>
      </c>
      <c r="AX411" s="3" t="s">
        <v>5229</v>
      </c>
      <c r="AY411" s="3" t="s">
        <v>5230</v>
      </c>
      <c r="AZ411" s="3" t="s">
        <v>73</v>
      </c>
      <c r="BC411" s="3" t="s">
        <v>5231</v>
      </c>
      <c r="BD411" s="3" t="s">
        <v>5232</v>
      </c>
    </row>
    <row r="412" spans="1:56" ht="51" customHeight="1" x14ac:dyDescent="0.25">
      <c r="A412" s="7" t="s">
        <v>58</v>
      </c>
      <c r="B412" s="2" t="s">
        <v>5233</v>
      </c>
      <c r="C412" s="2" t="s">
        <v>5234</v>
      </c>
      <c r="D412" s="2" t="s">
        <v>5235</v>
      </c>
      <c r="F412" s="3" t="s">
        <v>58</v>
      </c>
      <c r="G412" s="3" t="s">
        <v>59</v>
      </c>
      <c r="H412" s="3" t="s">
        <v>58</v>
      </c>
      <c r="I412" s="3" t="s">
        <v>58</v>
      </c>
      <c r="J412" s="3" t="s">
        <v>60</v>
      </c>
      <c r="K412" s="2" t="s">
        <v>5236</v>
      </c>
      <c r="L412" s="2" t="s">
        <v>5237</v>
      </c>
      <c r="M412" s="3" t="s">
        <v>1385</v>
      </c>
      <c r="O412" s="3" t="s">
        <v>63</v>
      </c>
      <c r="P412" s="3" t="s">
        <v>584</v>
      </c>
      <c r="R412" s="3" t="s">
        <v>65</v>
      </c>
      <c r="S412" s="4">
        <v>2</v>
      </c>
      <c r="T412" s="4">
        <v>2</v>
      </c>
      <c r="U412" s="5" t="s">
        <v>5187</v>
      </c>
      <c r="V412" s="5" t="s">
        <v>5187</v>
      </c>
      <c r="W412" s="5" t="s">
        <v>5238</v>
      </c>
      <c r="X412" s="5" t="s">
        <v>5238</v>
      </c>
      <c r="Y412" s="4">
        <v>652</v>
      </c>
      <c r="Z412" s="4">
        <v>503</v>
      </c>
      <c r="AA412" s="4">
        <v>530</v>
      </c>
      <c r="AB412" s="4">
        <v>4</v>
      </c>
      <c r="AC412" s="4">
        <v>4</v>
      </c>
      <c r="AD412" s="4">
        <v>21</v>
      </c>
      <c r="AE412" s="4">
        <v>21</v>
      </c>
      <c r="AF412" s="4">
        <v>6</v>
      </c>
      <c r="AG412" s="4">
        <v>6</v>
      </c>
      <c r="AH412" s="4">
        <v>6</v>
      </c>
      <c r="AI412" s="4">
        <v>6</v>
      </c>
      <c r="AJ412" s="4">
        <v>12</v>
      </c>
      <c r="AK412" s="4">
        <v>12</v>
      </c>
      <c r="AL412" s="4">
        <v>3</v>
      </c>
      <c r="AM412" s="4">
        <v>3</v>
      </c>
      <c r="AN412" s="4">
        <v>0</v>
      </c>
      <c r="AO412" s="4">
        <v>0</v>
      </c>
      <c r="AP412" s="3" t="s">
        <v>58</v>
      </c>
      <c r="AQ412" s="3" t="s">
        <v>68</v>
      </c>
      <c r="AR412" s="6" t="str">
        <f>HYPERLINK("http://catalog.hathitrust.org/Record/001246983","HathiTrust Record")</f>
        <v>HathiTrust Record</v>
      </c>
      <c r="AS412" s="6" t="str">
        <f>HYPERLINK("https://creighton-primo.hosted.exlibrisgroup.com/primo-explore/search?tab=default_tab&amp;search_scope=EVERYTHING&amp;vid=01CRU&amp;lang=en_US&amp;offset=0&amp;query=any,contains,991003431099702656","Catalog Record")</f>
        <v>Catalog Record</v>
      </c>
      <c r="AT412" s="6" t="str">
        <f>HYPERLINK("http://www.worldcat.org/oclc/965615","WorldCat Record")</f>
        <v>WorldCat Record</v>
      </c>
      <c r="AU412" s="3" t="s">
        <v>5239</v>
      </c>
      <c r="AV412" s="3" t="s">
        <v>5240</v>
      </c>
      <c r="AW412" s="3" t="s">
        <v>5241</v>
      </c>
      <c r="AX412" s="3" t="s">
        <v>5241</v>
      </c>
      <c r="AY412" s="3" t="s">
        <v>5242</v>
      </c>
      <c r="AZ412" s="3" t="s">
        <v>73</v>
      </c>
      <c r="BB412" s="3" t="s">
        <v>5243</v>
      </c>
      <c r="BC412" s="3" t="s">
        <v>5244</v>
      </c>
      <c r="BD412" s="3" t="s">
        <v>5245</v>
      </c>
    </row>
    <row r="413" spans="1:56" ht="51" customHeight="1" x14ac:dyDescent="0.25">
      <c r="A413" s="7" t="s">
        <v>58</v>
      </c>
      <c r="B413" s="2" t="s">
        <v>5246</v>
      </c>
      <c r="C413" s="2" t="s">
        <v>5247</v>
      </c>
      <c r="D413" s="2" t="s">
        <v>5248</v>
      </c>
      <c r="F413" s="3" t="s">
        <v>58</v>
      </c>
      <c r="G413" s="3" t="s">
        <v>59</v>
      </c>
      <c r="H413" s="3" t="s">
        <v>58</v>
      </c>
      <c r="I413" s="3" t="s">
        <v>58</v>
      </c>
      <c r="J413" s="3" t="s">
        <v>60</v>
      </c>
      <c r="K413" s="2" t="s">
        <v>5249</v>
      </c>
      <c r="L413" s="2" t="s">
        <v>5250</v>
      </c>
      <c r="M413" s="3" t="s">
        <v>1153</v>
      </c>
      <c r="O413" s="3" t="s">
        <v>63</v>
      </c>
      <c r="P413" s="3" t="s">
        <v>584</v>
      </c>
      <c r="R413" s="3" t="s">
        <v>65</v>
      </c>
      <c r="S413" s="4">
        <v>1</v>
      </c>
      <c r="T413" s="4">
        <v>1</v>
      </c>
      <c r="U413" s="5" t="s">
        <v>5251</v>
      </c>
      <c r="V413" s="5" t="s">
        <v>5251</v>
      </c>
      <c r="W413" s="5" t="s">
        <v>3348</v>
      </c>
      <c r="X413" s="5" t="s">
        <v>3348</v>
      </c>
      <c r="Y413" s="4">
        <v>489</v>
      </c>
      <c r="Z413" s="4">
        <v>372</v>
      </c>
      <c r="AA413" s="4">
        <v>412</v>
      </c>
      <c r="AB413" s="4">
        <v>4</v>
      </c>
      <c r="AC413" s="4">
        <v>4</v>
      </c>
      <c r="AD413" s="4">
        <v>21</v>
      </c>
      <c r="AE413" s="4">
        <v>21</v>
      </c>
      <c r="AF413" s="4">
        <v>6</v>
      </c>
      <c r="AG413" s="4">
        <v>6</v>
      </c>
      <c r="AH413" s="4">
        <v>6</v>
      </c>
      <c r="AI413" s="4">
        <v>6</v>
      </c>
      <c r="AJ413" s="4">
        <v>13</v>
      </c>
      <c r="AK413" s="4">
        <v>13</v>
      </c>
      <c r="AL413" s="4">
        <v>3</v>
      </c>
      <c r="AM413" s="4">
        <v>3</v>
      </c>
      <c r="AN413" s="4">
        <v>0</v>
      </c>
      <c r="AO413" s="4">
        <v>0</v>
      </c>
      <c r="AP413" s="3" t="s">
        <v>58</v>
      </c>
      <c r="AQ413" s="3" t="s">
        <v>58</v>
      </c>
      <c r="AS413" s="6" t="str">
        <f>HYPERLINK("https://creighton-primo.hosted.exlibrisgroup.com/primo-explore/search?tab=default_tab&amp;search_scope=EVERYTHING&amp;vid=01CRU&amp;lang=en_US&amp;offset=0&amp;query=any,contains,991003091809702656","Catalog Record")</f>
        <v>Catalog Record</v>
      </c>
      <c r="AT413" s="6" t="str">
        <f>HYPERLINK("http://www.worldcat.org/oclc/641908","WorldCat Record")</f>
        <v>WorldCat Record</v>
      </c>
      <c r="AU413" s="3" t="s">
        <v>5252</v>
      </c>
      <c r="AV413" s="3" t="s">
        <v>5253</v>
      </c>
      <c r="AW413" s="3" t="s">
        <v>5254</v>
      </c>
      <c r="AX413" s="3" t="s">
        <v>5254</v>
      </c>
      <c r="AY413" s="3" t="s">
        <v>5255</v>
      </c>
      <c r="AZ413" s="3" t="s">
        <v>73</v>
      </c>
      <c r="BB413" s="3" t="s">
        <v>5256</v>
      </c>
      <c r="BC413" s="3" t="s">
        <v>5257</v>
      </c>
      <c r="BD413" s="3" t="s">
        <v>5258</v>
      </c>
    </row>
    <row r="414" spans="1:56" ht="51" customHeight="1" x14ac:dyDescent="0.25">
      <c r="A414" s="7" t="s">
        <v>58</v>
      </c>
      <c r="B414" s="2" t="s">
        <v>5259</v>
      </c>
      <c r="C414" s="2" t="s">
        <v>5260</v>
      </c>
      <c r="D414" s="2" t="s">
        <v>5261</v>
      </c>
      <c r="F414" s="3" t="s">
        <v>58</v>
      </c>
      <c r="G414" s="3" t="s">
        <v>59</v>
      </c>
      <c r="H414" s="3" t="s">
        <v>58</v>
      </c>
      <c r="I414" s="3" t="s">
        <v>58</v>
      </c>
      <c r="J414" s="3" t="s">
        <v>60</v>
      </c>
      <c r="K414" s="2" t="s">
        <v>5262</v>
      </c>
      <c r="L414" s="2" t="s">
        <v>5263</v>
      </c>
      <c r="M414" s="3" t="s">
        <v>423</v>
      </c>
      <c r="O414" s="3" t="s">
        <v>63</v>
      </c>
      <c r="P414" s="3" t="s">
        <v>584</v>
      </c>
      <c r="Q414" s="2" t="s">
        <v>5264</v>
      </c>
      <c r="R414" s="3" t="s">
        <v>65</v>
      </c>
      <c r="S414" s="4">
        <v>6</v>
      </c>
      <c r="T414" s="4">
        <v>6</v>
      </c>
      <c r="U414" s="5" t="s">
        <v>5265</v>
      </c>
      <c r="V414" s="5" t="s">
        <v>5265</v>
      </c>
      <c r="W414" s="5" t="s">
        <v>5266</v>
      </c>
      <c r="X414" s="5" t="s">
        <v>5266</v>
      </c>
      <c r="Y414" s="4">
        <v>70</v>
      </c>
      <c r="Z414" s="4">
        <v>45</v>
      </c>
      <c r="AA414" s="4">
        <v>146</v>
      </c>
      <c r="AB414" s="4">
        <v>1</v>
      </c>
      <c r="AC414" s="4">
        <v>1</v>
      </c>
      <c r="AD414" s="4">
        <v>0</v>
      </c>
      <c r="AE414" s="4">
        <v>8</v>
      </c>
      <c r="AF414" s="4">
        <v>0</v>
      </c>
      <c r="AG414" s="4">
        <v>0</v>
      </c>
      <c r="AH414" s="4">
        <v>0</v>
      </c>
      <c r="AI414" s="4">
        <v>6</v>
      </c>
      <c r="AJ414" s="4">
        <v>0</v>
      </c>
      <c r="AK414" s="4">
        <v>4</v>
      </c>
      <c r="AL414" s="4">
        <v>0</v>
      </c>
      <c r="AM414" s="4">
        <v>0</v>
      </c>
      <c r="AN414" s="4">
        <v>0</v>
      </c>
      <c r="AO414" s="4">
        <v>0</v>
      </c>
      <c r="AP414" s="3" t="s">
        <v>58</v>
      </c>
      <c r="AQ414" s="3" t="s">
        <v>58</v>
      </c>
      <c r="AS414" s="6" t="str">
        <f>HYPERLINK("https://creighton-primo.hosted.exlibrisgroup.com/primo-explore/search?tab=default_tab&amp;search_scope=EVERYTHING&amp;vid=01CRU&amp;lang=en_US&amp;offset=0&amp;query=any,contains,991000036149702656","Catalog Record")</f>
        <v>Catalog Record</v>
      </c>
      <c r="AT414" s="6" t="str">
        <f>HYPERLINK("http://www.worldcat.org/oclc/41338329","WorldCat Record")</f>
        <v>WorldCat Record</v>
      </c>
      <c r="AU414" s="3" t="s">
        <v>5267</v>
      </c>
      <c r="AV414" s="3" t="s">
        <v>5268</v>
      </c>
      <c r="AW414" s="3" t="s">
        <v>5269</v>
      </c>
      <c r="AX414" s="3" t="s">
        <v>5269</v>
      </c>
      <c r="AY414" s="3" t="s">
        <v>5270</v>
      </c>
      <c r="AZ414" s="3" t="s">
        <v>73</v>
      </c>
      <c r="BB414" s="3" t="s">
        <v>5271</v>
      </c>
      <c r="BC414" s="3" t="s">
        <v>5272</v>
      </c>
      <c r="BD414" s="3" t="s">
        <v>5273</v>
      </c>
    </row>
    <row r="415" spans="1:56" ht="51" customHeight="1" x14ac:dyDescent="0.25">
      <c r="A415" s="7" t="s">
        <v>58</v>
      </c>
      <c r="B415" s="2" t="s">
        <v>5274</v>
      </c>
      <c r="C415" s="2" t="s">
        <v>5275</v>
      </c>
      <c r="D415" s="2" t="s">
        <v>5276</v>
      </c>
      <c r="F415" s="3" t="s">
        <v>58</v>
      </c>
      <c r="G415" s="3" t="s">
        <v>59</v>
      </c>
      <c r="H415" s="3" t="s">
        <v>58</v>
      </c>
      <c r="I415" s="3" t="s">
        <v>58</v>
      </c>
      <c r="J415" s="3" t="s">
        <v>60</v>
      </c>
      <c r="K415" s="2" t="s">
        <v>5277</v>
      </c>
      <c r="L415" s="2" t="s">
        <v>5278</v>
      </c>
      <c r="M415" s="3" t="s">
        <v>1544</v>
      </c>
      <c r="O415" s="3" t="s">
        <v>63</v>
      </c>
      <c r="P415" s="3" t="s">
        <v>214</v>
      </c>
      <c r="Q415" s="2" t="s">
        <v>5279</v>
      </c>
      <c r="R415" s="3" t="s">
        <v>65</v>
      </c>
      <c r="S415" s="4">
        <v>4</v>
      </c>
      <c r="T415" s="4">
        <v>4</v>
      </c>
      <c r="U415" s="5" t="s">
        <v>5280</v>
      </c>
      <c r="V415" s="5" t="s">
        <v>5280</v>
      </c>
      <c r="W415" s="5" t="s">
        <v>5281</v>
      </c>
      <c r="X415" s="5" t="s">
        <v>5281</v>
      </c>
      <c r="Y415" s="4">
        <v>301</v>
      </c>
      <c r="Z415" s="4">
        <v>248</v>
      </c>
      <c r="AA415" s="4">
        <v>254</v>
      </c>
      <c r="AB415" s="4">
        <v>2</v>
      </c>
      <c r="AC415" s="4">
        <v>2</v>
      </c>
      <c r="AD415" s="4">
        <v>13</v>
      </c>
      <c r="AE415" s="4">
        <v>13</v>
      </c>
      <c r="AF415" s="4">
        <v>2</v>
      </c>
      <c r="AG415" s="4">
        <v>2</v>
      </c>
      <c r="AH415" s="4">
        <v>6</v>
      </c>
      <c r="AI415" s="4">
        <v>6</v>
      </c>
      <c r="AJ415" s="4">
        <v>7</v>
      </c>
      <c r="AK415" s="4">
        <v>7</v>
      </c>
      <c r="AL415" s="4">
        <v>1</v>
      </c>
      <c r="AM415" s="4">
        <v>1</v>
      </c>
      <c r="AN415" s="4">
        <v>0</v>
      </c>
      <c r="AO415" s="4">
        <v>0</v>
      </c>
      <c r="AP415" s="3" t="s">
        <v>58</v>
      </c>
      <c r="AQ415" s="3" t="s">
        <v>68</v>
      </c>
      <c r="AR415" s="6" t="str">
        <f>HYPERLINK("http://catalog.hathitrust.org/Record/002530500","HathiTrust Record")</f>
        <v>HathiTrust Record</v>
      </c>
      <c r="AS415" s="6" t="str">
        <f>HYPERLINK("https://creighton-primo.hosted.exlibrisgroup.com/primo-explore/search?tab=default_tab&amp;search_scope=EVERYTHING&amp;vid=01CRU&amp;lang=en_US&amp;offset=0&amp;query=any,contains,991001936069702656","Catalog Record")</f>
        <v>Catalog Record</v>
      </c>
      <c r="AT415" s="6" t="str">
        <f>HYPERLINK("http://www.worldcat.org/oclc/24467270","WorldCat Record")</f>
        <v>WorldCat Record</v>
      </c>
      <c r="AU415" s="3" t="s">
        <v>5282</v>
      </c>
      <c r="AV415" s="3" t="s">
        <v>5283</v>
      </c>
      <c r="AW415" s="3" t="s">
        <v>5284</v>
      </c>
      <c r="AX415" s="3" t="s">
        <v>5284</v>
      </c>
      <c r="AY415" s="3" t="s">
        <v>5285</v>
      </c>
      <c r="AZ415" s="3" t="s">
        <v>73</v>
      </c>
      <c r="BB415" s="3" t="s">
        <v>5286</v>
      </c>
      <c r="BC415" s="3" t="s">
        <v>5287</v>
      </c>
      <c r="BD415" s="3" t="s">
        <v>5288</v>
      </c>
    </row>
    <row r="416" spans="1:56" ht="51" customHeight="1" x14ac:dyDescent="0.25">
      <c r="A416" s="7" t="s">
        <v>58</v>
      </c>
      <c r="B416" s="2" t="s">
        <v>5289</v>
      </c>
      <c r="C416" s="2" t="s">
        <v>5290</v>
      </c>
      <c r="D416" s="2" t="s">
        <v>5291</v>
      </c>
      <c r="F416" s="3" t="s">
        <v>58</v>
      </c>
      <c r="G416" s="3" t="s">
        <v>59</v>
      </c>
      <c r="H416" s="3" t="s">
        <v>58</v>
      </c>
      <c r="I416" s="3" t="s">
        <v>58</v>
      </c>
      <c r="J416" s="3" t="s">
        <v>60</v>
      </c>
      <c r="K416" s="2" t="s">
        <v>5292</v>
      </c>
      <c r="L416" s="2" t="s">
        <v>5293</v>
      </c>
      <c r="M416" s="3" t="s">
        <v>353</v>
      </c>
      <c r="N416" s="2" t="s">
        <v>338</v>
      </c>
      <c r="O416" s="3" t="s">
        <v>63</v>
      </c>
      <c r="P416" s="3" t="s">
        <v>214</v>
      </c>
      <c r="R416" s="3" t="s">
        <v>65</v>
      </c>
      <c r="S416" s="4">
        <v>4</v>
      </c>
      <c r="T416" s="4">
        <v>4</v>
      </c>
      <c r="U416" s="5" t="s">
        <v>3241</v>
      </c>
      <c r="V416" s="5" t="s">
        <v>3241</v>
      </c>
      <c r="W416" s="5" t="s">
        <v>5294</v>
      </c>
      <c r="X416" s="5" t="s">
        <v>5294</v>
      </c>
      <c r="Y416" s="4">
        <v>806</v>
      </c>
      <c r="Z416" s="4">
        <v>702</v>
      </c>
      <c r="AA416" s="4">
        <v>706</v>
      </c>
      <c r="AB416" s="4">
        <v>3</v>
      </c>
      <c r="AC416" s="4">
        <v>3</v>
      </c>
      <c r="AD416" s="4">
        <v>20</v>
      </c>
      <c r="AE416" s="4">
        <v>20</v>
      </c>
      <c r="AF416" s="4">
        <v>5</v>
      </c>
      <c r="AG416" s="4">
        <v>5</v>
      </c>
      <c r="AH416" s="4">
        <v>7</v>
      </c>
      <c r="AI416" s="4">
        <v>7</v>
      </c>
      <c r="AJ416" s="4">
        <v>12</v>
      </c>
      <c r="AK416" s="4">
        <v>12</v>
      </c>
      <c r="AL416" s="4">
        <v>1</v>
      </c>
      <c r="AM416" s="4">
        <v>1</v>
      </c>
      <c r="AN416" s="4">
        <v>0</v>
      </c>
      <c r="AO416" s="4">
        <v>0</v>
      </c>
      <c r="AP416" s="3" t="s">
        <v>58</v>
      </c>
      <c r="AQ416" s="3" t="s">
        <v>68</v>
      </c>
      <c r="AR416" s="6" t="str">
        <f>HYPERLINK("http://catalog.hathitrust.org/Record/000838752","HathiTrust Record")</f>
        <v>HathiTrust Record</v>
      </c>
      <c r="AS416" s="6" t="str">
        <f>HYPERLINK("https://creighton-primo.hosted.exlibrisgroup.com/primo-explore/search?tab=default_tab&amp;search_scope=EVERYTHING&amp;vid=01CRU&amp;lang=en_US&amp;offset=0&amp;query=any,contains,991001074179702656","Catalog Record")</f>
        <v>Catalog Record</v>
      </c>
      <c r="AT416" s="6" t="str">
        <f>HYPERLINK("http://www.worldcat.org/oclc/16004596","WorldCat Record")</f>
        <v>WorldCat Record</v>
      </c>
      <c r="AU416" s="3" t="s">
        <v>5295</v>
      </c>
      <c r="AV416" s="3" t="s">
        <v>5296</v>
      </c>
      <c r="AW416" s="3" t="s">
        <v>5297</v>
      </c>
      <c r="AX416" s="3" t="s">
        <v>5297</v>
      </c>
      <c r="AY416" s="3" t="s">
        <v>5298</v>
      </c>
      <c r="AZ416" s="3" t="s">
        <v>73</v>
      </c>
      <c r="BC416" s="3" t="s">
        <v>5299</v>
      </c>
      <c r="BD416" s="3" t="s">
        <v>5300</v>
      </c>
    </row>
    <row r="417" spans="1:56" ht="51" customHeight="1" x14ac:dyDescent="0.25">
      <c r="A417" s="7" t="s">
        <v>58</v>
      </c>
      <c r="B417" s="2" t="s">
        <v>5301</v>
      </c>
      <c r="C417" s="2" t="s">
        <v>5302</v>
      </c>
      <c r="D417" s="2" t="s">
        <v>5303</v>
      </c>
      <c r="F417" s="3" t="s">
        <v>58</v>
      </c>
      <c r="G417" s="3" t="s">
        <v>59</v>
      </c>
      <c r="H417" s="3" t="s">
        <v>58</v>
      </c>
      <c r="I417" s="3" t="s">
        <v>58</v>
      </c>
      <c r="J417" s="3" t="s">
        <v>60</v>
      </c>
      <c r="K417" s="2" t="s">
        <v>5304</v>
      </c>
      <c r="L417" s="2" t="s">
        <v>5305</v>
      </c>
      <c r="M417" s="3" t="s">
        <v>524</v>
      </c>
      <c r="O417" s="3" t="s">
        <v>63</v>
      </c>
      <c r="P417" s="3" t="s">
        <v>584</v>
      </c>
      <c r="R417" s="3" t="s">
        <v>65</v>
      </c>
      <c r="S417" s="4">
        <v>3</v>
      </c>
      <c r="T417" s="4">
        <v>3</v>
      </c>
      <c r="U417" s="5" t="s">
        <v>5306</v>
      </c>
      <c r="V417" s="5" t="s">
        <v>5306</v>
      </c>
      <c r="W417" s="5" t="s">
        <v>5307</v>
      </c>
      <c r="X417" s="5" t="s">
        <v>5307</v>
      </c>
      <c r="Y417" s="4">
        <v>358</v>
      </c>
      <c r="Z417" s="4">
        <v>267</v>
      </c>
      <c r="AA417" s="4">
        <v>290</v>
      </c>
      <c r="AB417" s="4">
        <v>3</v>
      </c>
      <c r="AC417" s="4">
        <v>3</v>
      </c>
      <c r="AD417" s="4">
        <v>9</v>
      </c>
      <c r="AE417" s="4">
        <v>9</v>
      </c>
      <c r="AF417" s="4">
        <v>3</v>
      </c>
      <c r="AG417" s="4">
        <v>3</v>
      </c>
      <c r="AH417" s="4">
        <v>3</v>
      </c>
      <c r="AI417" s="4">
        <v>3</v>
      </c>
      <c r="AJ417" s="4">
        <v>5</v>
      </c>
      <c r="AK417" s="4">
        <v>5</v>
      </c>
      <c r="AL417" s="4">
        <v>2</v>
      </c>
      <c r="AM417" s="4">
        <v>2</v>
      </c>
      <c r="AN417" s="4">
        <v>0</v>
      </c>
      <c r="AO417" s="4">
        <v>0</v>
      </c>
      <c r="AP417" s="3" t="s">
        <v>58</v>
      </c>
      <c r="AQ417" s="3" t="s">
        <v>68</v>
      </c>
      <c r="AR417" s="6" t="str">
        <f>HYPERLINK("http://catalog.hathitrust.org/Record/000436540","HathiTrust Record")</f>
        <v>HathiTrust Record</v>
      </c>
      <c r="AS417" s="6" t="str">
        <f>HYPERLINK("https://creighton-primo.hosted.exlibrisgroup.com/primo-explore/search?tab=default_tab&amp;search_scope=EVERYTHING&amp;vid=01CRU&amp;lang=en_US&amp;offset=0&amp;query=any,contains,991000685589702656","Catalog Record")</f>
        <v>Catalog Record</v>
      </c>
      <c r="AT417" s="6" t="str">
        <f>HYPERLINK("http://www.worldcat.org/oclc/12420589","WorldCat Record")</f>
        <v>WorldCat Record</v>
      </c>
      <c r="AU417" s="3" t="s">
        <v>5308</v>
      </c>
      <c r="AV417" s="3" t="s">
        <v>5309</v>
      </c>
      <c r="AW417" s="3" t="s">
        <v>5310</v>
      </c>
      <c r="AX417" s="3" t="s">
        <v>5310</v>
      </c>
      <c r="AY417" s="3" t="s">
        <v>5311</v>
      </c>
      <c r="AZ417" s="3" t="s">
        <v>73</v>
      </c>
      <c r="BB417" s="3" t="s">
        <v>5312</v>
      </c>
      <c r="BC417" s="3" t="s">
        <v>5313</v>
      </c>
      <c r="BD417" s="3" t="s">
        <v>5314</v>
      </c>
    </row>
    <row r="418" spans="1:56" ht="51" customHeight="1" x14ac:dyDescent="0.25">
      <c r="A418" s="7" t="s">
        <v>58</v>
      </c>
      <c r="B418" s="2" t="s">
        <v>5315</v>
      </c>
      <c r="C418" s="2" t="s">
        <v>5316</v>
      </c>
      <c r="D418" s="2" t="s">
        <v>5317</v>
      </c>
      <c r="F418" s="3" t="s">
        <v>58</v>
      </c>
      <c r="G418" s="3" t="s">
        <v>59</v>
      </c>
      <c r="H418" s="3" t="s">
        <v>58</v>
      </c>
      <c r="I418" s="3" t="s">
        <v>58</v>
      </c>
      <c r="J418" s="3" t="s">
        <v>60</v>
      </c>
      <c r="K418" s="2" t="s">
        <v>5318</v>
      </c>
      <c r="L418" s="2" t="s">
        <v>5319</v>
      </c>
      <c r="M418" s="3" t="s">
        <v>154</v>
      </c>
      <c r="O418" s="3" t="s">
        <v>63</v>
      </c>
      <c r="P418" s="3" t="s">
        <v>584</v>
      </c>
      <c r="Q418" s="2" t="s">
        <v>5320</v>
      </c>
      <c r="R418" s="3" t="s">
        <v>65</v>
      </c>
      <c r="S418" s="4">
        <v>2</v>
      </c>
      <c r="T418" s="4">
        <v>2</v>
      </c>
      <c r="U418" s="5" t="s">
        <v>3605</v>
      </c>
      <c r="V418" s="5" t="s">
        <v>3605</v>
      </c>
      <c r="W418" s="5" t="s">
        <v>5321</v>
      </c>
      <c r="X418" s="5" t="s">
        <v>5321</v>
      </c>
      <c r="Y418" s="4">
        <v>260</v>
      </c>
      <c r="Z418" s="4">
        <v>154</v>
      </c>
      <c r="AA418" s="4">
        <v>154</v>
      </c>
      <c r="AB418" s="4">
        <v>2</v>
      </c>
      <c r="AC418" s="4">
        <v>2</v>
      </c>
      <c r="AD418" s="4">
        <v>5</v>
      </c>
      <c r="AE418" s="4">
        <v>5</v>
      </c>
      <c r="AF418" s="4">
        <v>0</v>
      </c>
      <c r="AG418" s="4">
        <v>0</v>
      </c>
      <c r="AH418" s="4">
        <v>3</v>
      </c>
      <c r="AI418" s="4">
        <v>3</v>
      </c>
      <c r="AJ418" s="4">
        <v>3</v>
      </c>
      <c r="AK418" s="4">
        <v>3</v>
      </c>
      <c r="AL418" s="4">
        <v>1</v>
      </c>
      <c r="AM418" s="4">
        <v>1</v>
      </c>
      <c r="AN418" s="4">
        <v>0</v>
      </c>
      <c r="AO418" s="4">
        <v>0</v>
      </c>
      <c r="AP418" s="3" t="s">
        <v>58</v>
      </c>
      <c r="AQ418" s="3" t="s">
        <v>58</v>
      </c>
      <c r="AS418" s="6" t="str">
        <f>HYPERLINK("https://creighton-primo.hosted.exlibrisgroup.com/primo-explore/search?tab=default_tab&amp;search_scope=EVERYTHING&amp;vid=01CRU&amp;lang=en_US&amp;offset=0&amp;query=any,contains,991001467469702656","Catalog Record")</f>
        <v>Catalog Record</v>
      </c>
      <c r="AT418" s="6" t="str">
        <f>HYPERLINK("http://www.worldcat.org/oclc/19515129","WorldCat Record")</f>
        <v>WorldCat Record</v>
      </c>
      <c r="AU418" s="3" t="s">
        <v>5322</v>
      </c>
      <c r="AV418" s="3" t="s">
        <v>5323</v>
      </c>
      <c r="AW418" s="3" t="s">
        <v>5324</v>
      </c>
      <c r="AX418" s="3" t="s">
        <v>5324</v>
      </c>
      <c r="AY418" s="3" t="s">
        <v>5325</v>
      </c>
      <c r="AZ418" s="3" t="s">
        <v>73</v>
      </c>
      <c r="BB418" s="3" t="s">
        <v>5326</v>
      </c>
      <c r="BC418" s="3" t="s">
        <v>5327</v>
      </c>
      <c r="BD418" s="3" t="s">
        <v>5328</v>
      </c>
    </row>
    <row r="419" spans="1:56" ht="51" customHeight="1" x14ac:dyDescent="0.25">
      <c r="A419" s="7" t="s">
        <v>58</v>
      </c>
      <c r="B419" s="2" t="s">
        <v>5329</v>
      </c>
      <c r="C419" s="2" t="s">
        <v>5330</v>
      </c>
      <c r="D419" s="2" t="s">
        <v>5331</v>
      </c>
      <c r="F419" s="3" t="s">
        <v>58</v>
      </c>
      <c r="G419" s="3" t="s">
        <v>59</v>
      </c>
      <c r="H419" s="3" t="s">
        <v>58</v>
      </c>
      <c r="I419" s="3" t="s">
        <v>58</v>
      </c>
      <c r="J419" s="3" t="s">
        <v>60</v>
      </c>
      <c r="K419" s="2" t="s">
        <v>5332</v>
      </c>
      <c r="L419" s="2" t="s">
        <v>5333</v>
      </c>
      <c r="M419" s="3" t="s">
        <v>62</v>
      </c>
      <c r="O419" s="3" t="s">
        <v>63</v>
      </c>
      <c r="P419" s="3" t="s">
        <v>510</v>
      </c>
      <c r="R419" s="3" t="s">
        <v>65</v>
      </c>
      <c r="S419" s="4">
        <v>1</v>
      </c>
      <c r="T419" s="4">
        <v>1</v>
      </c>
      <c r="U419" s="5" t="s">
        <v>3605</v>
      </c>
      <c r="V419" s="5" t="s">
        <v>3605</v>
      </c>
      <c r="W419" s="5" t="s">
        <v>3348</v>
      </c>
      <c r="X419" s="5" t="s">
        <v>3348</v>
      </c>
      <c r="Y419" s="4">
        <v>162</v>
      </c>
      <c r="Z419" s="4">
        <v>130</v>
      </c>
      <c r="AA419" s="4">
        <v>297</v>
      </c>
      <c r="AB419" s="4">
        <v>2</v>
      </c>
      <c r="AC419" s="4">
        <v>4</v>
      </c>
      <c r="AD419" s="4">
        <v>8</v>
      </c>
      <c r="AE419" s="4">
        <v>12</v>
      </c>
      <c r="AF419" s="4">
        <v>2</v>
      </c>
      <c r="AG419" s="4">
        <v>2</v>
      </c>
      <c r="AH419" s="4">
        <v>3</v>
      </c>
      <c r="AI419" s="4">
        <v>4</v>
      </c>
      <c r="AJ419" s="4">
        <v>3</v>
      </c>
      <c r="AK419" s="4">
        <v>4</v>
      </c>
      <c r="AL419" s="4">
        <v>1</v>
      </c>
      <c r="AM419" s="4">
        <v>3</v>
      </c>
      <c r="AN419" s="4">
        <v>0</v>
      </c>
      <c r="AO419" s="4">
        <v>1</v>
      </c>
      <c r="AP419" s="3" t="s">
        <v>58</v>
      </c>
      <c r="AQ419" s="3" t="s">
        <v>58</v>
      </c>
      <c r="AS419" s="6" t="str">
        <f>HYPERLINK("https://creighton-primo.hosted.exlibrisgroup.com/primo-explore/search?tab=default_tab&amp;search_scope=EVERYTHING&amp;vid=01CRU&amp;lang=en_US&amp;offset=0&amp;query=any,contains,991001237929702656","Catalog Record")</f>
        <v>Catalog Record</v>
      </c>
      <c r="AT419" s="6" t="str">
        <f>HYPERLINK("http://www.worldcat.org/oclc/207082","WorldCat Record")</f>
        <v>WorldCat Record</v>
      </c>
      <c r="AU419" s="3" t="s">
        <v>5334</v>
      </c>
      <c r="AV419" s="3" t="s">
        <v>5335</v>
      </c>
      <c r="AW419" s="3" t="s">
        <v>5336</v>
      </c>
      <c r="AX419" s="3" t="s">
        <v>5336</v>
      </c>
      <c r="AY419" s="3" t="s">
        <v>5337</v>
      </c>
      <c r="AZ419" s="3" t="s">
        <v>73</v>
      </c>
      <c r="BB419" s="3" t="s">
        <v>5338</v>
      </c>
      <c r="BC419" s="3" t="s">
        <v>5339</v>
      </c>
      <c r="BD419" s="3" t="s">
        <v>5340</v>
      </c>
    </row>
    <row r="420" spans="1:56" ht="51" customHeight="1" x14ac:dyDescent="0.25">
      <c r="A420" s="7" t="s">
        <v>58</v>
      </c>
      <c r="B420" s="2" t="s">
        <v>5341</v>
      </c>
      <c r="C420" s="2" t="s">
        <v>5342</v>
      </c>
      <c r="D420" s="2" t="s">
        <v>5343</v>
      </c>
      <c r="F420" s="3" t="s">
        <v>58</v>
      </c>
      <c r="G420" s="3" t="s">
        <v>59</v>
      </c>
      <c r="H420" s="3" t="s">
        <v>58</v>
      </c>
      <c r="I420" s="3" t="s">
        <v>58</v>
      </c>
      <c r="J420" s="3" t="s">
        <v>60</v>
      </c>
      <c r="K420" s="2" t="s">
        <v>5344</v>
      </c>
      <c r="L420" s="2" t="s">
        <v>5345</v>
      </c>
      <c r="M420" s="3" t="s">
        <v>626</v>
      </c>
      <c r="N420" s="2" t="s">
        <v>338</v>
      </c>
      <c r="O420" s="3" t="s">
        <v>63</v>
      </c>
      <c r="P420" s="3" t="s">
        <v>214</v>
      </c>
      <c r="R420" s="3" t="s">
        <v>65</v>
      </c>
      <c r="S420" s="4">
        <v>1</v>
      </c>
      <c r="T420" s="4">
        <v>1</v>
      </c>
      <c r="U420" s="5" t="s">
        <v>5346</v>
      </c>
      <c r="V420" s="5" t="s">
        <v>5346</v>
      </c>
      <c r="W420" s="5" t="s">
        <v>5307</v>
      </c>
      <c r="X420" s="5" t="s">
        <v>5307</v>
      </c>
      <c r="Y420" s="4">
        <v>754</v>
      </c>
      <c r="Z420" s="4">
        <v>681</v>
      </c>
      <c r="AA420" s="4">
        <v>688</v>
      </c>
      <c r="AB420" s="4">
        <v>5</v>
      </c>
      <c r="AC420" s="4">
        <v>5</v>
      </c>
      <c r="AD420" s="4">
        <v>21</v>
      </c>
      <c r="AE420" s="4">
        <v>22</v>
      </c>
      <c r="AF420" s="4">
        <v>8</v>
      </c>
      <c r="AG420" s="4">
        <v>9</v>
      </c>
      <c r="AH420" s="4">
        <v>4</v>
      </c>
      <c r="AI420" s="4">
        <v>4</v>
      </c>
      <c r="AJ420" s="4">
        <v>11</v>
      </c>
      <c r="AK420" s="4">
        <v>12</v>
      </c>
      <c r="AL420" s="4">
        <v>1</v>
      </c>
      <c r="AM420" s="4">
        <v>1</v>
      </c>
      <c r="AN420" s="4">
        <v>1</v>
      </c>
      <c r="AO420" s="4">
        <v>1</v>
      </c>
      <c r="AP420" s="3" t="s">
        <v>58</v>
      </c>
      <c r="AQ420" s="3" t="s">
        <v>58</v>
      </c>
      <c r="AS420" s="6" t="str">
        <f>HYPERLINK("https://creighton-primo.hosted.exlibrisgroup.com/primo-explore/search?tab=default_tab&amp;search_scope=EVERYTHING&amp;vid=01CRU&amp;lang=en_US&amp;offset=0&amp;query=any,contains,991000154139702656","Catalog Record")</f>
        <v>Catalog Record</v>
      </c>
      <c r="AT420" s="6" t="str">
        <f>HYPERLINK("http://www.worldcat.org/oclc/9219406","WorldCat Record")</f>
        <v>WorldCat Record</v>
      </c>
      <c r="AU420" s="3" t="s">
        <v>5347</v>
      </c>
      <c r="AV420" s="3" t="s">
        <v>5348</v>
      </c>
      <c r="AW420" s="3" t="s">
        <v>5349</v>
      </c>
      <c r="AX420" s="3" t="s">
        <v>5349</v>
      </c>
      <c r="AY420" s="3" t="s">
        <v>5350</v>
      </c>
      <c r="AZ420" s="3" t="s">
        <v>73</v>
      </c>
      <c r="BB420" s="3" t="s">
        <v>5351</v>
      </c>
      <c r="BC420" s="3" t="s">
        <v>5352</v>
      </c>
      <c r="BD420" s="3" t="s">
        <v>5353</v>
      </c>
    </row>
    <row r="421" spans="1:56" ht="51" customHeight="1" x14ac:dyDescent="0.25">
      <c r="A421" s="7" t="s">
        <v>58</v>
      </c>
      <c r="B421" s="2" t="s">
        <v>5354</v>
      </c>
      <c r="C421" s="2" t="s">
        <v>5355</v>
      </c>
      <c r="D421" s="2" t="s">
        <v>5356</v>
      </c>
      <c r="F421" s="3" t="s">
        <v>58</v>
      </c>
      <c r="G421" s="3" t="s">
        <v>59</v>
      </c>
      <c r="H421" s="3" t="s">
        <v>58</v>
      </c>
      <c r="I421" s="3" t="s">
        <v>58</v>
      </c>
      <c r="J421" s="3" t="s">
        <v>60</v>
      </c>
      <c r="K421" s="2" t="s">
        <v>5357</v>
      </c>
      <c r="L421" s="2" t="s">
        <v>5358</v>
      </c>
      <c r="M421" s="3" t="s">
        <v>759</v>
      </c>
      <c r="O421" s="3" t="s">
        <v>63</v>
      </c>
      <c r="P421" s="3" t="s">
        <v>584</v>
      </c>
      <c r="R421" s="3" t="s">
        <v>65</v>
      </c>
      <c r="S421" s="4">
        <v>4</v>
      </c>
      <c r="T421" s="4">
        <v>4</v>
      </c>
      <c r="U421" s="5" t="s">
        <v>5359</v>
      </c>
      <c r="V421" s="5" t="s">
        <v>5359</v>
      </c>
      <c r="W421" s="5" t="s">
        <v>5307</v>
      </c>
      <c r="X421" s="5" t="s">
        <v>5307</v>
      </c>
      <c r="Y421" s="4">
        <v>555</v>
      </c>
      <c r="Z421" s="4">
        <v>456</v>
      </c>
      <c r="AA421" s="4">
        <v>458</v>
      </c>
      <c r="AB421" s="4">
        <v>5</v>
      </c>
      <c r="AC421" s="4">
        <v>5</v>
      </c>
      <c r="AD421" s="4">
        <v>22</v>
      </c>
      <c r="AE421" s="4">
        <v>22</v>
      </c>
      <c r="AF421" s="4">
        <v>8</v>
      </c>
      <c r="AG421" s="4">
        <v>8</v>
      </c>
      <c r="AH421" s="4">
        <v>6</v>
      </c>
      <c r="AI421" s="4">
        <v>6</v>
      </c>
      <c r="AJ421" s="4">
        <v>9</v>
      </c>
      <c r="AK421" s="4">
        <v>9</v>
      </c>
      <c r="AL421" s="4">
        <v>4</v>
      </c>
      <c r="AM421" s="4">
        <v>4</v>
      </c>
      <c r="AN421" s="4">
        <v>1</v>
      </c>
      <c r="AO421" s="4">
        <v>1</v>
      </c>
      <c r="AP421" s="3" t="s">
        <v>58</v>
      </c>
      <c r="AQ421" s="3" t="s">
        <v>68</v>
      </c>
      <c r="AR421" s="6" t="str">
        <f>HYPERLINK("http://catalog.hathitrust.org/Record/000691373","HathiTrust Record")</f>
        <v>HathiTrust Record</v>
      </c>
      <c r="AS421" s="6" t="str">
        <f>HYPERLINK("https://creighton-primo.hosted.exlibrisgroup.com/primo-explore/search?tab=default_tab&amp;search_scope=EVERYTHING&amp;vid=01CRU&amp;lang=en_US&amp;offset=0&amp;query=any,contains,991004950889702656","Catalog Record")</f>
        <v>Catalog Record</v>
      </c>
      <c r="AT421" s="6" t="str">
        <f>HYPERLINK("http://www.worldcat.org/oclc/6249825","WorldCat Record")</f>
        <v>WorldCat Record</v>
      </c>
      <c r="AU421" s="3" t="s">
        <v>5360</v>
      </c>
      <c r="AV421" s="3" t="s">
        <v>5361</v>
      </c>
      <c r="AW421" s="3" t="s">
        <v>5362</v>
      </c>
      <c r="AX421" s="3" t="s">
        <v>5362</v>
      </c>
      <c r="AY421" s="3" t="s">
        <v>5363</v>
      </c>
      <c r="AZ421" s="3" t="s">
        <v>73</v>
      </c>
      <c r="BB421" s="3" t="s">
        <v>5364</v>
      </c>
      <c r="BC421" s="3" t="s">
        <v>5365</v>
      </c>
      <c r="BD421" s="3" t="s">
        <v>5366</v>
      </c>
    </row>
    <row r="422" spans="1:56" ht="51" customHeight="1" x14ac:dyDescent="0.25">
      <c r="A422" s="7" t="s">
        <v>58</v>
      </c>
      <c r="B422" s="2" t="s">
        <v>5367</v>
      </c>
      <c r="C422" s="2" t="s">
        <v>5368</v>
      </c>
      <c r="D422" s="2" t="s">
        <v>5369</v>
      </c>
      <c r="F422" s="3" t="s">
        <v>58</v>
      </c>
      <c r="G422" s="3" t="s">
        <v>59</v>
      </c>
      <c r="H422" s="3" t="s">
        <v>58</v>
      </c>
      <c r="I422" s="3" t="s">
        <v>58</v>
      </c>
      <c r="J422" s="3" t="s">
        <v>60</v>
      </c>
      <c r="K422" s="2" t="s">
        <v>5086</v>
      </c>
      <c r="L422" s="2" t="s">
        <v>5370</v>
      </c>
      <c r="M422" s="3" t="s">
        <v>62</v>
      </c>
      <c r="O422" s="3" t="s">
        <v>63</v>
      </c>
      <c r="P422" s="3" t="s">
        <v>214</v>
      </c>
      <c r="R422" s="3" t="s">
        <v>65</v>
      </c>
      <c r="S422" s="4">
        <v>2</v>
      </c>
      <c r="T422" s="4">
        <v>2</v>
      </c>
      <c r="U422" s="5" t="s">
        <v>5371</v>
      </c>
      <c r="V422" s="5" t="s">
        <v>5371</v>
      </c>
      <c r="W422" s="5" t="s">
        <v>3348</v>
      </c>
      <c r="X422" s="5" t="s">
        <v>3348</v>
      </c>
      <c r="Y422" s="4">
        <v>1032</v>
      </c>
      <c r="Z422" s="4">
        <v>936</v>
      </c>
      <c r="AA422" s="4">
        <v>954</v>
      </c>
      <c r="AB422" s="4">
        <v>5</v>
      </c>
      <c r="AC422" s="4">
        <v>5</v>
      </c>
      <c r="AD422" s="4">
        <v>28</v>
      </c>
      <c r="AE422" s="4">
        <v>28</v>
      </c>
      <c r="AF422" s="4">
        <v>11</v>
      </c>
      <c r="AG422" s="4">
        <v>11</v>
      </c>
      <c r="AH422" s="4">
        <v>7</v>
      </c>
      <c r="AI422" s="4">
        <v>7</v>
      </c>
      <c r="AJ422" s="4">
        <v>12</v>
      </c>
      <c r="AK422" s="4">
        <v>12</v>
      </c>
      <c r="AL422" s="4">
        <v>4</v>
      </c>
      <c r="AM422" s="4">
        <v>4</v>
      </c>
      <c r="AN422" s="4">
        <v>0</v>
      </c>
      <c r="AO422" s="4">
        <v>0</v>
      </c>
      <c r="AP422" s="3" t="s">
        <v>58</v>
      </c>
      <c r="AQ422" s="3" t="s">
        <v>68</v>
      </c>
      <c r="AR422" s="6" t="str">
        <f>HYPERLINK("http://catalog.hathitrust.org/Record/003928768","HathiTrust Record")</f>
        <v>HathiTrust Record</v>
      </c>
      <c r="AS422" s="6" t="str">
        <f>HYPERLINK("https://creighton-primo.hosted.exlibrisgroup.com/primo-explore/search?tab=default_tab&amp;search_scope=EVERYTHING&amp;vid=01CRU&amp;lang=en_US&amp;offset=0&amp;query=any,contains,991001057769702656","Catalog Record")</f>
        <v>Catalog Record</v>
      </c>
      <c r="AT422" s="6" t="str">
        <f>HYPERLINK("http://www.worldcat.org/oclc/177703","WorldCat Record")</f>
        <v>WorldCat Record</v>
      </c>
      <c r="AU422" s="3" t="s">
        <v>5372</v>
      </c>
      <c r="AV422" s="3" t="s">
        <v>5373</v>
      </c>
      <c r="AW422" s="3" t="s">
        <v>5374</v>
      </c>
      <c r="AX422" s="3" t="s">
        <v>5374</v>
      </c>
      <c r="AY422" s="3" t="s">
        <v>5375</v>
      </c>
      <c r="AZ422" s="3" t="s">
        <v>73</v>
      </c>
      <c r="BC422" s="3" t="s">
        <v>5376</v>
      </c>
      <c r="BD422" s="3" t="s">
        <v>5377</v>
      </c>
    </row>
    <row r="423" spans="1:56" ht="51" customHeight="1" x14ac:dyDescent="0.25">
      <c r="A423" s="7" t="s">
        <v>58</v>
      </c>
      <c r="B423" s="2" t="s">
        <v>5378</v>
      </c>
      <c r="C423" s="2" t="s">
        <v>5379</v>
      </c>
      <c r="D423" s="2" t="s">
        <v>5380</v>
      </c>
      <c r="F423" s="3" t="s">
        <v>58</v>
      </c>
      <c r="G423" s="3" t="s">
        <v>59</v>
      </c>
      <c r="H423" s="3" t="s">
        <v>58</v>
      </c>
      <c r="I423" s="3" t="s">
        <v>58</v>
      </c>
      <c r="J423" s="3" t="s">
        <v>60</v>
      </c>
      <c r="K423" s="2" t="s">
        <v>5381</v>
      </c>
      <c r="L423" s="2" t="s">
        <v>5382</v>
      </c>
      <c r="M423" s="3" t="s">
        <v>538</v>
      </c>
      <c r="O423" s="3" t="s">
        <v>63</v>
      </c>
      <c r="P423" s="3" t="s">
        <v>214</v>
      </c>
      <c r="R423" s="3" t="s">
        <v>65</v>
      </c>
      <c r="S423" s="4">
        <v>2</v>
      </c>
      <c r="T423" s="4">
        <v>2</v>
      </c>
      <c r="U423" s="5" t="s">
        <v>5383</v>
      </c>
      <c r="V423" s="5" t="s">
        <v>5383</v>
      </c>
      <c r="W423" s="5" t="s">
        <v>5307</v>
      </c>
      <c r="X423" s="5" t="s">
        <v>5307</v>
      </c>
      <c r="Y423" s="4">
        <v>218</v>
      </c>
      <c r="Z423" s="4">
        <v>196</v>
      </c>
      <c r="AA423" s="4">
        <v>228</v>
      </c>
      <c r="AB423" s="4">
        <v>2</v>
      </c>
      <c r="AC423" s="4">
        <v>2</v>
      </c>
      <c r="AD423" s="4">
        <v>8</v>
      </c>
      <c r="AE423" s="4">
        <v>8</v>
      </c>
      <c r="AF423" s="4">
        <v>4</v>
      </c>
      <c r="AG423" s="4">
        <v>4</v>
      </c>
      <c r="AH423" s="4">
        <v>2</v>
      </c>
      <c r="AI423" s="4">
        <v>2</v>
      </c>
      <c r="AJ423" s="4">
        <v>3</v>
      </c>
      <c r="AK423" s="4">
        <v>3</v>
      </c>
      <c r="AL423" s="4">
        <v>1</v>
      </c>
      <c r="AM423" s="4">
        <v>1</v>
      </c>
      <c r="AN423" s="4">
        <v>0</v>
      </c>
      <c r="AO423" s="4">
        <v>0</v>
      </c>
      <c r="AP423" s="3" t="s">
        <v>58</v>
      </c>
      <c r="AQ423" s="3" t="s">
        <v>58</v>
      </c>
      <c r="AS423" s="6" t="str">
        <f>HYPERLINK("https://creighton-primo.hosted.exlibrisgroup.com/primo-explore/search?tab=default_tab&amp;search_scope=EVERYTHING&amp;vid=01CRU&amp;lang=en_US&amp;offset=0&amp;query=any,contains,991000130069702656","Catalog Record")</f>
        <v>Catalog Record</v>
      </c>
      <c r="AT423" s="6" t="str">
        <f>HYPERLINK("http://www.worldcat.org/oclc/53763","WorldCat Record")</f>
        <v>WorldCat Record</v>
      </c>
      <c r="AU423" s="3" t="s">
        <v>5384</v>
      </c>
      <c r="AV423" s="3" t="s">
        <v>5385</v>
      </c>
      <c r="AW423" s="3" t="s">
        <v>5386</v>
      </c>
      <c r="AX423" s="3" t="s">
        <v>5386</v>
      </c>
      <c r="AY423" s="3" t="s">
        <v>5387</v>
      </c>
      <c r="AZ423" s="3" t="s">
        <v>73</v>
      </c>
      <c r="BC423" s="3" t="s">
        <v>5388</v>
      </c>
      <c r="BD423" s="3" t="s">
        <v>5389</v>
      </c>
    </row>
    <row r="424" spans="1:56" ht="51" customHeight="1" x14ac:dyDescent="0.25">
      <c r="A424" s="7" t="s">
        <v>58</v>
      </c>
      <c r="B424" s="2" t="s">
        <v>5390</v>
      </c>
      <c r="C424" s="2" t="s">
        <v>5391</v>
      </c>
      <c r="D424" s="2" t="s">
        <v>5392</v>
      </c>
      <c r="F424" s="3" t="s">
        <v>58</v>
      </c>
      <c r="G424" s="3" t="s">
        <v>59</v>
      </c>
      <c r="H424" s="3" t="s">
        <v>58</v>
      </c>
      <c r="I424" s="3" t="s">
        <v>58</v>
      </c>
      <c r="J424" s="3" t="s">
        <v>60</v>
      </c>
      <c r="K424" s="2" t="s">
        <v>5393</v>
      </c>
      <c r="L424" s="2" t="s">
        <v>5394</v>
      </c>
      <c r="M424" s="3" t="s">
        <v>62</v>
      </c>
      <c r="O424" s="3" t="s">
        <v>63</v>
      </c>
      <c r="P424" s="3" t="s">
        <v>214</v>
      </c>
      <c r="R424" s="3" t="s">
        <v>65</v>
      </c>
      <c r="S424" s="4">
        <v>2</v>
      </c>
      <c r="T424" s="4">
        <v>2</v>
      </c>
      <c r="U424" s="5" t="s">
        <v>5395</v>
      </c>
      <c r="V424" s="5" t="s">
        <v>5395</v>
      </c>
      <c r="W424" s="5" t="s">
        <v>3348</v>
      </c>
      <c r="X424" s="5" t="s">
        <v>3348</v>
      </c>
      <c r="Y424" s="4">
        <v>166</v>
      </c>
      <c r="Z424" s="4">
        <v>154</v>
      </c>
      <c r="AA424" s="4">
        <v>213</v>
      </c>
      <c r="AB424" s="4">
        <v>1</v>
      </c>
      <c r="AC424" s="4">
        <v>1</v>
      </c>
      <c r="AD424" s="4">
        <v>5</v>
      </c>
      <c r="AE424" s="4">
        <v>6</v>
      </c>
      <c r="AF424" s="4">
        <v>3</v>
      </c>
      <c r="AG424" s="4">
        <v>3</v>
      </c>
      <c r="AH424" s="4">
        <v>2</v>
      </c>
      <c r="AI424" s="4">
        <v>3</v>
      </c>
      <c r="AJ424" s="4">
        <v>2</v>
      </c>
      <c r="AK424" s="4">
        <v>3</v>
      </c>
      <c r="AL424" s="4">
        <v>0</v>
      </c>
      <c r="AM424" s="4">
        <v>0</v>
      </c>
      <c r="AN424" s="4">
        <v>0</v>
      </c>
      <c r="AO424" s="4">
        <v>0</v>
      </c>
      <c r="AP424" s="3" t="s">
        <v>58</v>
      </c>
      <c r="AQ424" s="3" t="s">
        <v>68</v>
      </c>
      <c r="AR424" s="6" t="str">
        <f>HYPERLINK("http://catalog.hathitrust.org/Record/000003986","HathiTrust Record")</f>
        <v>HathiTrust Record</v>
      </c>
      <c r="AS424" s="6" t="str">
        <f>HYPERLINK("https://creighton-primo.hosted.exlibrisgroup.com/primo-explore/search?tab=default_tab&amp;search_scope=EVERYTHING&amp;vid=01CRU&amp;lang=en_US&amp;offset=0&amp;query=any,contains,991002174969702656","Catalog Record")</f>
        <v>Catalog Record</v>
      </c>
      <c r="AT424" s="6" t="str">
        <f>HYPERLINK("http://www.worldcat.org/oclc/277855","WorldCat Record")</f>
        <v>WorldCat Record</v>
      </c>
      <c r="AU424" s="3" t="s">
        <v>5396</v>
      </c>
      <c r="AV424" s="3" t="s">
        <v>5397</v>
      </c>
      <c r="AW424" s="3" t="s">
        <v>5398</v>
      </c>
      <c r="AX424" s="3" t="s">
        <v>5398</v>
      </c>
      <c r="AY424" s="3" t="s">
        <v>5399</v>
      </c>
      <c r="AZ424" s="3" t="s">
        <v>73</v>
      </c>
      <c r="BC424" s="3" t="s">
        <v>5400</v>
      </c>
      <c r="BD424" s="3" t="s">
        <v>5401</v>
      </c>
    </row>
    <row r="425" spans="1:56" ht="51" customHeight="1" x14ac:dyDescent="0.25">
      <c r="A425" s="7" t="s">
        <v>58</v>
      </c>
      <c r="B425" s="2" t="s">
        <v>5402</v>
      </c>
      <c r="C425" s="2" t="s">
        <v>5403</v>
      </c>
      <c r="D425" s="2" t="s">
        <v>5404</v>
      </c>
      <c r="F425" s="3" t="s">
        <v>58</v>
      </c>
      <c r="G425" s="3" t="s">
        <v>59</v>
      </c>
      <c r="H425" s="3" t="s">
        <v>58</v>
      </c>
      <c r="I425" s="3" t="s">
        <v>58</v>
      </c>
      <c r="J425" s="3" t="s">
        <v>60</v>
      </c>
      <c r="K425" s="2" t="s">
        <v>5405</v>
      </c>
      <c r="L425" s="2" t="s">
        <v>5406</v>
      </c>
      <c r="M425" s="3" t="s">
        <v>759</v>
      </c>
      <c r="O425" s="3" t="s">
        <v>63</v>
      </c>
      <c r="P425" s="3" t="s">
        <v>584</v>
      </c>
      <c r="R425" s="3" t="s">
        <v>65</v>
      </c>
      <c r="S425" s="4">
        <v>5</v>
      </c>
      <c r="T425" s="4">
        <v>5</v>
      </c>
      <c r="U425" s="5" t="s">
        <v>5407</v>
      </c>
      <c r="V425" s="5" t="s">
        <v>5407</v>
      </c>
      <c r="W425" s="5" t="s">
        <v>5408</v>
      </c>
      <c r="X425" s="5" t="s">
        <v>5408</v>
      </c>
      <c r="Y425" s="4">
        <v>695</v>
      </c>
      <c r="Z425" s="4">
        <v>559</v>
      </c>
      <c r="AA425" s="4">
        <v>571</v>
      </c>
      <c r="AB425" s="4">
        <v>4</v>
      </c>
      <c r="AC425" s="4">
        <v>4</v>
      </c>
      <c r="AD425" s="4">
        <v>23</v>
      </c>
      <c r="AE425" s="4">
        <v>23</v>
      </c>
      <c r="AF425" s="4">
        <v>9</v>
      </c>
      <c r="AG425" s="4">
        <v>9</v>
      </c>
      <c r="AH425" s="4">
        <v>7</v>
      </c>
      <c r="AI425" s="4">
        <v>7</v>
      </c>
      <c r="AJ425" s="4">
        <v>10</v>
      </c>
      <c r="AK425" s="4">
        <v>10</v>
      </c>
      <c r="AL425" s="4">
        <v>3</v>
      </c>
      <c r="AM425" s="4">
        <v>3</v>
      </c>
      <c r="AN425" s="4">
        <v>0</v>
      </c>
      <c r="AO425" s="4">
        <v>0</v>
      </c>
      <c r="AP425" s="3" t="s">
        <v>58</v>
      </c>
      <c r="AQ425" s="3" t="s">
        <v>58</v>
      </c>
      <c r="AS425" s="6" t="str">
        <f>HYPERLINK("https://creighton-primo.hosted.exlibrisgroup.com/primo-explore/search?tab=default_tab&amp;search_scope=EVERYTHING&amp;vid=01CRU&amp;lang=en_US&amp;offset=0&amp;query=any,contains,991005065649702656","Catalog Record")</f>
        <v>Catalog Record</v>
      </c>
      <c r="AT425" s="6" t="str">
        <f>HYPERLINK("http://www.worldcat.org/oclc/7741803","WorldCat Record")</f>
        <v>WorldCat Record</v>
      </c>
      <c r="AU425" s="3" t="s">
        <v>5409</v>
      </c>
      <c r="AV425" s="3" t="s">
        <v>5410</v>
      </c>
      <c r="AW425" s="3" t="s">
        <v>5411</v>
      </c>
      <c r="AX425" s="3" t="s">
        <v>5411</v>
      </c>
      <c r="AY425" s="3" t="s">
        <v>5412</v>
      </c>
      <c r="AZ425" s="3" t="s">
        <v>73</v>
      </c>
      <c r="BB425" s="3" t="s">
        <v>5413</v>
      </c>
      <c r="BC425" s="3" t="s">
        <v>5414</v>
      </c>
      <c r="BD425" s="3" t="s">
        <v>5415</v>
      </c>
    </row>
    <row r="426" spans="1:56" ht="51" customHeight="1" x14ac:dyDescent="0.25">
      <c r="A426" s="7" t="s">
        <v>58</v>
      </c>
      <c r="B426" s="2" t="s">
        <v>5416</v>
      </c>
      <c r="C426" s="2" t="s">
        <v>5417</v>
      </c>
      <c r="D426" s="2" t="s">
        <v>5418</v>
      </c>
      <c r="F426" s="3" t="s">
        <v>58</v>
      </c>
      <c r="G426" s="3" t="s">
        <v>59</v>
      </c>
      <c r="H426" s="3" t="s">
        <v>58</v>
      </c>
      <c r="I426" s="3" t="s">
        <v>58</v>
      </c>
      <c r="J426" s="3" t="s">
        <v>60</v>
      </c>
      <c r="K426" s="2" t="s">
        <v>5419</v>
      </c>
      <c r="L426" s="2" t="s">
        <v>5420</v>
      </c>
      <c r="M426" s="3" t="s">
        <v>479</v>
      </c>
      <c r="O426" s="3" t="s">
        <v>63</v>
      </c>
      <c r="P426" s="3" t="s">
        <v>214</v>
      </c>
      <c r="R426" s="3" t="s">
        <v>65</v>
      </c>
      <c r="S426" s="4">
        <v>3</v>
      </c>
      <c r="T426" s="4">
        <v>3</v>
      </c>
      <c r="U426" s="5" t="s">
        <v>5407</v>
      </c>
      <c r="V426" s="5" t="s">
        <v>5407</v>
      </c>
      <c r="W426" s="5" t="s">
        <v>5421</v>
      </c>
      <c r="X426" s="5" t="s">
        <v>5421</v>
      </c>
      <c r="Y426" s="4">
        <v>848</v>
      </c>
      <c r="Z426" s="4">
        <v>761</v>
      </c>
      <c r="AA426" s="4">
        <v>826</v>
      </c>
      <c r="AB426" s="4">
        <v>3</v>
      </c>
      <c r="AC426" s="4">
        <v>4</v>
      </c>
      <c r="AD426" s="4">
        <v>31</v>
      </c>
      <c r="AE426" s="4">
        <v>35</v>
      </c>
      <c r="AF426" s="4">
        <v>16</v>
      </c>
      <c r="AG426" s="4">
        <v>18</v>
      </c>
      <c r="AH426" s="4">
        <v>8</v>
      </c>
      <c r="AI426" s="4">
        <v>8</v>
      </c>
      <c r="AJ426" s="4">
        <v>15</v>
      </c>
      <c r="AK426" s="4">
        <v>17</v>
      </c>
      <c r="AL426" s="4">
        <v>2</v>
      </c>
      <c r="AM426" s="4">
        <v>3</v>
      </c>
      <c r="AN426" s="4">
        <v>0</v>
      </c>
      <c r="AO426" s="4">
        <v>0</v>
      </c>
      <c r="AP426" s="3" t="s">
        <v>58</v>
      </c>
      <c r="AQ426" s="3" t="s">
        <v>68</v>
      </c>
      <c r="AR426" s="6" t="str">
        <f>HYPERLINK("http://catalog.hathitrust.org/Record/002898906","HathiTrust Record")</f>
        <v>HathiTrust Record</v>
      </c>
      <c r="AS426" s="6" t="str">
        <f>HYPERLINK("https://creighton-primo.hosted.exlibrisgroup.com/primo-explore/search?tab=default_tab&amp;search_scope=EVERYTHING&amp;vid=01CRU&amp;lang=en_US&amp;offset=0&amp;query=any,contains,991002367399702656","Catalog Record")</f>
        <v>Catalog Record</v>
      </c>
      <c r="AT426" s="6" t="str">
        <f>HYPERLINK("http://www.worldcat.org/oclc/30778339","WorldCat Record")</f>
        <v>WorldCat Record</v>
      </c>
      <c r="AU426" s="3" t="s">
        <v>5422</v>
      </c>
      <c r="AV426" s="3" t="s">
        <v>5423</v>
      </c>
      <c r="AW426" s="3" t="s">
        <v>5424</v>
      </c>
      <c r="AX426" s="3" t="s">
        <v>5424</v>
      </c>
      <c r="AY426" s="3" t="s">
        <v>5425</v>
      </c>
      <c r="AZ426" s="3" t="s">
        <v>73</v>
      </c>
      <c r="BB426" s="3" t="s">
        <v>5426</v>
      </c>
      <c r="BC426" s="3" t="s">
        <v>5427</v>
      </c>
      <c r="BD426" s="3" t="s">
        <v>5428</v>
      </c>
    </row>
    <row r="427" spans="1:56" ht="51" customHeight="1" x14ac:dyDescent="0.25">
      <c r="A427" s="7" t="s">
        <v>58</v>
      </c>
      <c r="B427" s="2" t="s">
        <v>5429</v>
      </c>
      <c r="C427" s="2" t="s">
        <v>5430</v>
      </c>
      <c r="D427" s="2" t="s">
        <v>5431</v>
      </c>
      <c r="F427" s="3" t="s">
        <v>58</v>
      </c>
      <c r="G427" s="3" t="s">
        <v>59</v>
      </c>
      <c r="H427" s="3" t="s">
        <v>58</v>
      </c>
      <c r="I427" s="3" t="s">
        <v>58</v>
      </c>
      <c r="J427" s="3" t="s">
        <v>60</v>
      </c>
      <c r="K427" s="2" t="s">
        <v>2741</v>
      </c>
      <c r="L427" s="2" t="s">
        <v>5432</v>
      </c>
      <c r="M427" s="3" t="s">
        <v>423</v>
      </c>
      <c r="N427" s="2" t="s">
        <v>870</v>
      </c>
      <c r="O427" s="3" t="s">
        <v>63</v>
      </c>
      <c r="P427" s="3" t="s">
        <v>214</v>
      </c>
      <c r="R427" s="3" t="s">
        <v>65</v>
      </c>
      <c r="S427" s="4">
        <v>5</v>
      </c>
      <c r="T427" s="4">
        <v>5</v>
      </c>
      <c r="U427" s="5" t="s">
        <v>5407</v>
      </c>
      <c r="V427" s="5" t="s">
        <v>5407</v>
      </c>
      <c r="W427" s="5" t="s">
        <v>5433</v>
      </c>
      <c r="X427" s="5" t="s">
        <v>5433</v>
      </c>
      <c r="Y427" s="4">
        <v>1345</v>
      </c>
      <c r="Z427" s="4">
        <v>1278</v>
      </c>
      <c r="AA427" s="4">
        <v>1713</v>
      </c>
      <c r="AB427" s="4">
        <v>9</v>
      </c>
      <c r="AC427" s="4">
        <v>13</v>
      </c>
      <c r="AD427" s="4">
        <v>31</v>
      </c>
      <c r="AE427" s="4">
        <v>45</v>
      </c>
      <c r="AF427" s="4">
        <v>12</v>
      </c>
      <c r="AG427" s="4">
        <v>17</v>
      </c>
      <c r="AH427" s="4">
        <v>7</v>
      </c>
      <c r="AI427" s="4">
        <v>9</v>
      </c>
      <c r="AJ427" s="4">
        <v>12</v>
      </c>
      <c r="AK427" s="4">
        <v>16</v>
      </c>
      <c r="AL427" s="4">
        <v>4</v>
      </c>
      <c r="AM427" s="4">
        <v>8</v>
      </c>
      <c r="AN427" s="4">
        <v>1</v>
      </c>
      <c r="AO427" s="4">
        <v>2</v>
      </c>
      <c r="AP427" s="3" t="s">
        <v>58</v>
      </c>
      <c r="AQ427" s="3" t="s">
        <v>58</v>
      </c>
      <c r="AS427" s="6" t="str">
        <f>HYPERLINK("https://creighton-primo.hosted.exlibrisgroup.com/primo-explore/search?tab=default_tab&amp;search_scope=EVERYTHING&amp;vid=01CRU&amp;lang=en_US&amp;offset=0&amp;query=any,contains,991002882619702656","Catalog Record")</f>
        <v>Catalog Record</v>
      </c>
      <c r="AT427" s="6" t="str">
        <f>HYPERLINK("http://www.worldcat.org/oclc/37987043","WorldCat Record")</f>
        <v>WorldCat Record</v>
      </c>
      <c r="AU427" s="3" t="s">
        <v>5434</v>
      </c>
      <c r="AV427" s="3" t="s">
        <v>5435</v>
      </c>
      <c r="AW427" s="3" t="s">
        <v>5436</v>
      </c>
      <c r="AX427" s="3" t="s">
        <v>5436</v>
      </c>
      <c r="AY427" s="3" t="s">
        <v>5437</v>
      </c>
      <c r="AZ427" s="3" t="s">
        <v>73</v>
      </c>
      <c r="BB427" s="3" t="s">
        <v>5438</v>
      </c>
      <c r="BC427" s="3" t="s">
        <v>5439</v>
      </c>
      <c r="BD427" s="3" t="s">
        <v>5440</v>
      </c>
    </row>
    <row r="428" spans="1:56" ht="51" customHeight="1" x14ac:dyDescent="0.25">
      <c r="A428" s="7" t="s">
        <v>58</v>
      </c>
      <c r="B428" s="2" t="s">
        <v>5441</v>
      </c>
      <c r="C428" s="2" t="s">
        <v>5442</v>
      </c>
      <c r="D428" s="2" t="s">
        <v>5443</v>
      </c>
      <c r="F428" s="3" t="s">
        <v>58</v>
      </c>
      <c r="G428" s="3" t="s">
        <v>59</v>
      </c>
      <c r="H428" s="3" t="s">
        <v>58</v>
      </c>
      <c r="I428" s="3" t="s">
        <v>58</v>
      </c>
      <c r="J428" s="3" t="s">
        <v>60</v>
      </c>
      <c r="K428" s="2" t="s">
        <v>3280</v>
      </c>
      <c r="L428" s="2" t="s">
        <v>5444</v>
      </c>
      <c r="M428" s="3" t="s">
        <v>154</v>
      </c>
      <c r="N428" s="2" t="s">
        <v>5445</v>
      </c>
      <c r="O428" s="3" t="s">
        <v>63</v>
      </c>
      <c r="P428" s="3" t="s">
        <v>214</v>
      </c>
      <c r="R428" s="3" t="s">
        <v>65</v>
      </c>
      <c r="S428" s="4">
        <v>2</v>
      </c>
      <c r="T428" s="4">
        <v>2</v>
      </c>
      <c r="U428" s="5" t="s">
        <v>5395</v>
      </c>
      <c r="V428" s="5" t="s">
        <v>5395</v>
      </c>
      <c r="W428" s="5" t="s">
        <v>5446</v>
      </c>
      <c r="X428" s="5" t="s">
        <v>5446</v>
      </c>
      <c r="Y428" s="4">
        <v>100</v>
      </c>
      <c r="Z428" s="4">
        <v>92</v>
      </c>
      <c r="AA428" s="4">
        <v>752</v>
      </c>
      <c r="AB428" s="4">
        <v>1</v>
      </c>
      <c r="AC428" s="4">
        <v>3</v>
      </c>
      <c r="AD428" s="4">
        <v>5</v>
      </c>
      <c r="AE428" s="4">
        <v>30</v>
      </c>
      <c r="AF428" s="4">
        <v>2</v>
      </c>
      <c r="AG428" s="4">
        <v>13</v>
      </c>
      <c r="AH428" s="4">
        <v>0</v>
      </c>
      <c r="AI428" s="4">
        <v>7</v>
      </c>
      <c r="AJ428" s="4">
        <v>3</v>
      </c>
      <c r="AK428" s="4">
        <v>15</v>
      </c>
      <c r="AL428" s="4">
        <v>0</v>
      </c>
      <c r="AM428" s="4">
        <v>2</v>
      </c>
      <c r="AN428" s="4">
        <v>0</v>
      </c>
      <c r="AO428" s="4">
        <v>0</v>
      </c>
      <c r="AP428" s="3" t="s">
        <v>58</v>
      </c>
      <c r="AQ428" s="3" t="s">
        <v>68</v>
      </c>
      <c r="AR428" s="6" t="str">
        <f>HYPERLINK("http://catalog.hathitrust.org/Record/009440650","HathiTrust Record")</f>
        <v>HathiTrust Record</v>
      </c>
      <c r="AS428" s="6" t="str">
        <f>HYPERLINK("https://creighton-primo.hosted.exlibrisgroup.com/primo-explore/search?tab=default_tab&amp;search_scope=EVERYTHING&amp;vid=01CRU&amp;lang=en_US&amp;offset=0&amp;query=any,contains,991005226089702656","Catalog Record")</f>
        <v>Catalog Record</v>
      </c>
      <c r="AT428" s="6" t="str">
        <f>HYPERLINK("http://www.worldcat.org/oclc/20873761","WorldCat Record")</f>
        <v>WorldCat Record</v>
      </c>
      <c r="AU428" s="3" t="s">
        <v>5447</v>
      </c>
      <c r="AV428" s="3" t="s">
        <v>5448</v>
      </c>
      <c r="AW428" s="3" t="s">
        <v>5449</v>
      </c>
      <c r="AX428" s="3" t="s">
        <v>5449</v>
      </c>
      <c r="AY428" s="3" t="s">
        <v>5450</v>
      </c>
      <c r="AZ428" s="3" t="s">
        <v>73</v>
      </c>
      <c r="BB428" s="3" t="s">
        <v>5451</v>
      </c>
      <c r="BC428" s="3" t="s">
        <v>5452</v>
      </c>
      <c r="BD428" s="3" t="s">
        <v>5453</v>
      </c>
    </row>
    <row r="429" spans="1:56" ht="51" customHeight="1" x14ac:dyDescent="0.25">
      <c r="A429" s="7" t="s">
        <v>58</v>
      </c>
      <c r="B429" s="2" t="s">
        <v>5454</v>
      </c>
      <c r="C429" s="2" t="s">
        <v>5455</v>
      </c>
      <c r="D429" s="2" t="s">
        <v>5456</v>
      </c>
      <c r="F429" s="3" t="s">
        <v>58</v>
      </c>
      <c r="G429" s="3" t="s">
        <v>59</v>
      </c>
      <c r="H429" s="3" t="s">
        <v>58</v>
      </c>
      <c r="I429" s="3" t="s">
        <v>58</v>
      </c>
      <c r="J429" s="3" t="s">
        <v>60</v>
      </c>
      <c r="K429" s="2" t="s">
        <v>5457</v>
      </c>
      <c r="L429" s="2" t="s">
        <v>5458</v>
      </c>
      <c r="M429" s="3" t="s">
        <v>337</v>
      </c>
      <c r="O429" s="3" t="s">
        <v>63</v>
      </c>
      <c r="P429" s="3" t="s">
        <v>1837</v>
      </c>
      <c r="R429" s="3" t="s">
        <v>65</v>
      </c>
      <c r="S429" s="4">
        <v>3</v>
      </c>
      <c r="T429" s="4">
        <v>3</v>
      </c>
      <c r="U429" s="5" t="s">
        <v>5459</v>
      </c>
      <c r="V429" s="5" t="s">
        <v>5459</v>
      </c>
      <c r="W429" s="5" t="s">
        <v>5460</v>
      </c>
      <c r="X429" s="5" t="s">
        <v>5460</v>
      </c>
      <c r="Y429" s="4">
        <v>447</v>
      </c>
      <c r="Z429" s="4">
        <v>379</v>
      </c>
      <c r="AA429" s="4">
        <v>1392</v>
      </c>
      <c r="AB429" s="4">
        <v>4</v>
      </c>
      <c r="AC429" s="4">
        <v>29</v>
      </c>
      <c r="AD429" s="4">
        <v>25</v>
      </c>
      <c r="AE429" s="4">
        <v>50</v>
      </c>
      <c r="AF429" s="4">
        <v>10</v>
      </c>
      <c r="AG429" s="4">
        <v>19</v>
      </c>
      <c r="AH429" s="4">
        <v>5</v>
      </c>
      <c r="AI429" s="4">
        <v>8</v>
      </c>
      <c r="AJ429" s="4">
        <v>14</v>
      </c>
      <c r="AK429" s="4">
        <v>18</v>
      </c>
      <c r="AL429" s="4">
        <v>3</v>
      </c>
      <c r="AM429" s="4">
        <v>14</v>
      </c>
      <c r="AN429" s="4">
        <v>1</v>
      </c>
      <c r="AO429" s="4">
        <v>2</v>
      </c>
      <c r="AP429" s="3" t="s">
        <v>58</v>
      </c>
      <c r="AQ429" s="3" t="s">
        <v>58</v>
      </c>
      <c r="AS429" s="6" t="str">
        <f>HYPERLINK("https://creighton-primo.hosted.exlibrisgroup.com/primo-explore/search?tab=default_tab&amp;search_scope=EVERYTHING&amp;vid=01CRU&amp;lang=en_US&amp;offset=0&amp;query=any,contains,991003808839702656","Catalog Record")</f>
        <v>Catalog Record</v>
      </c>
      <c r="AT429" s="6" t="str">
        <f>HYPERLINK("http://www.worldcat.org/oclc/48241293","WorldCat Record")</f>
        <v>WorldCat Record</v>
      </c>
      <c r="AU429" s="3" t="s">
        <v>5461</v>
      </c>
      <c r="AV429" s="3" t="s">
        <v>5462</v>
      </c>
      <c r="AW429" s="3" t="s">
        <v>5463</v>
      </c>
      <c r="AX429" s="3" t="s">
        <v>5463</v>
      </c>
      <c r="AY429" s="3" t="s">
        <v>5464</v>
      </c>
      <c r="AZ429" s="3" t="s">
        <v>73</v>
      </c>
      <c r="BB429" s="3" t="s">
        <v>5465</v>
      </c>
      <c r="BC429" s="3" t="s">
        <v>5466</v>
      </c>
      <c r="BD429" s="3" t="s">
        <v>5467</v>
      </c>
    </row>
    <row r="430" spans="1:56" ht="51" customHeight="1" x14ac:dyDescent="0.25">
      <c r="A430" s="7" t="s">
        <v>58</v>
      </c>
      <c r="B430" s="2" t="s">
        <v>5468</v>
      </c>
      <c r="C430" s="2" t="s">
        <v>5469</v>
      </c>
      <c r="D430" s="2" t="s">
        <v>5470</v>
      </c>
      <c r="F430" s="3" t="s">
        <v>58</v>
      </c>
      <c r="G430" s="3" t="s">
        <v>59</v>
      </c>
      <c r="H430" s="3" t="s">
        <v>58</v>
      </c>
      <c r="I430" s="3" t="s">
        <v>58</v>
      </c>
      <c r="J430" s="3" t="s">
        <v>60</v>
      </c>
      <c r="K430" s="2" t="s">
        <v>5471</v>
      </c>
      <c r="L430" s="2" t="s">
        <v>5472</v>
      </c>
      <c r="M430" s="3" t="s">
        <v>261</v>
      </c>
      <c r="O430" s="3" t="s">
        <v>63</v>
      </c>
      <c r="P430" s="3" t="s">
        <v>214</v>
      </c>
      <c r="R430" s="3" t="s">
        <v>65</v>
      </c>
      <c r="S430" s="4">
        <v>5</v>
      </c>
      <c r="T430" s="4">
        <v>5</v>
      </c>
      <c r="U430" s="5" t="s">
        <v>5473</v>
      </c>
      <c r="V430" s="5" t="s">
        <v>5473</v>
      </c>
      <c r="W430" s="5" t="s">
        <v>5474</v>
      </c>
      <c r="X430" s="5" t="s">
        <v>5474</v>
      </c>
      <c r="Y430" s="4">
        <v>488</v>
      </c>
      <c r="Z430" s="4">
        <v>442</v>
      </c>
      <c r="AA430" s="4">
        <v>492</v>
      </c>
      <c r="AB430" s="4">
        <v>3</v>
      </c>
      <c r="AC430" s="4">
        <v>4</v>
      </c>
      <c r="AD430" s="4">
        <v>17</v>
      </c>
      <c r="AE430" s="4">
        <v>19</v>
      </c>
      <c r="AF430" s="4">
        <v>5</v>
      </c>
      <c r="AG430" s="4">
        <v>5</v>
      </c>
      <c r="AH430" s="4">
        <v>6</v>
      </c>
      <c r="AI430" s="4">
        <v>6</v>
      </c>
      <c r="AJ430" s="4">
        <v>9</v>
      </c>
      <c r="AK430" s="4">
        <v>10</v>
      </c>
      <c r="AL430" s="4">
        <v>2</v>
      </c>
      <c r="AM430" s="4">
        <v>3</v>
      </c>
      <c r="AN430" s="4">
        <v>0</v>
      </c>
      <c r="AO430" s="4">
        <v>0</v>
      </c>
      <c r="AP430" s="3" t="s">
        <v>58</v>
      </c>
      <c r="AQ430" s="3" t="s">
        <v>68</v>
      </c>
      <c r="AR430" s="6" t="str">
        <f>HYPERLINK("http://catalog.hathitrust.org/Record/001243453","HathiTrust Record")</f>
        <v>HathiTrust Record</v>
      </c>
      <c r="AS430" s="6" t="str">
        <f>HYPERLINK("https://creighton-primo.hosted.exlibrisgroup.com/primo-explore/search?tab=default_tab&amp;search_scope=EVERYTHING&amp;vid=01CRU&amp;lang=en_US&amp;offset=0&amp;query=any,contains,991003468469702656","Catalog Record")</f>
        <v>Catalog Record</v>
      </c>
      <c r="AT430" s="6" t="str">
        <f>HYPERLINK("http://www.worldcat.org/oclc/1009679","WorldCat Record")</f>
        <v>WorldCat Record</v>
      </c>
      <c r="AU430" s="3" t="s">
        <v>5475</v>
      </c>
      <c r="AV430" s="3" t="s">
        <v>5476</v>
      </c>
      <c r="AW430" s="3" t="s">
        <v>5477</v>
      </c>
      <c r="AX430" s="3" t="s">
        <v>5477</v>
      </c>
      <c r="AY430" s="3" t="s">
        <v>5478</v>
      </c>
      <c r="AZ430" s="3" t="s">
        <v>73</v>
      </c>
      <c r="BB430" s="3" t="s">
        <v>5479</v>
      </c>
      <c r="BC430" s="3" t="s">
        <v>5480</v>
      </c>
      <c r="BD430" s="3" t="s">
        <v>5481</v>
      </c>
    </row>
    <row r="431" spans="1:56" ht="51" customHeight="1" x14ac:dyDescent="0.25">
      <c r="A431" s="7" t="s">
        <v>58</v>
      </c>
      <c r="B431" s="2" t="s">
        <v>5482</v>
      </c>
      <c r="C431" s="2" t="s">
        <v>5483</v>
      </c>
      <c r="D431" s="2" t="s">
        <v>5484</v>
      </c>
      <c r="F431" s="3" t="s">
        <v>58</v>
      </c>
      <c r="G431" s="3" t="s">
        <v>59</v>
      </c>
      <c r="H431" s="3" t="s">
        <v>58</v>
      </c>
      <c r="I431" s="3" t="s">
        <v>58</v>
      </c>
      <c r="J431" s="3" t="s">
        <v>60</v>
      </c>
      <c r="K431" s="2" t="s">
        <v>5485</v>
      </c>
      <c r="L431" s="2" t="s">
        <v>5486</v>
      </c>
      <c r="M431" s="3" t="s">
        <v>138</v>
      </c>
      <c r="O431" s="3" t="s">
        <v>63</v>
      </c>
      <c r="P431" s="3" t="s">
        <v>214</v>
      </c>
      <c r="R431" s="3" t="s">
        <v>65</v>
      </c>
      <c r="S431" s="4">
        <v>3</v>
      </c>
      <c r="T431" s="4">
        <v>3</v>
      </c>
      <c r="U431" s="5" t="s">
        <v>5487</v>
      </c>
      <c r="V431" s="5" t="s">
        <v>5487</v>
      </c>
      <c r="W431" s="5" t="s">
        <v>5488</v>
      </c>
      <c r="X431" s="5" t="s">
        <v>5488</v>
      </c>
      <c r="Y431" s="4">
        <v>691</v>
      </c>
      <c r="Z431" s="4">
        <v>632</v>
      </c>
      <c r="AA431" s="4">
        <v>648</v>
      </c>
      <c r="AB431" s="4">
        <v>1</v>
      </c>
      <c r="AC431" s="4">
        <v>1</v>
      </c>
      <c r="AD431" s="4">
        <v>14</v>
      </c>
      <c r="AE431" s="4">
        <v>16</v>
      </c>
      <c r="AF431" s="4">
        <v>5</v>
      </c>
      <c r="AG431" s="4">
        <v>6</v>
      </c>
      <c r="AH431" s="4">
        <v>3</v>
      </c>
      <c r="AI431" s="4">
        <v>4</v>
      </c>
      <c r="AJ431" s="4">
        <v>11</v>
      </c>
      <c r="AK431" s="4">
        <v>11</v>
      </c>
      <c r="AL431" s="4">
        <v>0</v>
      </c>
      <c r="AM431" s="4">
        <v>0</v>
      </c>
      <c r="AN431" s="4">
        <v>0</v>
      </c>
      <c r="AO431" s="4">
        <v>0</v>
      </c>
      <c r="AP431" s="3" t="s">
        <v>58</v>
      </c>
      <c r="AQ431" s="3" t="s">
        <v>68</v>
      </c>
      <c r="AR431" s="6" t="str">
        <f>HYPERLINK("http://catalog.hathitrust.org/Record/000764259","HathiTrust Record")</f>
        <v>HathiTrust Record</v>
      </c>
      <c r="AS431" s="6" t="str">
        <f>HYPERLINK("https://creighton-primo.hosted.exlibrisgroup.com/primo-explore/search?tab=default_tab&amp;search_scope=EVERYTHING&amp;vid=01CRU&amp;lang=en_US&amp;offset=0&amp;query=any,contains,991005211549702656","Catalog Record")</f>
        <v>Catalog Record</v>
      </c>
      <c r="AT431" s="6" t="str">
        <f>HYPERLINK("http://www.worldcat.org/oclc/8169529","WorldCat Record")</f>
        <v>WorldCat Record</v>
      </c>
      <c r="AU431" s="3" t="s">
        <v>5489</v>
      </c>
      <c r="AV431" s="3" t="s">
        <v>5490</v>
      </c>
      <c r="AW431" s="3" t="s">
        <v>5491</v>
      </c>
      <c r="AX431" s="3" t="s">
        <v>5491</v>
      </c>
      <c r="AY431" s="3" t="s">
        <v>5492</v>
      </c>
      <c r="AZ431" s="3" t="s">
        <v>73</v>
      </c>
      <c r="BB431" s="3" t="s">
        <v>5493</v>
      </c>
      <c r="BC431" s="3" t="s">
        <v>5494</v>
      </c>
      <c r="BD431" s="3" t="s">
        <v>5495</v>
      </c>
    </row>
    <row r="432" spans="1:56" ht="51" customHeight="1" x14ac:dyDescent="0.25">
      <c r="A432" s="7" t="s">
        <v>58</v>
      </c>
      <c r="B432" s="2" t="s">
        <v>5496</v>
      </c>
      <c r="C432" s="2" t="s">
        <v>5497</v>
      </c>
      <c r="D432" s="2" t="s">
        <v>5498</v>
      </c>
      <c r="F432" s="3" t="s">
        <v>58</v>
      </c>
      <c r="G432" s="3" t="s">
        <v>59</v>
      </c>
      <c r="H432" s="3" t="s">
        <v>58</v>
      </c>
      <c r="I432" s="3" t="s">
        <v>58</v>
      </c>
      <c r="J432" s="3" t="s">
        <v>60</v>
      </c>
      <c r="K432" s="2" t="s">
        <v>5499</v>
      </c>
      <c r="L432" s="2" t="s">
        <v>5500</v>
      </c>
      <c r="M432" s="3" t="s">
        <v>2214</v>
      </c>
      <c r="N432" s="2" t="s">
        <v>3417</v>
      </c>
      <c r="O432" s="3" t="s">
        <v>63</v>
      </c>
      <c r="P432" s="3" t="s">
        <v>816</v>
      </c>
      <c r="R432" s="3" t="s">
        <v>65</v>
      </c>
      <c r="S432" s="4">
        <v>2</v>
      </c>
      <c r="T432" s="4">
        <v>2</v>
      </c>
      <c r="U432" s="5" t="s">
        <v>2945</v>
      </c>
      <c r="V432" s="5" t="s">
        <v>2945</v>
      </c>
      <c r="W432" s="5" t="s">
        <v>5501</v>
      </c>
      <c r="X432" s="5" t="s">
        <v>5501</v>
      </c>
      <c r="Y432" s="4">
        <v>56</v>
      </c>
      <c r="Z432" s="4">
        <v>47</v>
      </c>
      <c r="AA432" s="4">
        <v>269</v>
      </c>
      <c r="AB432" s="4">
        <v>1</v>
      </c>
      <c r="AC432" s="4">
        <v>1</v>
      </c>
      <c r="AD432" s="4">
        <v>3</v>
      </c>
      <c r="AE432" s="4">
        <v>9</v>
      </c>
      <c r="AF432" s="4">
        <v>1</v>
      </c>
      <c r="AG432" s="4">
        <v>5</v>
      </c>
      <c r="AH432" s="4">
        <v>2</v>
      </c>
      <c r="AI432" s="4">
        <v>2</v>
      </c>
      <c r="AJ432" s="4">
        <v>1</v>
      </c>
      <c r="AK432" s="4">
        <v>4</v>
      </c>
      <c r="AL432" s="4">
        <v>0</v>
      </c>
      <c r="AM432" s="4">
        <v>0</v>
      </c>
      <c r="AN432" s="4">
        <v>0</v>
      </c>
      <c r="AO432" s="4">
        <v>0</v>
      </c>
      <c r="AP432" s="3" t="s">
        <v>58</v>
      </c>
      <c r="AQ432" s="3" t="s">
        <v>68</v>
      </c>
      <c r="AR432" s="6" t="str">
        <f>HYPERLINK("http://catalog.hathitrust.org/Record/012264305","HathiTrust Record")</f>
        <v>HathiTrust Record</v>
      </c>
      <c r="AS432" s="6" t="str">
        <f>HYPERLINK("https://creighton-primo.hosted.exlibrisgroup.com/primo-explore/search?tab=default_tab&amp;search_scope=EVERYTHING&amp;vid=01CRU&amp;lang=en_US&amp;offset=0&amp;query=any,contains,991004602239702656","Catalog Record")</f>
        <v>Catalog Record</v>
      </c>
      <c r="AT432" s="6" t="str">
        <f>HYPERLINK("http://www.worldcat.org/oclc/56567429","WorldCat Record")</f>
        <v>WorldCat Record</v>
      </c>
      <c r="AU432" s="3" t="s">
        <v>5502</v>
      </c>
      <c r="AV432" s="3" t="s">
        <v>5503</v>
      </c>
      <c r="AW432" s="3" t="s">
        <v>5504</v>
      </c>
      <c r="AX432" s="3" t="s">
        <v>5504</v>
      </c>
      <c r="AY432" s="3" t="s">
        <v>5505</v>
      </c>
      <c r="AZ432" s="3" t="s">
        <v>73</v>
      </c>
      <c r="BB432" s="3" t="s">
        <v>5506</v>
      </c>
      <c r="BC432" s="3" t="s">
        <v>5507</v>
      </c>
      <c r="BD432" s="3" t="s">
        <v>5508</v>
      </c>
    </row>
    <row r="433" spans="1:56" ht="51" customHeight="1" x14ac:dyDescent="0.25">
      <c r="A433" s="7" t="s">
        <v>58</v>
      </c>
      <c r="B433" s="2" t="s">
        <v>5509</v>
      </c>
      <c r="C433" s="2" t="s">
        <v>5510</v>
      </c>
      <c r="D433" s="2" t="s">
        <v>5511</v>
      </c>
      <c r="F433" s="3" t="s">
        <v>58</v>
      </c>
      <c r="G433" s="3" t="s">
        <v>59</v>
      </c>
      <c r="H433" s="3" t="s">
        <v>58</v>
      </c>
      <c r="I433" s="3" t="s">
        <v>58</v>
      </c>
      <c r="J433" s="3" t="s">
        <v>60</v>
      </c>
      <c r="K433" s="2" t="s">
        <v>5512</v>
      </c>
      <c r="L433" s="2" t="s">
        <v>5513</v>
      </c>
      <c r="M433" s="3" t="s">
        <v>83</v>
      </c>
      <c r="O433" s="3" t="s">
        <v>63</v>
      </c>
      <c r="P433" s="3" t="s">
        <v>584</v>
      </c>
      <c r="R433" s="3" t="s">
        <v>65</v>
      </c>
      <c r="S433" s="4">
        <v>2</v>
      </c>
      <c r="T433" s="4">
        <v>2</v>
      </c>
      <c r="U433" s="5" t="s">
        <v>5514</v>
      </c>
      <c r="V433" s="5" t="s">
        <v>5514</v>
      </c>
      <c r="W433" s="5" t="s">
        <v>5294</v>
      </c>
      <c r="X433" s="5" t="s">
        <v>5294</v>
      </c>
      <c r="Y433" s="4">
        <v>470</v>
      </c>
      <c r="Z433" s="4">
        <v>345</v>
      </c>
      <c r="AA433" s="4">
        <v>347</v>
      </c>
      <c r="AB433" s="4">
        <v>4</v>
      </c>
      <c r="AC433" s="4">
        <v>4</v>
      </c>
      <c r="AD433" s="4">
        <v>17</v>
      </c>
      <c r="AE433" s="4">
        <v>17</v>
      </c>
      <c r="AF433" s="4">
        <v>4</v>
      </c>
      <c r="AG433" s="4">
        <v>4</v>
      </c>
      <c r="AH433" s="4">
        <v>7</v>
      </c>
      <c r="AI433" s="4">
        <v>7</v>
      </c>
      <c r="AJ433" s="4">
        <v>8</v>
      </c>
      <c r="AK433" s="4">
        <v>8</v>
      </c>
      <c r="AL433" s="4">
        <v>3</v>
      </c>
      <c r="AM433" s="4">
        <v>3</v>
      </c>
      <c r="AN433" s="4">
        <v>0</v>
      </c>
      <c r="AO433" s="4">
        <v>0</v>
      </c>
      <c r="AP433" s="3" t="s">
        <v>58</v>
      </c>
      <c r="AQ433" s="3" t="s">
        <v>68</v>
      </c>
      <c r="AR433" s="6" t="str">
        <f>HYPERLINK("http://catalog.hathitrust.org/Record/000090794","HathiTrust Record")</f>
        <v>HathiTrust Record</v>
      </c>
      <c r="AS433" s="6" t="str">
        <f>HYPERLINK("https://creighton-primo.hosted.exlibrisgroup.com/primo-explore/search?tab=default_tab&amp;search_scope=EVERYTHING&amp;vid=01CRU&amp;lang=en_US&amp;offset=0&amp;query=any,contains,991004469879702656","Catalog Record")</f>
        <v>Catalog Record</v>
      </c>
      <c r="AT433" s="6" t="str">
        <f>HYPERLINK("http://www.worldcat.org/oclc/3590344","WorldCat Record")</f>
        <v>WorldCat Record</v>
      </c>
      <c r="AU433" s="3" t="s">
        <v>5515</v>
      </c>
      <c r="AV433" s="3" t="s">
        <v>5516</v>
      </c>
      <c r="AW433" s="3" t="s">
        <v>5517</v>
      </c>
      <c r="AX433" s="3" t="s">
        <v>5517</v>
      </c>
      <c r="AY433" s="3" t="s">
        <v>5518</v>
      </c>
      <c r="AZ433" s="3" t="s">
        <v>73</v>
      </c>
      <c r="BB433" s="3" t="s">
        <v>5519</v>
      </c>
      <c r="BC433" s="3" t="s">
        <v>5520</v>
      </c>
      <c r="BD433" s="3" t="s">
        <v>5521</v>
      </c>
    </row>
    <row r="434" spans="1:56" ht="51" customHeight="1" x14ac:dyDescent="0.25">
      <c r="A434" s="7" t="s">
        <v>58</v>
      </c>
      <c r="B434" s="2" t="s">
        <v>5522</v>
      </c>
      <c r="C434" s="2" t="s">
        <v>5523</v>
      </c>
      <c r="D434" s="2" t="s">
        <v>5524</v>
      </c>
      <c r="F434" s="3" t="s">
        <v>58</v>
      </c>
      <c r="G434" s="3" t="s">
        <v>59</v>
      </c>
      <c r="H434" s="3" t="s">
        <v>58</v>
      </c>
      <c r="I434" s="3" t="s">
        <v>58</v>
      </c>
      <c r="J434" s="3" t="s">
        <v>60</v>
      </c>
      <c r="K434" s="2" t="s">
        <v>5525</v>
      </c>
      <c r="L434" s="2" t="s">
        <v>5526</v>
      </c>
      <c r="M434" s="3" t="s">
        <v>538</v>
      </c>
      <c r="O434" s="3" t="s">
        <v>63</v>
      </c>
      <c r="P434" s="3" t="s">
        <v>214</v>
      </c>
      <c r="R434" s="3" t="s">
        <v>65</v>
      </c>
      <c r="S434" s="4">
        <v>3</v>
      </c>
      <c r="T434" s="4">
        <v>3</v>
      </c>
      <c r="U434" s="5" t="s">
        <v>5527</v>
      </c>
      <c r="V434" s="5" t="s">
        <v>5527</v>
      </c>
      <c r="W434" s="5" t="s">
        <v>3348</v>
      </c>
      <c r="X434" s="5" t="s">
        <v>3348</v>
      </c>
      <c r="Y434" s="4">
        <v>112</v>
      </c>
      <c r="Z434" s="4">
        <v>105</v>
      </c>
      <c r="AA434" s="4">
        <v>127</v>
      </c>
      <c r="AB434" s="4">
        <v>1</v>
      </c>
      <c r="AC434" s="4">
        <v>1</v>
      </c>
      <c r="AD434" s="4">
        <v>2</v>
      </c>
      <c r="AE434" s="4">
        <v>2</v>
      </c>
      <c r="AF434" s="4">
        <v>0</v>
      </c>
      <c r="AG434" s="4">
        <v>0</v>
      </c>
      <c r="AH434" s="4">
        <v>1</v>
      </c>
      <c r="AI434" s="4">
        <v>1</v>
      </c>
      <c r="AJ434" s="4">
        <v>2</v>
      </c>
      <c r="AK434" s="4">
        <v>2</v>
      </c>
      <c r="AL434" s="4">
        <v>0</v>
      </c>
      <c r="AM434" s="4">
        <v>0</v>
      </c>
      <c r="AN434" s="4">
        <v>0</v>
      </c>
      <c r="AO434" s="4">
        <v>0</v>
      </c>
      <c r="AP434" s="3" t="s">
        <v>58</v>
      </c>
      <c r="AQ434" s="3" t="s">
        <v>58</v>
      </c>
      <c r="AS434" s="6" t="str">
        <f>HYPERLINK("https://creighton-primo.hosted.exlibrisgroup.com/primo-explore/search?tab=default_tab&amp;search_scope=EVERYTHING&amp;vid=01CRU&amp;lang=en_US&amp;offset=0&amp;query=any,contains,991000446959702656","Catalog Record")</f>
        <v>Catalog Record</v>
      </c>
      <c r="AT434" s="6" t="str">
        <f>HYPERLINK("http://www.worldcat.org/oclc/76787","WorldCat Record")</f>
        <v>WorldCat Record</v>
      </c>
      <c r="AU434" s="3" t="s">
        <v>5528</v>
      </c>
      <c r="AV434" s="3" t="s">
        <v>5529</v>
      </c>
      <c r="AW434" s="3" t="s">
        <v>5530</v>
      </c>
      <c r="AX434" s="3" t="s">
        <v>5530</v>
      </c>
      <c r="AY434" s="3" t="s">
        <v>5531</v>
      </c>
      <c r="AZ434" s="3" t="s">
        <v>73</v>
      </c>
      <c r="BC434" s="3" t="s">
        <v>5532</v>
      </c>
      <c r="BD434" s="3" t="s">
        <v>5533</v>
      </c>
    </row>
    <row r="435" spans="1:56" ht="51" customHeight="1" x14ac:dyDescent="0.25">
      <c r="A435" s="7" t="s">
        <v>58</v>
      </c>
      <c r="B435" s="2" t="s">
        <v>5534</v>
      </c>
      <c r="C435" s="2" t="s">
        <v>5535</v>
      </c>
      <c r="D435" s="2" t="s">
        <v>5536</v>
      </c>
      <c r="F435" s="3" t="s">
        <v>58</v>
      </c>
      <c r="G435" s="3" t="s">
        <v>59</v>
      </c>
      <c r="H435" s="3" t="s">
        <v>58</v>
      </c>
      <c r="I435" s="3" t="s">
        <v>58</v>
      </c>
      <c r="J435" s="3" t="s">
        <v>60</v>
      </c>
      <c r="K435" s="2" t="s">
        <v>5537</v>
      </c>
      <c r="L435" s="2" t="s">
        <v>5538</v>
      </c>
      <c r="M435" s="3" t="s">
        <v>524</v>
      </c>
      <c r="O435" s="3" t="s">
        <v>63</v>
      </c>
      <c r="P435" s="3" t="s">
        <v>584</v>
      </c>
      <c r="Q435" s="2" t="s">
        <v>5539</v>
      </c>
      <c r="R435" s="3" t="s">
        <v>65</v>
      </c>
      <c r="S435" s="4">
        <v>1</v>
      </c>
      <c r="T435" s="4">
        <v>1</v>
      </c>
      <c r="U435" s="5" t="s">
        <v>5540</v>
      </c>
      <c r="V435" s="5" t="s">
        <v>5540</v>
      </c>
      <c r="W435" s="5" t="s">
        <v>5307</v>
      </c>
      <c r="X435" s="5" t="s">
        <v>5307</v>
      </c>
      <c r="Y435" s="4">
        <v>124</v>
      </c>
      <c r="Z435" s="4">
        <v>68</v>
      </c>
      <c r="AA435" s="4">
        <v>268</v>
      </c>
      <c r="AB435" s="4">
        <v>2</v>
      </c>
      <c r="AC435" s="4">
        <v>2</v>
      </c>
      <c r="AD435" s="4">
        <v>3</v>
      </c>
      <c r="AE435" s="4">
        <v>12</v>
      </c>
      <c r="AF435" s="4">
        <v>0</v>
      </c>
      <c r="AG435" s="4">
        <v>5</v>
      </c>
      <c r="AH435" s="4">
        <v>1</v>
      </c>
      <c r="AI435" s="4">
        <v>4</v>
      </c>
      <c r="AJ435" s="4">
        <v>2</v>
      </c>
      <c r="AK435" s="4">
        <v>8</v>
      </c>
      <c r="AL435" s="4">
        <v>1</v>
      </c>
      <c r="AM435" s="4">
        <v>1</v>
      </c>
      <c r="AN435" s="4">
        <v>0</v>
      </c>
      <c r="AO435" s="4">
        <v>0</v>
      </c>
      <c r="AP435" s="3" t="s">
        <v>58</v>
      </c>
      <c r="AQ435" s="3" t="s">
        <v>68</v>
      </c>
      <c r="AR435" s="6" t="str">
        <f>HYPERLINK("http://catalog.hathitrust.org/Record/000476840","HathiTrust Record")</f>
        <v>HathiTrust Record</v>
      </c>
      <c r="AS435" s="6" t="str">
        <f>HYPERLINK("https://creighton-primo.hosted.exlibrisgroup.com/primo-explore/search?tab=default_tab&amp;search_scope=EVERYTHING&amp;vid=01CRU&amp;lang=en_US&amp;offset=0&amp;query=any,contains,991000692619702656","Catalog Record")</f>
        <v>Catalog Record</v>
      </c>
      <c r="AT435" s="6" t="str">
        <f>HYPERLINK("http://www.worldcat.org/oclc/15628923","WorldCat Record")</f>
        <v>WorldCat Record</v>
      </c>
      <c r="AU435" s="3" t="s">
        <v>5541</v>
      </c>
      <c r="AV435" s="3" t="s">
        <v>5542</v>
      </c>
      <c r="AW435" s="3" t="s">
        <v>5543</v>
      </c>
      <c r="AX435" s="3" t="s">
        <v>5543</v>
      </c>
      <c r="AY435" s="3" t="s">
        <v>5544</v>
      </c>
      <c r="AZ435" s="3" t="s">
        <v>73</v>
      </c>
      <c r="BB435" s="3" t="s">
        <v>5545</v>
      </c>
      <c r="BC435" s="3" t="s">
        <v>5546</v>
      </c>
      <c r="BD435" s="3" t="s">
        <v>5547</v>
      </c>
    </row>
    <row r="436" spans="1:56" ht="51" customHeight="1" x14ac:dyDescent="0.25">
      <c r="A436" s="7" t="s">
        <v>58</v>
      </c>
      <c r="B436" s="2" t="s">
        <v>5548</v>
      </c>
      <c r="C436" s="2" t="s">
        <v>5549</v>
      </c>
      <c r="D436" s="2" t="s">
        <v>5550</v>
      </c>
      <c r="F436" s="3" t="s">
        <v>58</v>
      </c>
      <c r="G436" s="3" t="s">
        <v>59</v>
      </c>
      <c r="H436" s="3" t="s">
        <v>58</v>
      </c>
      <c r="I436" s="3" t="s">
        <v>58</v>
      </c>
      <c r="J436" s="3" t="s">
        <v>60</v>
      </c>
      <c r="K436" s="2" t="s">
        <v>5551</v>
      </c>
      <c r="L436" s="2" t="s">
        <v>5552</v>
      </c>
      <c r="M436" s="3" t="s">
        <v>397</v>
      </c>
      <c r="O436" s="3" t="s">
        <v>63</v>
      </c>
      <c r="P436" s="3" t="s">
        <v>411</v>
      </c>
      <c r="R436" s="3" t="s">
        <v>65</v>
      </c>
      <c r="S436" s="4">
        <v>6</v>
      </c>
      <c r="T436" s="4">
        <v>6</v>
      </c>
      <c r="U436" s="5" t="s">
        <v>5395</v>
      </c>
      <c r="V436" s="5" t="s">
        <v>5395</v>
      </c>
      <c r="W436" s="5" t="s">
        <v>5307</v>
      </c>
      <c r="X436" s="5" t="s">
        <v>5307</v>
      </c>
      <c r="Y436" s="4">
        <v>257</v>
      </c>
      <c r="Z436" s="4">
        <v>221</v>
      </c>
      <c r="AA436" s="4">
        <v>223</v>
      </c>
      <c r="AB436" s="4">
        <v>2</v>
      </c>
      <c r="AC436" s="4">
        <v>2</v>
      </c>
      <c r="AD436" s="4">
        <v>6</v>
      </c>
      <c r="AE436" s="4">
        <v>6</v>
      </c>
      <c r="AF436" s="4">
        <v>2</v>
      </c>
      <c r="AG436" s="4">
        <v>2</v>
      </c>
      <c r="AH436" s="4">
        <v>2</v>
      </c>
      <c r="AI436" s="4">
        <v>2</v>
      </c>
      <c r="AJ436" s="4">
        <v>3</v>
      </c>
      <c r="AK436" s="4">
        <v>3</v>
      </c>
      <c r="AL436" s="4">
        <v>1</v>
      </c>
      <c r="AM436" s="4">
        <v>1</v>
      </c>
      <c r="AN436" s="4">
        <v>0</v>
      </c>
      <c r="AO436" s="4">
        <v>0</v>
      </c>
      <c r="AP436" s="3" t="s">
        <v>58</v>
      </c>
      <c r="AQ436" s="3" t="s">
        <v>68</v>
      </c>
      <c r="AR436" s="6" t="str">
        <f>HYPERLINK("http://catalog.hathitrust.org/Record/000331435","HathiTrust Record")</f>
        <v>HathiTrust Record</v>
      </c>
      <c r="AS436" s="6" t="str">
        <f>HYPERLINK("https://creighton-primo.hosted.exlibrisgroup.com/primo-explore/search?tab=default_tab&amp;search_scope=EVERYTHING&amp;vid=01CRU&amp;lang=en_US&amp;offset=0&amp;query=any,contains,991000469709702656","Catalog Record")</f>
        <v>Catalog Record</v>
      </c>
      <c r="AT436" s="6" t="str">
        <f>HYPERLINK("http://www.worldcat.org/oclc/10996559","WorldCat Record")</f>
        <v>WorldCat Record</v>
      </c>
      <c r="AU436" s="3" t="s">
        <v>5553</v>
      </c>
      <c r="AV436" s="3" t="s">
        <v>5554</v>
      </c>
      <c r="AW436" s="3" t="s">
        <v>5555</v>
      </c>
      <c r="AX436" s="3" t="s">
        <v>5555</v>
      </c>
      <c r="AY436" s="3" t="s">
        <v>5556</v>
      </c>
      <c r="AZ436" s="3" t="s">
        <v>73</v>
      </c>
      <c r="BB436" s="3" t="s">
        <v>5557</v>
      </c>
      <c r="BC436" s="3" t="s">
        <v>5558</v>
      </c>
      <c r="BD436" s="3" t="s">
        <v>5559</v>
      </c>
    </row>
    <row r="437" spans="1:56" ht="51" customHeight="1" x14ac:dyDescent="0.25">
      <c r="A437" s="7" t="s">
        <v>58</v>
      </c>
      <c r="B437" s="2" t="s">
        <v>5560</v>
      </c>
      <c r="C437" s="2" t="s">
        <v>5561</v>
      </c>
      <c r="D437" s="2" t="s">
        <v>5562</v>
      </c>
      <c r="F437" s="3" t="s">
        <v>58</v>
      </c>
      <c r="G437" s="3" t="s">
        <v>59</v>
      </c>
      <c r="H437" s="3" t="s">
        <v>58</v>
      </c>
      <c r="I437" s="3" t="s">
        <v>58</v>
      </c>
      <c r="J437" s="3" t="s">
        <v>60</v>
      </c>
      <c r="K437" s="2" t="s">
        <v>5563</v>
      </c>
      <c r="L437" s="2" t="s">
        <v>5564</v>
      </c>
      <c r="M437" s="3" t="s">
        <v>382</v>
      </c>
      <c r="O437" s="3" t="s">
        <v>63</v>
      </c>
      <c r="P437" s="3" t="s">
        <v>3109</v>
      </c>
      <c r="R437" s="3" t="s">
        <v>65</v>
      </c>
      <c r="S437" s="4">
        <v>6</v>
      </c>
      <c r="T437" s="4">
        <v>6</v>
      </c>
      <c r="U437" s="5" t="s">
        <v>2945</v>
      </c>
      <c r="V437" s="5" t="s">
        <v>2945</v>
      </c>
      <c r="W437" s="5" t="s">
        <v>5565</v>
      </c>
      <c r="X437" s="5" t="s">
        <v>5565</v>
      </c>
      <c r="Y437" s="4">
        <v>951</v>
      </c>
      <c r="Z437" s="4">
        <v>840</v>
      </c>
      <c r="AA437" s="4">
        <v>846</v>
      </c>
      <c r="AB437" s="4">
        <v>5</v>
      </c>
      <c r="AC437" s="4">
        <v>5</v>
      </c>
      <c r="AD437" s="4">
        <v>41</v>
      </c>
      <c r="AE437" s="4">
        <v>41</v>
      </c>
      <c r="AF437" s="4">
        <v>20</v>
      </c>
      <c r="AG437" s="4">
        <v>20</v>
      </c>
      <c r="AH437" s="4">
        <v>11</v>
      </c>
      <c r="AI437" s="4">
        <v>11</v>
      </c>
      <c r="AJ437" s="4">
        <v>18</v>
      </c>
      <c r="AK437" s="4">
        <v>18</v>
      </c>
      <c r="AL437" s="4">
        <v>4</v>
      </c>
      <c r="AM437" s="4">
        <v>4</v>
      </c>
      <c r="AN437" s="4">
        <v>0</v>
      </c>
      <c r="AO437" s="4">
        <v>0</v>
      </c>
      <c r="AP437" s="3" t="s">
        <v>58</v>
      </c>
      <c r="AQ437" s="3" t="s">
        <v>68</v>
      </c>
      <c r="AR437" s="6" t="str">
        <f>HYPERLINK("http://catalog.hathitrust.org/Record/004073357","HathiTrust Record")</f>
        <v>HathiTrust Record</v>
      </c>
      <c r="AS437" s="6" t="str">
        <f>HYPERLINK("https://creighton-primo.hosted.exlibrisgroup.com/primo-explore/search?tab=default_tab&amp;search_scope=EVERYTHING&amp;vid=01CRU&amp;lang=en_US&amp;offset=0&amp;query=any,contains,991003001409702656","Catalog Record")</f>
        <v>Catalog Record</v>
      </c>
      <c r="AT437" s="6" t="str">
        <f>HYPERLINK("http://www.worldcat.org/oclc/40668082","WorldCat Record")</f>
        <v>WorldCat Record</v>
      </c>
      <c r="AU437" s="3" t="s">
        <v>5566</v>
      </c>
      <c r="AV437" s="3" t="s">
        <v>5567</v>
      </c>
      <c r="AW437" s="3" t="s">
        <v>5568</v>
      </c>
      <c r="AX437" s="3" t="s">
        <v>5568</v>
      </c>
      <c r="AY437" s="3" t="s">
        <v>5569</v>
      </c>
      <c r="AZ437" s="3" t="s">
        <v>73</v>
      </c>
      <c r="BB437" s="3" t="s">
        <v>5570</v>
      </c>
      <c r="BC437" s="3" t="s">
        <v>5571</v>
      </c>
      <c r="BD437" s="3" t="s">
        <v>5572</v>
      </c>
    </row>
    <row r="438" spans="1:56" ht="51" customHeight="1" x14ac:dyDescent="0.25">
      <c r="A438" s="7" t="s">
        <v>58</v>
      </c>
      <c r="B438" s="2" t="s">
        <v>5573</v>
      </c>
      <c r="C438" s="2" t="s">
        <v>5574</v>
      </c>
      <c r="D438" s="2" t="s">
        <v>5575</v>
      </c>
      <c r="F438" s="3" t="s">
        <v>58</v>
      </c>
      <c r="G438" s="3" t="s">
        <v>59</v>
      </c>
      <c r="H438" s="3" t="s">
        <v>58</v>
      </c>
      <c r="I438" s="3" t="s">
        <v>58</v>
      </c>
      <c r="J438" s="3" t="s">
        <v>60</v>
      </c>
      <c r="K438" s="2" t="s">
        <v>5512</v>
      </c>
      <c r="L438" s="2" t="s">
        <v>5576</v>
      </c>
      <c r="M438" s="3" t="s">
        <v>353</v>
      </c>
      <c r="N438" s="2" t="s">
        <v>338</v>
      </c>
      <c r="O438" s="3" t="s">
        <v>63</v>
      </c>
      <c r="P438" s="3" t="s">
        <v>214</v>
      </c>
      <c r="R438" s="3" t="s">
        <v>65</v>
      </c>
      <c r="S438" s="4">
        <v>5</v>
      </c>
      <c r="T438" s="4">
        <v>5</v>
      </c>
      <c r="U438" s="5" t="s">
        <v>3081</v>
      </c>
      <c r="V438" s="5" t="s">
        <v>3081</v>
      </c>
      <c r="W438" s="5" t="s">
        <v>5307</v>
      </c>
      <c r="X438" s="5" t="s">
        <v>5307</v>
      </c>
      <c r="Y438" s="4">
        <v>779</v>
      </c>
      <c r="Z438" s="4">
        <v>715</v>
      </c>
      <c r="AA438" s="4">
        <v>722</v>
      </c>
      <c r="AB438" s="4">
        <v>4</v>
      </c>
      <c r="AC438" s="4">
        <v>4</v>
      </c>
      <c r="AD438" s="4">
        <v>16</v>
      </c>
      <c r="AE438" s="4">
        <v>16</v>
      </c>
      <c r="AF438" s="4">
        <v>6</v>
      </c>
      <c r="AG438" s="4">
        <v>6</v>
      </c>
      <c r="AH438" s="4">
        <v>4</v>
      </c>
      <c r="AI438" s="4">
        <v>4</v>
      </c>
      <c r="AJ438" s="4">
        <v>9</v>
      </c>
      <c r="AK438" s="4">
        <v>9</v>
      </c>
      <c r="AL438" s="4">
        <v>1</v>
      </c>
      <c r="AM438" s="4">
        <v>1</v>
      </c>
      <c r="AN438" s="4">
        <v>0</v>
      </c>
      <c r="AO438" s="4">
        <v>0</v>
      </c>
      <c r="AP438" s="3" t="s">
        <v>58</v>
      </c>
      <c r="AQ438" s="3" t="s">
        <v>68</v>
      </c>
      <c r="AR438" s="6" t="str">
        <f>HYPERLINK("http://catalog.hathitrust.org/Record/000831350","HathiTrust Record")</f>
        <v>HathiTrust Record</v>
      </c>
      <c r="AS438" s="6" t="str">
        <f>HYPERLINK("https://creighton-primo.hosted.exlibrisgroup.com/primo-explore/search?tab=default_tab&amp;search_scope=EVERYTHING&amp;vid=01CRU&amp;lang=en_US&amp;offset=0&amp;query=any,contains,991000910709702656","Catalog Record")</f>
        <v>Catalog Record</v>
      </c>
      <c r="AT438" s="6" t="str">
        <f>HYPERLINK("http://www.worldcat.org/oclc/14132961","WorldCat Record")</f>
        <v>WorldCat Record</v>
      </c>
      <c r="AU438" s="3" t="s">
        <v>5577</v>
      </c>
      <c r="AV438" s="3" t="s">
        <v>5578</v>
      </c>
      <c r="AW438" s="3" t="s">
        <v>5579</v>
      </c>
      <c r="AX438" s="3" t="s">
        <v>5579</v>
      </c>
      <c r="AY438" s="3" t="s">
        <v>5580</v>
      </c>
      <c r="AZ438" s="3" t="s">
        <v>73</v>
      </c>
      <c r="BB438" s="3" t="s">
        <v>5581</v>
      </c>
      <c r="BC438" s="3" t="s">
        <v>5582</v>
      </c>
      <c r="BD438" s="3" t="s">
        <v>5583</v>
      </c>
    </row>
    <row r="439" spans="1:56" ht="51" customHeight="1" x14ac:dyDescent="0.25">
      <c r="A439" s="7" t="s">
        <v>58</v>
      </c>
      <c r="B439" s="2" t="s">
        <v>5584</v>
      </c>
      <c r="C439" s="2" t="s">
        <v>5585</v>
      </c>
      <c r="D439" s="2" t="s">
        <v>5586</v>
      </c>
      <c r="F439" s="3" t="s">
        <v>58</v>
      </c>
      <c r="G439" s="3" t="s">
        <v>59</v>
      </c>
      <c r="H439" s="3" t="s">
        <v>58</v>
      </c>
      <c r="I439" s="3" t="s">
        <v>58</v>
      </c>
      <c r="J439" s="3" t="s">
        <v>60</v>
      </c>
      <c r="K439" s="2" t="s">
        <v>5123</v>
      </c>
      <c r="L439" s="2" t="s">
        <v>5587</v>
      </c>
      <c r="M439" s="3" t="s">
        <v>1153</v>
      </c>
      <c r="N439" s="2" t="s">
        <v>5588</v>
      </c>
      <c r="O439" s="3" t="s">
        <v>63</v>
      </c>
      <c r="P439" s="3" t="s">
        <v>816</v>
      </c>
      <c r="R439" s="3" t="s">
        <v>65</v>
      </c>
      <c r="S439" s="4">
        <v>2</v>
      </c>
      <c r="T439" s="4">
        <v>2</v>
      </c>
      <c r="U439" s="5" t="s">
        <v>2954</v>
      </c>
      <c r="V439" s="5" t="s">
        <v>2954</v>
      </c>
      <c r="W439" s="5" t="s">
        <v>3348</v>
      </c>
      <c r="X439" s="5" t="s">
        <v>3348</v>
      </c>
      <c r="Y439" s="4">
        <v>756</v>
      </c>
      <c r="Z439" s="4">
        <v>716</v>
      </c>
      <c r="AA439" s="4">
        <v>744</v>
      </c>
      <c r="AB439" s="4">
        <v>5</v>
      </c>
      <c r="AC439" s="4">
        <v>5</v>
      </c>
      <c r="AD439" s="4">
        <v>12</v>
      </c>
      <c r="AE439" s="4">
        <v>12</v>
      </c>
      <c r="AF439" s="4">
        <v>1</v>
      </c>
      <c r="AG439" s="4">
        <v>1</v>
      </c>
      <c r="AH439" s="4">
        <v>4</v>
      </c>
      <c r="AI439" s="4">
        <v>4</v>
      </c>
      <c r="AJ439" s="4">
        <v>6</v>
      </c>
      <c r="AK439" s="4">
        <v>6</v>
      </c>
      <c r="AL439" s="4">
        <v>2</v>
      </c>
      <c r="AM439" s="4">
        <v>2</v>
      </c>
      <c r="AN439" s="4">
        <v>1</v>
      </c>
      <c r="AO439" s="4">
        <v>1</v>
      </c>
      <c r="AP439" s="3" t="s">
        <v>58</v>
      </c>
      <c r="AQ439" s="3" t="s">
        <v>68</v>
      </c>
      <c r="AR439" s="6" t="str">
        <f>HYPERLINK("http://catalog.hathitrust.org/Record/001243519","HathiTrust Record")</f>
        <v>HathiTrust Record</v>
      </c>
      <c r="AS439" s="6" t="str">
        <f>HYPERLINK("https://creighton-primo.hosted.exlibrisgroup.com/primo-explore/search?tab=default_tab&amp;search_scope=EVERYTHING&amp;vid=01CRU&amp;lang=en_US&amp;offset=0&amp;query=any,contains,991003002359702656","Catalog Record")</f>
        <v>Catalog Record</v>
      </c>
      <c r="AT439" s="6" t="str">
        <f>HYPERLINK("http://www.worldcat.org/oclc/569861","WorldCat Record")</f>
        <v>WorldCat Record</v>
      </c>
      <c r="AU439" s="3" t="s">
        <v>5589</v>
      </c>
      <c r="AV439" s="3" t="s">
        <v>5590</v>
      </c>
      <c r="AW439" s="3" t="s">
        <v>5591</v>
      </c>
      <c r="AX439" s="3" t="s">
        <v>5591</v>
      </c>
      <c r="AY439" s="3" t="s">
        <v>5592</v>
      </c>
      <c r="AZ439" s="3" t="s">
        <v>73</v>
      </c>
      <c r="BB439" s="3" t="s">
        <v>5593</v>
      </c>
      <c r="BC439" s="3" t="s">
        <v>5594</v>
      </c>
      <c r="BD439" s="3" t="s">
        <v>5595</v>
      </c>
    </row>
    <row r="440" spans="1:56" ht="51" customHeight="1" x14ac:dyDescent="0.25">
      <c r="A440" s="7" t="s">
        <v>58</v>
      </c>
      <c r="B440" s="2" t="s">
        <v>5596</v>
      </c>
      <c r="C440" s="2" t="s">
        <v>5597</v>
      </c>
      <c r="D440" s="2" t="s">
        <v>5598</v>
      </c>
      <c r="F440" s="3" t="s">
        <v>58</v>
      </c>
      <c r="G440" s="3" t="s">
        <v>59</v>
      </c>
      <c r="H440" s="3" t="s">
        <v>58</v>
      </c>
      <c r="I440" s="3" t="s">
        <v>58</v>
      </c>
      <c r="J440" s="3" t="s">
        <v>60</v>
      </c>
      <c r="K440" s="2" t="s">
        <v>5599</v>
      </c>
      <c r="L440" s="2" t="s">
        <v>5600</v>
      </c>
      <c r="M440" s="3" t="s">
        <v>261</v>
      </c>
      <c r="N440" s="2" t="s">
        <v>1009</v>
      </c>
      <c r="O440" s="3" t="s">
        <v>63</v>
      </c>
      <c r="P440" s="3" t="s">
        <v>214</v>
      </c>
      <c r="R440" s="3" t="s">
        <v>65</v>
      </c>
      <c r="S440" s="4">
        <v>8</v>
      </c>
      <c r="T440" s="4">
        <v>8</v>
      </c>
      <c r="U440" s="5" t="s">
        <v>5601</v>
      </c>
      <c r="V440" s="5" t="s">
        <v>5601</v>
      </c>
      <c r="W440" s="5" t="s">
        <v>3762</v>
      </c>
      <c r="X440" s="5" t="s">
        <v>3762</v>
      </c>
      <c r="Y440" s="4">
        <v>2348</v>
      </c>
      <c r="Z440" s="4">
        <v>2260</v>
      </c>
      <c r="AA440" s="4">
        <v>2450</v>
      </c>
      <c r="AB440" s="4">
        <v>29</v>
      </c>
      <c r="AC440" s="4">
        <v>29</v>
      </c>
      <c r="AD440" s="4">
        <v>56</v>
      </c>
      <c r="AE440" s="4">
        <v>60</v>
      </c>
      <c r="AF440" s="4">
        <v>22</v>
      </c>
      <c r="AG440" s="4">
        <v>23</v>
      </c>
      <c r="AH440" s="4">
        <v>9</v>
      </c>
      <c r="AI440" s="4">
        <v>10</v>
      </c>
      <c r="AJ440" s="4">
        <v>21</v>
      </c>
      <c r="AK440" s="4">
        <v>24</v>
      </c>
      <c r="AL440" s="4">
        <v>13</v>
      </c>
      <c r="AM440" s="4">
        <v>13</v>
      </c>
      <c r="AN440" s="4">
        <v>1</v>
      </c>
      <c r="AO440" s="4">
        <v>1</v>
      </c>
      <c r="AP440" s="3" t="s">
        <v>58</v>
      </c>
      <c r="AQ440" s="3" t="s">
        <v>68</v>
      </c>
      <c r="AR440" s="6" t="str">
        <f>HYPERLINK("http://catalog.hathitrust.org/Record/000692150","HathiTrust Record")</f>
        <v>HathiTrust Record</v>
      </c>
      <c r="AS440" s="6" t="str">
        <f>HYPERLINK("https://creighton-primo.hosted.exlibrisgroup.com/primo-explore/search?tab=default_tab&amp;search_scope=EVERYTHING&amp;vid=01CRU&amp;lang=en_US&amp;offset=0&amp;query=any,contains,991000605559702656","Catalog Record")</f>
        <v>Catalog Record</v>
      </c>
      <c r="AT440" s="6" t="str">
        <f>HYPERLINK("http://www.worldcat.org/oclc/11866342","WorldCat Record")</f>
        <v>WorldCat Record</v>
      </c>
      <c r="AU440" s="3" t="s">
        <v>5602</v>
      </c>
      <c r="AV440" s="3" t="s">
        <v>5603</v>
      </c>
      <c r="AW440" s="3" t="s">
        <v>5604</v>
      </c>
      <c r="AX440" s="3" t="s">
        <v>5604</v>
      </c>
      <c r="AY440" s="3" t="s">
        <v>5605</v>
      </c>
      <c r="AZ440" s="3" t="s">
        <v>73</v>
      </c>
      <c r="BB440" s="3" t="s">
        <v>5606</v>
      </c>
      <c r="BC440" s="3" t="s">
        <v>5607</v>
      </c>
      <c r="BD440" s="3" t="s">
        <v>5608</v>
      </c>
    </row>
    <row r="441" spans="1:56" ht="51" customHeight="1" x14ac:dyDescent="0.25">
      <c r="A441" s="7" t="s">
        <v>58</v>
      </c>
      <c r="B441" s="2" t="s">
        <v>5609</v>
      </c>
      <c r="C441" s="2" t="s">
        <v>5610</v>
      </c>
      <c r="D441" s="2" t="s">
        <v>5611</v>
      </c>
      <c r="F441" s="3" t="s">
        <v>58</v>
      </c>
      <c r="G441" s="3" t="s">
        <v>59</v>
      </c>
      <c r="H441" s="3" t="s">
        <v>58</v>
      </c>
      <c r="I441" s="3" t="s">
        <v>58</v>
      </c>
      <c r="J441" s="3" t="s">
        <v>60</v>
      </c>
      <c r="K441" s="2" t="s">
        <v>5599</v>
      </c>
      <c r="L441" s="2" t="s">
        <v>5612</v>
      </c>
      <c r="M441" s="3" t="s">
        <v>2004</v>
      </c>
      <c r="O441" s="3" t="s">
        <v>63</v>
      </c>
      <c r="P441" s="3" t="s">
        <v>214</v>
      </c>
      <c r="R441" s="3" t="s">
        <v>65</v>
      </c>
      <c r="S441" s="4">
        <v>3</v>
      </c>
      <c r="T441" s="4">
        <v>3</v>
      </c>
      <c r="U441" s="5" t="s">
        <v>5613</v>
      </c>
      <c r="V441" s="5" t="s">
        <v>5613</v>
      </c>
      <c r="W441" s="5" t="s">
        <v>3348</v>
      </c>
      <c r="X441" s="5" t="s">
        <v>3348</v>
      </c>
      <c r="Y441" s="4">
        <v>301</v>
      </c>
      <c r="Z441" s="4">
        <v>281</v>
      </c>
      <c r="AA441" s="4">
        <v>286</v>
      </c>
      <c r="AB441" s="4">
        <v>4</v>
      </c>
      <c r="AC441" s="4">
        <v>4</v>
      </c>
      <c r="AD441" s="4">
        <v>11</v>
      </c>
      <c r="AE441" s="4">
        <v>11</v>
      </c>
      <c r="AF441" s="4">
        <v>3</v>
      </c>
      <c r="AG441" s="4">
        <v>3</v>
      </c>
      <c r="AH441" s="4">
        <v>2</v>
      </c>
      <c r="AI441" s="4">
        <v>2</v>
      </c>
      <c r="AJ441" s="4">
        <v>5</v>
      </c>
      <c r="AK441" s="4">
        <v>5</v>
      </c>
      <c r="AL441" s="4">
        <v>3</v>
      </c>
      <c r="AM441" s="4">
        <v>3</v>
      </c>
      <c r="AN441" s="4">
        <v>0</v>
      </c>
      <c r="AO441" s="4">
        <v>0</v>
      </c>
      <c r="AP441" s="3" t="s">
        <v>58</v>
      </c>
      <c r="AQ441" s="3" t="s">
        <v>68</v>
      </c>
      <c r="AR441" s="6" t="str">
        <f>HYPERLINK("http://catalog.hathitrust.org/Record/001243533","HathiTrust Record")</f>
        <v>HathiTrust Record</v>
      </c>
      <c r="AS441" s="6" t="str">
        <f>HYPERLINK("https://creighton-primo.hosted.exlibrisgroup.com/primo-explore/search?tab=default_tab&amp;search_scope=EVERYTHING&amp;vid=01CRU&amp;lang=en_US&amp;offset=0&amp;query=any,contains,991002825019702656","Catalog Record")</f>
        <v>Catalog Record</v>
      </c>
      <c r="AT441" s="6" t="str">
        <f>HYPERLINK("http://www.worldcat.org/oclc/475112","WorldCat Record")</f>
        <v>WorldCat Record</v>
      </c>
      <c r="AU441" s="3" t="s">
        <v>5614</v>
      </c>
      <c r="AV441" s="3" t="s">
        <v>5615</v>
      </c>
      <c r="AW441" s="3" t="s">
        <v>5616</v>
      </c>
      <c r="AX441" s="3" t="s">
        <v>5616</v>
      </c>
      <c r="AY441" s="3" t="s">
        <v>5617</v>
      </c>
      <c r="AZ441" s="3" t="s">
        <v>73</v>
      </c>
      <c r="BC441" s="3" t="s">
        <v>5618</v>
      </c>
      <c r="BD441" s="3" t="s">
        <v>5619</v>
      </c>
    </row>
    <row r="442" spans="1:56" ht="51" customHeight="1" x14ac:dyDescent="0.25">
      <c r="A442" s="7" t="s">
        <v>58</v>
      </c>
      <c r="B442" s="2" t="s">
        <v>5620</v>
      </c>
      <c r="C442" s="2" t="s">
        <v>5621</v>
      </c>
      <c r="D442" s="2" t="s">
        <v>5622</v>
      </c>
      <c r="F442" s="3" t="s">
        <v>58</v>
      </c>
      <c r="G442" s="3" t="s">
        <v>59</v>
      </c>
      <c r="H442" s="3" t="s">
        <v>58</v>
      </c>
      <c r="I442" s="3" t="s">
        <v>58</v>
      </c>
      <c r="J442" s="3" t="s">
        <v>60</v>
      </c>
      <c r="K442" s="2" t="s">
        <v>5623</v>
      </c>
      <c r="L442" s="2" t="s">
        <v>5624</v>
      </c>
      <c r="M442" s="3" t="s">
        <v>1399</v>
      </c>
      <c r="O442" s="3" t="s">
        <v>63</v>
      </c>
      <c r="P442" s="3" t="s">
        <v>214</v>
      </c>
      <c r="R442" s="3" t="s">
        <v>65</v>
      </c>
      <c r="S442" s="4">
        <v>9</v>
      </c>
      <c r="T442" s="4">
        <v>9</v>
      </c>
      <c r="U442" s="5" t="s">
        <v>5601</v>
      </c>
      <c r="V442" s="5" t="s">
        <v>5601</v>
      </c>
      <c r="W442" s="5" t="s">
        <v>5307</v>
      </c>
      <c r="X442" s="5" t="s">
        <v>5307</v>
      </c>
      <c r="Y442" s="4">
        <v>1164</v>
      </c>
      <c r="Z442" s="4">
        <v>1098</v>
      </c>
      <c r="AA442" s="4">
        <v>1113</v>
      </c>
      <c r="AB442" s="4">
        <v>9</v>
      </c>
      <c r="AC442" s="4">
        <v>9</v>
      </c>
      <c r="AD442" s="4">
        <v>22</v>
      </c>
      <c r="AE442" s="4">
        <v>23</v>
      </c>
      <c r="AF442" s="4">
        <v>7</v>
      </c>
      <c r="AG442" s="4">
        <v>8</v>
      </c>
      <c r="AH442" s="4">
        <v>6</v>
      </c>
      <c r="AI442" s="4">
        <v>6</v>
      </c>
      <c r="AJ442" s="4">
        <v>11</v>
      </c>
      <c r="AK442" s="4">
        <v>11</v>
      </c>
      <c r="AL442" s="4">
        <v>3</v>
      </c>
      <c r="AM442" s="4">
        <v>3</v>
      </c>
      <c r="AN442" s="4">
        <v>0</v>
      </c>
      <c r="AO442" s="4">
        <v>0</v>
      </c>
      <c r="AP442" s="3" t="s">
        <v>58</v>
      </c>
      <c r="AQ442" s="3" t="s">
        <v>68</v>
      </c>
      <c r="AR442" s="6" t="str">
        <f>HYPERLINK("http://catalog.hathitrust.org/Record/001072312","HathiTrust Record")</f>
        <v>HathiTrust Record</v>
      </c>
      <c r="AS442" s="6" t="str">
        <f>HYPERLINK("https://creighton-primo.hosted.exlibrisgroup.com/primo-explore/search?tab=default_tab&amp;search_scope=EVERYTHING&amp;vid=01CRU&amp;lang=en_US&amp;offset=0&amp;query=any,contains,991001293789702656","Catalog Record")</f>
        <v>Catalog Record</v>
      </c>
      <c r="AT442" s="6" t="str">
        <f>HYPERLINK("http://www.worldcat.org/oclc/18017635","WorldCat Record")</f>
        <v>WorldCat Record</v>
      </c>
      <c r="AU442" s="3" t="s">
        <v>5625</v>
      </c>
      <c r="AV442" s="3" t="s">
        <v>5626</v>
      </c>
      <c r="AW442" s="3" t="s">
        <v>5627</v>
      </c>
      <c r="AX442" s="3" t="s">
        <v>5627</v>
      </c>
      <c r="AY442" s="3" t="s">
        <v>5628</v>
      </c>
      <c r="AZ442" s="3" t="s">
        <v>73</v>
      </c>
      <c r="BB442" s="3" t="s">
        <v>5629</v>
      </c>
      <c r="BC442" s="3" t="s">
        <v>5630</v>
      </c>
      <c r="BD442" s="3" t="s">
        <v>5631</v>
      </c>
    </row>
    <row r="443" spans="1:56" ht="51" customHeight="1" x14ac:dyDescent="0.25">
      <c r="A443" s="7" t="s">
        <v>58</v>
      </c>
      <c r="B443" s="2" t="s">
        <v>5632</v>
      </c>
      <c r="C443" s="2" t="s">
        <v>5633</v>
      </c>
      <c r="D443" s="2" t="s">
        <v>5634</v>
      </c>
      <c r="F443" s="3" t="s">
        <v>58</v>
      </c>
      <c r="G443" s="3" t="s">
        <v>59</v>
      </c>
      <c r="H443" s="3" t="s">
        <v>58</v>
      </c>
      <c r="I443" s="3" t="s">
        <v>58</v>
      </c>
      <c r="J443" s="3" t="s">
        <v>60</v>
      </c>
      <c r="L443" s="2" t="s">
        <v>5635</v>
      </c>
      <c r="M443" s="3" t="s">
        <v>951</v>
      </c>
      <c r="O443" s="3" t="s">
        <v>63</v>
      </c>
      <c r="P443" s="3" t="s">
        <v>2061</v>
      </c>
      <c r="R443" s="3" t="s">
        <v>65</v>
      </c>
      <c r="S443" s="4">
        <v>1</v>
      </c>
      <c r="T443" s="4">
        <v>1</v>
      </c>
      <c r="U443" s="5" t="s">
        <v>4921</v>
      </c>
      <c r="V443" s="5" t="s">
        <v>4921</v>
      </c>
      <c r="W443" s="5" t="s">
        <v>4921</v>
      </c>
      <c r="X443" s="5" t="s">
        <v>4921</v>
      </c>
      <c r="Y443" s="4">
        <v>498</v>
      </c>
      <c r="Z443" s="4">
        <v>404</v>
      </c>
      <c r="AA443" s="4">
        <v>409</v>
      </c>
      <c r="AB443" s="4">
        <v>2</v>
      </c>
      <c r="AC443" s="4">
        <v>2</v>
      </c>
      <c r="AD443" s="4">
        <v>20</v>
      </c>
      <c r="AE443" s="4">
        <v>20</v>
      </c>
      <c r="AF443" s="4">
        <v>8</v>
      </c>
      <c r="AG443" s="4">
        <v>8</v>
      </c>
      <c r="AH443" s="4">
        <v>6</v>
      </c>
      <c r="AI443" s="4">
        <v>6</v>
      </c>
      <c r="AJ443" s="4">
        <v>12</v>
      </c>
      <c r="AK443" s="4">
        <v>12</v>
      </c>
      <c r="AL443" s="4">
        <v>1</v>
      </c>
      <c r="AM443" s="4">
        <v>1</v>
      </c>
      <c r="AN443" s="4">
        <v>0</v>
      </c>
      <c r="AO443" s="4">
        <v>0</v>
      </c>
      <c r="AP443" s="3" t="s">
        <v>58</v>
      </c>
      <c r="AQ443" s="3" t="s">
        <v>58</v>
      </c>
      <c r="AS443" s="6" t="str">
        <f>HYPERLINK("https://creighton-primo.hosted.exlibrisgroup.com/primo-explore/search?tab=default_tab&amp;search_scope=EVERYTHING&amp;vid=01CRU&amp;lang=en_US&amp;offset=0&amp;query=any,contains,991003304689702656","Catalog Record")</f>
        <v>Catalog Record</v>
      </c>
      <c r="AT443" s="6" t="str">
        <f>HYPERLINK("http://www.worldcat.org/oclc/43784977","WorldCat Record")</f>
        <v>WorldCat Record</v>
      </c>
      <c r="AU443" s="3" t="s">
        <v>5636</v>
      </c>
      <c r="AV443" s="3" t="s">
        <v>5637</v>
      </c>
      <c r="AW443" s="3" t="s">
        <v>5638</v>
      </c>
      <c r="AX443" s="3" t="s">
        <v>5638</v>
      </c>
      <c r="AY443" s="3" t="s">
        <v>5639</v>
      </c>
      <c r="AZ443" s="3" t="s">
        <v>73</v>
      </c>
      <c r="BB443" s="3" t="s">
        <v>5640</v>
      </c>
      <c r="BC443" s="3" t="s">
        <v>5641</v>
      </c>
      <c r="BD443" s="3" t="s">
        <v>5642</v>
      </c>
    </row>
    <row r="444" spans="1:56" ht="51" customHeight="1" x14ac:dyDescent="0.25">
      <c r="A444" s="7" t="s">
        <v>58</v>
      </c>
      <c r="B444" s="2" t="s">
        <v>5643</v>
      </c>
      <c r="C444" s="2" t="s">
        <v>5644</v>
      </c>
      <c r="D444" s="2" t="s">
        <v>5645</v>
      </c>
      <c r="F444" s="3" t="s">
        <v>58</v>
      </c>
      <c r="G444" s="3" t="s">
        <v>59</v>
      </c>
      <c r="H444" s="3" t="s">
        <v>58</v>
      </c>
      <c r="I444" s="3" t="s">
        <v>58</v>
      </c>
      <c r="J444" s="3" t="s">
        <v>60</v>
      </c>
      <c r="K444" s="2" t="s">
        <v>5646</v>
      </c>
      <c r="L444" s="2" t="s">
        <v>5647</v>
      </c>
      <c r="M444" s="3" t="s">
        <v>382</v>
      </c>
      <c r="O444" s="3" t="s">
        <v>63</v>
      </c>
      <c r="P444" s="3" t="s">
        <v>1837</v>
      </c>
      <c r="R444" s="3" t="s">
        <v>65</v>
      </c>
      <c r="S444" s="4">
        <v>1</v>
      </c>
      <c r="T444" s="4">
        <v>1</v>
      </c>
      <c r="U444" s="5" t="s">
        <v>5648</v>
      </c>
      <c r="V444" s="5" t="s">
        <v>5648</v>
      </c>
      <c r="W444" s="5" t="s">
        <v>5648</v>
      </c>
      <c r="X444" s="5" t="s">
        <v>5648</v>
      </c>
      <c r="Y444" s="4">
        <v>289</v>
      </c>
      <c r="Z444" s="4">
        <v>229</v>
      </c>
      <c r="AA444" s="4">
        <v>231</v>
      </c>
      <c r="AB444" s="4">
        <v>4</v>
      </c>
      <c r="AC444" s="4">
        <v>4</v>
      </c>
      <c r="AD444" s="4">
        <v>14</v>
      </c>
      <c r="AE444" s="4">
        <v>14</v>
      </c>
      <c r="AF444" s="4">
        <v>2</v>
      </c>
      <c r="AG444" s="4">
        <v>2</v>
      </c>
      <c r="AH444" s="4">
        <v>4</v>
      </c>
      <c r="AI444" s="4">
        <v>4</v>
      </c>
      <c r="AJ444" s="4">
        <v>6</v>
      </c>
      <c r="AK444" s="4">
        <v>6</v>
      </c>
      <c r="AL444" s="4">
        <v>3</v>
      </c>
      <c r="AM444" s="4">
        <v>3</v>
      </c>
      <c r="AN444" s="4">
        <v>1</v>
      </c>
      <c r="AO444" s="4">
        <v>1</v>
      </c>
      <c r="AP444" s="3" t="s">
        <v>58</v>
      </c>
      <c r="AQ444" s="3" t="s">
        <v>68</v>
      </c>
      <c r="AR444" s="6" t="str">
        <f>HYPERLINK("http://catalog.hathitrust.org/Record/004049029","HathiTrust Record")</f>
        <v>HathiTrust Record</v>
      </c>
      <c r="AS444" s="6" t="str">
        <f>HYPERLINK("https://creighton-primo.hosted.exlibrisgroup.com/primo-explore/search?tab=default_tab&amp;search_scope=EVERYTHING&amp;vid=01CRU&amp;lang=en_US&amp;offset=0&amp;query=any,contains,991003874529702656","Catalog Record")</f>
        <v>Catalog Record</v>
      </c>
      <c r="AT444" s="6" t="str">
        <f>HYPERLINK("http://www.worldcat.org/oclc/41096111","WorldCat Record")</f>
        <v>WorldCat Record</v>
      </c>
      <c r="AU444" s="3" t="s">
        <v>5649</v>
      </c>
      <c r="AV444" s="3" t="s">
        <v>5650</v>
      </c>
      <c r="AW444" s="3" t="s">
        <v>5651</v>
      </c>
      <c r="AX444" s="3" t="s">
        <v>5651</v>
      </c>
      <c r="AY444" s="3" t="s">
        <v>5652</v>
      </c>
      <c r="AZ444" s="3" t="s">
        <v>73</v>
      </c>
      <c r="BB444" s="3" t="s">
        <v>5653</v>
      </c>
      <c r="BC444" s="3" t="s">
        <v>5654</v>
      </c>
      <c r="BD444" s="3" t="s">
        <v>5655</v>
      </c>
    </row>
    <row r="445" spans="1:56" ht="51" customHeight="1" x14ac:dyDescent="0.25">
      <c r="A445" s="7" t="s">
        <v>58</v>
      </c>
      <c r="B445" s="2" t="s">
        <v>5656</v>
      </c>
      <c r="C445" s="2" t="s">
        <v>5657</v>
      </c>
      <c r="D445" s="2" t="s">
        <v>5658</v>
      </c>
      <c r="F445" s="3" t="s">
        <v>58</v>
      </c>
      <c r="G445" s="3" t="s">
        <v>59</v>
      </c>
      <c r="H445" s="3" t="s">
        <v>58</v>
      </c>
      <c r="I445" s="3" t="s">
        <v>58</v>
      </c>
      <c r="J445" s="3" t="s">
        <v>60</v>
      </c>
      <c r="K445" s="2" t="s">
        <v>5111</v>
      </c>
      <c r="L445" s="2" t="s">
        <v>5659</v>
      </c>
      <c r="M445" s="3" t="s">
        <v>423</v>
      </c>
      <c r="N445" s="2" t="s">
        <v>338</v>
      </c>
      <c r="O445" s="3" t="s">
        <v>63</v>
      </c>
      <c r="P445" s="3" t="s">
        <v>214</v>
      </c>
      <c r="R445" s="3" t="s">
        <v>65</v>
      </c>
      <c r="S445" s="4">
        <v>3</v>
      </c>
      <c r="T445" s="4">
        <v>3</v>
      </c>
      <c r="U445" s="5" t="s">
        <v>3917</v>
      </c>
      <c r="V445" s="5" t="s">
        <v>3917</v>
      </c>
      <c r="W445" s="5" t="s">
        <v>5660</v>
      </c>
      <c r="X445" s="5" t="s">
        <v>5660</v>
      </c>
      <c r="Y445" s="4">
        <v>583</v>
      </c>
      <c r="Z445" s="4">
        <v>505</v>
      </c>
      <c r="AA445" s="4">
        <v>521</v>
      </c>
      <c r="AB445" s="4">
        <v>3</v>
      </c>
      <c r="AC445" s="4">
        <v>3</v>
      </c>
      <c r="AD445" s="4">
        <v>21</v>
      </c>
      <c r="AE445" s="4">
        <v>21</v>
      </c>
      <c r="AF445" s="4">
        <v>7</v>
      </c>
      <c r="AG445" s="4">
        <v>7</v>
      </c>
      <c r="AH445" s="4">
        <v>6</v>
      </c>
      <c r="AI445" s="4">
        <v>6</v>
      </c>
      <c r="AJ445" s="4">
        <v>10</v>
      </c>
      <c r="AK445" s="4">
        <v>10</v>
      </c>
      <c r="AL445" s="4">
        <v>2</v>
      </c>
      <c r="AM445" s="4">
        <v>2</v>
      </c>
      <c r="AN445" s="4">
        <v>0</v>
      </c>
      <c r="AO445" s="4">
        <v>0</v>
      </c>
      <c r="AP445" s="3" t="s">
        <v>58</v>
      </c>
      <c r="AQ445" s="3" t="s">
        <v>58</v>
      </c>
      <c r="AS445" s="6" t="str">
        <f>HYPERLINK("https://creighton-primo.hosted.exlibrisgroup.com/primo-explore/search?tab=default_tab&amp;search_scope=EVERYTHING&amp;vid=01CRU&amp;lang=en_US&amp;offset=0&amp;query=any,contains,991002892639702656","Catalog Record")</f>
        <v>Catalog Record</v>
      </c>
      <c r="AT445" s="6" t="str">
        <f>HYPERLINK("http://www.worldcat.org/oclc/38112801","WorldCat Record")</f>
        <v>WorldCat Record</v>
      </c>
      <c r="AU445" s="3" t="s">
        <v>5661</v>
      </c>
      <c r="AV445" s="3" t="s">
        <v>5662</v>
      </c>
      <c r="AW445" s="3" t="s">
        <v>5663</v>
      </c>
      <c r="AX445" s="3" t="s">
        <v>5663</v>
      </c>
      <c r="AY445" s="3" t="s">
        <v>5664</v>
      </c>
      <c r="AZ445" s="3" t="s">
        <v>73</v>
      </c>
      <c r="BB445" s="3" t="s">
        <v>5665</v>
      </c>
      <c r="BC445" s="3" t="s">
        <v>5666</v>
      </c>
      <c r="BD445" s="3" t="s">
        <v>5667</v>
      </c>
    </row>
    <row r="446" spans="1:56" ht="51" customHeight="1" x14ac:dyDescent="0.25">
      <c r="A446" s="7" t="s">
        <v>58</v>
      </c>
      <c r="B446" s="2" t="s">
        <v>5668</v>
      </c>
      <c r="C446" s="2" t="s">
        <v>5669</v>
      </c>
      <c r="D446" s="2" t="s">
        <v>5670</v>
      </c>
      <c r="F446" s="3" t="s">
        <v>58</v>
      </c>
      <c r="G446" s="3" t="s">
        <v>59</v>
      </c>
      <c r="H446" s="3" t="s">
        <v>58</v>
      </c>
      <c r="I446" s="3" t="s">
        <v>58</v>
      </c>
      <c r="J446" s="3" t="s">
        <v>60</v>
      </c>
      <c r="K446" s="2" t="s">
        <v>5671</v>
      </c>
      <c r="L446" s="2" t="s">
        <v>5672</v>
      </c>
      <c r="M446" s="3" t="s">
        <v>1061</v>
      </c>
      <c r="O446" s="3" t="s">
        <v>63</v>
      </c>
      <c r="P446" s="3" t="s">
        <v>214</v>
      </c>
      <c r="R446" s="3" t="s">
        <v>65</v>
      </c>
      <c r="S446" s="4">
        <v>5</v>
      </c>
      <c r="T446" s="4">
        <v>5</v>
      </c>
      <c r="U446" s="5" t="s">
        <v>3917</v>
      </c>
      <c r="V446" s="5" t="s">
        <v>3917</v>
      </c>
      <c r="W446" s="5" t="s">
        <v>857</v>
      </c>
      <c r="X446" s="5" t="s">
        <v>857</v>
      </c>
      <c r="Y446" s="4">
        <v>959</v>
      </c>
      <c r="Z446" s="4">
        <v>897</v>
      </c>
      <c r="AA446" s="4">
        <v>911</v>
      </c>
      <c r="AB446" s="4">
        <v>6</v>
      </c>
      <c r="AC446" s="4">
        <v>6</v>
      </c>
      <c r="AD446" s="4">
        <v>22</v>
      </c>
      <c r="AE446" s="4">
        <v>23</v>
      </c>
      <c r="AF446" s="4">
        <v>6</v>
      </c>
      <c r="AG446" s="4">
        <v>7</v>
      </c>
      <c r="AH446" s="4">
        <v>5</v>
      </c>
      <c r="AI446" s="4">
        <v>5</v>
      </c>
      <c r="AJ446" s="4">
        <v>13</v>
      </c>
      <c r="AK446" s="4">
        <v>13</v>
      </c>
      <c r="AL446" s="4">
        <v>3</v>
      </c>
      <c r="AM446" s="4">
        <v>3</v>
      </c>
      <c r="AN446" s="4">
        <v>0</v>
      </c>
      <c r="AO446" s="4">
        <v>0</v>
      </c>
      <c r="AP446" s="3" t="s">
        <v>58</v>
      </c>
      <c r="AQ446" s="3" t="s">
        <v>68</v>
      </c>
      <c r="AR446" s="6" t="str">
        <f>HYPERLINK("http://catalog.hathitrust.org/Record/003150611","HathiTrust Record")</f>
        <v>HathiTrust Record</v>
      </c>
      <c r="AS446" s="6" t="str">
        <f>HYPERLINK("https://creighton-primo.hosted.exlibrisgroup.com/primo-explore/search?tab=default_tab&amp;search_scope=EVERYTHING&amp;vid=01CRU&amp;lang=en_US&amp;offset=0&amp;query=any,contains,991002719649702656","Catalog Record")</f>
        <v>Catalog Record</v>
      </c>
      <c r="AT446" s="6" t="str">
        <f>HYPERLINK("http://www.worldcat.org/oclc/35657826","WorldCat Record")</f>
        <v>WorldCat Record</v>
      </c>
      <c r="AU446" s="3" t="s">
        <v>5673</v>
      </c>
      <c r="AV446" s="3" t="s">
        <v>5674</v>
      </c>
      <c r="AW446" s="3" t="s">
        <v>5675</v>
      </c>
      <c r="AX446" s="3" t="s">
        <v>5675</v>
      </c>
      <c r="AY446" s="3" t="s">
        <v>5676</v>
      </c>
      <c r="AZ446" s="3" t="s">
        <v>73</v>
      </c>
      <c r="BB446" s="3" t="s">
        <v>5677</v>
      </c>
      <c r="BC446" s="3" t="s">
        <v>5678</v>
      </c>
      <c r="BD446" s="3" t="s">
        <v>5679</v>
      </c>
    </row>
    <row r="447" spans="1:56" ht="51" customHeight="1" x14ac:dyDescent="0.25">
      <c r="A447" s="7" t="s">
        <v>58</v>
      </c>
      <c r="B447" s="2" t="s">
        <v>5680</v>
      </c>
      <c r="C447" s="2" t="s">
        <v>5681</v>
      </c>
      <c r="D447" s="2" t="s">
        <v>5682</v>
      </c>
      <c r="F447" s="3" t="s">
        <v>58</v>
      </c>
      <c r="G447" s="3" t="s">
        <v>59</v>
      </c>
      <c r="H447" s="3" t="s">
        <v>58</v>
      </c>
      <c r="I447" s="3" t="s">
        <v>58</v>
      </c>
      <c r="J447" s="3" t="s">
        <v>60</v>
      </c>
      <c r="L447" s="2" t="s">
        <v>5683</v>
      </c>
      <c r="M447" s="3" t="s">
        <v>196</v>
      </c>
      <c r="N447" s="2" t="s">
        <v>338</v>
      </c>
      <c r="O447" s="3" t="s">
        <v>63</v>
      </c>
      <c r="P447" s="3" t="s">
        <v>214</v>
      </c>
      <c r="R447" s="3" t="s">
        <v>65</v>
      </c>
      <c r="S447" s="4">
        <v>3</v>
      </c>
      <c r="T447" s="4">
        <v>3</v>
      </c>
      <c r="U447" s="5" t="s">
        <v>3917</v>
      </c>
      <c r="V447" s="5" t="s">
        <v>3917</v>
      </c>
      <c r="W447" s="5" t="s">
        <v>5684</v>
      </c>
      <c r="X447" s="5" t="s">
        <v>5684</v>
      </c>
      <c r="Y447" s="4">
        <v>716</v>
      </c>
      <c r="Z447" s="4">
        <v>667</v>
      </c>
      <c r="AA447" s="4">
        <v>678</v>
      </c>
      <c r="AB447" s="4">
        <v>3</v>
      </c>
      <c r="AC447" s="4">
        <v>3</v>
      </c>
      <c r="AD447" s="4">
        <v>14</v>
      </c>
      <c r="AE447" s="4">
        <v>14</v>
      </c>
      <c r="AF447" s="4">
        <v>3</v>
      </c>
      <c r="AG447" s="4">
        <v>3</v>
      </c>
      <c r="AH447" s="4">
        <v>3</v>
      </c>
      <c r="AI447" s="4">
        <v>3</v>
      </c>
      <c r="AJ447" s="4">
        <v>8</v>
      </c>
      <c r="AK447" s="4">
        <v>8</v>
      </c>
      <c r="AL447" s="4">
        <v>2</v>
      </c>
      <c r="AM447" s="4">
        <v>2</v>
      </c>
      <c r="AN447" s="4">
        <v>0</v>
      </c>
      <c r="AO447" s="4">
        <v>0</v>
      </c>
      <c r="AP447" s="3" t="s">
        <v>58</v>
      </c>
      <c r="AQ447" s="3" t="s">
        <v>68</v>
      </c>
      <c r="AR447" s="6" t="str">
        <f>HYPERLINK("http://catalog.hathitrust.org/Record/003088946","HathiTrust Record")</f>
        <v>HathiTrust Record</v>
      </c>
      <c r="AS447" s="6" t="str">
        <f>HYPERLINK("https://creighton-primo.hosted.exlibrisgroup.com/primo-explore/search?tab=default_tab&amp;search_scope=EVERYTHING&amp;vid=01CRU&amp;lang=en_US&amp;offset=0&amp;query=any,contains,991002610039702656","Catalog Record")</f>
        <v>Catalog Record</v>
      </c>
      <c r="AT447" s="6" t="str">
        <f>HYPERLINK("http://www.worldcat.org/oclc/34191826","WorldCat Record")</f>
        <v>WorldCat Record</v>
      </c>
      <c r="AU447" s="3" t="s">
        <v>5685</v>
      </c>
      <c r="AV447" s="3" t="s">
        <v>5686</v>
      </c>
      <c r="AW447" s="3" t="s">
        <v>5687</v>
      </c>
      <c r="AX447" s="3" t="s">
        <v>5687</v>
      </c>
      <c r="AY447" s="3" t="s">
        <v>5688</v>
      </c>
      <c r="AZ447" s="3" t="s">
        <v>73</v>
      </c>
      <c r="BB447" s="3" t="s">
        <v>5689</v>
      </c>
      <c r="BC447" s="3" t="s">
        <v>5690</v>
      </c>
      <c r="BD447" s="3" t="s">
        <v>5691</v>
      </c>
    </row>
    <row r="448" spans="1:56" ht="51" customHeight="1" x14ac:dyDescent="0.25">
      <c r="A448" s="7" t="s">
        <v>58</v>
      </c>
      <c r="B448" s="2" t="s">
        <v>5692</v>
      </c>
      <c r="C448" s="2" t="s">
        <v>5693</v>
      </c>
      <c r="D448" s="2" t="s">
        <v>5694</v>
      </c>
      <c r="F448" s="3" t="s">
        <v>58</v>
      </c>
      <c r="G448" s="3" t="s">
        <v>59</v>
      </c>
      <c r="H448" s="3" t="s">
        <v>58</v>
      </c>
      <c r="I448" s="3" t="s">
        <v>58</v>
      </c>
      <c r="J448" s="3" t="s">
        <v>60</v>
      </c>
      <c r="K448" s="2" t="s">
        <v>5695</v>
      </c>
      <c r="L448" s="2" t="s">
        <v>5696</v>
      </c>
      <c r="M448" s="3" t="s">
        <v>183</v>
      </c>
      <c r="O448" s="3" t="s">
        <v>63</v>
      </c>
      <c r="P448" s="3" t="s">
        <v>214</v>
      </c>
      <c r="R448" s="3" t="s">
        <v>65</v>
      </c>
      <c r="S448" s="4">
        <v>4</v>
      </c>
      <c r="T448" s="4">
        <v>4</v>
      </c>
      <c r="U448" s="5" t="s">
        <v>5280</v>
      </c>
      <c r="V448" s="5" t="s">
        <v>5280</v>
      </c>
      <c r="W448" s="5" t="s">
        <v>3348</v>
      </c>
      <c r="X448" s="5" t="s">
        <v>3348</v>
      </c>
      <c r="Y448" s="4">
        <v>389</v>
      </c>
      <c r="Z448" s="4">
        <v>354</v>
      </c>
      <c r="AA448" s="4">
        <v>361</v>
      </c>
      <c r="AB448" s="4">
        <v>4</v>
      </c>
      <c r="AC448" s="4">
        <v>4</v>
      </c>
      <c r="AD448" s="4">
        <v>8</v>
      </c>
      <c r="AE448" s="4">
        <v>8</v>
      </c>
      <c r="AF448" s="4">
        <v>1</v>
      </c>
      <c r="AG448" s="4">
        <v>1</v>
      </c>
      <c r="AH448" s="4">
        <v>3</v>
      </c>
      <c r="AI448" s="4">
        <v>3</v>
      </c>
      <c r="AJ448" s="4">
        <v>5</v>
      </c>
      <c r="AK448" s="4">
        <v>5</v>
      </c>
      <c r="AL448" s="4">
        <v>2</v>
      </c>
      <c r="AM448" s="4">
        <v>2</v>
      </c>
      <c r="AN448" s="4">
        <v>0</v>
      </c>
      <c r="AO448" s="4">
        <v>0</v>
      </c>
      <c r="AP448" s="3" t="s">
        <v>58</v>
      </c>
      <c r="AQ448" s="3" t="s">
        <v>58</v>
      </c>
      <c r="AS448" s="6" t="str">
        <f>HYPERLINK("https://creighton-primo.hosted.exlibrisgroup.com/primo-explore/search?tab=default_tab&amp;search_scope=EVERYTHING&amp;vid=01CRU&amp;lang=en_US&amp;offset=0&amp;query=any,contains,991004244609702656","Catalog Record")</f>
        <v>Catalog Record</v>
      </c>
      <c r="AT448" s="6" t="str">
        <f>HYPERLINK("http://www.worldcat.org/oclc/2797939","WorldCat Record")</f>
        <v>WorldCat Record</v>
      </c>
      <c r="AU448" s="3" t="s">
        <v>5697</v>
      </c>
      <c r="AV448" s="3" t="s">
        <v>5698</v>
      </c>
      <c r="AW448" s="3" t="s">
        <v>5699</v>
      </c>
      <c r="AX448" s="3" t="s">
        <v>5699</v>
      </c>
      <c r="AY448" s="3" t="s">
        <v>5700</v>
      </c>
      <c r="AZ448" s="3" t="s">
        <v>73</v>
      </c>
      <c r="BB448" s="3" t="s">
        <v>5701</v>
      </c>
      <c r="BC448" s="3" t="s">
        <v>5702</v>
      </c>
      <c r="BD448" s="3" t="s">
        <v>5703</v>
      </c>
    </row>
    <row r="449" spans="1:56" ht="51" customHeight="1" x14ac:dyDescent="0.25">
      <c r="A449" s="7" t="s">
        <v>58</v>
      </c>
      <c r="B449" s="2" t="s">
        <v>5704</v>
      </c>
      <c r="C449" s="2" t="s">
        <v>5705</v>
      </c>
      <c r="D449" s="2" t="s">
        <v>5706</v>
      </c>
      <c r="F449" s="3" t="s">
        <v>58</v>
      </c>
      <c r="G449" s="3" t="s">
        <v>59</v>
      </c>
      <c r="H449" s="3" t="s">
        <v>58</v>
      </c>
      <c r="I449" s="3" t="s">
        <v>58</v>
      </c>
      <c r="J449" s="3" t="s">
        <v>60</v>
      </c>
      <c r="K449" s="2" t="s">
        <v>5707</v>
      </c>
      <c r="L449" s="2" t="s">
        <v>5708</v>
      </c>
      <c r="M449" s="3" t="s">
        <v>353</v>
      </c>
      <c r="O449" s="3" t="s">
        <v>63</v>
      </c>
      <c r="P449" s="3" t="s">
        <v>584</v>
      </c>
      <c r="R449" s="3" t="s">
        <v>65</v>
      </c>
      <c r="S449" s="4">
        <v>4</v>
      </c>
      <c r="T449" s="4">
        <v>4</v>
      </c>
      <c r="U449" s="5" t="s">
        <v>5709</v>
      </c>
      <c r="V449" s="5" t="s">
        <v>5709</v>
      </c>
      <c r="W449" s="5" t="s">
        <v>5307</v>
      </c>
      <c r="X449" s="5" t="s">
        <v>5307</v>
      </c>
      <c r="Y449" s="4">
        <v>313</v>
      </c>
      <c r="Z449" s="4">
        <v>238</v>
      </c>
      <c r="AA449" s="4">
        <v>257</v>
      </c>
      <c r="AB449" s="4">
        <v>3</v>
      </c>
      <c r="AC449" s="4">
        <v>3</v>
      </c>
      <c r="AD449" s="4">
        <v>11</v>
      </c>
      <c r="AE449" s="4">
        <v>11</v>
      </c>
      <c r="AF449" s="4">
        <v>2</v>
      </c>
      <c r="AG449" s="4">
        <v>2</v>
      </c>
      <c r="AH449" s="4">
        <v>4</v>
      </c>
      <c r="AI449" s="4">
        <v>4</v>
      </c>
      <c r="AJ449" s="4">
        <v>6</v>
      </c>
      <c r="AK449" s="4">
        <v>6</v>
      </c>
      <c r="AL449" s="4">
        <v>2</v>
      </c>
      <c r="AM449" s="4">
        <v>2</v>
      </c>
      <c r="AN449" s="4">
        <v>0</v>
      </c>
      <c r="AO449" s="4">
        <v>0</v>
      </c>
      <c r="AP449" s="3" t="s">
        <v>58</v>
      </c>
      <c r="AQ449" s="3" t="s">
        <v>58</v>
      </c>
      <c r="AS449" s="6" t="str">
        <f>HYPERLINK("https://creighton-primo.hosted.exlibrisgroup.com/primo-explore/search?tab=default_tab&amp;search_scope=EVERYTHING&amp;vid=01CRU&amp;lang=en_US&amp;offset=0&amp;query=any,contains,991000973169702656","Catalog Record")</f>
        <v>Catalog Record</v>
      </c>
      <c r="AT449" s="6" t="str">
        <f>HYPERLINK("http://www.worldcat.org/oclc/14967101","WorldCat Record")</f>
        <v>WorldCat Record</v>
      </c>
      <c r="AU449" s="3" t="s">
        <v>5710</v>
      </c>
      <c r="AV449" s="3" t="s">
        <v>5711</v>
      </c>
      <c r="AW449" s="3" t="s">
        <v>5712</v>
      </c>
      <c r="AX449" s="3" t="s">
        <v>5712</v>
      </c>
      <c r="AY449" s="3" t="s">
        <v>5713</v>
      </c>
      <c r="AZ449" s="3" t="s">
        <v>73</v>
      </c>
      <c r="BB449" s="3" t="s">
        <v>5714</v>
      </c>
      <c r="BC449" s="3" t="s">
        <v>5715</v>
      </c>
      <c r="BD449" s="3" t="s">
        <v>5716</v>
      </c>
    </row>
    <row r="450" spans="1:56" ht="51" customHeight="1" x14ac:dyDescent="0.25">
      <c r="A450" s="7" t="s">
        <v>58</v>
      </c>
      <c r="B450" s="2" t="s">
        <v>5717</v>
      </c>
      <c r="C450" s="2" t="s">
        <v>5718</v>
      </c>
      <c r="D450" s="2" t="s">
        <v>5719</v>
      </c>
      <c r="F450" s="3" t="s">
        <v>58</v>
      </c>
      <c r="G450" s="3" t="s">
        <v>59</v>
      </c>
      <c r="H450" s="3" t="s">
        <v>58</v>
      </c>
      <c r="I450" s="3" t="s">
        <v>58</v>
      </c>
      <c r="J450" s="3" t="s">
        <v>60</v>
      </c>
      <c r="K450" s="2" t="s">
        <v>5720</v>
      </c>
      <c r="L450" s="2" t="s">
        <v>5721</v>
      </c>
      <c r="M450" s="3" t="s">
        <v>745</v>
      </c>
      <c r="O450" s="3" t="s">
        <v>63</v>
      </c>
      <c r="P450" s="3" t="s">
        <v>816</v>
      </c>
      <c r="R450" s="3" t="s">
        <v>65</v>
      </c>
      <c r="S450" s="4">
        <v>10</v>
      </c>
      <c r="T450" s="4">
        <v>10</v>
      </c>
      <c r="U450" s="5" t="s">
        <v>2172</v>
      </c>
      <c r="V450" s="5" t="s">
        <v>2172</v>
      </c>
      <c r="W450" s="5" t="s">
        <v>5722</v>
      </c>
      <c r="X450" s="5" t="s">
        <v>5722</v>
      </c>
      <c r="Y450" s="4">
        <v>972</v>
      </c>
      <c r="Z450" s="4">
        <v>927</v>
      </c>
      <c r="AA450" s="4">
        <v>1035</v>
      </c>
      <c r="AB450" s="4">
        <v>3</v>
      </c>
      <c r="AC450" s="4">
        <v>4</v>
      </c>
      <c r="AD450" s="4">
        <v>26</v>
      </c>
      <c r="AE450" s="4">
        <v>30</v>
      </c>
      <c r="AF450" s="4">
        <v>12</v>
      </c>
      <c r="AG450" s="4">
        <v>14</v>
      </c>
      <c r="AH450" s="4">
        <v>5</v>
      </c>
      <c r="AI450" s="4">
        <v>7</v>
      </c>
      <c r="AJ450" s="4">
        <v>11</v>
      </c>
      <c r="AK450" s="4">
        <v>11</v>
      </c>
      <c r="AL450" s="4">
        <v>2</v>
      </c>
      <c r="AM450" s="4">
        <v>3</v>
      </c>
      <c r="AN450" s="4">
        <v>0</v>
      </c>
      <c r="AO450" s="4">
        <v>0</v>
      </c>
      <c r="AP450" s="3" t="s">
        <v>58</v>
      </c>
      <c r="AQ450" s="3" t="s">
        <v>68</v>
      </c>
      <c r="AR450" s="6" t="str">
        <f>HYPERLINK("http://catalog.hathitrust.org/Record/001243638","HathiTrust Record")</f>
        <v>HathiTrust Record</v>
      </c>
      <c r="AS450" s="6" t="str">
        <f>HYPERLINK("https://creighton-primo.hosted.exlibrisgroup.com/primo-explore/search?tab=default_tab&amp;search_scope=EVERYTHING&amp;vid=01CRU&amp;lang=en_US&amp;offset=0&amp;query=any,contains,991003524679702656","Catalog Record")</f>
        <v>Catalog Record</v>
      </c>
      <c r="AT450" s="6" t="str">
        <f>HYPERLINK("http://www.worldcat.org/oclc/1086582","WorldCat Record")</f>
        <v>WorldCat Record</v>
      </c>
      <c r="AU450" s="3" t="s">
        <v>5723</v>
      </c>
      <c r="AV450" s="3" t="s">
        <v>5724</v>
      </c>
      <c r="AW450" s="3" t="s">
        <v>5725</v>
      </c>
      <c r="AX450" s="3" t="s">
        <v>5725</v>
      </c>
      <c r="AY450" s="3" t="s">
        <v>5726</v>
      </c>
      <c r="AZ450" s="3" t="s">
        <v>73</v>
      </c>
      <c r="BC450" s="3" t="s">
        <v>5727</v>
      </c>
      <c r="BD450" s="3" t="s">
        <v>5728</v>
      </c>
    </row>
    <row r="451" spans="1:56" ht="51" customHeight="1" x14ac:dyDescent="0.25">
      <c r="A451" s="7" t="s">
        <v>58</v>
      </c>
      <c r="B451" s="2" t="s">
        <v>5729</v>
      </c>
      <c r="C451" s="2" t="s">
        <v>5730</v>
      </c>
      <c r="D451" s="2" t="s">
        <v>5731</v>
      </c>
      <c r="F451" s="3" t="s">
        <v>58</v>
      </c>
      <c r="G451" s="3" t="s">
        <v>59</v>
      </c>
      <c r="H451" s="3" t="s">
        <v>58</v>
      </c>
      <c r="I451" s="3" t="s">
        <v>58</v>
      </c>
      <c r="J451" s="3" t="s">
        <v>60</v>
      </c>
      <c r="K451" s="2" t="s">
        <v>5732</v>
      </c>
      <c r="L451" s="2" t="s">
        <v>5733</v>
      </c>
      <c r="M451" s="3" t="s">
        <v>1499</v>
      </c>
      <c r="O451" s="3" t="s">
        <v>63</v>
      </c>
      <c r="P451" s="3" t="s">
        <v>214</v>
      </c>
      <c r="R451" s="3" t="s">
        <v>65</v>
      </c>
      <c r="S451" s="4">
        <v>3</v>
      </c>
      <c r="T451" s="4">
        <v>3</v>
      </c>
      <c r="U451" s="5" t="s">
        <v>2172</v>
      </c>
      <c r="V451" s="5" t="s">
        <v>2172</v>
      </c>
      <c r="W451" s="5" t="s">
        <v>5734</v>
      </c>
      <c r="X451" s="5" t="s">
        <v>5734</v>
      </c>
      <c r="Y451" s="4">
        <v>976</v>
      </c>
      <c r="Z451" s="4">
        <v>888</v>
      </c>
      <c r="AA451" s="4">
        <v>909</v>
      </c>
      <c r="AB451" s="4">
        <v>7</v>
      </c>
      <c r="AC451" s="4">
        <v>7</v>
      </c>
      <c r="AD451" s="4">
        <v>40</v>
      </c>
      <c r="AE451" s="4">
        <v>40</v>
      </c>
      <c r="AF451" s="4">
        <v>16</v>
      </c>
      <c r="AG451" s="4">
        <v>16</v>
      </c>
      <c r="AH451" s="4">
        <v>8</v>
      </c>
      <c r="AI451" s="4">
        <v>8</v>
      </c>
      <c r="AJ451" s="4">
        <v>18</v>
      </c>
      <c r="AK451" s="4">
        <v>18</v>
      </c>
      <c r="AL451" s="4">
        <v>6</v>
      </c>
      <c r="AM451" s="4">
        <v>6</v>
      </c>
      <c r="AN451" s="4">
        <v>0</v>
      </c>
      <c r="AO451" s="4">
        <v>0</v>
      </c>
      <c r="AP451" s="3" t="s">
        <v>58</v>
      </c>
      <c r="AQ451" s="3" t="s">
        <v>68</v>
      </c>
      <c r="AR451" s="6" t="str">
        <f>HYPERLINK("http://catalog.hathitrust.org/Record/001243643","HathiTrust Record")</f>
        <v>HathiTrust Record</v>
      </c>
      <c r="AS451" s="6" t="str">
        <f>HYPERLINK("https://creighton-primo.hosted.exlibrisgroup.com/primo-explore/search?tab=default_tab&amp;search_scope=EVERYTHING&amp;vid=01CRU&amp;lang=en_US&amp;offset=0&amp;query=any,contains,991002772999702656","Catalog Record")</f>
        <v>Catalog Record</v>
      </c>
      <c r="AT451" s="6" t="str">
        <f>HYPERLINK("http://www.worldcat.org/oclc/437723","WorldCat Record")</f>
        <v>WorldCat Record</v>
      </c>
      <c r="AU451" s="3" t="s">
        <v>5735</v>
      </c>
      <c r="AV451" s="3" t="s">
        <v>5736</v>
      </c>
      <c r="AW451" s="3" t="s">
        <v>5737</v>
      </c>
      <c r="AX451" s="3" t="s">
        <v>5737</v>
      </c>
      <c r="AY451" s="3" t="s">
        <v>5738</v>
      </c>
      <c r="AZ451" s="3" t="s">
        <v>73</v>
      </c>
      <c r="BC451" s="3" t="s">
        <v>5739</v>
      </c>
      <c r="BD451" s="3" t="s">
        <v>5740</v>
      </c>
    </row>
    <row r="452" spans="1:56" ht="51" customHeight="1" x14ac:dyDescent="0.25">
      <c r="A452" s="7" t="s">
        <v>58</v>
      </c>
      <c r="B452" s="2" t="s">
        <v>5741</v>
      </c>
      <c r="C452" s="2" t="s">
        <v>5742</v>
      </c>
      <c r="D452" s="2" t="s">
        <v>5743</v>
      </c>
      <c r="F452" s="3" t="s">
        <v>58</v>
      </c>
      <c r="G452" s="3" t="s">
        <v>59</v>
      </c>
      <c r="H452" s="3" t="s">
        <v>58</v>
      </c>
      <c r="I452" s="3" t="s">
        <v>58</v>
      </c>
      <c r="J452" s="3" t="s">
        <v>60</v>
      </c>
      <c r="K452" s="2" t="s">
        <v>5744</v>
      </c>
      <c r="L452" s="2" t="s">
        <v>5745</v>
      </c>
      <c r="M452" s="3" t="s">
        <v>996</v>
      </c>
      <c r="O452" s="3" t="s">
        <v>63</v>
      </c>
      <c r="P452" s="3" t="s">
        <v>510</v>
      </c>
      <c r="R452" s="3" t="s">
        <v>65</v>
      </c>
      <c r="S452" s="4">
        <v>7</v>
      </c>
      <c r="T452" s="4">
        <v>7</v>
      </c>
      <c r="U452" s="5" t="s">
        <v>2933</v>
      </c>
      <c r="V452" s="5" t="s">
        <v>2933</v>
      </c>
      <c r="W452" s="5" t="s">
        <v>5722</v>
      </c>
      <c r="X452" s="5" t="s">
        <v>5722</v>
      </c>
      <c r="Y452" s="4">
        <v>357</v>
      </c>
      <c r="Z452" s="4">
        <v>337</v>
      </c>
      <c r="AA452" s="4">
        <v>381</v>
      </c>
      <c r="AB452" s="4">
        <v>4</v>
      </c>
      <c r="AC452" s="4">
        <v>4</v>
      </c>
      <c r="AD452" s="4">
        <v>11</v>
      </c>
      <c r="AE452" s="4">
        <v>12</v>
      </c>
      <c r="AF452" s="4">
        <v>3</v>
      </c>
      <c r="AG452" s="4">
        <v>3</v>
      </c>
      <c r="AH452" s="4">
        <v>4</v>
      </c>
      <c r="AI452" s="4">
        <v>4</v>
      </c>
      <c r="AJ452" s="4">
        <v>4</v>
      </c>
      <c r="AK452" s="4">
        <v>5</v>
      </c>
      <c r="AL452" s="4">
        <v>3</v>
      </c>
      <c r="AM452" s="4">
        <v>3</v>
      </c>
      <c r="AN452" s="4">
        <v>0</v>
      </c>
      <c r="AO452" s="4">
        <v>0</v>
      </c>
      <c r="AP452" s="3" t="s">
        <v>58</v>
      </c>
      <c r="AQ452" s="3" t="s">
        <v>58</v>
      </c>
      <c r="AS452" s="6" t="str">
        <f>HYPERLINK("https://creighton-primo.hosted.exlibrisgroup.com/primo-explore/search?tab=default_tab&amp;search_scope=EVERYTHING&amp;vid=01CRU&amp;lang=en_US&amp;offset=0&amp;query=any,contains,991002177479702656","Catalog Record")</f>
        <v>Catalog Record</v>
      </c>
      <c r="AT452" s="6" t="str">
        <f>HYPERLINK("http://www.worldcat.org/oclc/278308","WorldCat Record")</f>
        <v>WorldCat Record</v>
      </c>
      <c r="AU452" s="3" t="s">
        <v>5746</v>
      </c>
      <c r="AV452" s="3" t="s">
        <v>5747</v>
      </c>
      <c r="AW452" s="3" t="s">
        <v>5748</v>
      </c>
      <c r="AX452" s="3" t="s">
        <v>5748</v>
      </c>
      <c r="AY452" s="3" t="s">
        <v>5749</v>
      </c>
      <c r="AZ452" s="3" t="s">
        <v>73</v>
      </c>
      <c r="BB452" s="3" t="s">
        <v>5750</v>
      </c>
      <c r="BC452" s="3" t="s">
        <v>5751</v>
      </c>
      <c r="BD452" s="3" t="s">
        <v>5752</v>
      </c>
    </row>
    <row r="453" spans="1:56" ht="51" customHeight="1" x14ac:dyDescent="0.25">
      <c r="A453" s="7" t="s">
        <v>58</v>
      </c>
      <c r="B453" s="2" t="s">
        <v>5753</v>
      </c>
      <c r="C453" s="2" t="s">
        <v>5754</v>
      </c>
      <c r="D453" s="2" t="s">
        <v>5755</v>
      </c>
      <c r="F453" s="3" t="s">
        <v>58</v>
      </c>
      <c r="G453" s="3" t="s">
        <v>59</v>
      </c>
      <c r="H453" s="3" t="s">
        <v>58</v>
      </c>
      <c r="I453" s="3" t="s">
        <v>58</v>
      </c>
      <c r="J453" s="3" t="s">
        <v>60</v>
      </c>
      <c r="K453" s="2" t="s">
        <v>3430</v>
      </c>
      <c r="L453" s="2" t="s">
        <v>5756</v>
      </c>
      <c r="M453" s="3" t="s">
        <v>62</v>
      </c>
      <c r="O453" s="3" t="s">
        <v>63</v>
      </c>
      <c r="P453" s="3" t="s">
        <v>5757</v>
      </c>
      <c r="Q453" s="2" t="s">
        <v>5758</v>
      </c>
      <c r="R453" s="3" t="s">
        <v>65</v>
      </c>
      <c r="S453" s="4">
        <v>10</v>
      </c>
      <c r="T453" s="4">
        <v>10</v>
      </c>
      <c r="U453" s="5" t="s">
        <v>2172</v>
      </c>
      <c r="V453" s="5" t="s">
        <v>2172</v>
      </c>
      <c r="W453" s="5" t="s">
        <v>2839</v>
      </c>
      <c r="X453" s="5" t="s">
        <v>2839</v>
      </c>
      <c r="Y453" s="4">
        <v>60</v>
      </c>
      <c r="Z453" s="4">
        <v>55</v>
      </c>
      <c r="AA453" s="4">
        <v>56</v>
      </c>
      <c r="AB453" s="4">
        <v>1</v>
      </c>
      <c r="AC453" s="4">
        <v>1</v>
      </c>
      <c r="AD453" s="4">
        <v>3</v>
      </c>
      <c r="AE453" s="4">
        <v>3</v>
      </c>
      <c r="AF453" s="4">
        <v>1</v>
      </c>
      <c r="AG453" s="4">
        <v>1</v>
      </c>
      <c r="AH453" s="4">
        <v>2</v>
      </c>
      <c r="AI453" s="4">
        <v>2</v>
      </c>
      <c r="AJ453" s="4">
        <v>1</v>
      </c>
      <c r="AK453" s="4">
        <v>1</v>
      </c>
      <c r="AL453" s="4">
        <v>0</v>
      </c>
      <c r="AM453" s="4">
        <v>0</v>
      </c>
      <c r="AN453" s="4">
        <v>0</v>
      </c>
      <c r="AO453" s="4">
        <v>0</v>
      </c>
      <c r="AP453" s="3" t="s">
        <v>58</v>
      </c>
      <c r="AQ453" s="3" t="s">
        <v>58</v>
      </c>
      <c r="AS453" s="6" t="str">
        <f>HYPERLINK("https://creighton-primo.hosted.exlibrisgroup.com/primo-explore/search?tab=default_tab&amp;search_scope=EVERYTHING&amp;vid=01CRU&amp;lang=en_US&amp;offset=0&amp;query=any,contains,991003629309702656","Catalog Record")</f>
        <v>Catalog Record</v>
      </c>
      <c r="AT453" s="6" t="str">
        <f>HYPERLINK("http://www.worldcat.org/oclc/1219745","WorldCat Record")</f>
        <v>WorldCat Record</v>
      </c>
      <c r="AU453" s="3" t="s">
        <v>5759</v>
      </c>
      <c r="AV453" s="3" t="s">
        <v>5760</v>
      </c>
      <c r="AW453" s="3" t="s">
        <v>5761</v>
      </c>
      <c r="AX453" s="3" t="s">
        <v>5761</v>
      </c>
      <c r="AY453" s="3" t="s">
        <v>5762</v>
      </c>
      <c r="AZ453" s="3" t="s">
        <v>73</v>
      </c>
      <c r="BB453" s="3" t="s">
        <v>5763</v>
      </c>
      <c r="BC453" s="3" t="s">
        <v>5764</v>
      </c>
      <c r="BD453" s="3" t="s">
        <v>5765</v>
      </c>
    </row>
    <row r="454" spans="1:56" ht="51" customHeight="1" x14ac:dyDescent="0.25">
      <c r="A454" s="7" t="s">
        <v>58</v>
      </c>
      <c r="B454" s="2" t="s">
        <v>5766</v>
      </c>
      <c r="C454" s="2" t="s">
        <v>5767</v>
      </c>
      <c r="D454" s="2" t="s">
        <v>5768</v>
      </c>
      <c r="F454" s="3" t="s">
        <v>58</v>
      </c>
      <c r="G454" s="3" t="s">
        <v>59</v>
      </c>
      <c r="H454" s="3" t="s">
        <v>58</v>
      </c>
      <c r="I454" s="3" t="s">
        <v>58</v>
      </c>
      <c r="J454" s="3" t="s">
        <v>60</v>
      </c>
      <c r="K454" s="2" t="s">
        <v>5769</v>
      </c>
      <c r="L454" s="2" t="s">
        <v>5770</v>
      </c>
      <c r="M454" s="3" t="s">
        <v>337</v>
      </c>
      <c r="N454" s="2" t="s">
        <v>338</v>
      </c>
      <c r="O454" s="3" t="s">
        <v>63</v>
      </c>
      <c r="P454" s="3" t="s">
        <v>1837</v>
      </c>
      <c r="R454" s="3" t="s">
        <v>65</v>
      </c>
      <c r="S454" s="4">
        <v>4</v>
      </c>
      <c r="T454" s="4">
        <v>4</v>
      </c>
      <c r="U454" s="5" t="s">
        <v>5771</v>
      </c>
      <c r="V454" s="5" t="s">
        <v>5771</v>
      </c>
      <c r="W454" s="5" t="s">
        <v>5772</v>
      </c>
      <c r="X454" s="5" t="s">
        <v>5772</v>
      </c>
      <c r="Y454" s="4">
        <v>751</v>
      </c>
      <c r="Z454" s="4">
        <v>718</v>
      </c>
      <c r="AA454" s="4">
        <v>725</v>
      </c>
      <c r="AB454" s="4">
        <v>7</v>
      </c>
      <c r="AC454" s="4">
        <v>7</v>
      </c>
      <c r="AD454" s="4">
        <v>26</v>
      </c>
      <c r="AE454" s="4">
        <v>26</v>
      </c>
      <c r="AF454" s="4">
        <v>9</v>
      </c>
      <c r="AG454" s="4">
        <v>9</v>
      </c>
      <c r="AH454" s="4">
        <v>7</v>
      </c>
      <c r="AI454" s="4">
        <v>7</v>
      </c>
      <c r="AJ454" s="4">
        <v>10</v>
      </c>
      <c r="AK454" s="4">
        <v>10</v>
      </c>
      <c r="AL454" s="4">
        <v>6</v>
      </c>
      <c r="AM454" s="4">
        <v>6</v>
      </c>
      <c r="AN454" s="4">
        <v>0</v>
      </c>
      <c r="AO454" s="4">
        <v>0</v>
      </c>
      <c r="AP454" s="3" t="s">
        <v>58</v>
      </c>
      <c r="AQ454" s="3" t="s">
        <v>68</v>
      </c>
      <c r="AR454" s="6" t="str">
        <f>HYPERLINK("http://catalog.hathitrust.org/Record/004259026","HathiTrust Record")</f>
        <v>HathiTrust Record</v>
      </c>
      <c r="AS454" s="6" t="str">
        <f>HYPERLINK("https://creighton-primo.hosted.exlibrisgroup.com/primo-explore/search?tab=default_tab&amp;search_scope=EVERYTHING&amp;vid=01CRU&amp;lang=en_US&amp;offset=0&amp;query=any,contains,991004055919702656","Catalog Record")</f>
        <v>Catalog Record</v>
      </c>
      <c r="AT454" s="6" t="str">
        <f>HYPERLINK("http://www.worldcat.org/oclc/49249144","WorldCat Record")</f>
        <v>WorldCat Record</v>
      </c>
      <c r="AU454" s="3" t="s">
        <v>5773</v>
      </c>
      <c r="AV454" s="3" t="s">
        <v>5774</v>
      </c>
      <c r="AW454" s="3" t="s">
        <v>5775</v>
      </c>
      <c r="AX454" s="3" t="s">
        <v>5775</v>
      </c>
      <c r="AY454" s="3" t="s">
        <v>5776</v>
      </c>
      <c r="AZ454" s="3" t="s">
        <v>73</v>
      </c>
      <c r="BB454" s="3" t="s">
        <v>5777</v>
      </c>
      <c r="BC454" s="3" t="s">
        <v>5778</v>
      </c>
      <c r="BD454" s="3" t="s">
        <v>5779</v>
      </c>
    </row>
    <row r="455" spans="1:56" ht="51" customHeight="1" x14ac:dyDescent="0.25">
      <c r="A455" s="7" t="s">
        <v>58</v>
      </c>
      <c r="B455" s="2" t="s">
        <v>5780</v>
      </c>
      <c r="C455" s="2" t="s">
        <v>5781</v>
      </c>
      <c r="D455" s="2" t="s">
        <v>5782</v>
      </c>
      <c r="F455" s="3" t="s">
        <v>58</v>
      </c>
      <c r="G455" s="3" t="s">
        <v>59</v>
      </c>
      <c r="H455" s="3" t="s">
        <v>58</v>
      </c>
      <c r="I455" s="3" t="s">
        <v>58</v>
      </c>
      <c r="J455" s="3" t="s">
        <v>60</v>
      </c>
      <c r="K455" s="2" t="s">
        <v>5783</v>
      </c>
      <c r="L455" s="2" t="s">
        <v>5784</v>
      </c>
      <c r="M455" s="3" t="s">
        <v>842</v>
      </c>
      <c r="O455" s="3" t="s">
        <v>63</v>
      </c>
      <c r="P455" s="3" t="s">
        <v>214</v>
      </c>
      <c r="R455" s="3" t="s">
        <v>65</v>
      </c>
      <c r="S455" s="4">
        <v>3</v>
      </c>
      <c r="T455" s="4">
        <v>3</v>
      </c>
      <c r="U455" s="5" t="s">
        <v>5785</v>
      </c>
      <c r="V455" s="5" t="s">
        <v>5785</v>
      </c>
      <c r="W455" s="5" t="s">
        <v>5488</v>
      </c>
      <c r="X455" s="5" t="s">
        <v>5488</v>
      </c>
      <c r="Y455" s="4">
        <v>1029</v>
      </c>
      <c r="Z455" s="4">
        <v>939</v>
      </c>
      <c r="AA455" s="4">
        <v>952</v>
      </c>
      <c r="AB455" s="4">
        <v>8</v>
      </c>
      <c r="AC455" s="4">
        <v>8</v>
      </c>
      <c r="AD455" s="4">
        <v>47</v>
      </c>
      <c r="AE455" s="4">
        <v>47</v>
      </c>
      <c r="AF455" s="4">
        <v>22</v>
      </c>
      <c r="AG455" s="4">
        <v>22</v>
      </c>
      <c r="AH455" s="4">
        <v>8</v>
      </c>
      <c r="AI455" s="4">
        <v>8</v>
      </c>
      <c r="AJ455" s="4">
        <v>22</v>
      </c>
      <c r="AK455" s="4">
        <v>22</v>
      </c>
      <c r="AL455" s="4">
        <v>7</v>
      </c>
      <c r="AM455" s="4">
        <v>7</v>
      </c>
      <c r="AN455" s="4">
        <v>0</v>
      </c>
      <c r="AO455" s="4">
        <v>0</v>
      </c>
      <c r="AP455" s="3" t="s">
        <v>58</v>
      </c>
      <c r="AQ455" s="3" t="s">
        <v>68</v>
      </c>
      <c r="AR455" s="6" t="str">
        <f>HYPERLINK("http://catalog.hathitrust.org/Record/000182301","HathiTrust Record")</f>
        <v>HathiTrust Record</v>
      </c>
      <c r="AS455" s="6" t="str">
        <f>HYPERLINK("https://creighton-primo.hosted.exlibrisgroup.com/primo-explore/search?tab=default_tab&amp;search_scope=EVERYTHING&amp;vid=01CRU&amp;lang=en_US&amp;offset=0&amp;query=any,contains,991005162759702656","Catalog Record")</f>
        <v>Catalog Record</v>
      </c>
      <c r="AT455" s="6" t="str">
        <f>HYPERLINK("http://www.worldcat.org/oclc/7798284","WorldCat Record")</f>
        <v>WorldCat Record</v>
      </c>
      <c r="AU455" s="3" t="s">
        <v>5786</v>
      </c>
      <c r="AV455" s="3" t="s">
        <v>5787</v>
      </c>
      <c r="AW455" s="3" t="s">
        <v>5788</v>
      </c>
      <c r="AX455" s="3" t="s">
        <v>5788</v>
      </c>
      <c r="AY455" s="3" t="s">
        <v>5789</v>
      </c>
      <c r="AZ455" s="3" t="s">
        <v>73</v>
      </c>
      <c r="BB455" s="3" t="s">
        <v>5790</v>
      </c>
      <c r="BC455" s="3" t="s">
        <v>5791</v>
      </c>
      <c r="BD455" s="3" t="s">
        <v>5792</v>
      </c>
    </row>
    <row r="456" spans="1:56" ht="51" customHeight="1" x14ac:dyDescent="0.25">
      <c r="A456" s="7" t="s">
        <v>58</v>
      </c>
      <c r="B456" s="2" t="s">
        <v>5793</v>
      </c>
      <c r="C456" s="2" t="s">
        <v>5794</v>
      </c>
      <c r="D456" s="2" t="s">
        <v>5795</v>
      </c>
      <c r="F456" s="3" t="s">
        <v>58</v>
      </c>
      <c r="G456" s="3" t="s">
        <v>59</v>
      </c>
      <c r="H456" s="3" t="s">
        <v>58</v>
      </c>
      <c r="I456" s="3" t="s">
        <v>58</v>
      </c>
      <c r="J456" s="3" t="s">
        <v>60</v>
      </c>
      <c r="L456" s="2" t="s">
        <v>5796</v>
      </c>
      <c r="M456" s="3" t="s">
        <v>759</v>
      </c>
      <c r="O456" s="3" t="s">
        <v>63</v>
      </c>
      <c r="P456" s="3" t="s">
        <v>1837</v>
      </c>
      <c r="Q456" s="2" t="s">
        <v>5797</v>
      </c>
      <c r="R456" s="3" t="s">
        <v>65</v>
      </c>
      <c r="S456" s="4">
        <v>1</v>
      </c>
      <c r="T456" s="4">
        <v>1</v>
      </c>
      <c r="U456" s="5" t="s">
        <v>5785</v>
      </c>
      <c r="V456" s="5" t="s">
        <v>5785</v>
      </c>
      <c r="W456" s="5" t="s">
        <v>5307</v>
      </c>
      <c r="X456" s="5" t="s">
        <v>5307</v>
      </c>
      <c r="Y456" s="4">
        <v>567</v>
      </c>
      <c r="Z456" s="4">
        <v>500</v>
      </c>
      <c r="AA456" s="4">
        <v>513</v>
      </c>
      <c r="AB456" s="4">
        <v>5</v>
      </c>
      <c r="AC456" s="4">
        <v>5</v>
      </c>
      <c r="AD456" s="4">
        <v>23</v>
      </c>
      <c r="AE456" s="4">
        <v>24</v>
      </c>
      <c r="AF456" s="4">
        <v>6</v>
      </c>
      <c r="AG456" s="4">
        <v>6</v>
      </c>
      <c r="AH456" s="4">
        <v>7</v>
      </c>
      <c r="AI456" s="4">
        <v>7</v>
      </c>
      <c r="AJ456" s="4">
        <v>10</v>
      </c>
      <c r="AK456" s="4">
        <v>10</v>
      </c>
      <c r="AL456" s="4">
        <v>4</v>
      </c>
      <c r="AM456" s="4">
        <v>4</v>
      </c>
      <c r="AN456" s="4">
        <v>3</v>
      </c>
      <c r="AO456" s="4">
        <v>4</v>
      </c>
      <c r="AP456" s="3" t="s">
        <v>58</v>
      </c>
      <c r="AQ456" s="3" t="s">
        <v>68</v>
      </c>
      <c r="AR456" s="6" t="str">
        <f>HYPERLINK("http://catalog.hathitrust.org/Record/000724324","HathiTrust Record")</f>
        <v>HathiTrust Record</v>
      </c>
      <c r="AS456" s="6" t="str">
        <f>HYPERLINK("https://creighton-primo.hosted.exlibrisgroup.com/primo-explore/search?tab=default_tab&amp;search_scope=EVERYTHING&amp;vid=01CRU&amp;lang=en_US&amp;offset=0&amp;query=any,contains,991004969309702656","Catalog Record")</f>
        <v>Catalog Record</v>
      </c>
      <c r="AT456" s="6" t="str">
        <f>HYPERLINK("http://www.worldcat.org/oclc/6356294","WorldCat Record")</f>
        <v>WorldCat Record</v>
      </c>
      <c r="AU456" s="3" t="s">
        <v>5798</v>
      </c>
      <c r="AV456" s="3" t="s">
        <v>5799</v>
      </c>
      <c r="AW456" s="3" t="s">
        <v>5800</v>
      </c>
      <c r="AX456" s="3" t="s">
        <v>5800</v>
      </c>
      <c r="AY456" s="3" t="s">
        <v>5801</v>
      </c>
      <c r="AZ456" s="3" t="s">
        <v>73</v>
      </c>
      <c r="BB456" s="3" t="s">
        <v>5802</v>
      </c>
      <c r="BC456" s="3" t="s">
        <v>5803</v>
      </c>
      <c r="BD456" s="3" t="s">
        <v>5804</v>
      </c>
    </row>
    <row r="457" spans="1:56" ht="51" customHeight="1" x14ac:dyDescent="0.25">
      <c r="A457" s="7" t="s">
        <v>58</v>
      </c>
      <c r="B457" s="2" t="s">
        <v>5805</v>
      </c>
      <c r="C457" s="2" t="s">
        <v>5806</v>
      </c>
      <c r="D457" s="2" t="s">
        <v>5807</v>
      </c>
      <c r="F457" s="3" t="s">
        <v>58</v>
      </c>
      <c r="G457" s="3" t="s">
        <v>59</v>
      </c>
      <c r="H457" s="3" t="s">
        <v>58</v>
      </c>
      <c r="I457" s="3" t="s">
        <v>58</v>
      </c>
      <c r="J457" s="3" t="s">
        <v>60</v>
      </c>
      <c r="K457" s="2" t="s">
        <v>5808</v>
      </c>
      <c r="L457" s="2" t="s">
        <v>5809</v>
      </c>
      <c r="M457" s="3" t="s">
        <v>538</v>
      </c>
      <c r="O457" s="3" t="s">
        <v>63</v>
      </c>
      <c r="P457" s="3" t="s">
        <v>214</v>
      </c>
      <c r="Q457" s="2" t="s">
        <v>5810</v>
      </c>
      <c r="R457" s="3" t="s">
        <v>65</v>
      </c>
      <c r="S457" s="4">
        <v>3</v>
      </c>
      <c r="T457" s="4">
        <v>3</v>
      </c>
      <c r="U457" s="5" t="s">
        <v>3360</v>
      </c>
      <c r="V457" s="5" t="s">
        <v>3360</v>
      </c>
      <c r="W457" s="5" t="s">
        <v>3348</v>
      </c>
      <c r="X457" s="5" t="s">
        <v>3348</v>
      </c>
      <c r="Y457" s="4">
        <v>1110</v>
      </c>
      <c r="Z457" s="4">
        <v>1045</v>
      </c>
      <c r="AA457" s="4">
        <v>1053</v>
      </c>
      <c r="AB457" s="4">
        <v>9</v>
      </c>
      <c r="AC457" s="4">
        <v>9</v>
      </c>
      <c r="AD457" s="4">
        <v>38</v>
      </c>
      <c r="AE457" s="4">
        <v>38</v>
      </c>
      <c r="AF457" s="4">
        <v>14</v>
      </c>
      <c r="AG457" s="4">
        <v>14</v>
      </c>
      <c r="AH457" s="4">
        <v>6</v>
      </c>
      <c r="AI457" s="4">
        <v>6</v>
      </c>
      <c r="AJ457" s="4">
        <v>17</v>
      </c>
      <c r="AK457" s="4">
        <v>17</v>
      </c>
      <c r="AL457" s="4">
        <v>7</v>
      </c>
      <c r="AM457" s="4">
        <v>7</v>
      </c>
      <c r="AN457" s="4">
        <v>1</v>
      </c>
      <c r="AO457" s="4">
        <v>1</v>
      </c>
      <c r="AP457" s="3" t="s">
        <v>58</v>
      </c>
      <c r="AQ457" s="3" t="s">
        <v>68</v>
      </c>
      <c r="AR457" s="6" t="str">
        <f>HYPERLINK("http://catalog.hathitrust.org/Record/001243576","HathiTrust Record")</f>
        <v>HathiTrust Record</v>
      </c>
      <c r="AS457" s="6" t="str">
        <f>HYPERLINK("https://creighton-primo.hosted.exlibrisgroup.com/primo-explore/search?tab=default_tab&amp;search_scope=EVERYTHING&amp;vid=01CRU&amp;lang=en_US&amp;offset=0&amp;query=any,contains,991005434089702656","Catalog Record")</f>
        <v>Catalog Record</v>
      </c>
      <c r="AT457" s="6" t="str">
        <f>HYPERLINK("http://www.worldcat.org/oclc/2282","WorldCat Record")</f>
        <v>WorldCat Record</v>
      </c>
      <c r="AU457" s="3" t="s">
        <v>5811</v>
      </c>
      <c r="AV457" s="3" t="s">
        <v>5812</v>
      </c>
      <c r="AW457" s="3" t="s">
        <v>5813</v>
      </c>
      <c r="AX457" s="3" t="s">
        <v>5813</v>
      </c>
      <c r="AY457" s="3" t="s">
        <v>5814</v>
      </c>
      <c r="AZ457" s="3" t="s">
        <v>73</v>
      </c>
      <c r="BC457" s="3" t="s">
        <v>5815</v>
      </c>
      <c r="BD457" s="3" t="s">
        <v>5816</v>
      </c>
    </row>
    <row r="458" spans="1:56" ht="51" customHeight="1" x14ac:dyDescent="0.25">
      <c r="A458" s="7" t="s">
        <v>58</v>
      </c>
      <c r="B458" s="2" t="s">
        <v>5817</v>
      </c>
      <c r="C458" s="2" t="s">
        <v>5818</v>
      </c>
      <c r="D458" s="2" t="s">
        <v>5819</v>
      </c>
      <c r="F458" s="3" t="s">
        <v>58</v>
      </c>
      <c r="G458" s="3" t="s">
        <v>59</v>
      </c>
      <c r="H458" s="3" t="s">
        <v>58</v>
      </c>
      <c r="I458" s="3" t="s">
        <v>58</v>
      </c>
      <c r="J458" s="3" t="s">
        <v>60</v>
      </c>
      <c r="K458" s="2" t="s">
        <v>5820</v>
      </c>
      <c r="L458" s="2" t="s">
        <v>5821</v>
      </c>
      <c r="M458" s="3" t="s">
        <v>138</v>
      </c>
      <c r="O458" s="3" t="s">
        <v>63</v>
      </c>
      <c r="P458" s="3" t="s">
        <v>214</v>
      </c>
      <c r="R458" s="3" t="s">
        <v>65</v>
      </c>
      <c r="S458" s="4">
        <v>6</v>
      </c>
      <c r="T458" s="4">
        <v>6</v>
      </c>
      <c r="U458" s="5" t="s">
        <v>5822</v>
      </c>
      <c r="V458" s="5" t="s">
        <v>5822</v>
      </c>
      <c r="W458" s="5" t="s">
        <v>5307</v>
      </c>
      <c r="X458" s="5" t="s">
        <v>5307</v>
      </c>
      <c r="Y458" s="4">
        <v>537</v>
      </c>
      <c r="Z458" s="4">
        <v>498</v>
      </c>
      <c r="AA458" s="4">
        <v>557</v>
      </c>
      <c r="AB458" s="4">
        <v>3</v>
      </c>
      <c r="AC458" s="4">
        <v>3</v>
      </c>
      <c r="AD458" s="4">
        <v>12</v>
      </c>
      <c r="AE458" s="4">
        <v>12</v>
      </c>
      <c r="AF458" s="4">
        <v>7</v>
      </c>
      <c r="AG458" s="4">
        <v>7</v>
      </c>
      <c r="AH458" s="4">
        <v>0</v>
      </c>
      <c r="AI458" s="4">
        <v>0</v>
      </c>
      <c r="AJ458" s="4">
        <v>7</v>
      </c>
      <c r="AK458" s="4">
        <v>7</v>
      </c>
      <c r="AL458" s="4">
        <v>2</v>
      </c>
      <c r="AM458" s="4">
        <v>2</v>
      </c>
      <c r="AN458" s="4">
        <v>0</v>
      </c>
      <c r="AO458" s="4">
        <v>0</v>
      </c>
      <c r="AP458" s="3" t="s">
        <v>58</v>
      </c>
      <c r="AQ458" s="3" t="s">
        <v>58</v>
      </c>
      <c r="AS458" s="6" t="str">
        <f>HYPERLINK("https://creighton-primo.hosted.exlibrisgroup.com/primo-explore/search?tab=default_tab&amp;search_scope=EVERYTHING&amp;vid=01CRU&amp;lang=en_US&amp;offset=0&amp;query=any,contains,991005219399702656","Catalog Record")</f>
        <v>Catalog Record</v>
      </c>
      <c r="AT458" s="6" t="str">
        <f>HYPERLINK("http://www.worldcat.org/oclc/8219316","WorldCat Record")</f>
        <v>WorldCat Record</v>
      </c>
      <c r="AU458" s="3" t="s">
        <v>5823</v>
      </c>
      <c r="AV458" s="3" t="s">
        <v>5824</v>
      </c>
      <c r="AW458" s="3" t="s">
        <v>5825</v>
      </c>
      <c r="AX458" s="3" t="s">
        <v>5825</v>
      </c>
      <c r="AY458" s="3" t="s">
        <v>5826</v>
      </c>
      <c r="AZ458" s="3" t="s">
        <v>73</v>
      </c>
      <c r="BB458" s="3" t="s">
        <v>5827</v>
      </c>
      <c r="BC458" s="3" t="s">
        <v>5828</v>
      </c>
      <c r="BD458" s="3" t="s">
        <v>5829</v>
      </c>
    </row>
    <row r="459" spans="1:56" ht="51" customHeight="1" x14ac:dyDescent="0.25">
      <c r="A459" s="7" t="s">
        <v>58</v>
      </c>
      <c r="B459" s="2" t="s">
        <v>5830</v>
      </c>
      <c r="C459" s="2" t="s">
        <v>5831</v>
      </c>
      <c r="D459" s="2" t="s">
        <v>5832</v>
      </c>
      <c r="F459" s="3" t="s">
        <v>58</v>
      </c>
      <c r="G459" s="3" t="s">
        <v>59</v>
      </c>
      <c r="H459" s="3" t="s">
        <v>58</v>
      </c>
      <c r="I459" s="3" t="s">
        <v>58</v>
      </c>
      <c r="J459" s="3" t="s">
        <v>60</v>
      </c>
      <c r="K459" s="2" t="s">
        <v>5833</v>
      </c>
      <c r="L459" s="2" t="s">
        <v>5834</v>
      </c>
      <c r="M459" s="3" t="s">
        <v>337</v>
      </c>
      <c r="N459" s="2" t="s">
        <v>338</v>
      </c>
      <c r="O459" s="3" t="s">
        <v>63</v>
      </c>
      <c r="P459" s="3" t="s">
        <v>214</v>
      </c>
      <c r="R459" s="3" t="s">
        <v>65</v>
      </c>
      <c r="S459" s="4">
        <v>9</v>
      </c>
      <c r="T459" s="4">
        <v>9</v>
      </c>
      <c r="U459" s="5" t="s">
        <v>5835</v>
      </c>
      <c r="V459" s="5" t="s">
        <v>5835</v>
      </c>
      <c r="W459" s="5" t="s">
        <v>4102</v>
      </c>
      <c r="X459" s="5" t="s">
        <v>4102</v>
      </c>
      <c r="Y459" s="4">
        <v>622</v>
      </c>
      <c r="Z459" s="4">
        <v>571</v>
      </c>
      <c r="AA459" s="4">
        <v>577</v>
      </c>
      <c r="AB459" s="4">
        <v>6</v>
      </c>
      <c r="AC459" s="4">
        <v>6</v>
      </c>
      <c r="AD459" s="4">
        <v>11</v>
      </c>
      <c r="AE459" s="4">
        <v>11</v>
      </c>
      <c r="AF459" s="4">
        <v>2</v>
      </c>
      <c r="AG459" s="4">
        <v>2</v>
      </c>
      <c r="AH459" s="4">
        <v>3</v>
      </c>
      <c r="AI459" s="4">
        <v>3</v>
      </c>
      <c r="AJ459" s="4">
        <v>4</v>
      </c>
      <c r="AK459" s="4">
        <v>4</v>
      </c>
      <c r="AL459" s="4">
        <v>4</v>
      </c>
      <c r="AM459" s="4">
        <v>4</v>
      </c>
      <c r="AN459" s="4">
        <v>0</v>
      </c>
      <c r="AO459" s="4">
        <v>0</v>
      </c>
      <c r="AP459" s="3" t="s">
        <v>58</v>
      </c>
      <c r="AQ459" s="3" t="s">
        <v>58</v>
      </c>
      <c r="AS459" s="6" t="str">
        <f>HYPERLINK("https://creighton-primo.hosted.exlibrisgroup.com/primo-explore/search?tab=default_tab&amp;search_scope=EVERYTHING&amp;vid=01CRU&amp;lang=en_US&amp;offset=0&amp;query=any,contains,991003911969702656","Catalog Record")</f>
        <v>Catalog Record</v>
      </c>
      <c r="AT459" s="6" t="str">
        <f>HYPERLINK("http://www.worldcat.org/oclc/49626116","WorldCat Record")</f>
        <v>WorldCat Record</v>
      </c>
      <c r="AU459" s="3" t="s">
        <v>5836</v>
      </c>
      <c r="AV459" s="3" t="s">
        <v>5837</v>
      </c>
      <c r="AW459" s="3" t="s">
        <v>5838</v>
      </c>
      <c r="AX459" s="3" t="s">
        <v>5838</v>
      </c>
      <c r="AY459" s="3" t="s">
        <v>5839</v>
      </c>
      <c r="AZ459" s="3" t="s">
        <v>73</v>
      </c>
      <c r="BB459" s="3" t="s">
        <v>5840</v>
      </c>
      <c r="BC459" s="3" t="s">
        <v>5841</v>
      </c>
      <c r="BD459" s="3" t="s">
        <v>5842</v>
      </c>
    </row>
    <row r="460" spans="1:56" ht="51" customHeight="1" x14ac:dyDescent="0.25">
      <c r="A460" s="7" t="s">
        <v>58</v>
      </c>
      <c r="B460" s="2" t="s">
        <v>5843</v>
      </c>
      <c r="C460" s="2" t="s">
        <v>5844</v>
      </c>
      <c r="D460" s="2" t="s">
        <v>5845</v>
      </c>
      <c r="F460" s="3" t="s">
        <v>58</v>
      </c>
      <c r="G460" s="3" t="s">
        <v>59</v>
      </c>
      <c r="H460" s="3" t="s">
        <v>58</v>
      </c>
      <c r="I460" s="3" t="s">
        <v>58</v>
      </c>
      <c r="J460" s="3" t="s">
        <v>60</v>
      </c>
      <c r="L460" s="2" t="s">
        <v>5846</v>
      </c>
      <c r="M460" s="3" t="s">
        <v>1385</v>
      </c>
      <c r="O460" s="3" t="s">
        <v>63</v>
      </c>
      <c r="P460" s="3" t="s">
        <v>214</v>
      </c>
      <c r="Q460" s="2" t="s">
        <v>5847</v>
      </c>
      <c r="R460" s="3" t="s">
        <v>65</v>
      </c>
      <c r="S460" s="4">
        <v>4</v>
      </c>
      <c r="T460" s="4">
        <v>4</v>
      </c>
      <c r="U460" s="5" t="s">
        <v>5822</v>
      </c>
      <c r="V460" s="5" t="s">
        <v>5822</v>
      </c>
      <c r="W460" s="5" t="s">
        <v>5848</v>
      </c>
      <c r="X460" s="5" t="s">
        <v>5848</v>
      </c>
      <c r="Y460" s="4">
        <v>417</v>
      </c>
      <c r="Z460" s="4">
        <v>365</v>
      </c>
      <c r="AA460" s="4">
        <v>368</v>
      </c>
      <c r="AB460" s="4">
        <v>4</v>
      </c>
      <c r="AC460" s="4">
        <v>4</v>
      </c>
      <c r="AD460" s="4">
        <v>9</v>
      </c>
      <c r="AE460" s="4">
        <v>9</v>
      </c>
      <c r="AF460" s="4">
        <v>4</v>
      </c>
      <c r="AG460" s="4">
        <v>4</v>
      </c>
      <c r="AH460" s="4">
        <v>2</v>
      </c>
      <c r="AI460" s="4">
        <v>2</v>
      </c>
      <c r="AJ460" s="4">
        <v>3</v>
      </c>
      <c r="AK460" s="4">
        <v>3</v>
      </c>
      <c r="AL460" s="4">
        <v>3</v>
      </c>
      <c r="AM460" s="4">
        <v>3</v>
      </c>
      <c r="AN460" s="4">
        <v>0</v>
      </c>
      <c r="AO460" s="4">
        <v>0</v>
      </c>
      <c r="AP460" s="3" t="s">
        <v>58</v>
      </c>
      <c r="AQ460" s="3" t="s">
        <v>68</v>
      </c>
      <c r="AR460" s="6" t="str">
        <f>HYPERLINK("http://catalog.hathitrust.org/Record/000017710","HathiTrust Record")</f>
        <v>HathiTrust Record</v>
      </c>
      <c r="AS460" s="6" t="str">
        <f>HYPERLINK("https://creighton-primo.hosted.exlibrisgroup.com/primo-explore/search?tab=default_tab&amp;search_scope=EVERYTHING&amp;vid=01CRU&amp;lang=en_US&amp;offset=0&amp;query=any,contains,991003485249702656","Catalog Record")</f>
        <v>Catalog Record</v>
      </c>
      <c r="AT460" s="6" t="str">
        <f>HYPERLINK("http://www.worldcat.org/oclc/1032348","WorldCat Record")</f>
        <v>WorldCat Record</v>
      </c>
      <c r="AU460" s="3" t="s">
        <v>5849</v>
      </c>
      <c r="AV460" s="3" t="s">
        <v>5850</v>
      </c>
      <c r="AW460" s="3" t="s">
        <v>5851</v>
      </c>
      <c r="AX460" s="3" t="s">
        <v>5851</v>
      </c>
      <c r="AY460" s="3" t="s">
        <v>5852</v>
      </c>
      <c r="AZ460" s="3" t="s">
        <v>73</v>
      </c>
      <c r="BB460" s="3" t="s">
        <v>5853</v>
      </c>
      <c r="BC460" s="3" t="s">
        <v>5854</v>
      </c>
      <c r="BD460" s="3" t="s">
        <v>5855</v>
      </c>
    </row>
    <row r="461" spans="1:56" ht="51" customHeight="1" x14ac:dyDescent="0.25">
      <c r="A461" s="7" t="s">
        <v>58</v>
      </c>
      <c r="B461" s="2" t="s">
        <v>5856</v>
      </c>
      <c r="C461" s="2" t="s">
        <v>5857</v>
      </c>
      <c r="D461" s="2" t="s">
        <v>5858</v>
      </c>
      <c r="F461" s="3" t="s">
        <v>58</v>
      </c>
      <c r="G461" s="3" t="s">
        <v>59</v>
      </c>
      <c r="H461" s="3" t="s">
        <v>58</v>
      </c>
      <c r="I461" s="3" t="s">
        <v>58</v>
      </c>
      <c r="J461" s="3" t="s">
        <v>60</v>
      </c>
      <c r="K461" s="2" t="s">
        <v>5744</v>
      </c>
      <c r="L461" s="2" t="s">
        <v>5859</v>
      </c>
      <c r="M461" s="3" t="s">
        <v>83</v>
      </c>
      <c r="O461" s="3" t="s">
        <v>63</v>
      </c>
      <c r="P461" s="3" t="s">
        <v>2061</v>
      </c>
      <c r="R461" s="3" t="s">
        <v>65</v>
      </c>
      <c r="S461" s="4">
        <v>2</v>
      </c>
      <c r="T461" s="4">
        <v>2</v>
      </c>
      <c r="U461" s="5" t="s">
        <v>5860</v>
      </c>
      <c r="V461" s="5" t="s">
        <v>5860</v>
      </c>
      <c r="W461" s="5" t="s">
        <v>5307</v>
      </c>
      <c r="X461" s="5" t="s">
        <v>5307</v>
      </c>
      <c r="Y461" s="4">
        <v>646</v>
      </c>
      <c r="Z461" s="4">
        <v>576</v>
      </c>
      <c r="AA461" s="4">
        <v>578</v>
      </c>
      <c r="AB461" s="4">
        <v>4</v>
      </c>
      <c r="AC461" s="4">
        <v>4</v>
      </c>
      <c r="AD461" s="4">
        <v>14</v>
      </c>
      <c r="AE461" s="4">
        <v>14</v>
      </c>
      <c r="AF461" s="4">
        <v>7</v>
      </c>
      <c r="AG461" s="4">
        <v>7</v>
      </c>
      <c r="AH461" s="4">
        <v>5</v>
      </c>
      <c r="AI461" s="4">
        <v>5</v>
      </c>
      <c r="AJ461" s="4">
        <v>6</v>
      </c>
      <c r="AK461" s="4">
        <v>6</v>
      </c>
      <c r="AL461" s="4">
        <v>0</v>
      </c>
      <c r="AM461" s="4">
        <v>0</v>
      </c>
      <c r="AN461" s="4">
        <v>0</v>
      </c>
      <c r="AO461" s="4">
        <v>0</v>
      </c>
      <c r="AP461" s="3" t="s">
        <v>58</v>
      </c>
      <c r="AQ461" s="3" t="s">
        <v>68</v>
      </c>
      <c r="AR461" s="6" t="str">
        <f>HYPERLINK("http://catalog.hathitrust.org/Record/000029472","HathiTrust Record")</f>
        <v>HathiTrust Record</v>
      </c>
      <c r="AS461" s="6" t="str">
        <f>HYPERLINK("https://creighton-primo.hosted.exlibrisgroup.com/primo-explore/search?tab=default_tab&amp;search_scope=EVERYTHING&amp;vid=01CRU&amp;lang=en_US&amp;offset=0&amp;query=any,contains,991004524769702656","Catalog Record")</f>
        <v>Catalog Record</v>
      </c>
      <c r="AT461" s="6" t="str">
        <f>HYPERLINK("http://www.worldcat.org/oclc/3842812","WorldCat Record")</f>
        <v>WorldCat Record</v>
      </c>
      <c r="AU461" s="3" t="s">
        <v>5861</v>
      </c>
      <c r="AV461" s="3" t="s">
        <v>5862</v>
      </c>
      <c r="AW461" s="3" t="s">
        <v>5863</v>
      </c>
      <c r="AX461" s="3" t="s">
        <v>5863</v>
      </c>
      <c r="AY461" s="3" t="s">
        <v>5864</v>
      </c>
      <c r="AZ461" s="3" t="s">
        <v>73</v>
      </c>
      <c r="BB461" s="3" t="s">
        <v>5865</v>
      </c>
      <c r="BC461" s="3" t="s">
        <v>5866</v>
      </c>
      <c r="BD461" s="3" t="s">
        <v>5867</v>
      </c>
    </row>
    <row r="462" spans="1:56" ht="51" customHeight="1" x14ac:dyDescent="0.25">
      <c r="A462" s="7" t="s">
        <v>58</v>
      </c>
      <c r="B462" s="2" t="s">
        <v>5868</v>
      </c>
      <c r="C462" s="2" t="s">
        <v>5869</v>
      </c>
      <c r="D462" s="2" t="s">
        <v>5870</v>
      </c>
      <c r="F462" s="3" t="s">
        <v>58</v>
      </c>
      <c r="G462" s="3" t="s">
        <v>59</v>
      </c>
      <c r="H462" s="3" t="s">
        <v>58</v>
      </c>
      <c r="I462" s="3" t="s">
        <v>58</v>
      </c>
      <c r="J462" s="3" t="s">
        <v>60</v>
      </c>
      <c r="L462" s="2" t="s">
        <v>5871</v>
      </c>
      <c r="M462" s="3" t="s">
        <v>1385</v>
      </c>
      <c r="N462" s="2" t="s">
        <v>5872</v>
      </c>
      <c r="O462" s="3" t="s">
        <v>63</v>
      </c>
      <c r="P462" s="3" t="s">
        <v>214</v>
      </c>
      <c r="R462" s="3" t="s">
        <v>65</v>
      </c>
      <c r="S462" s="4">
        <v>3</v>
      </c>
      <c r="T462" s="4">
        <v>3</v>
      </c>
      <c r="U462" s="5" t="s">
        <v>5822</v>
      </c>
      <c r="V462" s="5" t="s">
        <v>5822</v>
      </c>
      <c r="W462" s="5" t="s">
        <v>5188</v>
      </c>
      <c r="X462" s="5" t="s">
        <v>5188</v>
      </c>
      <c r="Y462" s="4">
        <v>899</v>
      </c>
      <c r="Z462" s="4">
        <v>832</v>
      </c>
      <c r="AA462" s="4">
        <v>838</v>
      </c>
      <c r="AB462" s="4">
        <v>8</v>
      </c>
      <c r="AC462" s="4">
        <v>8</v>
      </c>
      <c r="AD462" s="4">
        <v>30</v>
      </c>
      <c r="AE462" s="4">
        <v>30</v>
      </c>
      <c r="AF462" s="4">
        <v>12</v>
      </c>
      <c r="AG462" s="4">
        <v>12</v>
      </c>
      <c r="AH462" s="4">
        <v>7</v>
      </c>
      <c r="AI462" s="4">
        <v>7</v>
      </c>
      <c r="AJ462" s="4">
        <v>11</v>
      </c>
      <c r="AK462" s="4">
        <v>11</v>
      </c>
      <c r="AL462" s="4">
        <v>7</v>
      </c>
      <c r="AM462" s="4">
        <v>7</v>
      </c>
      <c r="AN462" s="4">
        <v>0</v>
      </c>
      <c r="AO462" s="4">
        <v>0</v>
      </c>
      <c r="AP462" s="3" t="s">
        <v>58</v>
      </c>
      <c r="AQ462" s="3" t="s">
        <v>68</v>
      </c>
      <c r="AR462" s="6" t="str">
        <f>HYPERLINK("http://catalog.hathitrust.org/Record/001247004","HathiTrust Record")</f>
        <v>HathiTrust Record</v>
      </c>
      <c r="AS462" s="6" t="str">
        <f>HYPERLINK("https://creighton-primo.hosted.exlibrisgroup.com/primo-explore/search?tab=default_tab&amp;search_scope=EVERYTHING&amp;vid=01CRU&amp;lang=en_US&amp;offset=0&amp;query=any,contains,991003443009702656","Catalog Record")</f>
        <v>Catalog Record</v>
      </c>
      <c r="AT462" s="6" t="str">
        <f>HYPERLINK("http://www.worldcat.org/oclc/979159","WorldCat Record")</f>
        <v>WorldCat Record</v>
      </c>
      <c r="AU462" s="3" t="s">
        <v>5873</v>
      </c>
      <c r="AV462" s="3" t="s">
        <v>5874</v>
      </c>
      <c r="AW462" s="3" t="s">
        <v>5875</v>
      </c>
      <c r="AX462" s="3" t="s">
        <v>5875</v>
      </c>
      <c r="AY462" s="3" t="s">
        <v>5876</v>
      </c>
      <c r="AZ462" s="3" t="s">
        <v>73</v>
      </c>
      <c r="BB462" s="3" t="s">
        <v>5877</v>
      </c>
      <c r="BC462" s="3" t="s">
        <v>5878</v>
      </c>
      <c r="BD462" s="3" t="s">
        <v>5879</v>
      </c>
    </row>
    <row r="463" spans="1:56" ht="51" customHeight="1" x14ac:dyDescent="0.25">
      <c r="A463" s="7" t="s">
        <v>58</v>
      </c>
      <c r="B463" s="2" t="s">
        <v>5880</v>
      </c>
      <c r="C463" s="2" t="s">
        <v>5881</v>
      </c>
      <c r="D463" s="2" t="s">
        <v>5882</v>
      </c>
      <c r="F463" s="3" t="s">
        <v>58</v>
      </c>
      <c r="G463" s="3" t="s">
        <v>59</v>
      </c>
      <c r="H463" s="3" t="s">
        <v>58</v>
      </c>
      <c r="I463" s="3" t="s">
        <v>58</v>
      </c>
      <c r="J463" s="3" t="s">
        <v>60</v>
      </c>
      <c r="K463" s="2" t="s">
        <v>5883</v>
      </c>
      <c r="L463" s="2" t="s">
        <v>5884</v>
      </c>
      <c r="M463" s="3" t="s">
        <v>1385</v>
      </c>
      <c r="O463" s="3" t="s">
        <v>63</v>
      </c>
      <c r="P463" s="3" t="s">
        <v>214</v>
      </c>
      <c r="Q463" s="2" t="s">
        <v>5885</v>
      </c>
      <c r="R463" s="3" t="s">
        <v>65</v>
      </c>
      <c r="S463" s="4">
        <v>4</v>
      </c>
      <c r="T463" s="4">
        <v>4</v>
      </c>
      <c r="U463" s="5" t="s">
        <v>5835</v>
      </c>
      <c r="V463" s="5" t="s">
        <v>5835</v>
      </c>
      <c r="W463" s="5" t="s">
        <v>5886</v>
      </c>
      <c r="X463" s="5" t="s">
        <v>5886</v>
      </c>
      <c r="Y463" s="4">
        <v>650</v>
      </c>
      <c r="Z463" s="4">
        <v>555</v>
      </c>
      <c r="AA463" s="4">
        <v>567</v>
      </c>
      <c r="AB463" s="4">
        <v>4</v>
      </c>
      <c r="AC463" s="4">
        <v>4</v>
      </c>
      <c r="AD463" s="4">
        <v>13</v>
      </c>
      <c r="AE463" s="4">
        <v>13</v>
      </c>
      <c r="AF463" s="4">
        <v>4</v>
      </c>
      <c r="AG463" s="4">
        <v>4</v>
      </c>
      <c r="AH463" s="4">
        <v>6</v>
      </c>
      <c r="AI463" s="4">
        <v>6</v>
      </c>
      <c r="AJ463" s="4">
        <v>4</v>
      </c>
      <c r="AK463" s="4">
        <v>4</v>
      </c>
      <c r="AL463" s="4">
        <v>3</v>
      </c>
      <c r="AM463" s="4">
        <v>3</v>
      </c>
      <c r="AN463" s="4">
        <v>0</v>
      </c>
      <c r="AO463" s="4">
        <v>0</v>
      </c>
      <c r="AP463" s="3" t="s">
        <v>58</v>
      </c>
      <c r="AQ463" s="3" t="s">
        <v>68</v>
      </c>
      <c r="AR463" s="6" t="str">
        <f>HYPERLINK("http://catalog.hathitrust.org/Record/001243593","HathiTrust Record")</f>
        <v>HathiTrust Record</v>
      </c>
      <c r="AS463" s="6" t="str">
        <f>HYPERLINK("https://creighton-primo.hosted.exlibrisgroup.com/primo-explore/search?tab=default_tab&amp;search_scope=EVERYTHING&amp;vid=01CRU&amp;lang=en_US&amp;offset=0&amp;query=any,contains,991003557029702656","Catalog Record")</f>
        <v>Catalog Record</v>
      </c>
      <c r="AT463" s="6" t="str">
        <f>HYPERLINK("http://www.worldcat.org/oclc/1125798","WorldCat Record")</f>
        <v>WorldCat Record</v>
      </c>
      <c r="AU463" s="3" t="s">
        <v>5887</v>
      </c>
      <c r="AV463" s="3" t="s">
        <v>5888</v>
      </c>
      <c r="AW463" s="3" t="s">
        <v>5889</v>
      </c>
      <c r="AX463" s="3" t="s">
        <v>5889</v>
      </c>
      <c r="AY463" s="3" t="s">
        <v>5890</v>
      </c>
      <c r="AZ463" s="3" t="s">
        <v>73</v>
      </c>
      <c r="BB463" s="3" t="s">
        <v>5891</v>
      </c>
      <c r="BC463" s="3" t="s">
        <v>5892</v>
      </c>
      <c r="BD463" s="3" t="s">
        <v>5893</v>
      </c>
    </row>
    <row r="464" spans="1:56" ht="51" customHeight="1" x14ac:dyDescent="0.25">
      <c r="A464" s="7" t="s">
        <v>58</v>
      </c>
      <c r="B464" s="2" t="s">
        <v>5894</v>
      </c>
      <c r="C464" s="2" t="s">
        <v>5895</v>
      </c>
      <c r="D464" s="2" t="s">
        <v>5896</v>
      </c>
      <c r="F464" s="3" t="s">
        <v>58</v>
      </c>
      <c r="G464" s="3" t="s">
        <v>59</v>
      </c>
      <c r="H464" s="3" t="s">
        <v>58</v>
      </c>
      <c r="I464" s="3" t="s">
        <v>58</v>
      </c>
      <c r="J464" s="3" t="s">
        <v>60</v>
      </c>
      <c r="K464" s="2" t="s">
        <v>5897</v>
      </c>
      <c r="L464" s="2" t="s">
        <v>5898</v>
      </c>
      <c r="M464" s="3" t="s">
        <v>183</v>
      </c>
      <c r="O464" s="3" t="s">
        <v>63</v>
      </c>
      <c r="P464" s="3" t="s">
        <v>84</v>
      </c>
      <c r="R464" s="3" t="s">
        <v>65</v>
      </c>
      <c r="S464" s="4">
        <v>4</v>
      </c>
      <c r="T464" s="4">
        <v>4</v>
      </c>
      <c r="U464" s="5" t="s">
        <v>5822</v>
      </c>
      <c r="V464" s="5" t="s">
        <v>5822</v>
      </c>
      <c r="W464" s="5" t="s">
        <v>5307</v>
      </c>
      <c r="X464" s="5" t="s">
        <v>5307</v>
      </c>
      <c r="Y464" s="4">
        <v>34</v>
      </c>
      <c r="Z464" s="4">
        <v>31</v>
      </c>
      <c r="AA464" s="4">
        <v>75</v>
      </c>
      <c r="AB464" s="4">
        <v>1</v>
      </c>
      <c r="AC464" s="4">
        <v>1</v>
      </c>
      <c r="AD464" s="4">
        <v>3</v>
      </c>
      <c r="AE464" s="4">
        <v>4</v>
      </c>
      <c r="AF464" s="4">
        <v>0</v>
      </c>
      <c r="AG464" s="4">
        <v>1</v>
      </c>
      <c r="AH464" s="4">
        <v>2</v>
      </c>
      <c r="AI464" s="4">
        <v>2</v>
      </c>
      <c r="AJ464" s="4">
        <v>3</v>
      </c>
      <c r="AK464" s="4">
        <v>3</v>
      </c>
      <c r="AL464" s="4">
        <v>0</v>
      </c>
      <c r="AM464" s="4">
        <v>0</v>
      </c>
      <c r="AN464" s="4">
        <v>0</v>
      </c>
      <c r="AO464" s="4">
        <v>0</v>
      </c>
      <c r="AP464" s="3" t="s">
        <v>58</v>
      </c>
      <c r="AQ464" s="3" t="s">
        <v>58</v>
      </c>
      <c r="AS464" s="6" t="str">
        <f>HYPERLINK("https://creighton-primo.hosted.exlibrisgroup.com/primo-explore/search?tab=default_tab&amp;search_scope=EVERYTHING&amp;vid=01CRU&amp;lang=en_US&amp;offset=0&amp;query=any,contains,991004598319702656","Catalog Record")</f>
        <v>Catalog Record</v>
      </c>
      <c r="AT464" s="6" t="str">
        <f>HYPERLINK("http://www.worldcat.org/oclc/4157859","WorldCat Record")</f>
        <v>WorldCat Record</v>
      </c>
      <c r="AU464" s="3" t="s">
        <v>5899</v>
      </c>
      <c r="AV464" s="3" t="s">
        <v>5900</v>
      </c>
      <c r="AW464" s="3" t="s">
        <v>5901</v>
      </c>
      <c r="AX464" s="3" t="s">
        <v>5901</v>
      </c>
      <c r="AY464" s="3" t="s">
        <v>5902</v>
      </c>
      <c r="AZ464" s="3" t="s">
        <v>73</v>
      </c>
      <c r="BC464" s="3" t="s">
        <v>5903</v>
      </c>
      <c r="BD464" s="3" t="s">
        <v>5904</v>
      </c>
    </row>
    <row r="465" spans="1:56" ht="51" customHeight="1" x14ac:dyDescent="0.25">
      <c r="A465" s="7" t="s">
        <v>58</v>
      </c>
      <c r="B465" s="2" t="s">
        <v>5905</v>
      </c>
      <c r="C465" s="2" t="s">
        <v>5906</v>
      </c>
      <c r="D465" s="2" t="s">
        <v>5907</v>
      </c>
      <c r="F465" s="3" t="s">
        <v>58</v>
      </c>
      <c r="G465" s="3" t="s">
        <v>59</v>
      </c>
      <c r="H465" s="3" t="s">
        <v>58</v>
      </c>
      <c r="I465" s="3" t="s">
        <v>58</v>
      </c>
      <c r="J465" s="3" t="s">
        <v>60</v>
      </c>
      <c r="K465" s="2" t="s">
        <v>5908</v>
      </c>
      <c r="L465" s="2" t="s">
        <v>5909</v>
      </c>
      <c r="M465" s="3" t="s">
        <v>368</v>
      </c>
      <c r="O465" s="3" t="s">
        <v>63</v>
      </c>
      <c r="P465" s="3" t="s">
        <v>214</v>
      </c>
      <c r="R465" s="3" t="s">
        <v>65</v>
      </c>
      <c r="S465" s="4">
        <v>8</v>
      </c>
      <c r="T465" s="4">
        <v>8</v>
      </c>
      <c r="U465" s="5" t="s">
        <v>3227</v>
      </c>
      <c r="V465" s="5" t="s">
        <v>3227</v>
      </c>
      <c r="W465" s="5" t="s">
        <v>5307</v>
      </c>
      <c r="X465" s="5" t="s">
        <v>5307</v>
      </c>
      <c r="Y465" s="4">
        <v>1039</v>
      </c>
      <c r="Z465" s="4">
        <v>919</v>
      </c>
      <c r="AA465" s="4">
        <v>947</v>
      </c>
      <c r="AB465" s="4">
        <v>6</v>
      </c>
      <c r="AC465" s="4">
        <v>6</v>
      </c>
      <c r="AD465" s="4">
        <v>30</v>
      </c>
      <c r="AE465" s="4">
        <v>31</v>
      </c>
      <c r="AF465" s="4">
        <v>11</v>
      </c>
      <c r="AG465" s="4">
        <v>12</v>
      </c>
      <c r="AH465" s="4">
        <v>9</v>
      </c>
      <c r="AI465" s="4">
        <v>9</v>
      </c>
      <c r="AJ465" s="4">
        <v>13</v>
      </c>
      <c r="AK465" s="4">
        <v>14</v>
      </c>
      <c r="AL465" s="4">
        <v>5</v>
      </c>
      <c r="AM465" s="4">
        <v>5</v>
      </c>
      <c r="AN465" s="4">
        <v>1</v>
      </c>
      <c r="AO465" s="4">
        <v>1</v>
      </c>
      <c r="AP465" s="3" t="s">
        <v>58</v>
      </c>
      <c r="AQ465" s="3" t="s">
        <v>58</v>
      </c>
      <c r="AS465" s="6" t="str">
        <f>HYPERLINK("https://creighton-primo.hosted.exlibrisgroup.com/primo-explore/search?tab=default_tab&amp;search_scope=EVERYTHING&amp;vid=01CRU&amp;lang=en_US&amp;offset=0&amp;query=any,contains,991004001329702656","Catalog Record")</f>
        <v>Catalog Record</v>
      </c>
      <c r="AT465" s="6" t="str">
        <f>HYPERLINK("http://www.worldcat.org/oclc/2073972","WorldCat Record")</f>
        <v>WorldCat Record</v>
      </c>
      <c r="AU465" s="3" t="s">
        <v>5910</v>
      </c>
      <c r="AV465" s="3" t="s">
        <v>5911</v>
      </c>
      <c r="AW465" s="3" t="s">
        <v>5912</v>
      </c>
      <c r="AX465" s="3" t="s">
        <v>5912</v>
      </c>
      <c r="AY465" s="3" t="s">
        <v>5913</v>
      </c>
      <c r="AZ465" s="3" t="s">
        <v>73</v>
      </c>
      <c r="BB465" s="3" t="s">
        <v>5914</v>
      </c>
      <c r="BC465" s="3" t="s">
        <v>5915</v>
      </c>
      <c r="BD465" s="3" t="s">
        <v>5916</v>
      </c>
    </row>
    <row r="466" spans="1:56" ht="51" customHeight="1" x14ac:dyDescent="0.25">
      <c r="A466" s="7" t="s">
        <v>58</v>
      </c>
      <c r="B466" s="2" t="s">
        <v>5917</v>
      </c>
      <c r="C466" s="2" t="s">
        <v>5918</v>
      </c>
      <c r="D466" s="2" t="s">
        <v>5919</v>
      </c>
      <c r="F466" s="3" t="s">
        <v>58</v>
      </c>
      <c r="G466" s="3" t="s">
        <v>59</v>
      </c>
      <c r="H466" s="3" t="s">
        <v>58</v>
      </c>
      <c r="I466" s="3" t="s">
        <v>58</v>
      </c>
      <c r="J466" s="3" t="s">
        <v>60</v>
      </c>
      <c r="L466" s="2" t="s">
        <v>5920</v>
      </c>
      <c r="M466" s="3" t="s">
        <v>759</v>
      </c>
      <c r="O466" s="3" t="s">
        <v>63</v>
      </c>
      <c r="P466" s="3" t="s">
        <v>214</v>
      </c>
      <c r="Q466" s="2" t="s">
        <v>5921</v>
      </c>
      <c r="R466" s="3" t="s">
        <v>65</v>
      </c>
      <c r="S466" s="4">
        <v>2</v>
      </c>
      <c r="T466" s="4">
        <v>2</v>
      </c>
      <c r="U466" s="5" t="s">
        <v>3537</v>
      </c>
      <c r="V466" s="5" t="s">
        <v>3537</v>
      </c>
      <c r="W466" s="5" t="s">
        <v>3151</v>
      </c>
      <c r="X466" s="5" t="s">
        <v>3151</v>
      </c>
      <c r="Y466" s="4">
        <v>539</v>
      </c>
      <c r="Z466" s="4">
        <v>463</v>
      </c>
      <c r="AA466" s="4">
        <v>466</v>
      </c>
      <c r="AB466" s="4">
        <v>2</v>
      </c>
      <c r="AC466" s="4">
        <v>2</v>
      </c>
      <c r="AD466" s="4">
        <v>15</v>
      </c>
      <c r="AE466" s="4">
        <v>15</v>
      </c>
      <c r="AF466" s="4">
        <v>5</v>
      </c>
      <c r="AG466" s="4">
        <v>5</v>
      </c>
      <c r="AH466" s="4">
        <v>6</v>
      </c>
      <c r="AI466" s="4">
        <v>6</v>
      </c>
      <c r="AJ466" s="4">
        <v>7</v>
      </c>
      <c r="AK466" s="4">
        <v>7</v>
      </c>
      <c r="AL466" s="4">
        <v>1</v>
      </c>
      <c r="AM466" s="4">
        <v>1</v>
      </c>
      <c r="AN466" s="4">
        <v>0</v>
      </c>
      <c r="AO466" s="4">
        <v>0</v>
      </c>
      <c r="AP466" s="3" t="s">
        <v>58</v>
      </c>
      <c r="AQ466" s="3" t="s">
        <v>68</v>
      </c>
      <c r="AR466" s="6" t="str">
        <f>HYPERLINK("http://catalog.hathitrust.org/Record/000763934","HathiTrust Record")</f>
        <v>HathiTrust Record</v>
      </c>
      <c r="AS466" s="6" t="str">
        <f>HYPERLINK("https://creighton-primo.hosted.exlibrisgroup.com/primo-explore/search?tab=default_tab&amp;search_scope=EVERYTHING&amp;vid=01CRU&amp;lang=en_US&amp;offset=0&amp;query=any,contains,991004952019702656","Catalog Record")</f>
        <v>Catalog Record</v>
      </c>
      <c r="AT466" s="6" t="str">
        <f>HYPERLINK("http://www.worldcat.org/oclc/6250905","WorldCat Record")</f>
        <v>WorldCat Record</v>
      </c>
      <c r="AU466" s="3" t="s">
        <v>5922</v>
      </c>
      <c r="AV466" s="3" t="s">
        <v>5923</v>
      </c>
      <c r="AW466" s="3" t="s">
        <v>5924</v>
      </c>
      <c r="AX466" s="3" t="s">
        <v>5924</v>
      </c>
      <c r="AY466" s="3" t="s">
        <v>5925</v>
      </c>
      <c r="AZ466" s="3" t="s">
        <v>73</v>
      </c>
      <c r="BB466" s="3" t="s">
        <v>5926</v>
      </c>
      <c r="BC466" s="3" t="s">
        <v>5927</v>
      </c>
      <c r="BD466" s="3" t="s">
        <v>5928</v>
      </c>
    </row>
    <row r="467" spans="1:56" ht="51" customHeight="1" x14ac:dyDescent="0.25">
      <c r="A467" s="7" t="s">
        <v>58</v>
      </c>
      <c r="B467" s="2" t="s">
        <v>5929</v>
      </c>
      <c r="C467" s="2" t="s">
        <v>5930</v>
      </c>
      <c r="D467" s="2" t="s">
        <v>5931</v>
      </c>
      <c r="F467" s="3" t="s">
        <v>58</v>
      </c>
      <c r="G467" s="3" t="s">
        <v>59</v>
      </c>
      <c r="H467" s="3" t="s">
        <v>58</v>
      </c>
      <c r="I467" s="3" t="s">
        <v>58</v>
      </c>
      <c r="J467" s="3" t="s">
        <v>60</v>
      </c>
      <c r="K467" s="2" t="s">
        <v>5932</v>
      </c>
      <c r="L467" s="2" t="s">
        <v>5933</v>
      </c>
      <c r="M467" s="3" t="s">
        <v>2326</v>
      </c>
      <c r="O467" s="3" t="s">
        <v>63</v>
      </c>
      <c r="P467" s="3" t="s">
        <v>354</v>
      </c>
      <c r="R467" s="3" t="s">
        <v>65</v>
      </c>
      <c r="S467" s="4">
        <v>1</v>
      </c>
      <c r="T467" s="4">
        <v>1</v>
      </c>
      <c r="U467" s="5" t="s">
        <v>2313</v>
      </c>
      <c r="V467" s="5" t="s">
        <v>2313</v>
      </c>
      <c r="W467" s="5" t="s">
        <v>2313</v>
      </c>
      <c r="X467" s="5" t="s">
        <v>2313</v>
      </c>
      <c r="Y467" s="4">
        <v>258</v>
      </c>
      <c r="Z467" s="4">
        <v>215</v>
      </c>
      <c r="AA467" s="4">
        <v>253</v>
      </c>
      <c r="AB467" s="4">
        <v>3</v>
      </c>
      <c r="AC467" s="4">
        <v>3</v>
      </c>
      <c r="AD467" s="4">
        <v>10</v>
      </c>
      <c r="AE467" s="4">
        <v>11</v>
      </c>
      <c r="AF467" s="4">
        <v>2</v>
      </c>
      <c r="AG467" s="4">
        <v>2</v>
      </c>
      <c r="AH467" s="4">
        <v>4</v>
      </c>
      <c r="AI467" s="4">
        <v>4</v>
      </c>
      <c r="AJ467" s="4">
        <v>6</v>
      </c>
      <c r="AK467" s="4">
        <v>7</v>
      </c>
      <c r="AL467" s="4">
        <v>2</v>
      </c>
      <c r="AM467" s="4">
        <v>2</v>
      </c>
      <c r="AN467" s="4">
        <v>0</v>
      </c>
      <c r="AO467" s="4">
        <v>0</v>
      </c>
      <c r="AP467" s="3" t="s">
        <v>58</v>
      </c>
      <c r="AQ467" s="3" t="s">
        <v>58</v>
      </c>
      <c r="AS467" s="6" t="str">
        <f>HYPERLINK("https://creighton-primo.hosted.exlibrisgroup.com/primo-explore/search?tab=default_tab&amp;search_scope=EVERYTHING&amp;vid=01CRU&amp;lang=en_US&amp;offset=0&amp;query=any,contains,991000222669702656","Catalog Record")</f>
        <v>Catalog Record</v>
      </c>
      <c r="AT467" s="6" t="str">
        <f>HYPERLINK("http://www.worldcat.org/oclc/244177268","WorldCat Record")</f>
        <v>WorldCat Record</v>
      </c>
      <c r="AU467" s="3" t="s">
        <v>5934</v>
      </c>
      <c r="AV467" s="3" t="s">
        <v>5935</v>
      </c>
      <c r="AW467" s="3" t="s">
        <v>5936</v>
      </c>
      <c r="AX467" s="3" t="s">
        <v>5936</v>
      </c>
      <c r="AY467" s="3" t="s">
        <v>5937</v>
      </c>
      <c r="AZ467" s="3" t="s">
        <v>73</v>
      </c>
      <c r="BB467" s="3" t="s">
        <v>5938</v>
      </c>
      <c r="BC467" s="3" t="s">
        <v>5939</v>
      </c>
      <c r="BD467" s="3" t="s">
        <v>5940</v>
      </c>
    </row>
    <row r="468" spans="1:56" ht="51" customHeight="1" x14ac:dyDescent="0.25">
      <c r="A468" s="7" t="s">
        <v>58</v>
      </c>
      <c r="B468" s="2" t="s">
        <v>5941</v>
      </c>
      <c r="C468" s="2" t="s">
        <v>5942</v>
      </c>
      <c r="D468" s="2" t="s">
        <v>5943</v>
      </c>
      <c r="F468" s="3" t="s">
        <v>58</v>
      </c>
      <c r="G468" s="3" t="s">
        <v>59</v>
      </c>
      <c r="H468" s="3" t="s">
        <v>58</v>
      </c>
      <c r="I468" s="3" t="s">
        <v>58</v>
      </c>
      <c r="J468" s="3" t="s">
        <v>60</v>
      </c>
      <c r="K468" s="2" t="s">
        <v>5944</v>
      </c>
      <c r="L468" s="2" t="s">
        <v>5945</v>
      </c>
      <c r="M468" s="3" t="s">
        <v>898</v>
      </c>
      <c r="O468" s="3" t="s">
        <v>63</v>
      </c>
      <c r="P468" s="3" t="s">
        <v>2061</v>
      </c>
      <c r="Q468" s="2" t="s">
        <v>5946</v>
      </c>
      <c r="R468" s="3" t="s">
        <v>65</v>
      </c>
      <c r="S468" s="4">
        <v>1</v>
      </c>
      <c r="T468" s="4">
        <v>1</v>
      </c>
      <c r="U468" s="5" t="s">
        <v>2173</v>
      </c>
      <c r="V468" s="5" t="s">
        <v>2173</v>
      </c>
      <c r="W468" s="5" t="s">
        <v>2173</v>
      </c>
      <c r="X468" s="5" t="s">
        <v>2173</v>
      </c>
      <c r="Y468" s="4">
        <v>267</v>
      </c>
      <c r="Z468" s="4">
        <v>227</v>
      </c>
      <c r="AA468" s="4">
        <v>710</v>
      </c>
      <c r="AB468" s="4">
        <v>2</v>
      </c>
      <c r="AC468" s="4">
        <v>6</v>
      </c>
      <c r="AD468" s="4">
        <v>12</v>
      </c>
      <c r="AE468" s="4">
        <v>27</v>
      </c>
      <c r="AF468" s="4">
        <v>3</v>
      </c>
      <c r="AG468" s="4">
        <v>7</v>
      </c>
      <c r="AH468" s="4">
        <v>5</v>
      </c>
      <c r="AI468" s="4">
        <v>9</v>
      </c>
      <c r="AJ468" s="4">
        <v>7</v>
      </c>
      <c r="AK468" s="4">
        <v>11</v>
      </c>
      <c r="AL468" s="4">
        <v>1</v>
      </c>
      <c r="AM468" s="4">
        <v>5</v>
      </c>
      <c r="AN468" s="4">
        <v>0</v>
      </c>
      <c r="AO468" s="4">
        <v>1</v>
      </c>
      <c r="AP468" s="3" t="s">
        <v>58</v>
      </c>
      <c r="AQ468" s="3" t="s">
        <v>58</v>
      </c>
      <c r="AS468" s="6" t="str">
        <f>HYPERLINK("https://creighton-primo.hosted.exlibrisgroup.com/primo-explore/search?tab=default_tab&amp;search_scope=EVERYTHING&amp;vid=01CRU&amp;lang=en_US&amp;offset=0&amp;query=any,contains,991004954329702656","Catalog Record")</f>
        <v>Catalog Record</v>
      </c>
      <c r="AT468" s="6" t="str">
        <f>HYPERLINK("http://www.worldcat.org/oclc/64510857","WorldCat Record")</f>
        <v>WorldCat Record</v>
      </c>
      <c r="AU468" s="3" t="s">
        <v>5947</v>
      </c>
      <c r="AV468" s="3" t="s">
        <v>5948</v>
      </c>
      <c r="AW468" s="3" t="s">
        <v>5949</v>
      </c>
      <c r="AX468" s="3" t="s">
        <v>5949</v>
      </c>
      <c r="AY468" s="3" t="s">
        <v>5950</v>
      </c>
      <c r="AZ468" s="3" t="s">
        <v>73</v>
      </c>
      <c r="BB468" s="3" t="s">
        <v>5951</v>
      </c>
      <c r="BC468" s="3" t="s">
        <v>5952</v>
      </c>
      <c r="BD468" s="3" t="s">
        <v>5953</v>
      </c>
    </row>
    <row r="469" spans="1:56" ht="51" customHeight="1" x14ac:dyDescent="0.25">
      <c r="A469" s="7" t="s">
        <v>58</v>
      </c>
      <c r="B469" s="2" t="s">
        <v>5954</v>
      </c>
      <c r="C469" s="2" t="s">
        <v>5955</v>
      </c>
      <c r="D469" s="2" t="s">
        <v>5956</v>
      </c>
      <c r="F469" s="3" t="s">
        <v>58</v>
      </c>
      <c r="G469" s="3" t="s">
        <v>59</v>
      </c>
      <c r="H469" s="3" t="s">
        <v>58</v>
      </c>
      <c r="I469" s="3" t="s">
        <v>58</v>
      </c>
      <c r="J469" s="3" t="s">
        <v>60</v>
      </c>
      <c r="K469" s="2" t="s">
        <v>5957</v>
      </c>
      <c r="L469" s="2" t="s">
        <v>5958</v>
      </c>
      <c r="M469" s="3" t="s">
        <v>337</v>
      </c>
      <c r="O469" s="3" t="s">
        <v>63</v>
      </c>
      <c r="P469" s="3" t="s">
        <v>816</v>
      </c>
      <c r="R469" s="3" t="s">
        <v>65</v>
      </c>
      <c r="S469" s="4">
        <v>2</v>
      </c>
      <c r="T469" s="4">
        <v>2</v>
      </c>
      <c r="U469" s="5" t="s">
        <v>5959</v>
      </c>
      <c r="V469" s="5" t="s">
        <v>5959</v>
      </c>
      <c r="W469" s="5" t="s">
        <v>5960</v>
      </c>
      <c r="X469" s="5" t="s">
        <v>5960</v>
      </c>
      <c r="Y469" s="4">
        <v>387</v>
      </c>
      <c r="Z469" s="4">
        <v>328</v>
      </c>
      <c r="AA469" s="4">
        <v>328</v>
      </c>
      <c r="AB469" s="4">
        <v>4</v>
      </c>
      <c r="AC469" s="4">
        <v>4</v>
      </c>
      <c r="AD469" s="4">
        <v>21</v>
      </c>
      <c r="AE469" s="4">
        <v>21</v>
      </c>
      <c r="AF469" s="4">
        <v>8</v>
      </c>
      <c r="AG469" s="4">
        <v>8</v>
      </c>
      <c r="AH469" s="4">
        <v>6</v>
      </c>
      <c r="AI469" s="4">
        <v>6</v>
      </c>
      <c r="AJ469" s="4">
        <v>7</v>
      </c>
      <c r="AK469" s="4">
        <v>7</v>
      </c>
      <c r="AL469" s="4">
        <v>3</v>
      </c>
      <c r="AM469" s="4">
        <v>3</v>
      </c>
      <c r="AN469" s="4">
        <v>0</v>
      </c>
      <c r="AO469" s="4">
        <v>0</v>
      </c>
      <c r="AP469" s="3" t="s">
        <v>58</v>
      </c>
      <c r="AQ469" s="3" t="s">
        <v>58</v>
      </c>
      <c r="AS469" s="6" t="str">
        <f>HYPERLINK("https://creighton-primo.hosted.exlibrisgroup.com/primo-explore/search?tab=default_tab&amp;search_scope=EVERYTHING&amp;vid=01CRU&amp;lang=en_US&amp;offset=0&amp;query=any,contains,991003861869702656","Catalog Record")</f>
        <v>Catalog Record</v>
      </c>
      <c r="AT469" s="6" t="str">
        <f>HYPERLINK("http://www.worldcat.org/oclc/48675606","WorldCat Record")</f>
        <v>WorldCat Record</v>
      </c>
      <c r="AU469" s="3" t="s">
        <v>5961</v>
      </c>
      <c r="AV469" s="3" t="s">
        <v>5962</v>
      </c>
      <c r="AW469" s="3" t="s">
        <v>5963</v>
      </c>
      <c r="AX469" s="3" t="s">
        <v>5963</v>
      </c>
      <c r="AY469" s="3" t="s">
        <v>5964</v>
      </c>
      <c r="AZ469" s="3" t="s">
        <v>73</v>
      </c>
      <c r="BB469" s="3" t="s">
        <v>5965</v>
      </c>
      <c r="BC469" s="3" t="s">
        <v>5966</v>
      </c>
      <c r="BD469" s="3" t="s">
        <v>5967</v>
      </c>
    </row>
    <row r="470" spans="1:56" ht="51" customHeight="1" x14ac:dyDescent="0.25">
      <c r="A470" s="7" t="s">
        <v>58</v>
      </c>
      <c r="B470" s="2" t="s">
        <v>5968</v>
      </c>
      <c r="C470" s="2" t="s">
        <v>5969</v>
      </c>
      <c r="D470" s="2" t="s">
        <v>5970</v>
      </c>
      <c r="F470" s="3" t="s">
        <v>58</v>
      </c>
      <c r="G470" s="3" t="s">
        <v>59</v>
      </c>
      <c r="H470" s="3" t="s">
        <v>58</v>
      </c>
      <c r="I470" s="3" t="s">
        <v>58</v>
      </c>
      <c r="J470" s="3" t="s">
        <v>60</v>
      </c>
      <c r="K470" s="2" t="s">
        <v>5971</v>
      </c>
      <c r="L470" s="2" t="s">
        <v>5972</v>
      </c>
      <c r="M470" s="3" t="s">
        <v>62</v>
      </c>
      <c r="O470" s="3" t="s">
        <v>554</v>
      </c>
      <c r="P470" s="3" t="s">
        <v>571</v>
      </c>
      <c r="Q470" s="2" t="s">
        <v>5973</v>
      </c>
      <c r="R470" s="3" t="s">
        <v>65</v>
      </c>
      <c r="S470" s="4">
        <v>1</v>
      </c>
      <c r="T470" s="4">
        <v>1</v>
      </c>
      <c r="U470" s="5" t="s">
        <v>5974</v>
      </c>
      <c r="V470" s="5" t="s">
        <v>5974</v>
      </c>
      <c r="W470" s="5" t="s">
        <v>1473</v>
      </c>
      <c r="X470" s="5" t="s">
        <v>1473</v>
      </c>
      <c r="Y470" s="4">
        <v>172</v>
      </c>
      <c r="Z470" s="4">
        <v>107</v>
      </c>
      <c r="AA470" s="4">
        <v>126</v>
      </c>
      <c r="AB470" s="4">
        <v>1</v>
      </c>
      <c r="AC470" s="4">
        <v>1</v>
      </c>
      <c r="AD470" s="4">
        <v>8</v>
      </c>
      <c r="AE470" s="4">
        <v>8</v>
      </c>
      <c r="AF470" s="4">
        <v>1</v>
      </c>
      <c r="AG470" s="4">
        <v>1</v>
      </c>
      <c r="AH470" s="4">
        <v>2</v>
      </c>
      <c r="AI470" s="4">
        <v>2</v>
      </c>
      <c r="AJ470" s="4">
        <v>7</v>
      </c>
      <c r="AK470" s="4">
        <v>7</v>
      </c>
      <c r="AL470" s="4">
        <v>0</v>
      </c>
      <c r="AM470" s="4">
        <v>0</v>
      </c>
      <c r="AN470" s="4">
        <v>0</v>
      </c>
      <c r="AO470" s="4">
        <v>0</v>
      </c>
      <c r="AP470" s="3" t="s">
        <v>58</v>
      </c>
      <c r="AQ470" s="3" t="s">
        <v>68</v>
      </c>
      <c r="AR470" s="6" t="str">
        <f>HYPERLINK("http://catalog.hathitrust.org/Record/001672993","HathiTrust Record")</f>
        <v>HathiTrust Record</v>
      </c>
      <c r="AS470" s="6" t="str">
        <f>HYPERLINK("https://creighton-primo.hosted.exlibrisgroup.com/primo-explore/search?tab=default_tab&amp;search_scope=EVERYTHING&amp;vid=01CRU&amp;lang=en_US&amp;offset=0&amp;query=any,contains,991001951129702656","Catalog Record")</f>
        <v>Catalog Record</v>
      </c>
      <c r="AT470" s="6" t="str">
        <f>HYPERLINK("http://www.worldcat.org/oclc/252304","WorldCat Record")</f>
        <v>WorldCat Record</v>
      </c>
      <c r="AU470" s="3" t="s">
        <v>5975</v>
      </c>
      <c r="AV470" s="3" t="s">
        <v>5976</v>
      </c>
      <c r="AW470" s="3" t="s">
        <v>5977</v>
      </c>
      <c r="AX470" s="3" t="s">
        <v>5977</v>
      </c>
      <c r="AY470" s="3" t="s">
        <v>5978</v>
      </c>
      <c r="AZ470" s="3" t="s">
        <v>73</v>
      </c>
      <c r="BC470" s="3" t="s">
        <v>5979</v>
      </c>
      <c r="BD470" s="3" t="s">
        <v>5980</v>
      </c>
    </row>
    <row r="471" spans="1:56" ht="51" customHeight="1" x14ac:dyDescent="0.25">
      <c r="A471" s="7" t="s">
        <v>58</v>
      </c>
      <c r="B471" s="2" t="s">
        <v>5981</v>
      </c>
      <c r="C471" s="2" t="s">
        <v>5982</v>
      </c>
      <c r="D471" s="2" t="s">
        <v>5983</v>
      </c>
      <c r="F471" s="3" t="s">
        <v>58</v>
      </c>
      <c r="G471" s="3" t="s">
        <v>59</v>
      </c>
      <c r="H471" s="3" t="s">
        <v>58</v>
      </c>
      <c r="I471" s="3" t="s">
        <v>58</v>
      </c>
      <c r="J471" s="3" t="s">
        <v>60</v>
      </c>
      <c r="K471" s="2" t="s">
        <v>5984</v>
      </c>
      <c r="L471" s="2" t="s">
        <v>5985</v>
      </c>
      <c r="M471" s="3" t="s">
        <v>1499</v>
      </c>
      <c r="O471" s="3" t="s">
        <v>63</v>
      </c>
      <c r="P471" s="3" t="s">
        <v>214</v>
      </c>
      <c r="Q471" s="2" t="s">
        <v>5986</v>
      </c>
      <c r="R471" s="3" t="s">
        <v>65</v>
      </c>
      <c r="S471" s="4">
        <v>1</v>
      </c>
      <c r="T471" s="4">
        <v>1</v>
      </c>
      <c r="U471" s="5" t="s">
        <v>5974</v>
      </c>
      <c r="V471" s="5" t="s">
        <v>5974</v>
      </c>
      <c r="W471" s="5" t="s">
        <v>1473</v>
      </c>
      <c r="X471" s="5" t="s">
        <v>1473</v>
      </c>
      <c r="Y471" s="4">
        <v>441</v>
      </c>
      <c r="Z471" s="4">
        <v>374</v>
      </c>
      <c r="AA471" s="4">
        <v>522</v>
      </c>
      <c r="AB471" s="4">
        <v>3</v>
      </c>
      <c r="AC471" s="4">
        <v>4</v>
      </c>
      <c r="AD471" s="4">
        <v>22</v>
      </c>
      <c r="AE471" s="4">
        <v>28</v>
      </c>
      <c r="AF471" s="4">
        <v>8</v>
      </c>
      <c r="AG471" s="4">
        <v>11</v>
      </c>
      <c r="AH471" s="4">
        <v>6</v>
      </c>
      <c r="AI471" s="4">
        <v>6</v>
      </c>
      <c r="AJ471" s="4">
        <v>13</v>
      </c>
      <c r="AK471" s="4">
        <v>15</v>
      </c>
      <c r="AL471" s="4">
        <v>2</v>
      </c>
      <c r="AM471" s="4">
        <v>3</v>
      </c>
      <c r="AN471" s="4">
        <v>0</v>
      </c>
      <c r="AO471" s="4">
        <v>0</v>
      </c>
      <c r="AP471" s="3" t="s">
        <v>58</v>
      </c>
      <c r="AQ471" s="3" t="s">
        <v>68</v>
      </c>
      <c r="AR471" s="6" t="str">
        <f>HYPERLINK("http://catalog.hathitrust.org/Record/001243732","HathiTrust Record")</f>
        <v>HathiTrust Record</v>
      </c>
      <c r="AS471" s="6" t="str">
        <f>HYPERLINK("https://creighton-primo.hosted.exlibrisgroup.com/primo-explore/search?tab=default_tab&amp;search_scope=EVERYTHING&amp;vid=01CRU&amp;lang=en_US&amp;offset=0&amp;query=any,contains,991003185959702656","Catalog Record")</f>
        <v>Catalog Record</v>
      </c>
      <c r="AT471" s="6" t="str">
        <f>HYPERLINK("http://www.worldcat.org/oclc/712670","WorldCat Record")</f>
        <v>WorldCat Record</v>
      </c>
      <c r="AU471" s="3" t="s">
        <v>5987</v>
      </c>
      <c r="AV471" s="3" t="s">
        <v>5988</v>
      </c>
      <c r="AW471" s="3" t="s">
        <v>5989</v>
      </c>
      <c r="AX471" s="3" t="s">
        <v>5989</v>
      </c>
      <c r="AY471" s="3" t="s">
        <v>5990</v>
      </c>
      <c r="AZ471" s="3" t="s">
        <v>73</v>
      </c>
      <c r="BC471" s="3" t="s">
        <v>5991</v>
      </c>
      <c r="BD471" s="3" t="s">
        <v>5992</v>
      </c>
    </row>
    <row r="472" spans="1:56" ht="51" customHeight="1" x14ac:dyDescent="0.25">
      <c r="A472" s="7" t="s">
        <v>58</v>
      </c>
      <c r="B472" s="2" t="s">
        <v>5993</v>
      </c>
      <c r="C472" s="2" t="s">
        <v>5994</v>
      </c>
      <c r="D472" s="2" t="s">
        <v>5995</v>
      </c>
      <c r="F472" s="3" t="s">
        <v>58</v>
      </c>
      <c r="G472" s="3" t="s">
        <v>59</v>
      </c>
      <c r="H472" s="3" t="s">
        <v>58</v>
      </c>
      <c r="I472" s="3" t="s">
        <v>58</v>
      </c>
      <c r="J472" s="3" t="s">
        <v>60</v>
      </c>
      <c r="L472" s="2" t="s">
        <v>5996</v>
      </c>
      <c r="M472" s="3" t="s">
        <v>1061</v>
      </c>
      <c r="O472" s="3" t="s">
        <v>63</v>
      </c>
      <c r="P472" s="3" t="s">
        <v>816</v>
      </c>
      <c r="Q472" s="2" t="s">
        <v>5997</v>
      </c>
      <c r="R472" s="3" t="s">
        <v>65</v>
      </c>
      <c r="S472" s="4">
        <v>10</v>
      </c>
      <c r="T472" s="4">
        <v>10</v>
      </c>
      <c r="U472" s="5" t="s">
        <v>4325</v>
      </c>
      <c r="V472" s="5" t="s">
        <v>4325</v>
      </c>
      <c r="W472" s="5" t="s">
        <v>5998</v>
      </c>
      <c r="X472" s="5" t="s">
        <v>5998</v>
      </c>
      <c r="Y472" s="4">
        <v>485</v>
      </c>
      <c r="Z472" s="4">
        <v>359</v>
      </c>
      <c r="AA472" s="4">
        <v>359</v>
      </c>
      <c r="AB472" s="4">
        <v>3</v>
      </c>
      <c r="AC472" s="4">
        <v>3</v>
      </c>
      <c r="AD472" s="4">
        <v>20</v>
      </c>
      <c r="AE472" s="4">
        <v>20</v>
      </c>
      <c r="AF472" s="4">
        <v>5</v>
      </c>
      <c r="AG472" s="4">
        <v>5</v>
      </c>
      <c r="AH472" s="4">
        <v>8</v>
      </c>
      <c r="AI472" s="4">
        <v>8</v>
      </c>
      <c r="AJ472" s="4">
        <v>12</v>
      </c>
      <c r="AK472" s="4">
        <v>12</v>
      </c>
      <c r="AL472" s="4">
        <v>2</v>
      </c>
      <c r="AM472" s="4">
        <v>2</v>
      </c>
      <c r="AN472" s="4">
        <v>0</v>
      </c>
      <c r="AO472" s="4">
        <v>0</v>
      </c>
      <c r="AP472" s="3" t="s">
        <v>58</v>
      </c>
      <c r="AQ472" s="3" t="s">
        <v>58</v>
      </c>
      <c r="AS472" s="6" t="str">
        <f>HYPERLINK("https://creighton-primo.hosted.exlibrisgroup.com/primo-explore/search?tab=default_tab&amp;search_scope=EVERYTHING&amp;vid=01CRU&amp;lang=en_US&amp;offset=0&amp;query=any,contains,991002822479702656","Catalog Record")</f>
        <v>Catalog Record</v>
      </c>
      <c r="AT472" s="6" t="str">
        <f>HYPERLINK("http://www.worldcat.org/oclc/37141273","WorldCat Record")</f>
        <v>WorldCat Record</v>
      </c>
      <c r="AU472" s="3" t="s">
        <v>5999</v>
      </c>
      <c r="AV472" s="3" t="s">
        <v>6000</v>
      </c>
      <c r="AW472" s="3" t="s">
        <v>6001</v>
      </c>
      <c r="AX472" s="3" t="s">
        <v>6001</v>
      </c>
      <c r="AY472" s="3" t="s">
        <v>6002</v>
      </c>
      <c r="AZ472" s="3" t="s">
        <v>73</v>
      </c>
      <c r="BB472" s="3" t="s">
        <v>6003</v>
      </c>
      <c r="BC472" s="3" t="s">
        <v>6004</v>
      </c>
      <c r="BD472" s="3" t="s">
        <v>6005</v>
      </c>
    </row>
    <row r="473" spans="1:56" ht="51" customHeight="1" x14ac:dyDescent="0.25">
      <c r="A473" s="7" t="s">
        <v>58</v>
      </c>
      <c r="B473" s="2" t="s">
        <v>6006</v>
      </c>
      <c r="C473" s="2" t="s">
        <v>6007</v>
      </c>
      <c r="D473" s="2" t="s">
        <v>6008</v>
      </c>
      <c r="F473" s="3" t="s">
        <v>58</v>
      </c>
      <c r="G473" s="3" t="s">
        <v>59</v>
      </c>
      <c r="H473" s="3" t="s">
        <v>58</v>
      </c>
      <c r="I473" s="3" t="s">
        <v>58</v>
      </c>
      <c r="J473" s="3" t="s">
        <v>60</v>
      </c>
      <c r="K473" s="2" t="s">
        <v>6009</v>
      </c>
      <c r="L473" s="2" t="s">
        <v>6010</v>
      </c>
      <c r="M473" s="3" t="s">
        <v>1385</v>
      </c>
      <c r="O473" s="3" t="s">
        <v>63</v>
      </c>
      <c r="P473" s="3" t="s">
        <v>214</v>
      </c>
      <c r="Q473" s="2" t="s">
        <v>6011</v>
      </c>
      <c r="R473" s="3" t="s">
        <v>65</v>
      </c>
      <c r="S473" s="4">
        <v>4</v>
      </c>
      <c r="T473" s="4">
        <v>4</v>
      </c>
      <c r="U473" s="5" t="s">
        <v>6012</v>
      </c>
      <c r="V473" s="5" t="s">
        <v>6012</v>
      </c>
      <c r="W473" s="5" t="s">
        <v>3348</v>
      </c>
      <c r="X473" s="5" t="s">
        <v>3348</v>
      </c>
      <c r="Y473" s="4">
        <v>179</v>
      </c>
      <c r="Z473" s="4">
        <v>149</v>
      </c>
      <c r="AA473" s="4">
        <v>272</v>
      </c>
      <c r="AB473" s="4">
        <v>1</v>
      </c>
      <c r="AC473" s="4">
        <v>1</v>
      </c>
      <c r="AD473" s="4">
        <v>3</v>
      </c>
      <c r="AE473" s="4">
        <v>7</v>
      </c>
      <c r="AF473" s="4">
        <v>0</v>
      </c>
      <c r="AG473" s="4">
        <v>1</v>
      </c>
      <c r="AH473" s="4">
        <v>1</v>
      </c>
      <c r="AI473" s="4">
        <v>2</v>
      </c>
      <c r="AJ473" s="4">
        <v>3</v>
      </c>
      <c r="AK473" s="4">
        <v>6</v>
      </c>
      <c r="AL473" s="4">
        <v>0</v>
      </c>
      <c r="AM473" s="4">
        <v>0</v>
      </c>
      <c r="AN473" s="4">
        <v>0</v>
      </c>
      <c r="AO473" s="4">
        <v>0</v>
      </c>
      <c r="AP473" s="3" t="s">
        <v>58</v>
      </c>
      <c r="AQ473" s="3" t="s">
        <v>58</v>
      </c>
      <c r="AS473" s="6" t="str">
        <f>HYPERLINK("https://creighton-primo.hosted.exlibrisgroup.com/primo-explore/search?tab=default_tab&amp;search_scope=EVERYTHING&amp;vid=01CRU&amp;lang=en_US&amp;offset=0&amp;query=any,contains,991003279759702656","Catalog Record")</f>
        <v>Catalog Record</v>
      </c>
      <c r="AT473" s="6" t="str">
        <f>HYPERLINK("http://www.worldcat.org/oclc/802721","WorldCat Record")</f>
        <v>WorldCat Record</v>
      </c>
      <c r="AU473" s="3" t="s">
        <v>6013</v>
      </c>
      <c r="AV473" s="3" t="s">
        <v>6014</v>
      </c>
      <c r="AW473" s="3" t="s">
        <v>6015</v>
      </c>
      <c r="AX473" s="3" t="s">
        <v>6015</v>
      </c>
      <c r="AY473" s="3" t="s">
        <v>6016</v>
      </c>
      <c r="AZ473" s="3" t="s">
        <v>73</v>
      </c>
      <c r="BC473" s="3" t="s">
        <v>6017</v>
      </c>
      <c r="BD473" s="3" t="s">
        <v>6018</v>
      </c>
    </row>
    <row r="474" spans="1:56" ht="51" customHeight="1" x14ac:dyDescent="0.25">
      <c r="A474" s="7" t="s">
        <v>58</v>
      </c>
      <c r="B474" s="2" t="s">
        <v>6019</v>
      </c>
      <c r="C474" s="2" t="s">
        <v>6020</v>
      </c>
      <c r="D474" s="2" t="s">
        <v>6021</v>
      </c>
      <c r="F474" s="3" t="s">
        <v>58</v>
      </c>
      <c r="G474" s="3" t="s">
        <v>59</v>
      </c>
      <c r="H474" s="3" t="s">
        <v>58</v>
      </c>
      <c r="I474" s="3" t="s">
        <v>58</v>
      </c>
      <c r="J474" s="3" t="s">
        <v>60</v>
      </c>
      <c r="K474" s="2" t="s">
        <v>6022</v>
      </c>
      <c r="L474" s="2" t="s">
        <v>6023</v>
      </c>
      <c r="M474" s="3" t="s">
        <v>337</v>
      </c>
      <c r="O474" s="3" t="s">
        <v>63</v>
      </c>
      <c r="P474" s="3" t="s">
        <v>584</v>
      </c>
      <c r="R474" s="3" t="s">
        <v>65</v>
      </c>
      <c r="S474" s="4">
        <v>5</v>
      </c>
      <c r="T474" s="4">
        <v>5</v>
      </c>
      <c r="U474" s="5" t="s">
        <v>6024</v>
      </c>
      <c r="V474" s="5" t="s">
        <v>6024</v>
      </c>
      <c r="W474" s="5" t="s">
        <v>6025</v>
      </c>
      <c r="X474" s="5" t="s">
        <v>6025</v>
      </c>
      <c r="Y474" s="4">
        <v>200</v>
      </c>
      <c r="Z474" s="4">
        <v>97</v>
      </c>
      <c r="AA474" s="4">
        <v>167</v>
      </c>
      <c r="AB474" s="4">
        <v>1</v>
      </c>
      <c r="AC474" s="4">
        <v>1</v>
      </c>
      <c r="AD474" s="4">
        <v>4</v>
      </c>
      <c r="AE474" s="4">
        <v>6</v>
      </c>
      <c r="AF474" s="4">
        <v>0</v>
      </c>
      <c r="AG474" s="4">
        <v>2</v>
      </c>
      <c r="AH474" s="4">
        <v>2</v>
      </c>
      <c r="AI474" s="4">
        <v>2</v>
      </c>
      <c r="AJ474" s="4">
        <v>4</v>
      </c>
      <c r="AK474" s="4">
        <v>4</v>
      </c>
      <c r="AL474" s="4">
        <v>0</v>
      </c>
      <c r="AM474" s="4">
        <v>0</v>
      </c>
      <c r="AN474" s="4">
        <v>0</v>
      </c>
      <c r="AO474" s="4">
        <v>0</v>
      </c>
      <c r="AP474" s="3" t="s">
        <v>58</v>
      </c>
      <c r="AQ474" s="3" t="s">
        <v>58</v>
      </c>
      <c r="AS474" s="6" t="str">
        <f>HYPERLINK("https://creighton-primo.hosted.exlibrisgroup.com/primo-explore/search?tab=default_tab&amp;search_scope=EVERYTHING&amp;vid=01CRU&amp;lang=en_US&amp;offset=0&amp;query=any,contains,991004421919702656","Catalog Record")</f>
        <v>Catalog Record</v>
      </c>
      <c r="AT474" s="6" t="str">
        <f>HYPERLINK("http://www.worldcat.org/oclc/50054747","WorldCat Record")</f>
        <v>WorldCat Record</v>
      </c>
      <c r="AU474" s="3" t="s">
        <v>6026</v>
      </c>
      <c r="AV474" s="3" t="s">
        <v>6027</v>
      </c>
      <c r="AW474" s="3" t="s">
        <v>6028</v>
      </c>
      <c r="AX474" s="3" t="s">
        <v>6028</v>
      </c>
      <c r="AY474" s="3" t="s">
        <v>6029</v>
      </c>
      <c r="AZ474" s="3" t="s">
        <v>73</v>
      </c>
      <c r="BB474" s="3" t="s">
        <v>6030</v>
      </c>
      <c r="BC474" s="3" t="s">
        <v>6031</v>
      </c>
      <c r="BD474" s="3" t="s">
        <v>6032</v>
      </c>
    </row>
    <row r="475" spans="1:56" ht="51" customHeight="1" x14ac:dyDescent="0.25">
      <c r="A475" s="7" t="s">
        <v>58</v>
      </c>
      <c r="B475" s="2" t="s">
        <v>6033</v>
      </c>
      <c r="C475" s="2" t="s">
        <v>6034</v>
      </c>
      <c r="D475" s="2" t="s">
        <v>6035</v>
      </c>
      <c r="F475" s="3" t="s">
        <v>58</v>
      </c>
      <c r="G475" s="3" t="s">
        <v>59</v>
      </c>
      <c r="H475" s="3" t="s">
        <v>58</v>
      </c>
      <c r="I475" s="3" t="s">
        <v>58</v>
      </c>
      <c r="J475" s="3" t="s">
        <v>60</v>
      </c>
      <c r="L475" s="2" t="s">
        <v>6036</v>
      </c>
      <c r="M475" s="3" t="s">
        <v>1544</v>
      </c>
      <c r="O475" s="3" t="s">
        <v>63</v>
      </c>
      <c r="P475" s="3" t="s">
        <v>584</v>
      </c>
      <c r="R475" s="3" t="s">
        <v>65</v>
      </c>
      <c r="S475" s="4">
        <v>3</v>
      </c>
      <c r="T475" s="4">
        <v>3</v>
      </c>
      <c r="U475" s="5" t="s">
        <v>6037</v>
      </c>
      <c r="V475" s="5" t="s">
        <v>6037</v>
      </c>
      <c r="W475" s="5" t="s">
        <v>6038</v>
      </c>
      <c r="X475" s="5" t="s">
        <v>6038</v>
      </c>
      <c r="Y475" s="4">
        <v>214</v>
      </c>
      <c r="Z475" s="4">
        <v>144</v>
      </c>
      <c r="AA475" s="4">
        <v>188</v>
      </c>
      <c r="AB475" s="4">
        <v>1</v>
      </c>
      <c r="AC475" s="4">
        <v>1</v>
      </c>
      <c r="AD475" s="4">
        <v>5</v>
      </c>
      <c r="AE475" s="4">
        <v>5</v>
      </c>
      <c r="AF475" s="4">
        <v>1</v>
      </c>
      <c r="AG475" s="4">
        <v>1</v>
      </c>
      <c r="AH475" s="4">
        <v>2</v>
      </c>
      <c r="AI475" s="4">
        <v>2</v>
      </c>
      <c r="AJ475" s="4">
        <v>4</v>
      </c>
      <c r="AK475" s="4">
        <v>4</v>
      </c>
      <c r="AL475" s="4">
        <v>0</v>
      </c>
      <c r="AM475" s="4">
        <v>0</v>
      </c>
      <c r="AN475" s="4">
        <v>0</v>
      </c>
      <c r="AO475" s="4">
        <v>0</v>
      </c>
      <c r="AP475" s="3" t="s">
        <v>58</v>
      </c>
      <c r="AQ475" s="3" t="s">
        <v>58</v>
      </c>
      <c r="AS475" s="6" t="str">
        <f>HYPERLINK("https://creighton-primo.hosted.exlibrisgroup.com/primo-explore/search?tab=default_tab&amp;search_scope=EVERYTHING&amp;vid=01CRU&amp;lang=en_US&amp;offset=0&amp;query=any,contains,991002023199702656","Catalog Record")</f>
        <v>Catalog Record</v>
      </c>
      <c r="AT475" s="6" t="str">
        <f>HYPERLINK("http://www.worldcat.org/oclc/25746788","WorldCat Record")</f>
        <v>WorldCat Record</v>
      </c>
      <c r="AU475" s="3" t="s">
        <v>6039</v>
      </c>
      <c r="AV475" s="3" t="s">
        <v>6040</v>
      </c>
      <c r="AW475" s="3" t="s">
        <v>6041</v>
      </c>
      <c r="AX475" s="3" t="s">
        <v>6041</v>
      </c>
      <c r="AY475" s="3" t="s">
        <v>6042</v>
      </c>
      <c r="AZ475" s="3" t="s">
        <v>73</v>
      </c>
      <c r="BB475" s="3" t="s">
        <v>6043</v>
      </c>
      <c r="BC475" s="3" t="s">
        <v>6044</v>
      </c>
      <c r="BD475" s="3" t="s">
        <v>6045</v>
      </c>
    </row>
    <row r="476" spans="1:56" ht="51" customHeight="1" x14ac:dyDescent="0.25">
      <c r="A476" s="7" t="s">
        <v>58</v>
      </c>
      <c r="B476" s="2" t="s">
        <v>6046</v>
      </c>
      <c r="C476" s="2" t="s">
        <v>6047</v>
      </c>
      <c r="D476" s="2" t="s">
        <v>6048</v>
      </c>
      <c r="F476" s="3" t="s">
        <v>58</v>
      </c>
      <c r="G476" s="3" t="s">
        <v>59</v>
      </c>
      <c r="H476" s="3" t="s">
        <v>58</v>
      </c>
      <c r="I476" s="3" t="s">
        <v>58</v>
      </c>
      <c r="J476" s="3" t="s">
        <v>60</v>
      </c>
      <c r="K476" s="2" t="s">
        <v>6049</v>
      </c>
      <c r="L476" s="2" t="s">
        <v>6050</v>
      </c>
      <c r="M476" s="3" t="s">
        <v>2310</v>
      </c>
      <c r="N476" s="2" t="s">
        <v>6051</v>
      </c>
      <c r="O476" s="3" t="s">
        <v>63</v>
      </c>
      <c r="P476" s="3" t="s">
        <v>214</v>
      </c>
      <c r="R476" s="3" t="s">
        <v>65</v>
      </c>
      <c r="S476" s="4">
        <v>2</v>
      </c>
      <c r="T476" s="4">
        <v>2</v>
      </c>
      <c r="U476" s="5" t="s">
        <v>6052</v>
      </c>
      <c r="V476" s="5" t="s">
        <v>6052</v>
      </c>
      <c r="W476" s="5" t="s">
        <v>6052</v>
      </c>
      <c r="X476" s="5" t="s">
        <v>6052</v>
      </c>
      <c r="Y476" s="4">
        <v>14</v>
      </c>
      <c r="Z476" s="4">
        <v>13</v>
      </c>
      <c r="AA476" s="4">
        <v>232</v>
      </c>
      <c r="AB476" s="4">
        <v>1</v>
      </c>
      <c r="AC476" s="4">
        <v>1</v>
      </c>
      <c r="AD476" s="4">
        <v>0</v>
      </c>
      <c r="AE476" s="4">
        <v>6</v>
      </c>
      <c r="AF476" s="4">
        <v>0</v>
      </c>
      <c r="AG476" s="4">
        <v>3</v>
      </c>
      <c r="AH476" s="4">
        <v>0</v>
      </c>
      <c r="AI476" s="4">
        <v>2</v>
      </c>
      <c r="AJ476" s="4">
        <v>0</v>
      </c>
      <c r="AK476" s="4">
        <v>5</v>
      </c>
      <c r="AL476" s="4">
        <v>0</v>
      </c>
      <c r="AM476" s="4">
        <v>0</v>
      </c>
      <c r="AN476" s="4">
        <v>0</v>
      </c>
      <c r="AO476" s="4">
        <v>0</v>
      </c>
      <c r="AP476" s="3" t="s">
        <v>58</v>
      </c>
      <c r="AQ476" s="3" t="s">
        <v>58</v>
      </c>
      <c r="AS476" s="6" t="str">
        <f>HYPERLINK("https://creighton-primo.hosted.exlibrisgroup.com/primo-explore/search?tab=default_tab&amp;search_scope=EVERYTHING&amp;vid=01CRU&amp;lang=en_US&amp;offset=0&amp;query=any,contains,991000222699702656","Catalog Record")</f>
        <v>Catalog Record</v>
      </c>
      <c r="AT476" s="6" t="str">
        <f>HYPERLINK("http://www.worldcat.org/oclc/526069012","WorldCat Record")</f>
        <v>WorldCat Record</v>
      </c>
      <c r="AU476" s="3" t="s">
        <v>6053</v>
      </c>
      <c r="AV476" s="3" t="s">
        <v>6054</v>
      </c>
      <c r="AW476" s="3" t="s">
        <v>6055</v>
      </c>
      <c r="AX476" s="3" t="s">
        <v>6055</v>
      </c>
      <c r="AY476" s="3" t="s">
        <v>6056</v>
      </c>
      <c r="AZ476" s="3" t="s">
        <v>73</v>
      </c>
      <c r="BB476" s="3" t="s">
        <v>6057</v>
      </c>
      <c r="BC476" s="3" t="s">
        <v>6058</v>
      </c>
      <c r="BD476" s="3" t="s">
        <v>6059</v>
      </c>
    </row>
    <row r="477" spans="1:56" ht="51" customHeight="1" x14ac:dyDescent="0.25">
      <c r="A477" s="7" t="s">
        <v>58</v>
      </c>
      <c r="B477" s="2" t="s">
        <v>6060</v>
      </c>
      <c r="C477" s="2" t="s">
        <v>6061</v>
      </c>
      <c r="D477" s="2" t="s">
        <v>6062</v>
      </c>
      <c r="F477" s="3" t="s">
        <v>58</v>
      </c>
      <c r="G477" s="3" t="s">
        <v>59</v>
      </c>
      <c r="H477" s="3" t="s">
        <v>58</v>
      </c>
      <c r="I477" s="3" t="s">
        <v>58</v>
      </c>
      <c r="J477" s="3" t="s">
        <v>60</v>
      </c>
      <c r="K477" s="2" t="s">
        <v>4998</v>
      </c>
      <c r="L477" s="2" t="s">
        <v>6063</v>
      </c>
      <c r="M477" s="3" t="s">
        <v>524</v>
      </c>
      <c r="N477" s="2" t="s">
        <v>5445</v>
      </c>
      <c r="O477" s="3" t="s">
        <v>63</v>
      </c>
      <c r="P477" s="3" t="s">
        <v>214</v>
      </c>
      <c r="R477" s="3" t="s">
        <v>65</v>
      </c>
      <c r="S477" s="4">
        <v>2</v>
      </c>
      <c r="T477" s="4">
        <v>2</v>
      </c>
      <c r="U477" s="5" t="s">
        <v>6064</v>
      </c>
      <c r="V477" s="5" t="s">
        <v>6064</v>
      </c>
      <c r="W477" s="5" t="s">
        <v>6065</v>
      </c>
      <c r="X477" s="5" t="s">
        <v>6065</v>
      </c>
      <c r="Y477" s="4">
        <v>61</v>
      </c>
      <c r="Z477" s="4">
        <v>52</v>
      </c>
      <c r="AA477" s="4">
        <v>790</v>
      </c>
      <c r="AB477" s="4">
        <v>1</v>
      </c>
      <c r="AC477" s="4">
        <v>5</v>
      </c>
      <c r="AD477" s="4">
        <v>3</v>
      </c>
      <c r="AE477" s="4">
        <v>32</v>
      </c>
      <c r="AF477" s="4">
        <v>1</v>
      </c>
      <c r="AG477" s="4">
        <v>12</v>
      </c>
      <c r="AH477" s="4">
        <v>0</v>
      </c>
      <c r="AI477" s="4">
        <v>7</v>
      </c>
      <c r="AJ477" s="4">
        <v>2</v>
      </c>
      <c r="AK477" s="4">
        <v>17</v>
      </c>
      <c r="AL477" s="4">
        <v>0</v>
      </c>
      <c r="AM477" s="4">
        <v>4</v>
      </c>
      <c r="AN477" s="4">
        <v>0</v>
      </c>
      <c r="AO477" s="4">
        <v>0</v>
      </c>
      <c r="AP477" s="3" t="s">
        <v>58</v>
      </c>
      <c r="AQ477" s="3" t="s">
        <v>58</v>
      </c>
      <c r="AS477" s="6" t="str">
        <f>HYPERLINK("https://creighton-primo.hosted.exlibrisgroup.com/primo-explore/search?tab=default_tab&amp;search_scope=EVERYTHING&amp;vid=01CRU&amp;lang=en_US&amp;offset=0&amp;query=any,contains,991000996019702656","Catalog Record")</f>
        <v>Catalog Record</v>
      </c>
      <c r="AT477" s="6" t="str">
        <f>HYPERLINK("http://www.worldcat.org/oclc/15144397","WorldCat Record")</f>
        <v>WorldCat Record</v>
      </c>
      <c r="AU477" s="3" t="s">
        <v>6066</v>
      </c>
      <c r="AV477" s="3" t="s">
        <v>6067</v>
      </c>
      <c r="AW477" s="3" t="s">
        <v>6068</v>
      </c>
      <c r="AX477" s="3" t="s">
        <v>6068</v>
      </c>
      <c r="AY477" s="3" t="s">
        <v>6069</v>
      </c>
      <c r="AZ477" s="3" t="s">
        <v>73</v>
      </c>
      <c r="BB477" s="3" t="s">
        <v>6070</v>
      </c>
      <c r="BC477" s="3" t="s">
        <v>6071</v>
      </c>
      <c r="BD477" s="3" t="s">
        <v>6072</v>
      </c>
    </row>
    <row r="478" spans="1:56" ht="51" customHeight="1" x14ac:dyDescent="0.25">
      <c r="A478" s="7" t="s">
        <v>58</v>
      </c>
      <c r="B478" s="2" t="s">
        <v>6073</v>
      </c>
      <c r="C478" s="2" t="s">
        <v>6074</v>
      </c>
      <c r="D478" s="2" t="s">
        <v>6075</v>
      </c>
      <c r="F478" s="3" t="s">
        <v>58</v>
      </c>
      <c r="G478" s="3" t="s">
        <v>59</v>
      </c>
      <c r="H478" s="3" t="s">
        <v>58</v>
      </c>
      <c r="I478" s="3" t="s">
        <v>58</v>
      </c>
      <c r="J478" s="3" t="s">
        <v>60</v>
      </c>
      <c r="K478" s="2" t="s">
        <v>6076</v>
      </c>
      <c r="L478" s="2" t="s">
        <v>6077</v>
      </c>
      <c r="M478" s="3" t="s">
        <v>653</v>
      </c>
      <c r="O478" s="3" t="s">
        <v>63</v>
      </c>
      <c r="P478" s="3" t="s">
        <v>495</v>
      </c>
      <c r="R478" s="3" t="s">
        <v>65</v>
      </c>
      <c r="S478" s="4">
        <v>7</v>
      </c>
      <c r="T478" s="4">
        <v>7</v>
      </c>
      <c r="U478" s="5" t="s">
        <v>5226</v>
      </c>
      <c r="V478" s="5" t="s">
        <v>5226</v>
      </c>
      <c r="W478" s="5" t="s">
        <v>6078</v>
      </c>
      <c r="X478" s="5" t="s">
        <v>6078</v>
      </c>
      <c r="Y478" s="4">
        <v>567</v>
      </c>
      <c r="Z478" s="4">
        <v>478</v>
      </c>
      <c r="AA478" s="4">
        <v>509</v>
      </c>
      <c r="AB478" s="4">
        <v>2</v>
      </c>
      <c r="AC478" s="4">
        <v>2</v>
      </c>
      <c r="AD478" s="4">
        <v>19</v>
      </c>
      <c r="AE478" s="4">
        <v>20</v>
      </c>
      <c r="AF478" s="4">
        <v>6</v>
      </c>
      <c r="AG478" s="4">
        <v>7</v>
      </c>
      <c r="AH478" s="4">
        <v>6</v>
      </c>
      <c r="AI478" s="4">
        <v>6</v>
      </c>
      <c r="AJ478" s="4">
        <v>10</v>
      </c>
      <c r="AK478" s="4">
        <v>10</v>
      </c>
      <c r="AL478" s="4">
        <v>1</v>
      </c>
      <c r="AM478" s="4">
        <v>1</v>
      </c>
      <c r="AN478" s="4">
        <v>0</v>
      </c>
      <c r="AO478" s="4">
        <v>0</v>
      </c>
      <c r="AP478" s="3" t="s">
        <v>58</v>
      </c>
      <c r="AQ478" s="3" t="s">
        <v>58</v>
      </c>
      <c r="AS478" s="6" t="str">
        <f>HYPERLINK("https://creighton-primo.hosted.exlibrisgroup.com/primo-explore/search?tab=default_tab&amp;search_scope=EVERYTHING&amp;vid=01CRU&amp;lang=en_US&amp;offset=0&amp;query=any,contains,991001775899702656","Catalog Record")</f>
        <v>Catalog Record</v>
      </c>
      <c r="AT478" s="6" t="str">
        <f>HYPERLINK("http://www.worldcat.org/oclc/22421333","WorldCat Record")</f>
        <v>WorldCat Record</v>
      </c>
      <c r="AU478" s="3" t="s">
        <v>6079</v>
      </c>
      <c r="AV478" s="3" t="s">
        <v>6080</v>
      </c>
      <c r="AW478" s="3" t="s">
        <v>6081</v>
      </c>
      <c r="AX478" s="3" t="s">
        <v>6081</v>
      </c>
      <c r="AY478" s="3" t="s">
        <v>6082</v>
      </c>
      <c r="AZ478" s="3" t="s">
        <v>73</v>
      </c>
      <c r="BB478" s="3" t="s">
        <v>6083</v>
      </c>
      <c r="BC478" s="3" t="s">
        <v>6084</v>
      </c>
      <c r="BD478" s="3" t="s">
        <v>6085</v>
      </c>
    </row>
    <row r="479" spans="1:56" ht="51" customHeight="1" x14ac:dyDescent="0.25">
      <c r="A479" s="7" t="s">
        <v>58</v>
      </c>
      <c r="B479" s="2" t="s">
        <v>6086</v>
      </c>
      <c r="C479" s="2" t="s">
        <v>6087</v>
      </c>
      <c r="D479" s="2" t="s">
        <v>6088</v>
      </c>
      <c r="F479" s="3" t="s">
        <v>58</v>
      </c>
      <c r="G479" s="3" t="s">
        <v>59</v>
      </c>
      <c r="H479" s="3" t="s">
        <v>58</v>
      </c>
      <c r="I479" s="3" t="s">
        <v>58</v>
      </c>
      <c r="J479" s="3" t="s">
        <v>60</v>
      </c>
      <c r="K479" s="2" t="s">
        <v>6089</v>
      </c>
      <c r="L479" s="2" t="s">
        <v>2117</v>
      </c>
      <c r="M479" s="3" t="s">
        <v>154</v>
      </c>
      <c r="O479" s="3" t="s">
        <v>63</v>
      </c>
      <c r="P479" s="3" t="s">
        <v>584</v>
      </c>
      <c r="R479" s="3" t="s">
        <v>65</v>
      </c>
      <c r="S479" s="4">
        <v>2</v>
      </c>
      <c r="T479" s="4">
        <v>2</v>
      </c>
      <c r="U479" s="5" t="s">
        <v>6090</v>
      </c>
      <c r="V479" s="5" t="s">
        <v>6090</v>
      </c>
      <c r="W479" s="5" t="s">
        <v>512</v>
      </c>
      <c r="X479" s="5" t="s">
        <v>512</v>
      </c>
      <c r="Y479" s="4">
        <v>518</v>
      </c>
      <c r="Z479" s="4">
        <v>378</v>
      </c>
      <c r="AA479" s="4">
        <v>440</v>
      </c>
      <c r="AB479" s="4">
        <v>3</v>
      </c>
      <c r="AC479" s="4">
        <v>4</v>
      </c>
      <c r="AD479" s="4">
        <v>21</v>
      </c>
      <c r="AE479" s="4">
        <v>26</v>
      </c>
      <c r="AF479" s="4">
        <v>6</v>
      </c>
      <c r="AG479" s="4">
        <v>8</v>
      </c>
      <c r="AH479" s="4">
        <v>6</v>
      </c>
      <c r="AI479" s="4">
        <v>6</v>
      </c>
      <c r="AJ479" s="4">
        <v>14</v>
      </c>
      <c r="AK479" s="4">
        <v>17</v>
      </c>
      <c r="AL479" s="4">
        <v>2</v>
      </c>
      <c r="AM479" s="4">
        <v>3</v>
      </c>
      <c r="AN479" s="4">
        <v>0</v>
      </c>
      <c r="AO479" s="4">
        <v>0</v>
      </c>
      <c r="AP479" s="3" t="s">
        <v>58</v>
      </c>
      <c r="AQ479" s="3" t="s">
        <v>58</v>
      </c>
      <c r="AS479" s="6" t="str">
        <f>HYPERLINK("https://creighton-primo.hosted.exlibrisgroup.com/primo-explore/search?tab=default_tab&amp;search_scope=EVERYTHING&amp;vid=01CRU&amp;lang=en_US&amp;offset=0&amp;query=any,contains,991001367049702656","Catalog Record")</f>
        <v>Catalog Record</v>
      </c>
      <c r="AT479" s="6" t="str">
        <f>HYPERLINK("http://www.worldcat.org/oclc/18559264","WorldCat Record")</f>
        <v>WorldCat Record</v>
      </c>
      <c r="AU479" s="3" t="s">
        <v>6091</v>
      </c>
      <c r="AV479" s="3" t="s">
        <v>6092</v>
      </c>
      <c r="AW479" s="3" t="s">
        <v>6093</v>
      </c>
      <c r="AX479" s="3" t="s">
        <v>6093</v>
      </c>
      <c r="AY479" s="3" t="s">
        <v>6094</v>
      </c>
      <c r="AZ479" s="3" t="s">
        <v>73</v>
      </c>
      <c r="BB479" s="3" t="s">
        <v>6095</v>
      </c>
      <c r="BC479" s="3" t="s">
        <v>6096</v>
      </c>
      <c r="BD479" s="3" t="s">
        <v>6097</v>
      </c>
    </row>
    <row r="480" spans="1:56" ht="51" customHeight="1" x14ac:dyDescent="0.25">
      <c r="A480" s="7" t="s">
        <v>58</v>
      </c>
      <c r="B480" s="2" t="s">
        <v>6098</v>
      </c>
      <c r="C480" s="2" t="s">
        <v>6099</v>
      </c>
      <c r="D480" s="2" t="s">
        <v>6100</v>
      </c>
      <c r="F480" s="3" t="s">
        <v>58</v>
      </c>
      <c r="G480" s="3" t="s">
        <v>59</v>
      </c>
      <c r="H480" s="3" t="s">
        <v>58</v>
      </c>
      <c r="I480" s="3" t="s">
        <v>58</v>
      </c>
      <c r="J480" s="3" t="s">
        <v>60</v>
      </c>
      <c r="K480" s="2" t="s">
        <v>6101</v>
      </c>
      <c r="L480" s="2" t="s">
        <v>6102</v>
      </c>
      <c r="M480" s="3" t="s">
        <v>2295</v>
      </c>
      <c r="N480" s="2" t="s">
        <v>338</v>
      </c>
      <c r="O480" s="3" t="s">
        <v>63</v>
      </c>
      <c r="P480" s="3" t="s">
        <v>214</v>
      </c>
      <c r="R480" s="3" t="s">
        <v>65</v>
      </c>
      <c r="S480" s="4">
        <v>6</v>
      </c>
      <c r="T480" s="4">
        <v>6</v>
      </c>
      <c r="U480" s="5" t="s">
        <v>6103</v>
      </c>
      <c r="V480" s="5" t="s">
        <v>6103</v>
      </c>
      <c r="W480" s="5" t="s">
        <v>6104</v>
      </c>
      <c r="X480" s="5" t="s">
        <v>6104</v>
      </c>
      <c r="Y480" s="4">
        <v>1069</v>
      </c>
      <c r="Z480" s="4">
        <v>1013</v>
      </c>
      <c r="AA480" s="4">
        <v>1200</v>
      </c>
      <c r="AB480" s="4">
        <v>11</v>
      </c>
      <c r="AC480" s="4">
        <v>12</v>
      </c>
      <c r="AD480" s="4">
        <v>17</v>
      </c>
      <c r="AE480" s="4">
        <v>22</v>
      </c>
      <c r="AF480" s="4">
        <v>5</v>
      </c>
      <c r="AG480" s="4">
        <v>9</v>
      </c>
      <c r="AH480" s="4">
        <v>4</v>
      </c>
      <c r="AI480" s="4">
        <v>4</v>
      </c>
      <c r="AJ480" s="4">
        <v>8</v>
      </c>
      <c r="AK480" s="4">
        <v>9</v>
      </c>
      <c r="AL480" s="4">
        <v>5</v>
      </c>
      <c r="AM480" s="4">
        <v>6</v>
      </c>
      <c r="AN480" s="4">
        <v>0</v>
      </c>
      <c r="AO480" s="4">
        <v>0</v>
      </c>
      <c r="AP480" s="3" t="s">
        <v>58</v>
      </c>
      <c r="AQ480" s="3" t="s">
        <v>58</v>
      </c>
      <c r="AS480" s="6" t="str">
        <f>HYPERLINK("https://creighton-primo.hosted.exlibrisgroup.com/primo-explore/search?tab=default_tab&amp;search_scope=EVERYTHING&amp;vid=01CRU&amp;lang=en_US&amp;offset=0&amp;query=any,contains,991004114849702656","Catalog Record")</f>
        <v>Catalog Record</v>
      </c>
      <c r="AT480" s="6" t="str">
        <f>HYPERLINK("http://www.worldcat.org/oclc/51518311","WorldCat Record")</f>
        <v>WorldCat Record</v>
      </c>
      <c r="AU480" s="3" t="s">
        <v>6105</v>
      </c>
      <c r="AV480" s="3" t="s">
        <v>6106</v>
      </c>
      <c r="AW480" s="3" t="s">
        <v>6107</v>
      </c>
      <c r="AX480" s="3" t="s">
        <v>6107</v>
      </c>
      <c r="AY480" s="3" t="s">
        <v>6108</v>
      </c>
      <c r="AZ480" s="3" t="s">
        <v>73</v>
      </c>
      <c r="BB480" s="3" t="s">
        <v>6109</v>
      </c>
      <c r="BC480" s="3" t="s">
        <v>6110</v>
      </c>
      <c r="BD480" s="3" t="s">
        <v>6111</v>
      </c>
    </row>
    <row r="481" spans="1:56" ht="51" customHeight="1" x14ac:dyDescent="0.25">
      <c r="A481" s="7" t="s">
        <v>58</v>
      </c>
      <c r="B481" s="2" t="s">
        <v>6112</v>
      </c>
      <c r="C481" s="2" t="s">
        <v>6113</v>
      </c>
      <c r="D481" s="2" t="s">
        <v>6114</v>
      </c>
      <c r="F481" s="3" t="s">
        <v>58</v>
      </c>
      <c r="G481" s="3" t="s">
        <v>59</v>
      </c>
      <c r="H481" s="3" t="s">
        <v>58</v>
      </c>
      <c r="I481" s="3" t="s">
        <v>58</v>
      </c>
      <c r="J481" s="3" t="s">
        <v>60</v>
      </c>
      <c r="K481" s="2" t="s">
        <v>6115</v>
      </c>
      <c r="L481" s="2" t="s">
        <v>6116</v>
      </c>
      <c r="M481" s="3" t="s">
        <v>951</v>
      </c>
      <c r="O481" s="3" t="s">
        <v>63</v>
      </c>
      <c r="P481" s="3" t="s">
        <v>214</v>
      </c>
      <c r="R481" s="3" t="s">
        <v>65</v>
      </c>
      <c r="S481" s="4">
        <v>3</v>
      </c>
      <c r="T481" s="4">
        <v>3</v>
      </c>
      <c r="U481" s="5" t="s">
        <v>6117</v>
      </c>
      <c r="V481" s="5" t="s">
        <v>6117</v>
      </c>
      <c r="W481" s="5" t="s">
        <v>6118</v>
      </c>
      <c r="X481" s="5" t="s">
        <v>6118</v>
      </c>
      <c r="Y481" s="4">
        <v>1184</v>
      </c>
      <c r="Z481" s="4">
        <v>1133</v>
      </c>
      <c r="AA481" s="4">
        <v>1180</v>
      </c>
      <c r="AB481" s="4">
        <v>11</v>
      </c>
      <c r="AC481" s="4">
        <v>11</v>
      </c>
      <c r="AD481" s="4">
        <v>15</v>
      </c>
      <c r="AE481" s="4">
        <v>16</v>
      </c>
      <c r="AF481" s="4">
        <v>6</v>
      </c>
      <c r="AG481" s="4">
        <v>7</v>
      </c>
      <c r="AH481" s="4">
        <v>3</v>
      </c>
      <c r="AI481" s="4">
        <v>3</v>
      </c>
      <c r="AJ481" s="4">
        <v>6</v>
      </c>
      <c r="AK481" s="4">
        <v>7</v>
      </c>
      <c r="AL481" s="4">
        <v>3</v>
      </c>
      <c r="AM481" s="4">
        <v>3</v>
      </c>
      <c r="AN481" s="4">
        <v>0</v>
      </c>
      <c r="AO481" s="4">
        <v>0</v>
      </c>
      <c r="AP481" s="3" t="s">
        <v>58</v>
      </c>
      <c r="AQ481" s="3" t="s">
        <v>68</v>
      </c>
      <c r="AR481" s="6" t="str">
        <f>HYPERLINK("http://catalog.hathitrust.org/Record/004157872","HathiTrust Record")</f>
        <v>HathiTrust Record</v>
      </c>
      <c r="AS481" s="6" t="str">
        <f>HYPERLINK("https://creighton-primo.hosted.exlibrisgroup.com/primo-explore/search?tab=default_tab&amp;search_scope=EVERYTHING&amp;vid=01CRU&amp;lang=en_US&amp;offset=0&amp;query=any,contains,991003545849702656","Catalog Record")</f>
        <v>Catalog Record</v>
      </c>
      <c r="AT481" s="6" t="str">
        <f>HYPERLINK("http://www.worldcat.org/oclc/41142979","WorldCat Record")</f>
        <v>WorldCat Record</v>
      </c>
      <c r="AU481" s="3" t="s">
        <v>6119</v>
      </c>
      <c r="AV481" s="3" t="s">
        <v>6120</v>
      </c>
      <c r="AW481" s="3" t="s">
        <v>6121</v>
      </c>
      <c r="AX481" s="3" t="s">
        <v>6121</v>
      </c>
      <c r="AY481" s="3" t="s">
        <v>6122</v>
      </c>
      <c r="AZ481" s="3" t="s">
        <v>73</v>
      </c>
      <c r="BB481" s="3" t="s">
        <v>6123</v>
      </c>
      <c r="BC481" s="3" t="s">
        <v>6124</v>
      </c>
      <c r="BD481" s="3" t="s">
        <v>6125</v>
      </c>
    </row>
    <row r="482" spans="1:56" ht="51" customHeight="1" x14ac:dyDescent="0.25">
      <c r="A482" s="7" t="s">
        <v>58</v>
      </c>
      <c r="B482" s="2" t="s">
        <v>6126</v>
      </c>
      <c r="C482" s="2" t="s">
        <v>6127</v>
      </c>
      <c r="D482" s="2" t="s">
        <v>6128</v>
      </c>
      <c r="F482" s="3" t="s">
        <v>58</v>
      </c>
      <c r="G482" s="3" t="s">
        <v>59</v>
      </c>
      <c r="H482" s="3" t="s">
        <v>58</v>
      </c>
      <c r="I482" s="3" t="s">
        <v>58</v>
      </c>
      <c r="J482" s="3" t="s">
        <v>60</v>
      </c>
      <c r="K482" s="2" t="s">
        <v>6129</v>
      </c>
      <c r="L482" s="2" t="s">
        <v>6130</v>
      </c>
      <c r="M482" s="3" t="s">
        <v>4851</v>
      </c>
      <c r="O482" s="3" t="s">
        <v>6131</v>
      </c>
      <c r="P482" s="3" t="s">
        <v>786</v>
      </c>
      <c r="R482" s="3" t="s">
        <v>65</v>
      </c>
      <c r="S482" s="4">
        <v>1</v>
      </c>
      <c r="T482" s="4">
        <v>1</v>
      </c>
      <c r="U482" s="5" t="s">
        <v>6132</v>
      </c>
      <c r="V482" s="5" t="s">
        <v>6132</v>
      </c>
      <c r="W482" s="5" t="s">
        <v>5307</v>
      </c>
      <c r="X482" s="5" t="s">
        <v>5307</v>
      </c>
      <c r="Y482" s="4">
        <v>176</v>
      </c>
      <c r="Z482" s="4">
        <v>117</v>
      </c>
      <c r="AA482" s="4">
        <v>209</v>
      </c>
      <c r="AB482" s="4">
        <v>2</v>
      </c>
      <c r="AC482" s="4">
        <v>2</v>
      </c>
      <c r="AD482" s="4">
        <v>8</v>
      </c>
      <c r="AE482" s="4">
        <v>13</v>
      </c>
      <c r="AF482" s="4">
        <v>0</v>
      </c>
      <c r="AG482" s="4">
        <v>1</v>
      </c>
      <c r="AH482" s="4">
        <v>1</v>
      </c>
      <c r="AI482" s="4">
        <v>4</v>
      </c>
      <c r="AJ482" s="4">
        <v>6</v>
      </c>
      <c r="AK482" s="4">
        <v>10</v>
      </c>
      <c r="AL482" s="4">
        <v>1</v>
      </c>
      <c r="AM482" s="4">
        <v>1</v>
      </c>
      <c r="AN482" s="4">
        <v>0</v>
      </c>
      <c r="AO482" s="4">
        <v>0</v>
      </c>
      <c r="AP482" s="3" t="s">
        <v>58</v>
      </c>
      <c r="AQ482" s="3" t="s">
        <v>68</v>
      </c>
      <c r="AR482" s="6" t="str">
        <f>HYPERLINK("http://catalog.hathitrust.org/Record/001227707","HathiTrust Record")</f>
        <v>HathiTrust Record</v>
      </c>
      <c r="AS482" s="6" t="str">
        <f>HYPERLINK("https://creighton-primo.hosted.exlibrisgroup.com/primo-explore/search?tab=default_tab&amp;search_scope=EVERYTHING&amp;vid=01CRU&amp;lang=en_US&amp;offset=0&amp;query=any,contains,991000699629702656","Catalog Record")</f>
        <v>Catalog Record</v>
      </c>
      <c r="AT482" s="6" t="str">
        <f>HYPERLINK("http://www.worldcat.org/oclc/12537166","WorldCat Record")</f>
        <v>WorldCat Record</v>
      </c>
      <c r="AU482" s="3" t="s">
        <v>6133</v>
      </c>
      <c r="AV482" s="3" t="s">
        <v>6134</v>
      </c>
      <c r="AW482" s="3" t="s">
        <v>6135</v>
      </c>
      <c r="AX482" s="3" t="s">
        <v>6135</v>
      </c>
      <c r="AY482" s="3" t="s">
        <v>6136</v>
      </c>
      <c r="AZ482" s="3" t="s">
        <v>73</v>
      </c>
      <c r="BC482" s="3" t="s">
        <v>6137</v>
      </c>
      <c r="BD482" s="3" t="s">
        <v>6138</v>
      </c>
    </row>
    <row r="483" spans="1:56" ht="51" customHeight="1" x14ac:dyDescent="0.25">
      <c r="A483" s="7" t="s">
        <v>58</v>
      </c>
      <c r="B483" s="2" t="s">
        <v>6139</v>
      </c>
      <c r="C483" s="2" t="s">
        <v>6140</v>
      </c>
      <c r="D483" s="2" t="s">
        <v>6141</v>
      </c>
      <c r="F483" s="3" t="s">
        <v>58</v>
      </c>
      <c r="G483" s="3" t="s">
        <v>59</v>
      </c>
      <c r="H483" s="3" t="s">
        <v>58</v>
      </c>
      <c r="I483" s="3" t="s">
        <v>58</v>
      </c>
      <c r="J483" s="3" t="s">
        <v>60</v>
      </c>
      <c r="K483" s="2" t="s">
        <v>6142</v>
      </c>
      <c r="L483" s="2" t="s">
        <v>6143</v>
      </c>
      <c r="M483" s="3" t="s">
        <v>382</v>
      </c>
      <c r="O483" s="3" t="s">
        <v>63</v>
      </c>
      <c r="P483" s="3" t="s">
        <v>584</v>
      </c>
      <c r="R483" s="3" t="s">
        <v>65</v>
      </c>
      <c r="S483" s="4">
        <v>1</v>
      </c>
      <c r="T483" s="4">
        <v>1</v>
      </c>
      <c r="U483" s="5" t="s">
        <v>6144</v>
      </c>
      <c r="V483" s="5" t="s">
        <v>6144</v>
      </c>
      <c r="W483" s="5" t="s">
        <v>6144</v>
      </c>
      <c r="X483" s="5" t="s">
        <v>6144</v>
      </c>
      <c r="Y483" s="4">
        <v>155</v>
      </c>
      <c r="Z483" s="4">
        <v>123</v>
      </c>
      <c r="AA483" s="4">
        <v>125</v>
      </c>
      <c r="AB483" s="4">
        <v>2</v>
      </c>
      <c r="AC483" s="4">
        <v>2</v>
      </c>
      <c r="AD483" s="4">
        <v>5</v>
      </c>
      <c r="AE483" s="4">
        <v>5</v>
      </c>
      <c r="AF483" s="4">
        <v>0</v>
      </c>
      <c r="AG483" s="4">
        <v>0</v>
      </c>
      <c r="AH483" s="4">
        <v>2</v>
      </c>
      <c r="AI483" s="4">
        <v>2</v>
      </c>
      <c r="AJ483" s="4">
        <v>4</v>
      </c>
      <c r="AK483" s="4">
        <v>4</v>
      </c>
      <c r="AL483" s="4">
        <v>1</v>
      </c>
      <c r="AM483" s="4">
        <v>1</v>
      </c>
      <c r="AN483" s="4">
        <v>0</v>
      </c>
      <c r="AO483" s="4">
        <v>0</v>
      </c>
      <c r="AP483" s="3" t="s">
        <v>58</v>
      </c>
      <c r="AQ483" s="3" t="s">
        <v>68</v>
      </c>
      <c r="AR483" s="6" t="str">
        <f>HYPERLINK("http://catalog.hathitrust.org/Record/004104103","HathiTrust Record")</f>
        <v>HathiTrust Record</v>
      </c>
      <c r="AS483" s="6" t="str">
        <f>HYPERLINK("https://creighton-primo.hosted.exlibrisgroup.com/primo-explore/search?tab=default_tab&amp;search_scope=EVERYTHING&amp;vid=01CRU&amp;lang=en_US&amp;offset=0&amp;query=any,contains,991003340059702656","Catalog Record")</f>
        <v>Catalog Record</v>
      </c>
      <c r="AT483" s="6" t="str">
        <f>HYPERLINK("http://www.worldcat.org/oclc/40135287","WorldCat Record")</f>
        <v>WorldCat Record</v>
      </c>
      <c r="AU483" s="3" t="s">
        <v>6145</v>
      </c>
      <c r="AV483" s="3" t="s">
        <v>6146</v>
      </c>
      <c r="AW483" s="3" t="s">
        <v>6147</v>
      </c>
      <c r="AX483" s="3" t="s">
        <v>6147</v>
      </c>
      <c r="AY483" s="3" t="s">
        <v>6148</v>
      </c>
      <c r="AZ483" s="3" t="s">
        <v>73</v>
      </c>
      <c r="BB483" s="3" t="s">
        <v>6149</v>
      </c>
      <c r="BC483" s="3" t="s">
        <v>6150</v>
      </c>
      <c r="BD483" s="3" t="s">
        <v>6151</v>
      </c>
    </row>
    <row r="484" spans="1:56" ht="51" customHeight="1" x14ac:dyDescent="0.25">
      <c r="A484" s="7" t="s">
        <v>58</v>
      </c>
      <c r="B484" s="2" t="s">
        <v>6152</v>
      </c>
      <c r="C484" s="2" t="s">
        <v>6153</v>
      </c>
      <c r="D484" s="2" t="s">
        <v>6154</v>
      </c>
      <c r="F484" s="3" t="s">
        <v>58</v>
      </c>
      <c r="G484" s="3" t="s">
        <v>59</v>
      </c>
      <c r="H484" s="3" t="s">
        <v>58</v>
      </c>
      <c r="I484" s="3" t="s">
        <v>58</v>
      </c>
      <c r="J484" s="3" t="s">
        <v>60</v>
      </c>
      <c r="K484" s="2" t="s">
        <v>6155</v>
      </c>
      <c r="L484" s="2" t="s">
        <v>6156</v>
      </c>
      <c r="M484" s="3" t="s">
        <v>337</v>
      </c>
      <c r="O484" s="3" t="s">
        <v>63</v>
      </c>
      <c r="P484" s="3" t="s">
        <v>510</v>
      </c>
      <c r="R484" s="3" t="s">
        <v>65</v>
      </c>
      <c r="S484" s="4">
        <v>2</v>
      </c>
      <c r="T484" s="4">
        <v>2</v>
      </c>
      <c r="U484" s="5" t="s">
        <v>6157</v>
      </c>
      <c r="V484" s="5" t="s">
        <v>6157</v>
      </c>
      <c r="W484" s="5" t="s">
        <v>6157</v>
      </c>
      <c r="X484" s="5" t="s">
        <v>6157</v>
      </c>
      <c r="Y484" s="4">
        <v>200</v>
      </c>
      <c r="Z484" s="4">
        <v>173</v>
      </c>
      <c r="AA484" s="4">
        <v>528</v>
      </c>
      <c r="AB484" s="4">
        <v>3</v>
      </c>
      <c r="AC484" s="4">
        <v>5</v>
      </c>
      <c r="AD484" s="4">
        <v>13</v>
      </c>
      <c r="AE484" s="4">
        <v>19</v>
      </c>
      <c r="AF484" s="4">
        <v>5</v>
      </c>
      <c r="AG484" s="4">
        <v>8</v>
      </c>
      <c r="AH484" s="4">
        <v>5</v>
      </c>
      <c r="AI484" s="4">
        <v>6</v>
      </c>
      <c r="AJ484" s="4">
        <v>8</v>
      </c>
      <c r="AK484" s="4">
        <v>9</v>
      </c>
      <c r="AL484" s="4">
        <v>2</v>
      </c>
      <c r="AM484" s="4">
        <v>4</v>
      </c>
      <c r="AN484" s="4">
        <v>0</v>
      </c>
      <c r="AO484" s="4">
        <v>0</v>
      </c>
      <c r="AP484" s="3" t="s">
        <v>58</v>
      </c>
      <c r="AQ484" s="3" t="s">
        <v>68</v>
      </c>
      <c r="AR484" s="6" t="str">
        <f>HYPERLINK("http://catalog.hathitrust.org/Record/004257567","HathiTrust Record")</f>
        <v>HathiTrust Record</v>
      </c>
      <c r="AS484" s="6" t="str">
        <f>HYPERLINK("https://creighton-primo.hosted.exlibrisgroup.com/primo-explore/search?tab=default_tab&amp;search_scope=EVERYTHING&amp;vid=01CRU&amp;lang=en_US&amp;offset=0&amp;query=any,contains,991003878409702656","Catalog Record")</f>
        <v>Catalog Record</v>
      </c>
      <c r="AT484" s="6" t="str">
        <f>HYPERLINK("http://www.worldcat.org/oclc/48579122","WorldCat Record")</f>
        <v>WorldCat Record</v>
      </c>
      <c r="AU484" s="3" t="s">
        <v>6158</v>
      </c>
      <c r="AV484" s="3" t="s">
        <v>6159</v>
      </c>
      <c r="AW484" s="3" t="s">
        <v>6160</v>
      </c>
      <c r="AX484" s="3" t="s">
        <v>6160</v>
      </c>
      <c r="AY484" s="3" t="s">
        <v>6161</v>
      </c>
      <c r="AZ484" s="3" t="s">
        <v>73</v>
      </c>
      <c r="BB484" s="3" t="s">
        <v>6162</v>
      </c>
      <c r="BC484" s="3" t="s">
        <v>6163</v>
      </c>
      <c r="BD484" s="3" t="s">
        <v>6164</v>
      </c>
    </row>
    <row r="485" spans="1:56" ht="51" customHeight="1" x14ac:dyDescent="0.25">
      <c r="A485" s="7" t="s">
        <v>58</v>
      </c>
      <c r="B485" s="2" t="s">
        <v>6165</v>
      </c>
      <c r="C485" s="2" t="s">
        <v>6166</v>
      </c>
      <c r="D485" s="2" t="s">
        <v>6167</v>
      </c>
      <c r="F485" s="3" t="s">
        <v>58</v>
      </c>
      <c r="G485" s="3" t="s">
        <v>59</v>
      </c>
      <c r="H485" s="3" t="s">
        <v>58</v>
      </c>
      <c r="I485" s="3" t="s">
        <v>58</v>
      </c>
      <c r="J485" s="3" t="s">
        <v>60</v>
      </c>
      <c r="K485" s="2" t="s">
        <v>6168</v>
      </c>
      <c r="L485" s="2" t="s">
        <v>6169</v>
      </c>
      <c r="M485" s="3" t="s">
        <v>855</v>
      </c>
      <c r="O485" s="3" t="s">
        <v>63</v>
      </c>
      <c r="P485" s="3" t="s">
        <v>3109</v>
      </c>
      <c r="R485" s="3" t="s">
        <v>65</v>
      </c>
      <c r="S485" s="4">
        <v>5</v>
      </c>
      <c r="T485" s="4">
        <v>5</v>
      </c>
      <c r="U485" s="5" t="s">
        <v>6024</v>
      </c>
      <c r="V485" s="5" t="s">
        <v>6024</v>
      </c>
      <c r="W485" s="5" t="s">
        <v>6170</v>
      </c>
      <c r="X485" s="5" t="s">
        <v>6170</v>
      </c>
      <c r="Y485" s="4">
        <v>176</v>
      </c>
      <c r="Z485" s="4">
        <v>159</v>
      </c>
      <c r="AA485" s="4">
        <v>162</v>
      </c>
      <c r="AB485" s="4">
        <v>1</v>
      </c>
      <c r="AC485" s="4">
        <v>1</v>
      </c>
      <c r="AD485" s="4">
        <v>0</v>
      </c>
      <c r="AE485" s="4">
        <v>0</v>
      </c>
      <c r="AF485" s="4">
        <v>0</v>
      </c>
      <c r="AG485" s="4">
        <v>0</v>
      </c>
      <c r="AH485" s="4">
        <v>0</v>
      </c>
      <c r="AI485" s="4">
        <v>0</v>
      </c>
      <c r="AJ485" s="4">
        <v>0</v>
      </c>
      <c r="AK485" s="4">
        <v>0</v>
      </c>
      <c r="AL485" s="4">
        <v>0</v>
      </c>
      <c r="AM485" s="4">
        <v>0</v>
      </c>
      <c r="AN485" s="4">
        <v>0</v>
      </c>
      <c r="AO485" s="4">
        <v>0</v>
      </c>
      <c r="AP485" s="3" t="s">
        <v>58</v>
      </c>
      <c r="AQ485" s="3" t="s">
        <v>68</v>
      </c>
      <c r="AR485" s="6" t="str">
        <f>HYPERLINK("http://catalog.hathitrust.org/Record/002911789","HathiTrust Record")</f>
        <v>HathiTrust Record</v>
      </c>
      <c r="AS485" s="6" t="str">
        <f>HYPERLINK("https://creighton-primo.hosted.exlibrisgroup.com/primo-explore/search?tab=default_tab&amp;search_scope=EVERYTHING&amp;vid=01CRU&amp;lang=en_US&amp;offset=0&amp;query=any,contains,991002207739702656","Catalog Record")</f>
        <v>Catalog Record</v>
      </c>
      <c r="AT485" s="6" t="str">
        <f>HYPERLINK("http://www.worldcat.org/oclc/28399509","WorldCat Record")</f>
        <v>WorldCat Record</v>
      </c>
      <c r="AU485" s="3" t="s">
        <v>6171</v>
      </c>
      <c r="AV485" s="3" t="s">
        <v>6172</v>
      </c>
      <c r="AW485" s="3" t="s">
        <v>6173</v>
      </c>
      <c r="AX485" s="3" t="s">
        <v>6173</v>
      </c>
      <c r="AY485" s="3" t="s">
        <v>6174</v>
      </c>
      <c r="AZ485" s="3" t="s">
        <v>73</v>
      </c>
      <c r="BB485" s="3" t="s">
        <v>6175</v>
      </c>
      <c r="BC485" s="3" t="s">
        <v>6176</v>
      </c>
      <c r="BD485" s="3" t="s">
        <v>6177</v>
      </c>
    </row>
    <row r="486" spans="1:56" ht="51" customHeight="1" x14ac:dyDescent="0.25">
      <c r="A486" s="7" t="s">
        <v>58</v>
      </c>
      <c r="B486" s="2" t="s">
        <v>6178</v>
      </c>
      <c r="C486" s="2" t="s">
        <v>6179</v>
      </c>
      <c r="D486" s="2" t="s">
        <v>6180</v>
      </c>
      <c r="F486" s="3" t="s">
        <v>58</v>
      </c>
      <c r="G486" s="3" t="s">
        <v>59</v>
      </c>
      <c r="H486" s="3" t="s">
        <v>58</v>
      </c>
      <c r="I486" s="3" t="s">
        <v>58</v>
      </c>
      <c r="J486" s="3" t="s">
        <v>60</v>
      </c>
      <c r="K486" s="2" t="s">
        <v>6181</v>
      </c>
      <c r="L486" s="2" t="s">
        <v>6182</v>
      </c>
      <c r="M486" s="3" t="s">
        <v>1544</v>
      </c>
      <c r="O486" s="3" t="s">
        <v>63</v>
      </c>
      <c r="P486" s="3" t="s">
        <v>214</v>
      </c>
      <c r="R486" s="3" t="s">
        <v>65</v>
      </c>
      <c r="S486" s="4">
        <v>1</v>
      </c>
      <c r="T486" s="4">
        <v>1</v>
      </c>
      <c r="U486" s="5" t="s">
        <v>2367</v>
      </c>
      <c r="V486" s="5" t="s">
        <v>2367</v>
      </c>
      <c r="W486" s="5" t="s">
        <v>6183</v>
      </c>
      <c r="X486" s="5" t="s">
        <v>6183</v>
      </c>
      <c r="Y486" s="4">
        <v>413</v>
      </c>
      <c r="Z486" s="4">
        <v>340</v>
      </c>
      <c r="AA486" s="4">
        <v>939</v>
      </c>
      <c r="AB486" s="4">
        <v>2</v>
      </c>
      <c r="AC486" s="4">
        <v>5</v>
      </c>
      <c r="AD486" s="4">
        <v>16</v>
      </c>
      <c r="AE486" s="4">
        <v>32</v>
      </c>
      <c r="AF486" s="4">
        <v>6</v>
      </c>
      <c r="AG486" s="4">
        <v>17</v>
      </c>
      <c r="AH486" s="4">
        <v>7</v>
      </c>
      <c r="AI486" s="4">
        <v>9</v>
      </c>
      <c r="AJ486" s="4">
        <v>8</v>
      </c>
      <c r="AK486" s="4">
        <v>13</v>
      </c>
      <c r="AL486" s="4">
        <v>1</v>
      </c>
      <c r="AM486" s="4">
        <v>3</v>
      </c>
      <c r="AN486" s="4">
        <v>0</v>
      </c>
      <c r="AO486" s="4">
        <v>0</v>
      </c>
      <c r="AP486" s="3" t="s">
        <v>58</v>
      </c>
      <c r="AQ486" s="3" t="s">
        <v>58</v>
      </c>
      <c r="AS486" s="6" t="str">
        <f>HYPERLINK("https://creighton-primo.hosted.exlibrisgroup.com/primo-explore/search?tab=default_tab&amp;search_scope=EVERYTHING&amp;vid=01CRU&amp;lang=en_US&amp;offset=0&amp;query=any,contains,991001989649702656","Catalog Record")</f>
        <v>Catalog Record</v>
      </c>
      <c r="AT486" s="6" t="str">
        <f>HYPERLINK("http://www.worldcat.org/oclc/25281848","WorldCat Record")</f>
        <v>WorldCat Record</v>
      </c>
      <c r="AU486" s="3" t="s">
        <v>6184</v>
      </c>
      <c r="AV486" s="3" t="s">
        <v>6185</v>
      </c>
      <c r="AW486" s="3" t="s">
        <v>6186</v>
      </c>
      <c r="AX486" s="3" t="s">
        <v>6186</v>
      </c>
      <c r="AY486" s="3" t="s">
        <v>6187</v>
      </c>
      <c r="AZ486" s="3" t="s">
        <v>73</v>
      </c>
      <c r="BB486" s="3" t="s">
        <v>6188</v>
      </c>
      <c r="BC486" s="3" t="s">
        <v>6189</v>
      </c>
      <c r="BD486" s="3" t="s">
        <v>6190</v>
      </c>
    </row>
    <row r="487" spans="1:56" ht="51" customHeight="1" x14ac:dyDescent="0.25">
      <c r="A487" s="7" t="s">
        <v>58</v>
      </c>
      <c r="B487" s="2" t="s">
        <v>6191</v>
      </c>
      <c r="C487" s="2" t="s">
        <v>6192</v>
      </c>
      <c r="D487" s="2" t="s">
        <v>6193</v>
      </c>
      <c r="F487" s="3" t="s">
        <v>58</v>
      </c>
      <c r="G487" s="3" t="s">
        <v>59</v>
      </c>
      <c r="H487" s="3" t="s">
        <v>58</v>
      </c>
      <c r="I487" s="3" t="s">
        <v>58</v>
      </c>
      <c r="J487" s="3" t="s">
        <v>60</v>
      </c>
      <c r="K487" s="2" t="s">
        <v>6194</v>
      </c>
      <c r="L487" s="2" t="s">
        <v>6195</v>
      </c>
      <c r="M487" s="3" t="s">
        <v>138</v>
      </c>
      <c r="O487" s="3" t="s">
        <v>63</v>
      </c>
      <c r="P487" s="3" t="s">
        <v>214</v>
      </c>
      <c r="R487" s="3" t="s">
        <v>65</v>
      </c>
      <c r="S487" s="4">
        <v>1</v>
      </c>
      <c r="T487" s="4">
        <v>1</v>
      </c>
      <c r="U487" s="5" t="s">
        <v>2367</v>
      </c>
      <c r="V487" s="5" t="s">
        <v>2367</v>
      </c>
      <c r="W487" s="5" t="s">
        <v>5307</v>
      </c>
      <c r="X487" s="5" t="s">
        <v>5307</v>
      </c>
      <c r="Y487" s="4">
        <v>179</v>
      </c>
      <c r="Z487" s="4">
        <v>152</v>
      </c>
      <c r="AA487" s="4">
        <v>245</v>
      </c>
      <c r="AB487" s="4">
        <v>1</v>
      </c>
      <c r="AC487" s="4">
        <v>1</v>
      </c>
      <c r="AD487" s="4">
        <v>4</v>
      </c>
      <c r="AE487" s="4">
        <v>6</v>
      </c>
      <c r="AF487" s="4">
        <v>1</v>
      </c>
      <c r="AG487" s="4">
        <v>2</v>
      </c>
      <c r="AH487" s="4">
        <v>3</v>
      </c>
      <c r="AI487" s="4">
        <v>4</v>
      </c>
      <c r="AJ487" s="4">
        <v>2</v>
      </c>
      <c r="AK487" s="4">
        <v>3</v>
      </c>
      <c r="AL487" s="4">
        <v>0</v>
      </c>
      <c r="AM487" s="4">
        <v>0</v>
      </c>
      <c r="AN487" s="4">
        <v>0</v>
      </c>
      <c r="AO487" s="4">
        <v>0</v>
      </c>
      <c r="AP487" s="3" t="s">
        <v>58</v>
      </c>
      <c r="AQ487" s="3" t="s">
        <v>68</v>
      </c>
      <c r="AR487" s="6" t="str">
        <f>HYPERLINK("http://catalog.hathitrust.org/Record/006037501","HathiTrust Record")</f>
        <v>HathiTrust Record</v>
      </c>
      <c r="AS487" s="6" t="str">
        <f>HYPERLINK("https://creighton-primo.hosted.exlibrisgroup.com/primo-explore/search?tab=default_tab&amp;search_scope=EVERYTHING&amp;vid=01CRU&amp;lang=en_US&amp;offset=0&amp;query=any,contains,991005214069702656","Catalog Record")</f>
        <v>Catalog Record</v>
      </c>
      <c r="AT487" s="6" t="str">
        <f>HYPERLINK("http://www.worldcat.org/oclc/8171916","WorldCat Record")</f>
        <v>WorldCat Record</v>
      </c>
      <c r="AU487" s="3" t="s">
        <v>6196</v>
      </c>
      <c r="AV487" s="3" t="s">
        <v>6197</v>
      </c>
      <c r="AW487" s="3" t="s">
        <v>6198</v>
      </c>
      <c r="AX487" s="3" t="s">
        <v>6198</v>
      </c>
      <c r="AY487" s="3" t="s">
        <v>6199</v>
      </c>
      <c r="AZ487" s="3" t="s">
        <v>73</v>
      </c>
      <c r="BB487" s="3" t="s">
        <v>6200</v>
      </c>
      <c r="BC487" s="3" t="s">
        <v>6201</v>
      </c>
      <c r="BD487" s="3" t="s">
        <v>6202</v>
      </c>
    </row>
    <row r="488" spans="1:56" ht="51" customHeight="1" x14ac:dyDescent="0.25">
      <c r="A488" s="7" t="s">
        <v>58</v>
      </c>
      <c r="B488" s="2" t="s">
        <v>6203</v>
      </c>
      <c r="C488" s="2" t="s">
        <v>6204</v>
      </c>
      <c r="D488" s="2" t="s">
        <v>6205</v>
      </c>
      <c r="F488" s="3" t="s">
        <v>58</v>
      </c>
      <c r="G488" s="3" t="s">
        <v>59</v>
      </c>
      <c r="H488" s="3" t="s">
        <v>58</v>
      </c>
      <c r="I488" s="3" t="s">
        <v>58</v>
      </c>
      <c r="J488" s="3" t="s">
        <v>60</v>
      </c>
      <c r="K488" s="2" t="s">
        <v>6206</v>
      </c>
      <c r="L488" s="2" t="s">
        <v>6207</v>
      </c>
      <c r="M488" s="3" t="s">
        <v>1544</v>
      </c>
      <c r="O488" s="3" t="s">
        <v>63</v>
      </c>
      <c r="P488" s="3" t="s">
        <v>495</v>
      </c>
      <c r="Q488" s="2" t="s">
        <v>6208</v>
      </c>
      <c r="R488" s="3" t="s">
        <v>65</v>
      </c>
      <c r="S488" s="4">
        <v>1</v>
      </c>
      <c r="T488" s="4">
        <v>1</v>
      </c>
      <c r="U488" s="5" t="s">
        <v>2367</v>
      </c>
      <c r="V488" s="5" t="s">
        <v>2367</v>
      </c>
      <c r="W488" s="5" t="s">
        <v>6183</v>
      </c>
      <c r="X488" s="5" t="s">
        <v>6183</v>
      </c>
      <c r="Y488" s="4">
        <v>390</v>
      </c>
      <c r="Z488" s="4">
        <v>339</v>
      </c>
      <c r="AA488" s="4">
        <v>348</v>
      </c>
      <c r="AB488" s="4">
        <v>3</v>
      </c>
      <c r="AC488" s="4">
        <v>3</v>
      </c>
      <c r="AD488" s="4">
        <v>19</v>
      </c>
      <c r="AE488" s="4">
        <v>21</v>
      </c>
      <c r="AF488" s="4">
        <v>4</v>
      </c>
      <c r="AG488" s="4">
        <v>5</v>
      </c>
      <c r="AH488" s="4">
        <v>7</v>
      </c>
      <c r="AI488" s="4">
        <v>8</v>
      </c>
      <c r="AJ488" s="4">
        <v>11</v>
      </c>
      <c r="AK488" s="4">
        <v>13</v>
      </c>
      <c r="AL488" s="4">
        <v>2</v>
      </c>
      <c r="AM488" s="4">
        <v>2</v>
      </c>
      <c r="AN488" s="4">
        <v>0</v>
      </c>
      <c r="AO488" s="4">
        <v>0</v>
      </c>
      <c r="AP488" s="3" t="s">
        <v>58</v>
      </c>
      <c r="AQ488" s="3" t="s">
        <v>68</v>
      </c>
      <c r="AR488" s="6" t="str">
        <f>HYPERLINK("http://catalog.hathitrust.org/Record/002607841","HathiTrust Record")</f>
        <v>HathiTrust Record</v>
      </c>
      <c r="AS488" s="6" t="str">
        <f>HYPERLINK("https://creighton-primo.hosted.exlibrisgroup.com/primo-explore/search?tab=default_tab&amp;search_scope=EVERYTHING&amp;vid=01CRU&amp;lang=en_US&amp;offset=0&amp;query=any,contains,991001980569702656","Catalog Record")</f>
        <v>Catalog Record</v>
      </c>
      <c r="AT488" s="6" t="str">
        <f>HYPERLINK("http://www.worldcat.org/oclc/25131131","WorldCat Record")</f>
        <v>WorldCat Record</v>
      </c>
      <c r="AU488" s="3" t="s">
        <v>6209</v>
      </c>
      <c r="AV488" s="3" t="s">
        <v>6210</v>
      </c>
      <c r="AW488" s="3" t="s">
        <v>6211</v>
      </c>
      <c r="AX488" s="3" t="s">
        <v>6211</v>
      </c>
      <c r="AY488" s="3" t="s">
        <v>6212</v>
      </c>
      <c r="AZ488" s="3" t="s">
        <v>73</v>
      </c>
      <c r="BB488" s="3" t="s">
        <v>6213</v>
      </c>
      <c r="BC488" s="3" t="s">
        <v>6214</v>
      </c>
      <c r="BD488" s="3" t="s">
        <v>6215</v>
      </c>
    </row>
    <row r="489" spans="1:56" ht="51" customHeight="1" x14ac:dyDescent="0.25">
      <c r="A489" s="7" t="s">
        <v>58</v>
      </c>
      <c r="B489" s="2" t="s">
        <v>6216</v>
      </c>
      <c r="C489" s="2" t="s">
        <v>6217</v>
      </c>
      <c r="D489" s="2" t="s">
        <v>6218</v>
      </c>
      <c r="F489" s="3" t="s">
        <v>58</v>
      </c>
      <c r="G489" s="3" t="s">
        <v>59</v>
      </c>
      <c r="H489" s="3" t="s">
        <v>58</v>
      </c>
      <c r="I489" s="3" t="s">
        <v>58</v>
      </c>
      <c r="J489" s="3" t="s">
        <v>60</v>
      </c>
      <c r="K489" s="2" t="s">
        <v>6219</v>
      </c>
      <c r="L489" s="2" t="s">
        <v>6220</v>
      </c>
      <c r="M489" s="3" t="s">
        <v>1153</v>
      </c>
      <c r="O489" s="3" t="s">
        <v>63</v>
      </c>
      <c r="P489" s="3" t="s">
        <v>214</v>
      </c>
      <c r="Q489" s="2" t="s">
        <v>6221</v>
      </c>
      <c r="R489" s="3" t="s">
        <v>65</v>
      </c>
      <c r="S489" s="4">
        <v>1</v>
      </c>
      <c r="T489" s="4">
        <v>1</v>
      </c>
      <c r="U489" s="5" t="s">
        <v>6222</v>
      </c>
      <c r="V489" s="5" t="s">
        <v>6222</v>
      </c>
      <c r="W489" s="5" t="s">
        <v>3348</v>
      </c>
      <c r="X489" s="5" t="s">
        <v>3348</v>
      </c>
      <c r="Y489" s="4">
        <v>129</v>
      </c>
      <c r="Z489" s="4">
        <v>115</v>
      </c>
      <c r="AA489" s="4">
        <v>215</v>
      </c>
      <c r="AB489" s="4">
        <v>1</v>
      </c>
      <c r="AC489" s="4">
        <v>1</v>
      </c>
      <c r="AD489" s="4">
        <v>4</v>
      </c>
      <c r="AE489" s="4">
        <v>7</v>
      </c>
      <c r="AF489" s="4">
        <v>0</v>
      </c>
      <c r="AG489" s="4">
        <v>1</v>
      </c>
      <c r="AH489" s="4">
        <v>2</v>
      </c>
      <c r="AI489" s="4">
        <v>3</v>
      </c>
      <c r="AJ489" s="4">
        <v>2</v>
      </c>
      <c r="AK489" s="4">
        <v>3</v>
      </c>
      <c r="AL489" s="4">
        <v>0</v>
      </c>
      <c r="AM489" s="4">
        <v>0</v>
      </c>
      <c r="AN489" s="4">
        <v>0</v>
      </c>
      <c r="AO489" s="4">
        <v>0</v>
      </c>
      <c r="AP489" s="3" t="s">
        <v>58</v>
      </c>
      <c r="AQ489" s="3" t="s">
        <v>68</v>
      </c>
      <c r="AR489" s="6" t="str">
        <f>HYPERLINK("http://catalog.hathitrust.org/Record/007112671","HathiTrust Record")</f>
        <v>HathiTrust Record</v>
      </c>
      <c r="AS489" s="6" t="str">
        <f>HYPERLINK("https://creighton-primo.hosted.exlibrisgroup.com/primo-explore/search?tab=default_tab&amp;search_scope=EVERYTHING&amp;vid=01CRU&amp;lang=en_US&amp;offset=0&amp;query=any,contains,991003116519702656","Catalog Record")</f>
        <v>Catalog Record</v>
      </c>
      <c r="AT489" s="6" t="str">
        <f>HYPERLINK("http://www.worldcat.org/oclc/662052","WorldCat Record")</f>
        <v>WorldCat Record</v>
      </c>
      <c r="AU489" s="3" t="s">
        <v>6223</v>
      </c>
      <c r="AV489" s="3" t="s">
        <v>6224</v>
      </c>
      <c r="AW489" s="3" t="s">
        <v>6225</v>
      </c>
      <c r="AX489" s="3" t="s">
        <v>6225</v>
      </c>
      <c r="AY489" s="3" t="s">
        <v>6226</v>
      </c>
      <c r="AZ489" s="3" t="s">
        <v>73</v>
      </c>
      <c r="BB489" s="3" t="s">
        <v>6227</v>
      </c>
      <c r="BC489" s="3" t="s">
        <v>6228</v>
      </c>
      <c r="BD489" s="3" t="s">
        <v>6229</v>
      </c>
    </row>
    <row r="490" spans="1:56" ht="51" customHeight="1" x14ac:dyDescent="0.25">
      <c r="A490" s="7" t="s">
        <v>58</v>
      </c>
      <c r="B490" s="2" t="s">
        <v>6230</v>
      </c>
      <c r="C490" s="2" t="s">
        <v>6231</v>
      </c>
      <c r="D490" s="2" t="s">
        <v>6232</v>
      </c>
      <c r="F490" s="3" t="s">
        <v>58</v>
      </c>
      <c r="G490" s="3" t="s">
        <v>59</v>
      </c>
      <c r="H490" s="3" t="s">
        <v>58</v>
      </c>
      <c r="I490" s="3" t="s">
        <v>58</v>
      </c>
      <c r="J490" s="3" t="s">
        <v>60</v>
      </c>
      <c r="K490" s="2" t="s">
        <v>6233</v>
      </c>
      <c r="L490" s="2" t="s">
        <v>6234</v>
      </c>
      <c r="M490" s="3" t="s">
        <v>397</v>
      </c>
      <c r="O490" s="3" t="s">
        <v>63</v>
      </c>
      <c r="P490" s="3" t="s">
        <v>584</v>
      </c>
      <c r="R490" s="3" t="s">
        <v>65</v>
      </c>
      <c r="S490" s="4">
        <v>11</v>
      </c>
      <c r="T490" s="4">
        <v>11</v>
      </c>
      <c r="U490" s="5" t="s">
        <v>4674</v>
      </c>
      <c r="V490" s="5" t="s">
        <v>4674</v>
      </c>
      <c r="W490" s="5" t="s">
        <v>5307</v>
      </c>
      <c r="X490" s="5" t="s">
        <v>5307</v>
      </c>
      <c r="Y490" s="4">
        <v>440</v>
      </c>
      <c r="Z490" s="4">
        <v>328</v>
      </c>
      <c r="AA490" s="4">
        <v>824</v>
      </c>
      <c r="AB490" s="4">
        <v>3</v>
      </c>
      <c r="AC490" s="4">
        <v>6</v>
      </c>
      <c r="AD490" s="4">
        <v>13</v>
      </c>
      <c r="AE490" s="4">
        <v>43</v>
      </c>
      <c r="AF490" s="4">
        <v>2</v>
      </c>
      <c r="AG490" s="4">
        <v>19</v>
      </c>
      <c r="AH490" s="4">
        <v>4</v>
      </c>
      <c r="AI490" s="4">
        <v>10</v>
      </c>
      <c r="AJ490" s="4">
        <v>8</v>
      </c>
      <c r="AK490" s="4">
        <v>19</v>
      </c>
      <c r="AL490" s="4">
        <v>2</v>
      </c>
      <c r="AM490" s="4">
        <v>5</v>
      </c>
      <c r="AN490" s="4">
        <v>0</v>
      </c>
      <c r="AO490" s="4">
        <v>1</v>
      </c>
      <c r="AP490" s="3" t="s">
        <v>58</v>
      </c>
      <c r="AQ490" s="3" t="s">
        <v>68</v>
      </c>
      <c r="AR490" s="6" t="str">
        <f>HYPERLINK("http://catalog.hathitrust.org/Record/000379553","HathiTrust Record")</f>
        <v>HathiTrust Record</v>
      </c>
      <c r="AS490" s="6" t="str">
        <f>HYPERLINK("https://creighton-primo.hosted.exlibrisgroup.com/primo-explore/search?tab=default_tab&amp;search_scope=EVERYTHING&amp;vid=01CRU&amp;lang=en_US&amp;offset=0&amp;query=any,contains,991000655439702656","Catalog Record")</f>
        <v>Catalog Record</v>
      </c>
      <c r="AT490" s="6" t="str">
        <f>HYPERLINK("http://www.worldcat.org/oclc/12214677","WorldCat Record")</f>
        <v>WorldCat Record</v>
      </c>
      <c r="AU490" s="3" t="s">
        <v>6235</v>
      </c>
      <c r="AV490" s="3" t="s">
        <v>6236</v>
      </c>
      <c r="AW490" s="3" t="s">
        <v>6237</v>
      </c>
      <c r="AX490" s="3" t="s">
        <v>6237</v>
      </c>
      <c r="AY490" s="3" t="s">
        <v>6238</v>
      </c>
      <c r="AZ490" s="3" t="s">
        <v>73</v>
      </c>
      <c r="BB490" s="3" t="s">
        <v>6239</v>
      </c>
      <c r="BC490" s="3" t="s">
        <v>6240</v>
      </c>
      <c r="BD490" s="3" t="s">
        <v>6241</v>
      </c>
    </row>
    <row r="491" spans="1:56" ht="51" customHeight="1" x14ac:dyDescent="0.25">
      <c r="A491" s="7" t="s">
        <v>58</v>
      </c>
      <c r="B491" s="2" t="s">
        <v>6242</v>
      </c>
      <c r="C491" s="2" t="s">
        <v>6243</v>
      </c>
      <c r="D491" s="2" t="s">
        <v>6244</v>
      </c>
      <c r="F491" s="3" t="s">
        <v>58</v>
      </c>
      <c r="G491" s="3" t="s">
        <v>59</v>
      </c>
      <c r="H491" s="3" t="s">
        <v>58</v>
      </c>
      <c r="I491" s="3" t="s">
        <v>58</v>
      </c>
      <c r="J491" s="3" t="s">
        <v>60</v>
      </c>
      <c r="K491" s="2" t="s">
        <v>6245</v>
      </c>
      <c r="L491" s="2" t="s">
        <v>6246</v>
      </c>
      <c r="M491" s="3" t="s">
        <v>2214</v>
      </c>
      <c r="O491" s="3" t="s">
        <v>63</v>
      </c>
      <c r="P491" s="3" t="s">
        <v>451</v>
      </c>
      <c r="R491" s="3" t="s">
        <v>65</v>
      </c>
      <c r="S491" s="4">
        <v>1</v>
      </c>
      <c r="T491" s="4">
        <v>1</v>
      </c>
      <c r="U491" s="5" t="s">
        <v>6247</v>
      </c>
      <c r="V491" s="5" t="s">
        <v>6247</v>
      </c>
      <c r="W491" s="5" t="s">
        <v>6247</v>
      </c>
      <c r="X491" s="5" t="s">
        <v>6247</v>
      </c>
      <c r="Y491" s="4">
        <v>126</v>
      </c>
      <c r="Z491" s="4">
        <v>106</v>
      </c>
      <c r="AA491" s="4">
        <v>114</v>
      </c>
      <c r="AB491" s="4">
        <v>3</v>
      </c>
      <c r="AC491" s="4">
        <v>3</v>
      </c>
      <c r="AD491" s="4">
        <v>8</v>
      </c>
      <c r="AE491" s="4">
        <v>8</v>
      </c>
      <c r="AF491" s="4">
        <v>1</v>
      </c>
      <c r="AG491" s="4">
        <v>1</v>
      </c>
      <c r="AH491" s="4">
        <v>4</v>
      </c>
      <c r="AI491" s="4">
        <v>4</v>
      </c>
      <c r="AJ491" s="4">
        <v>4</v>
      </c>
      <c r="AK491" s="4">
        <v>4</v>
      </c>
      <c r="AL491" s="4">
        <v>1</v>
      </c>
      <c r="AM491" s="4">
        <v>1</v>
      </c>
      <c r="AN491" s="4">
        <v>0</v>
      </c>
      <c r="AO491" s="4">
        <v>0</v>
      </c>
      <c r="AP491" s="3" t="s">
        <v>58</v>
      </c>
      <c r="AQ491" s="3" t="s">
        <v>68</v>
      </c>
      <c r="AR491" s="6" t="str">
        <f>HYPERLINK("http://catalog.hathitrust.org/Record/005110388","HathiTrust Record")</f>
        <v>HathiTrust Record</v>
      </c>
      <c r="AS491" s="6" t="str">
        <f>HYPERLINK("https://creighton-primo.hosted.exlibrisgroup.com/primo-explore/search?tab=default_tab&amp;search_scope=EVERYTHING&amp;vid=01CRU&amp;lang=en_US&amp;offset=0&amp;query=any,contains,991004703449702656","Catalog Record")</f>
        <v>Catalog Record</v>
      </c>
      <c r="AT491" s="6" t="str">
        <f>HYPERLINK("http://www.worldcat.org/oclc/61478789","WorldCat Record")</f>
        <v>WorldCat Record</v>
      </c>
      <c r="AU491" s="3" t="s">
        <v>6248</v>
      </c>
      <c r="AV491" s="3" t="s">
        <v>6249</v>
      </c>
      <c r="AW491" s="3" t="s">
        <v>6250</v>
      </c>
      <c r="AX491" s="3" t="s">
        <v>6250</v>
      </c>
      <c r="AY491" s="3" t="s">
        <v>6251</v>
      </c>
      <c r="AZ491" s="3" t="s">
        <v>73</v>
      </c>
      <c r="BB491" s="3" t="s">
        <v>6252</v>
      </c>
      <c r="BC491" s="3" t="s">
        <v>6253</v>
      </c>
      <c r="BD491" s="3" t="s">
        <v>6254</v>
      </c>
    </row>
    <row r="492" spans="1:56" ht="51" customHeight="1" x14ac:dyDescent="0.25">
      <c r="A492" s="7" t="s">
        <v>58</v>
      </c>
      <c r="B492" s="2" t="s">
        <v>6255</v>
      </c>
      <c r="C492" s="2" t="s">
        <v>6256</v>
      </c>
      <c r="D492" s="2" t="s">
        <v>6257</v>
      </c>
      <c r="F492" s="3" t="s">
        <v>58</v>
      </c>
      <c r="G492" s="3" t="s">
        <v>59</v>
      </c>
      <c r="H492" s="3" t="s">
        <v>58</v>
      </c>
      <c r="I492" s="3" t="s">
        <v>68</v>
      </c>
      <c r="J492" s="3" t="s">
        <v>60</v>
      </c>
      <c r="K492" s="2" t="s">
        <v>6258</v>
      </c>
      <c r="L492" s="2" t="s">
        <v>6259</v>
      </c>
      <c r="M492" s="3" t="s">
        <v>4851</v>
      </c>
      <c r="O492" s="3" t="s">
        <v>63</v>
      </c>
      <c r="P492" s="3" t="s">
        <v>411</v>
      </c>
      <c r="R492" s="3" t="s">
        <v>65</v>
      </c>
      <c r="S492" s="4">
        <v>24</v>
      </c>
      <c r="T492" s="4">
        <v>24</v>
      </c>
      <c r="U492" s="5" t="s">
        <v>6260</v>
      </c>
      <c r="V492" s="5" t="s">
        <v>6260</v>
      </c>
      <c r="W492" s="5" t="s">
        <v>3348</v>
      </c>
      <c r="X492" s="5" t="s">
        <v>3348</v>
      </c>
      <c r="Y492" s="4">
        <v>819</v>
      </c>
      <c r="Z492" s="4">
        <v>705</v>
      </c>
      <c r="AA492" s="4">
        <v>1878</v>
      </c>
      <c r="AB492" s="4">
        <v>4</v>
      </c>
      <c r="AC492" s="4">
        <v>16</v>
      </c>
      <c r="AD492" s="4">
        <v>35</v>
      </c>
      <c r="AE492" s="4">
        <v>65</v>
      </c>
      <c r="AF492" s="4">
        <v>14</v>
      </c>
      <c r="AG492" s="4">
        <v>28</v>
      </c>
      <c r="AH492" s="4">
        <v>7</v>
      </c>
      <c r="AI492" s="4">
        <v>11</v>
      </c>
      <c r="AJ492" s="4">
        <v>19</v>
      </c>
      <c r="AK492" s="4">
        <v>26</v>
      </c>
      <c r="AL492" s="4">
        <v>3</v>
      </c>
      <c r="AM492" s="4">
        <v>11</v>
      </c>
      <c r="AN492" s="4">
        <v>0</v>
      </c>
      <c r="AO492" s="4">
        <v>2</v>
      </c>
      <c r="AP492" s="3" t="s">
        <v>58</v>
      </c>
      <c r="AQ492" s="3" t="s">
        <v>58</v>
      </c>
      <c r="AS492" s="6" t="str">
        <f>HYPERLINK("https://creighton-primo.hosted.exlibrisgroup.com/primo-explore/search?tab=default_tab&amp;search_scope=EVERYTHING&amp;vid=01CRU&amp;lang=en_US&amp;offset=0&amp;query=any,contains,991002709809702656","Catalog Record")</f>
        <v>Catalog Record</v>
      </c>
      <c r="AT492" s="6" t="str">
        <f>HYPERLINK("http://www.worldcat.org/oclc/408733","WorldCat Record")</f>
        <v>WorldCat Record</v>
      </c>
      <c r="AU492" s="3" t="s">
        <v>6261</v>
      </c>
      <c r="AV492" s="3" t="s">
        <v>6262</v>
      </c>
      <c r="AW492" s="3" t="s">
        <v>6263</v>
      </c>
      <c r="AX492" s="3" t="s">
        <v>6263</v>
      </c>
      <c r="AY492" s="3" t="s">
        <v>6264</v>
      </c>
      <c r="AZ492" s="3" t="s">
        <v>73</v>
      </c>
      <c r="BC492" s="3" t="s">
        <v>6265</v>
      </c>
      <c r="BD492" s="3" t="s">
        <v>6266</v>
      </c>
    </row>
    <row r="493" spans="1:56" ht="51" customHeight="1" x14ac:dyDescent="0.25">
      <c r="A493" s="7" t="s">
        <v>58</v>
      </c>
      <c r="B493" s="2" t="s">
        <v>6267</v>
      </c>
      <c r="C493" s="2" t="s">
        <v>6268</v>
      </c>
      <c r="D493" s="2" t="s">
        <v>6269</v>
      </c>
      <c r="F493" s="3" t="s">
        <v>58</v>
      </c>
      <c r="G493" s="3" t="s">
        <v>59</v>
      </c>
      <c r="H493" s="3" t="s">
        <v>58</v>
      </c>
      <c r="I493" s="3" t="s">
        <v>58</v>
      </c>
      <c r="J493" s="3" t="s">
        <v>60</v>
      </c>
      <c r="K493" s="2" t="s">
        <v>6270</v>
      </c>
      <c r="L493" s="2" t="s">
        <v>6271</v>
      </c>
      <c r="M493" s="3" t="s">
        <v>1061</v>
      </c>
      <c r="O493" s="3" t="s">
        <v>63</v>
      </c>
      <c r="P493" s="3" t="s">
        <v>214</v>
      </c>
      <c r="R493" s="3" t="s">
        <v>65</v>
      </c>
      <c r="S493" s="4">
        <v>3</v>
      </c>
      <c r="T493" s="4">
        <v>3</v>
      </c>
      <c r="U493" s="5" t="s">
        <v>2159</v>
      </c>
      <c r="V493" s="5" t="s">
        <v>2159</v>
      </c>
      <c r="W493" s="5" t="s">
        <v>6272</v>
      </c>
      <c r="X493" s="5" t="s">
        <v>6272</v>
      </c>
      <c r="Y493" s="4">
        <v>580</v>
      </c>
      <c r="Z493" s="4">
        <v>534</v>
      </c>
      <c r="AA493" s="4">
        <v>596</v>
      </c>
      <c r="AB493" s="4">
        <v>4</v>
      </c>
      <c r="AC493" s="4">
        <v>4</v>
      </c>
      <c r="AD493" s="4">
        <v>24</v>
      </c>
      <c r="AE493" s="4">
        <v>24</v>
      </c>
      <c r="AF493" s="4">
        <v>8</v>
      </c>
      <c r="AG493" s="4">
        <v>8</v>
      </c>
      <c r="AH493" s="4">
        <v>5</v>
      </c>
      <c r="AI493" s="4">
        <v>5</v>
      </c>
      <c r="AJ493" s="4">
        <v>14</v>
      </c>
      <c r="AK493" s="4">
        <v>14</v>
      </c>
      <c r="AL493" s="4">
        <v>3</v>
      </c>
      <c r="AM493" s="4">
        <v>3</v>
      </c>
      <c r="AN493" s="4">
        <v>0</v>
      </c>
      <c r="AO493" s="4">
        <v>0</v>
      </c>
      <c r="AP493" s="3" t="s">
        <v>58</v>
      </c>
      <c r="AQ493" s="3" t="s">
        <v>68</v>
      </c>
      <c r="AR493" s="6" t="str">
        <f>HYPERLINK("http://catalog.hathitrust.org/Record/003137572","HathiTrust Record")</f>
        <v>HathiTrust Record</v>
      </c>
      <c r="AS493" s="6" t="str">
        <f>HYPERLINK("https://creighton-primo.hosted.exlibrisgroup.com/primo-explore/search?tab=default_tab&amp;search_scope=EVERYTHING&amp;vid=01CRU&amp;lang=en_US&amp;offset=0&amp;query=any,contains,991002664999702656","Catalog Record")</f>
        <v>Catalog Record</v>
      </c>
      <c r="AT493" s="6" t="str">
        <f>HYPERLINK("http://www.worldcat.org/oclc/34850081","WorldCat Record")</f>
        <v>WorldCat Record</v>
      </c>
      <c r="AU493" s="3" t="s">
        <v>6273</v>
      </c>
      <c r="AV493" s="3" t="s">
        <v>6274</v>
      </c>
      <c r="AW493" s="3" t="s">
        <v>6275</v>
      </c>
      <c r="AX493" s="3" t="s">
        <v>6275</v>
      </c>
      <c r="AY493" s="3" t="s">
        <v>6276</v>
      </c>
      <c r="AZ493" s="3" t="s">
        <v>73</v>
      </c>
      <c r="BB493" s="3" t="s">
        <v>6277</v>
      </c>
      <c r="BC493" s="3" t="s">
        <v>6278</v>
      </c>
      <c r="BD493" s="3" t="s">
        <v>6279</v>
      </c>
    </row>
    <row r="494" spans="1:56" ht="51" customHeight="1" x14ac:dyDescent="0.25">
      <c r="A494" s="7" t="s">
        <v>58</v>
      </c>
      <c r="B494" s="2" t="s">
        <v>6280</v>
      </c>
      <c r="C494" s="2" t="s">
        <v>6281</v>
      </c>
      <c r="D494" s="2" t="s">
        <v>6282</v>
      </c>
      <c r="F494" s="3" t="s">
        <v>58</v>
      </c>
      <c r="G494" s="3" t="s">
        <v>59</v>
      </c>
      <c r="H494" s="3" t="s">
        <v>58</v>
      </c>
      <c r="I494" s="3" t="s">
        <v>58</v>
      </c>
      <c r="J494" s="3" t="s">
        <v>60</v>
      </c>
      <c r="K494" s="2" t="s">
        <v>6283</v>
      </c>
      <c r="L494" s="2" t="s">
        <v>6284</v>
      </c>
      <c r="M494" s="3" t="s">
        <v>800</v>
      </c>
      <c r="O494" s="3" t="s">
        <v>63</v>
      </c>
      <c r="P494" s="3" t="s">
        <v>816</v>
      </c>
      <c r="R494" s="3" t="s">
        <v>65</v>
      </c>
      <c r="S494" s="4">
        <v>1</v>
      </c>
      <c r="T494" s="4">
        <v>1</v>
      </c>
      <c r="U494" s="5" t="s">
        <v>6285</v>
      </c>
      <c r="V494" s="5" t="s">
        <v>6285</v>
      </c>
      <c r="W494" s="5" t="s">
        <v>6170</v>
      </c>
      <c r="X494" s="5" t="s">
        <v>6170</v>
      </c>
      <c r="Y494" s="4">
        <v>375</v>
      </c>
      <c r="Z494" s="4">
        <v>325</v>
      </c>
      <c r="AA494" s="4">
        <v>427</v>
      </c>
      <c r="AB494" s="4">
        <v>3</v>
      </c>
      <c r="AC494" s="4">
        <v>3</v>
      </c>
      <c r="AD494" s="4">
        <v>15</v>
      </c>
      <c r="AE494" s="4">
        <v>17</v>
      </c>
      <c r="AF494" s="4">
        <v>4</v>
      </c>
      <c r="AG494" s="4">
        <v>5</v>
      </c>
      <c r="AH494" s="4">
        <v>4</v>
      </c>
      <c r="AI494" s="4">
        <v>4</v>
      </c>
      <c r="AJ494" s="4">
        <v>9</v>
      </c>
      <c r="AK494" s="4">
        <v>10</v>
      </c>
      <c r="AL494" s="4">
        <v>2</v>
      </c>
      <c r="AM494" s="4">
        <v>2</v>
      </c>
      <c r="AN494" s="4">
        <v>0</v>
      </c>
      <c r="AO494" s="4">
        <v>0</v>
      </c>
      <c r="AP494" s="3" t="s">
        <v>58</v>
      </c>
      <c r="AQ494" s="3" t="s">
        <v>68</v>
      </c>
      <c r="AR494" s="6" t="str">
        <f>HYPERLINK("http://catalog.hathitrust.org/Record/002936569","HathiTrust Record")</f>
        <v>HathiTrust Record</v>
      </c>
      <c r="AS494" s="6" t="str">
        <f>HYPERLINK("https://creighton-primo.hosted.exlibrisgroup.com/primo-explore/search?tab=default_tab&amp;search_scope=EVERYTHING&amp;vid=01CRU&amp;lang=en_US&amp;offset=0&amp;query=any,contains,991002339189702656","Catalog Record")</f>
        <v>Catalog Record</v>
      </c>
      <c r="AT494" s="6" t="str">
        <f>HYPERLINK("http://www.worldcat.org/oclc/30439106","WorldCat Record")</f>
        <v>WorldCat Record</v>
      </c>
      <c r="AU494" s="3" t="s">
        <v>6286</v>
      </c>
      <c r="AV494" s="3" t="s">
        <v>6287</v>
      </c>
      <c r="AW494" s="3" t="s">
        <v>6288</v>
      </c>
      <c r="AX494" s="3" t="s">
        <v>6288</v>
      </c>
      <c r="AY494" s="3" t="s">
        <v>6289</v>
      </c>
      <c r="AZ494" s="3" t="s">
        <v>73</v>
      </c>
      <c r="BB494" s="3" t="s">
        <v>6290</v>
      </c>
      <c r="BC494" s="3" t="s">
        <v>6291</v>
      </c>
      <c r="BD494" s="3" t="s">
        <v>6292</v>
      </c>
    </row>
    <row r="495" spans="1:56" ht="51" customHeight="1" x14ac:dyDescent="0.25">
      <c r="A495" s="7" t="s">
        <v>58</v>
      </c>
      <c r="B495" s="2" t="s">
        <v>6293</v>
      </c>
      <c r="C495" s="2" t="s">
        <v>6294</v>
      </c>
      <c r="D495" s="2" t="s">
        <v>6295</v>
      </c>
      <c r="F495" s="3" t="s">
        <v>58</v>
      </c>
      <c r="G495" s="3" t="s">
        <v>59</v>
      </c>
      <c r="H495" s="3" t="s">
        <v>58</v>
      </c>
      <c r="I495" s="3" t="s">
        <v>58</v>
      </c>
      <c r="J495" s="3" t="s">
        <v>60</v>
      </c>
      <c r="K495" s="2" t="s">
        <v>6296</v>
      </c>
      <c r="L495" s="2" t="s">
        <v>6297</v>
      </c>
      <c r="M495" s="3" t="s">
        <v>4851</v>
      </c>
      <c r="N495" s="2" t="s">
        <v>6298</v>
      </c>
      <c r="O495" s="3" t="s">
        <v>63</v>
      </c>
      <c r="P495" s="3" t="s">
        <v>214</v>
      </c>
      <c r="Q495" s="2" t="s">
        <v>6299</v>
      </c>
      <c r="R495" s="3" t="s">
        <v>65</v>
      </c>
      <c r="S495" s="4">
        <v>4</v>
      </c>
      <c r="T495" s="4">
        <v>4</v>
      </c>
      <c r="U495" s="5" t="s">
        <v>6300</v>
      </c>
      <c r="V495" s="5" t="s">
        <v>6300</v>
      </c>
      <c r="W495" s="5" t="s">
        <v>6301</v>
      </c>
      <c r="X495" s="5" t="s">
        <v>6301</v>
      </c>
      <c r="Y495" s="4">
        <v>331</v>
      </c>
      <c r="Z495" s="4">
        <v>302</v>
      </c>
      <c r="AA495" s="4">
        <v>925</v>
      </c>
      <c r="AB495" s="4">
        <v>4</v>
      </c>
      <c r="AC495" s="4">
        <v>8</v>
      </c>
      <c r="AD495" s="4">
        <v>14</v>
      </c>
      <c r="AE495" s="4">
        <v>41</v>
      </c>
      <c r="AF495" s="4">
        <v>4</v>
      </c>
      <c r="AG495" s="4">
        <v>16</v>
      </c>
      <c r="AH495" s="4">
        <v>3</v>
      </c>
      <c r="AI495" s="4">
        <v>9</v>
      </c>
      <c r="AJ495" s="4">
        <v>8</v>
      </c>
      <c r="AK495" s="4">
        <v>16</v>
      </c>
      <c r="AL495" s="4">
        <v>3</v>
      </c>
      <c r="AM495" s="4">
        <v>6</v>
      </c>
      <c r="AN495" s="4">
        <v>0</v>
      </c>
      <c r="AO495" s="4">
        <v>5</v>
      </c>
      <c r="AP495" s="3" t="s">
        <v>58</v>
      </c>
      <c r="AQ495" s="3" t="s">
        <v>68</v>
      </c>
      <c r="AR495" s="6" t="str">
        <f>HYPERLINK("http://catalog.hathitrust.org/Record/001864802","HathiTrust Record")</f>
        <v>HathiTrust Record</v>
      </c>
      <c r="AS495" s="6" t="str">
        <f>HYPERLINK("https://creighton-primo.hosted.exlibrisgroup.com/primo-explore/search?tab=default_tab&amp;search_scope=EVERYTHING&amp;vid=01CRU&amp;lang=en_US&amp;offset=0&amp;query=any,contains,991003994779702656","Catalog Record")</f>
        <v>Catalog Record</v>
      </c>
      <c r="AT495" s="6" t="str">
        <f>HYPERLINK("http://www.worldcat.org/oclc/410743","WorldCat Record")</f>
        <v>WorldCat Record</v>
      </c>
      <c r="AU495" s="3" t="s">
        <v>6302</v>
      </c>
      <c r="AV495" s="3" t="s">
        <v>6303</v>
      </c>
      <c r="AW495" s="3" t="s">
        <v>6304</v>
      </c>
      <c r="AX495" s="3" t="s">
        <v>6304</v>
      </c>
      <c r="AY495" s="3" t="s">
        <v>6305</v>
      </c>
      <c r="AZ495" s="3" t="s">
        <v>73</v>
      </c>
      <c r="BC495" s="3" t="s">
        <v>6306</v>
      </c>
      <c r="BD495" s="3" t="s">
        <v>6307</v>
      </c>
    </row>
    <row r="496" spans="1:56" ht="51" customHeight="1" x14ac:dyDescent="0.25">
      <c r="A496" s="7" t="s">
        <v>58</v>
      </c>
      <c r="B496" s="2" t="s">
        <v>6308</v>
      </c>
      <c r="C496" s="2" t="s">
        <v>6309</v>
      </c>
      <c r="D496" s="2" t="s">
        <v>6310</v>
      </c>
      <c r="F496" s="3" t="s">
        <v>58</v>
      </c>
      <c r="G496" s="3" t="s">
        <v>59</v>
      </c>
      <c r="H496" s="3" t="s">
        <v>58</v>
      </c>
      <c r="I496" s="3" t="s">
        <v>58</v>
      </c>
      <c r="J496" s="3" t="s">
        <v>60</v>
      </c>
      <c r="L496" s="2" t="s">
        <v>6311</v>
      </c>
      <c r="M496" s="3" t="s">
        <v>800</v>
      </c>
      <c r="O496" s="3" t="s">
        <v>63</v>
      </c>
      <c r="P496" s="3" t="s">
        <v>214</v>
      </c>
      <c r="R496" s="3" t="s">
        <v>65</v>
      </c>
      <c r="S496" s="4">
        <v>5</v>
      </c>
      <c r="T496" s="4">
        <v>5</v>
      </c>
      <c r="U496" s="5" t="s">
        <v>6312</v>
      </c>
      <c r="V496" s="5" t="s">
        <v>6312</v>
      </c>
      <c r="W496" s="5" t="s">
        <v>6313</v>
      </c>
      <c r="X496" s="5" t="s">
        <v>6313</v>
      </c>
      <c r="Y496" s="4">
        <v>407</v>
      </c>
      <c r="Z496" s="4">
        <v>280</v>
      </c>
      <c r="AA496" s="4">
        <v>313</v>
      </c>
      <c r="AB496" s="4">
        <v>2</v>
      </c>
      <c r="AC496" s="4">
        <v>2</v>
      </c>
      <c r="AD496" s="4">
        <v>17</v>
      </c>
      <c r="AE496" s="4">
        <v>17</v>
      </c>
      <c r="AF496" s="4">
        <v>5</v>
      </c>
      <c r="AG496" s="4">
        <v>5</v>
      </c>
      <c r="AH496" s="4">
        <v>6</v>
      </c>
      <c r="AI496" s="4">
        <v>6</v>
      </c>
      <c r="AJ496" s="4">
        <v>11</v>
      </c>
      <c r="AK496" s="4">
        <v>11</v>
      </c>
      <c r="AL496" s="4">
        <v>1</v>
      </c>
      <c r="AM496" s="4">
        <v>1</v>
      </c>
      <c r="AN496" s="4">
        <v>0</v>
      </c>
      <c r="AO496" s="4">
        <v>0</v>
      </c>
      <c r="AP496" s="3" t="s">
        <v>58</v>
      </c>
      <c r="AQ496" s="3" t="s">
        <v>58</v>
      </c>
      <c r="AS496" s="6" t="str">
        <f>HYPERLINK("https://creighton-primo.hosted.exlibrisgroup.com/primo-explore/search?tab=default_tab&amp;search_scope=EVERYTHING&amp;vid=01CRU&amp;lang=en_US&amp;offset=0&amp;query=any,contains,991002362379702656","Catalog Record")</f>
        <v>Catalog Record</v>
      </c>
      <c r="AT496" s="6" t="str">
        <f>HYPERLINK("http://www.worldcat.org/oclc/30733539","WorldCat Record")</f>
        <v>WorldCat Record</v>
      </c>
      <c r="AU496" s="3" t="s">
        <v>6314</v>
      </c>
      <c r="AV496" s="3" t="s">
        <v>6315</v>
      </c>
      <c r="AW496" s="3" t="s">
        <v>6316</v>
      </c>
      <c r="AX496" s="3" t="s">
        <v>6316</v>
      </c>
      <c r="AY496" s="3" t="s">
        <v>6317</v>
      </c>
      <c r="AZ496" s="3" t="s">
        <v>73</v>
      </c>
      <c r="BB496" s="3" t="s">
        <v>6318</v>
      </c>
      <c r="BC496" s="3" t="s">
        <v>6319</v>
      </c>
      <c r="BD496" s="3" t="s">
        <v>6320</v>
      </c>
    </row>
    <row r="497" spans="1:56" ht="51" customHeight="1" x14ac:dyDescent="0.25">
      <c r="A497" s="7" t="s">
        <v>58</v>
      </c>
      <c r="B497" s="2" t="s">
        <v>6321</v>
      </c>
      <c r="C497" s="2" t="s">
        <v>6322</v>
      </c>
      <c r="D497" s="2" t="s">
        <v>6323</v>
      </c>
      <c r="F497" s="3" t="s">
        <v>58</v>
      </c>
      <c r="G497" s="3" t="s">
        <v>59</v>
      </c>
      <c r="H497" s="3" t="s">
        <v>58</v>
      </c>
      <c r="I497" s="3" t="s">
        <v>58</v>
      </c>
      <c r="J497" s="3" t="s">
        <v>60</v>
      </c>
      <c r="K497" s="2" t="s">
        <v>6324</v>
      </c>
      <c r="L497" s="2" t="s">
        <v>6325</v>
      </c>
      <c r="M497" s="3" t="s">
        <v>1784</v>
      </c>
      <c r="O497" s="3" t="s">
        <v>63</v>
      </c>
      <c r="P497" s="3" t="s">
        <v>214</v>
      </c>
      <c r="R497" s="3" t="s">
        <v>65</v>
      </c>
      <c r="S497" s="4">
        <v>2</v>
      </c>
      <c r="T497" s="4">
        <v>2</v>
      </c>
      <c r="U497" s="5" t="s">
        <v>6326</v>
      </c>
      <c r="V497" s="5" t="s">
        <v>6326</v>
      </c>
      <c r="W497" s="5" t="s">
        <v>5307</v>
      </c>
      <c r="X497" s="5" t="s">
        <v>5307</v>
      </c>
      <c r="Y497" s="4">
        <v>726</v>
      </c>
      <c r="Z497" s="4">
        <v>570</v>
      </c>
      <c r="AA497" s="4">
        <v>576</v>
      </c>
      <c r="AB497" s="4">
        <v>4</v>
      </c>
      <c r="AC497" s="4">
        <v>4</v>
      </c>
      <c r="AD497" s="4">
        <v>31</v>
      </c>
      <c r="AE497" s="4">
        <v>31</v>
      </c>
      <c r="AF497" s="4">
        <v>14</v>
      </c>
      <c r="AG497" s="4">
        <v>14</v>
      </c>
      <c r="AH497" s="4">
        <v>7</v>
      </c>
      <c r="AI497" s="4">
        <v>7</v>
      </c>
      <c r="AJ497" s="4">
        <v>18</v>
      </c>
      <c r="AK497" s="4">
        <v>18</v>
      </c>
      <c r="AL497" s="4">
        <v>3</v>
      </c>
      <c r="AM497" s="4">
        <v>3</v>
      </c>
      <c r="AN497" s="4">
        <v>0</v>
      </c>
      <c r="AO497" s="4">
        <v>0</v>
      </c>
      <c r="AP497" s="3" t="s">
        <v>58</v>
      </c>
      <c r="AQ497" s="3" t="s">
        <v>58</v>
      </c>
      <c r="AS497" s="6" t="str">
        <f>HYPERLINK("https://creighton-primo.hosted.exlibrisgroup.com/primo-explore/search?tab=default_tab&amp;search_scope=EVERYTHING&amp;vid=01CRU&amp;lang=en_US&amp;offset=0&amp;query=any,contains,991004764689702656","Catalog Record")</f>
        <v>Catalog Record</v>
      </c>
      <c r="AT497" s="6" t="str">
        <f>HYPERLINK("http://www.worldcat.org/oclc/5027487","WorldCat Record")</f>
        <v>WorldCat Record</v>
      </c>
      <c r="AU497" s="3" t="s">
        <v>6327</v>
      </c>
      <c r="AV497" s="3" t="s">
        <v>6328</v>
      </c>
      <c r="AW497" s="3" t="s">
        <v>6329</v>
      </c>
      <c r="AX497" s="3" t="s">
        <v>6329</v>
      </c>
      <c r="AY497" s="3" t="s">
        <v>6330</v>
      </c>
      <c r="AZ497" s="3" t="s">
        <v>73</v>
      </c>
      <c r="BB497" s="3" t="s">
        <v>6331</v>
      </c>
      <c r="BC497" s="3" t="s">
        <v>6332</v>
      </c>
      <c r="BD497" s="3" t="s">
        <v>6333</v>
      </c>
    </row>
    <row r="498" spans="1:56" ht="51" customHeight="1" x14ac:dyDescent="0.25">
      <c r="A498" s="7" t="s">
        <v>58</v>
      </c>
      <c r="B498" s="2" t="s">
        <v>6334</v>
      </c>
      <c r="C498" s="2" t="s">
        <v>6335</v>
      </c>
      <c r="D498" s="2" t="s">
        <v>6336</v>
      </c>
      <c r="F498" s="3" t="s">
        <v>58</v>
      </c>
      <c r="G498" s="3" t="s">
        <v>59</v>
      </c>
      <c r="H498" s="3" t="s">
        <v>58</v>
      </c>
      <c r="I498" s="3" t="s">
        <v>58</v>
      </c>
      <c r="J498" s="3" t="s">
        <v>60</v>
      </c>
      <c r="K498" s="2" t="s">
        <v>6337</v>
      </c>
      <c r="L498" s="2" t="s">
        <v>6338</v>
      </c>
      <c r="M498" s="3" t="s">
        <v>855</v>
      </c>
      <c r="O498" s="3" t="s">
        <v>63</v>
      </c>
      <c r="P498" s="3" t="s">
        <v>214</v>
      </c>
      <c r="R498" s="3" t="s">
        <v>65</v>
      </c>
      <c r="S498" s="4">
        <v>9</v>
      </c>
      <c r="T498" s="4">
        <v>9</v>
      </c>
      <c r="U498" s="5" t="s">
        <v>6117</v>
      </c>
      <c r="V498" s="5" t="s">
        <v>6117</v>
      </c>
      <c r="W498" s="5" t="s">
        <v>6339</v>
      </c>
      <c r="X498" s="5" t="s">
        <v>6339</v>
      </c>
      <c r="Y498" s="4">
        <v>936</v>
      </c>
      <c r="Z498" s="4">
        <v>828</v>
      </c>
      <c r="AA498" s="4">
        <v>903</v>
      </c>
      <c r="AB498" s="4">
        <v>6</v>
      </c>
      <c r="AC498" s="4">
        <v>9</v>
      </c>
      <c r="AD498" s="4">
        <v>35</v>
      </c>
      <c r="AE498" s="4">
        <v>39</v>
      </c>
      <c r="AF498" s="4">
        <v>16</v>
      </c>
      <c r="AG498" s="4">
        <v>17</v>
      </c>
      <c r="AH498" s="4">
        <v>7</v>
      </c>
      <c r="AI498" s="4">
        <v>8</v>
      </c>
      <c r="AJ498" s="4">
        <v>19</v>
      </c>
      <c r="AK498" s="4">
        <v>19</v>
      </c>
      <c r="AL498" s="4">
        <v>4</v>
      </c>
      <c r="AM498" s="4">
        <v>6</v>
      </c>
      <c r="AN498" s="4">
        <v>0</v>
      </c>
      <c r="AO498" s="4">
        <v>0</v>
      </c>
      <c r="AP498" s="3" t="s">
        <v>58</v>
      </c>
      <c r="AQ498" s="3" t="s">
        <v>68</v>
      </c>
      <c r="AR498" s="6" t="str">
        <f>HYPERLINK("http://catalog.hathitrust.org/Record/002782033","HathiTrust Record")</f>
        <v>HathiTrust Record</v>
      </c>
      <c r="AS498" s="6" t="str">
        <f>HYPERLINK("https://creighton-primo.hosted.exlibrisgroup.com/primo-explore/search?tab=default_tab&amp;search_scope=EVERYTHING&amp;vid=01CRU&amp;lang=en_US&amp;offset=0&amp;query=any,contains,991002108849702656","Catalog Record")</f>
        <v>Catalog Record</v>
      </c>
      <c r="AT498" s="6" t="str">
        <f>HYPERLINK("http://www.worldcat.org/oclc/27035183","WorldCat Record")</f>
        <v>WorldCat Record</v>
      </c>
      <c r="AU498" s="3" t="s">
        <v>6340</v>
      </c>
      <c r="AV498" s="3" t="s">
        <v>6341</v>
      </c>
      <c r="AW498" s="3" t="s">
        <v>6342</v>
      </c>
      <c r="AX498" s="3" t="s">
        <v>6342</v>
      </c>
      <c r="AY498" s="3" t="s">
        <v>6343</v>
      </c>
      <c r="AZ498" s="3" t="s">
        <v>73</v>
      </c>
      <c r="BB498" s="3" t="s">
        <v>6344</v>
      </c>
      <c r="BC498" s="3" t="s">
        <v>6345</v>
      </c>
      <c r="BD498" s="3" t="s">
        <v>6346</v>
      </c>
    </row>
    <row r="499" spans="1:56" ht="51" customHeight="1" x14ac:dyDescent="0.25">
      <c r="A499" s="7" t="s">
        <v>58</v>
      </c>
      <c r="B499" s="2" t="s">
        <v>6347</v>
      </c>
      <c r="C499" s="2" t="s">
        <v>6348</v>
      </c>
      <c r="D499" s="2" t="s">
        <v>6349</v>
      </c>
      <c r="F499" s="3" t="s">
        <v>58</v>
      </c>
      <c r="G499" s="3" t="s">
        <v>59</v>
      </c>
      <c r="H499" s="3" t="s">
        <v>58</v>
      </c>
      <c r="I499" s="3" t="s">
        <v>58</v>
      </c>
      <c r="J499" s="3" t="s">
        <v>60</v>
      </c>
      <c r="K499" s="2" t="s">
        <v>6350</v>
      </c>
      <c r="L499" s="2" t="s">
        <v>6351</v>
      </c>
      <c r="M499" s="3" t="s">
        <v>423</v>
      </c>
      <c r="O499" s="3" t="s">
        <v>63</v>
      </c>
      <c r="P499" s="3" t="s">
        <v>214</v>
      </c>
      <c r="R499" s="3" t="s">
        <v>65</v>
      </c>
      <c r="S499" s="4">
        <v>1</v>
      </c>
      <c r="T499" s="4">
        <v>1</v>
      </c>
      <c r="U499" s="5" t="s">
        <v>2563</v>
      </c>
      <c r="V499" s="5" t="s">
        <v>2563</v>
      </c>
      <c r="W499" s="5" t="s">
        <v>6352</v>
      </c>
      <c r="X499" s="5" t="s">
        <v>6352</v>
      </c>
      <c r="Y499" s="4">
        <v>316</v>
      </c>
      <c r="Z499" s="4">
        <v>254</v>
      </c>
      <c r="AA499" s="4">
        <v>254</v>
      </c>
      <c r="AB499" s="4">
        <v>2</v>
      </c>
      <c r="AC499" s="4">
        <v>2</v>
      </c>
      <c r="AD499" s="4">
        <v>13</v>
      </c>
      <c r="AE499" s="4">
        <v>13</v>
      </c>
      <c r="AF499" s="4">
        <v>4</v>
      </c>
      <c r="AG499" s="4">
        <v>4</v>
      </c>
      <c r="AH499" s="4">
        <v>4</v>
      </c>
      <c r="AI499" s="4">
        <v>4</v>
      </c>
      <c r="AJ499" s="4">
        <v>9</v>
      </c>
      <c r="AK499" s="4">
        <v>9</v>
      </c>
      <c r="AL499" s="4">
        <v>1</v>
      </c>
      <c r="AM499" s="4">
        <v>1</v>
      </c>
      <c r="AN499" s="4">
        <v>0</v>
      </c>
      <c r="AO499" s="4">
        <v>0</v>
      </c>
      <c r="AP499" s="3" t="s">
        <v>58</v>
      </c>
      <c r="AQ499" s="3" t="s">
        <v>58</v>
      </c>
      <c r="AS499" s="6" t="str">
        <f>HYPERLINK("https://creighton-primo.hosted.exlibrisgroup.com/primo-explore/search?tab=default_tab&amp;search_scope=EVERYTHING&amp;vid=01CRU&amp;lang=en_US&amp;offset=0&amp;query=any,contains,991002776639702656","Catalog Record")</f>
        <v>Catalog Record</v>
      </c>
      <c r="AT499" s="6" t="str">
        <f>HYPERLINK("http://www.worldcat.org/oclc/36461619","WorldCat Record")</f>
        <v>WorldCat Record</v>
      </c>
      <c r="AU499" s="3" t="s">
        <v>6353</v>
      </c>
      <c r="AV499" s="3" t="s">
        <v>6354</v>
      </c>
      <c r="AW499" s="3" t="s">
        <v>6355</v>
      </c>
      <c r="AX499" s="3" t="s">
        <v>6355</v>
      </c>
      <c r="AY499" s="3" t="s">
        <v>6356</v>
      </c>
      <c r="AZ499" s="3" t="s">
        <v>73</v>
      </c>
      <c r="BB499" s="3" t="s">
        <v>6357</v>
      </c>
      <c r="BC499" s="3" t="s">
        <v>6358</v>
      </c>
      <c r="BD499" s="3" t="s">
        <v>6359</v>
      </c>
    </row>
    <row r="500" spans="1:56" ht="51" customHeight="1" x14ac:dyDescent="0.25">
      <c r="A500" s="7" t="s">
        <v>58</v>
      </c>
      <c r="B500" s="2" t="s">
        <v>6360</v>
      </c>
      <c r="C500" s="2" t="s">
        <v>6361</v>
      </c>
      <c r="D500" s="2" t="s">
        <v>6362</v>
      </c>
      <c r="F500" s="3" t="s">
        <v>58</v>
      </c>
      <c r="G500" s="3" t="s">
        <v>59</v>
      </c>
      <c r="H500" s="3" t="s">
        <v>58</v>
      </c>
      <c r="I500" s="3" t="s">
        <v>58</v>
      </c>
      <c r="J500" s="3" t="s">
        <v>60</v>
      </c>
      <c r="K500" s="2" t="s">
        <v>6363</v>
      </c>
      <c r="L500" s="2" t="s">
        <v>6364</v>
      </c>
      <c r="M500" s="3" t="s">
        <v>353</v>
      </c>
      <c r="O500" s="3" t="s">
        <v>63</v>
      </c>
      <c r="P500" s="3" t="s">
        <v>214</v>
      </c>
      <c r="Q500" s="2" t="s">
        <v>6365</v>
      </c>
      <c r="R500" s="3" t="s">
        <v>65</v>
      </c>
      <c r="S500" s="4">
        <v>1</v>
      </c>
      <c r="T500" s="4">
        <v>1</v>
      </c>
      <c r="U500" s="5" t="s">
        <v>6366</v>
      </c>
      <c r="V500" s="5" t="s">
        <v>6366</v>
      </c>
      <c r="W500" s="5" t="s">
        <v>6366</v>
      </c>
      <c r="X500" s="5" t="s">
        <v>6366</v>
      </c>
      <c r="Y500" s="4">
        <v>760</v>
      </c>
      <c r="Z500" s="4">
        <v>623</v>
      </c>
      <c r="AA500" s="4">
        <v>652</v>
      </c>
      <c r="AB500" s="4">
        <v>2</v>
      </c>
      <c r="AC500" s="4">
        <v>2</v>
      </c>
      <c r="AD500" s="4">
        <v>27</v>
      </c>
      <c r="AE500" s="4">
        <v>28</v>
      </c>
      <c r="AF500" s="4">
        <v>10</v>
      </c>
      <c r="AG500" s="4">
        <v>11</v>
      </c>
      <c r="AH500" s="4">
        <v>10</v>
      </c>
      <c r="AI500" s="4">
        <v>10</v>
      </c>
      <c r="AJ500" s="4">
        <v>15</v>
      </c>
      <c r="AK500" s="4">
        <v>15</v>
      </c>
      <c r="AL500" s="4">
        <v>1</v>
      </c>
      <c r="AM500" s="4">
        <v>1</v>
      </c>
      <c r="AN500" s="4">
        <v>0</v>
      </c>
      <c r="AO500" s="4">
        <v>0</v>
      </c>
      <c r="AP500" s="3" t="s">
        <v>58</v>
      </c>
      <c r="AQ500" s="3" t="s">
        <v>58</v>
      </c>
      <c r="AS500" s="6" t="str">
        <f>HYPERLINK("https://creighton-primo.hosted.exlibrisgroup.com/primo-explore/search?tab=default_tab&amp;search_scope=EVERYTHING&amp;vid=01CRU&amp;lang=en_US&amp;offset=0&amp;query=any,contains,991003995309702656","Catalog Record")</f>
        <v>Catalog Record</v>
      </c>
      <c r="AT500" s="6" t="str">
        <f>HYPERLINK("http://www.worldcat.org/oclc/15016501","WorldCat Record")</f>
        <v>WorldCat Record</v>
      </c>
      <c r="AU500" s="3" t="s">
        <v>6367</v>
      </c>
      <c r="AV500" s="3" t="s">
        <v>6368</v>
      </c>
      <c r="AW500" s="3" t="s">
        <v>6369</v>
      </c>
      <c r="AX500" s="3" t="s">
        <v>6369</v>
      </c>
      <c r="AY500" s="3" t="s">
        <v>6370</v>
      </c>
      <c r="AZ500" s="3" t="s">
        <v>73</v>
      </c>
      <c r="BB500" s="3" t="s">
        <v>6371</v>
      </c>
      <c r="BC500" s="3" t="s">
        <v>6372</v>
      </c>
      <c r="BD500" s="3" t="s">
        <v>6373</v>
      </c>
    </row>
    <row r="501" spans="1:56" ht="51" customHeight="1" x14ac:dyDescent="0.25">
      <c r="A501" s="7" t="s">
        <v>58</v>
      </c>
      <c r="B501" s="2" t="s">
        <v>6374</v>
      </c>
      <c r="C501" s="2" t="s">
        <v>6375</v>
      </c>
      <c r="D501" s="2" t="s">
        <v>6376</v>
      </c>
      <c r="F501" s="3" t="s">
        <v>58</v>
      </c>
      <c r="G501" s="3" t="s">
        <v>59</v>
      </c>
      <c r="H501" s="3" t="s">
        <v>58</v>
      </c>
      <c r="I501" s="3" t="s">
        <v>58</v>
      </c>
      <c r="J501" s="3" t="s">
        <v>60</v>
      </c>
      <c r="K501" s="2" t="s">
        <v>6377</v>
      </c>
      <c r="L501" s="2" t="s">
        <v>6378</v>
      </c>
      <c r="M501" s="3" t="s">
        <v>1784</v>
      </c>
      <c r="O501" s="3" t="s">
        <v>63</v>
      </c>
      <c r="P501" s="3" t="s">
        <v>214</v>
      </c>
      <c r="R501" s="3" t="s">
        <v>65</v>
      </c>
      <c r="S501" s="4">
        <v>2</v>
      </c>
      <c r="T501" s="4">
        <v>2</v>
      </c>
      <c r="U501" s="5" t="s">
        <v>6379</v>
      </c>
      <c r="V501" s="5" t="s">
        <v>6379</v>
      </c>
      <c r="W501" s="5" t="s">
        <v>5307</v>
      </c>
      <c r="X501" s="5" t="s">
        <v>5307</v>
      </c>
      <c r="Y501" s="4">
        <v>728</v>
      </c>
      <c r="Z501" s="4">
        <v>649</v>
      </c>
      <c r="AA501" s="4">
        <v>871</v>
      </c>
      <c r="AB501" s="4">
        <v>4</v>
      </c>
      <c r="AC501" s="4">
        <v>5</v>
      </c>
      <c r="AD501" s="4">
        <v>25</v>
      </c>
      <c r="AE501" s="4">
        <v>30</v>
      </c>
      <c r="AF501" s="4">
        <v>13</v>
      </c>
      <c r="AG501" s="4">
        <v>14</v>
      </c>
      <c r="AH501" s="4">
        <v>6</v>
      </c>
      <c r="AI501" s="4">
        <v>7</v>
      </c>
      <c r="AJ501" s="4">
        <v>11</v>
      </c>
      <c r="AK501" s="4">
        <v>15</v>
      </c>
      <c r="AL501" s="4">
        <v>2</v>
      </c>
      <c r="AM501" s="4">
        <v>2</v>
      </c>
      <c r="AN501" s="4">
        <v>0</v>
      </c>
      <c r="AO501" s="4">
        <v>0</v>
      </c>
      <c r="AP501" s="3" t="s">
        <v>58</v>
      </c>
      <c r="AQ501" s="3" t="s">
        <v>58</v>
      </c>
      <c r="AS501" s="6" t="str">
        <f>HYPERLINK("https://creighton-primo.hosted.exlibrisgroup.com/primo-explore/search?tab=default_tab&amp;search_scope=EVERYTHING&amp;vid=01CRU&amp;lang=en_US&amp;offset=0&amp;query=any,contains,991004736379702656","Catalog Record")</f>
        <v>Catalog Record</v>
      </c>
      <c r="AT501" s="6" t="str">
        <f>HYPERLINK("http://www.worldcat.org/oclc/4857796","WorldCat Record")</f>
        <v>WorldCat Record</v>
      </c>
      <c r="AU501" s="3" t="s">
        <v>6380</v>
      </c>
      <c r="AV501" s="3" t="s">
        <v>6381</v>
      </c>
      <c r="AW501" s="3" t="s">
        <v>6382</v>
      </c>
      <c r="AX501" s="3" t="s">
        <v>6382</v>
      </c>
      <c r="AY501" s="3" t="s">
        <v>6383</v>
      </c>
      <c r="AZ501" s="3" t="s">
        <v>73</v>
      </c>
      <c r="BB501" s="3" t="s">
        <v>6384</v>
      </c>
      <c r="BC501" s="3" t="s">
        <v>6385</v>
      </c>
      <c r="BD501" s="3" t="s">
        <v>6386</v>
      </c>
    </row>
    <row r="502" spans="1:56" ht="51" customHeight="1" x14ac:dyDescent="0.25">
      <c r="A502" s="7" t="s">
        <v>58</v>
      </c>
      <c r="B502" s="2" t="s">
        <v>6387</v>
      </c>
      <c r="C502" s="2" t="s">
        <v>6388</v>
      </c>
      <c r="D502" s="2" t="s">
        <v>6389</v>
      </c>
      <c r="F502" s="3" t="s">
        <v>58</v>
      </c>
      <c r="G502" s="3" t="s">
        <v>59</v>
      </c>
      <c r="H502" s="3" t="s">
        <v>58</v>
      </c>
      <c r="I502" s="3" t="s">
        <v>58</v>
      </c>
      <c r="J502" s="3" t="s">
        <v>60</v>
      </c>
      <c r="L502" s="2" t="s">
        <v>6390</v>
      </c>
      <c r="M502" s="3" t="s">
        <v>2295</v>
      </c>
      <c r="O502" s="3" t="s">
        <v>554</v>
      </c>
      <c r="P502" s="3" t="s">
        <v>555</v>
      </c>
      <c r="R502" s="3" t="s">
        <v>65</v>
      </c>
      <c r="S502" s="4">
        <v>1</v>
      </c>
      <c r="T502" s="4">
        <v>1</v>
      </c>
      <c r="U502" s="5" t="s">
        <v>6391</v>
      </c>
      <c r="V502" s="5" t="s">
        <v>6391</v>
      </c>
      <c r="W502" s="5" t="s">
        <v>6391</v>
      </c>
      <c r="X502" s="5" t="s">
        <v>6391</v>
      </c>
      <c r="Y502" s="4">
        <v>140</v>
      </c>
      <c r="Z502" s="4">
        <v>35</v>
      </c>
      <c r="AA502" s="4">
        <v>38</v>
      </c>
      <c r="AB502" s="4">
        <v>1</v>
      </c>
      <c r="AC502" s="4">
        <v>1</v>
      </c>
      <c r="AD502" s="4">
        <v>0</v>
      </c>
      <c r="AE502" s="4">
        <v>0</v>
      </c>
      <c r="AF502" s="4">
        <v>0</v>
      </c>
      <c r="AG502" s="4">
        <v>0</v>
      </c>
      <c r="AH502" s="4">
        <v>0</v>
      </c>
      <c r="AI502" s="4">
        <v>0</v>
      </c>
      <c r="AJ502" s="4">
        <v>0</v>
      </c>
      <c r="AK502" s="4">
        <v>0</v>
      </c>
      <c r="AL502" s="4">
        <v>0</v>
      </c>
      <c r="AM502" s="4">
        <v>0</v>
      </c>
      <c r="AN502" s="4">
        <v>0</v>
      </c>
      <c r="AO502" s="4">
        <v>0</v>
      </c>
      <c r="AP502" s="3" t="s">
        <v>58</v>
      </c>
      <c r="AQ502" s="3" t="s">
        <v>58</v>
      </c>
      <c r="AS502" s="6" t="str">
        <f>HYPERLINK("https://creighton-primo.hosted.exlibrisgroup.com/primo-explore/search?tab=default_tab&amp;search_scope=EVERYTHING&amp;vid=01CRU&amp;lang=en_US&amp;offset=0&amp;query=any,contains,991004133719702656","Catalog Record")</f>
        <v>Catalog Record</v>
      </c>
      <c r="AT502" s="6" t="str">
        <f>HYPERLINK("http://www.worldcat.org/oclc/52048365","WorldCat Record")</f>
        <v>WorldCat Record</v>
      </c>
      <c r="AU502" s="3" t="s">
        <v>6392</v>
      </c>
      <c r="AV502" s="3" t="s">
        <v>6393</v>
      </c>
      <c r="AW502" s="3" t="s">
        <v>6394</v>
      </c>
      <c r="AX502" s="3" t="s">
        <v>6394</v>
      </c>
      <c r="AY502" s="3" t="s">
        <v>6395</v>
      </c>
      <c r="AZ502" s="3" t="s">
        <v>73</v>
      </c>
      <c r="BB502" s="3" t="s">
        <v>6396</v>
      </c>
      <c r="BC502" s="3" t="s">
        <v>6397</v>
      </c>
      <c r="BD502" s="3" t="s">
        <v>6398</v>
      </c>
    </row>
    <row r="503" spans="1:56" ht="51" customHeight="1" x14ac:dyDescent="0.25">
      <c r="A503" s="7" t="s">
        <v>58</v>
      </c>
      <c r="B503" s="2" t="s">
        <v>6399</v>
      </c>
      <c r="C503" s="2" t="s">
        <v>6400</v>
      </c>
      <c r="D503" s="2" t="s">
        <v>6401</v>
      </c>
      <c r="F503" s="3" t="s">
        <v>58</v>
      </c>
      <c r="G503" s="3" t="s">
        <v>59</v>
      </c>
      <c r="H503" s="3" t="s">
        <v>58</v>
      </c>
      <c r="I503" s="3" t="s">
        <v>58</v>
      </c>
      <c r="J503" s="3" t="s">
        <v>60</v>
      </c>
      <c r="K503" s="2" t="s">
        <v>6402</v>
      </c>
      <c r="L503" s="2" t="s">
        <v>6403</v>
      </c>
      <c r="M503" s="3" t="s">
        <v>423</v>
      </c>
      <c r="N503" s="2" t="s">
        <v>6404</v>
      </c>
      <c r="O503" s="3" t="s">
        <v>63</v>
      </c>
      <c r="P503" s="3" t="s">
        <v>555</v>
      </c>
      <c r="R503" s="3" t="s">
        <v>65</v>
      </c>
      <c r="S503" s="4">
        <v>2</v>
      </c>
      <c r="T503" s="4">
        <v>2</v>
      </c>
      <c r="U503" s="5" t="s">
        <v>6405</v>
      </c>
      <c r="V503" s="5" t="s">
        <v>6405</v>
      </c>
      <c r="W503" s="5" t="s">
        <v>6406</v>
      </c>
      <c r="X503" s="5" t="s">
        <v>6406</v>
      </c>
      <c r="Y503" s="4">
        <v>167</v>
      </c>
      <c r="Z503" s="4">
        <v>146</v>
      </c>
      <c r="AA503" s="4">
        <v>149</v>
      </c>
      <c r="AB503" s="4">
        <v>3</v>
      </c>
      <c r="AC503" s="4">
        <v>3</v>
      </c>
      <c r="AD503" s="4">
        <v>7</v>
      </c>
      <c r="AE503" s="4">
        <v>7</v>
      </c>
      <c r="AF503" s="4">
        <v>2</v>
      </c>
      <c r="AG503" s="4">
        <v>2</v>
      </c>
      <c r="AH503" s="4">
        <v>2</v>
      </c>
      <c r="AI503" s="4">
        <v>2</v>
      </c>
      <c r="AJ503" s="4">
        <v>2</v>
      </c>
      <c r="AK503" s="4">
        <v>2</v>
      </c>
      <c r="AL503" s="4">
        <v>2</v>
      </c>
      <c r="AM503" s="4">
        <v>2</v>
      </c>
      <c r="AN503" s="4">
        <v>0</v>
      </c>
      <c r="AO503" s="4">
        <v>0</v>
      </c>
      <c r="AP503" s="3" t="s">
        <v>58</v>
      </c>
      <c r="AQ503" s="3" t="s">
        <v>58</v>
      </c>
      <c r="AS503" s="6" t="str">
        <f>HYPERLINK("https://creighton-primo.hosted.exlibrisgroup.com/primo-explore/search?tab=default_tab&amp;search_scope=EVERYTHING&amp;vid=01CRU&amp;lang=en_US&amp;offset=0&amp;query=any,contains,991004370209702656","Catalog Record")</f>
        <v>Catalog Record</v>
      </c>
      <c r="AT503" s="6" t="str">
        <f>HYPERLINK("http://www.worldcat.org/oclc/40478319","WorldCat Record")</f>
        <v>WorldCat Record</v>
      </c>
      <c r="AU503" s="3" t="s">
        <v>6407</v>
      </c>
      <c r="AV503" s="3" t="s">
        <v>6408</v>
      </c>
      <c r="AW503" s="3" t="s">
        <v>6409</v>
      </c>
      <c r="AX503" s="3" t="s">
        <v>6409</v>
      </c>
      <c r="AY503" s="3" t="s">
        <v>6410</v>
      </c>
      <c r="AZ503" s="3" t="s">
        <v>73</v>
      </c>
      <c r="BB503" s="3" t="s">
        <v>6411</v>
      </c>
      <c r="BC503" s="3" t="s">
        <v>6412</v>
      </c>
      <c r="BD503" s="3" t="s">
        <v>6413</v>
      </c>
    </row>
    <row r="504" spans="1:56" ht="51" customHeight="1" x14ac:dyDescent="0.25">
      <c r="A504" s="7" t="s">
        <v>58</v>
      </c>
      <c r="B504" s="2" t="s">
        <v>6414</v>
      </c>
      <c r="C504" s="2" t="s">
        <v>6415</v>
      </c>
      <c r="D504" s="2" t="s">
        <v>6416</v>
      </c>
      <c r="F504" s="3" t="s">
        <v>58</v>
      </c>
      <c r="G504" s="3" t="s">
        <v>59</v>
      </c>
      <c r="H504" s="3" t="s">
        <v>58</v>
      </c>
      <c r="I504" s="3" t="s">
        <v>58</v>
      </c>
      <c r="J504" s="3" t="s">
        <v>60</v>
      </c>
      <c r="K504" s="2" t="s">
        <v>6417</v>
      </c>
      <c r="L504" s="2" t="s">
        <v>6418</v>
      </c>
      <c r="M504" s="3" t="s">
        <v>261</v>
      </c>
      <c r="O504" s="3" t="s">
        <v>63</v>
      </c>
      <c r="P504" s="3" t="s">
        <v>510</v>
      </c>
      <c r="R504" s="3" t="s">
        <v>65</v>
      </c>
      <c r="S504" s="4">
        <v>2</v>
      </c>
      <c r="T504" s="4">
        <v>2</v>
      </c>
      <c r="U504" s="5" t="s">
        <v>6419</v>
      </c>
      <c r="V504" s="5" t="s">
        <v>6419</v>
      </c>
      <c r="W504" s="5" t="s">
        <v>540</v>
      </c>
      <c r="X504" s="5" t="s">
        <v>540</v>
      </c>
      <c r="Y504" s="4">
        <v>87</v>
      </c>
      <c r="Z504" s="4">
        <v>78</v>
      </c>
      <c r="AA504" s="4">
        <v>79</v>
      </c>
      <c r="AB504" s="4">
        <v>1</v>
      </c>
      <c r="AC504" s="4">
        <v>1</v>
      </c>
      <c r="AD504" s="4">
        <v>2</v>
      </c>
      <c r="AE504" s="4">
        <v>2</v>
      </c>
      <c r="AF504" s="4">
        <v>1</v>
      </c>
      <c r="AG504" s="4">
        <v>1</v>
      </c>
      <c r="AH504" s="4">
        <v>1</v>
      </c>
      <c r="AI504" s="4">
        <v>1</v>
      </c>
      <c r="AJ504" s="4">
        <v>2</v>
      </c>
      <c r="AK504" s="4">
        <v>2</v>
      </c>
      <c r="AL504" s="4">
        <v>0</v>
      </c>
      <c r="AM504" s="4">
        <v>0</v>
      </c>
      <c r="AN504" s="4">
        <v>0</v>
      </c>
      <c r="AO504" s="4">
        <v>0</v>
      </c>
      <c r="AP504" s="3" t="s">
        <v>58</v>
      </c>
      <c r="AQ504" s="3" t="s">
        <v>58</v>
      </c>
      <c r="AS504" s="6" t="str">
        <f>HYPERLINK("https://creighton-primo.hosted.exlibrisgroup.com/primo-explore/search?tab=default_tab&amp;search_scope=EVERYTHING&amp;vid=01CRU&amp;lang=en_US&amp;offset=0&amp;query=any,contains,991003805929702656","Catalog Record")</f>
        <v>Catalog Record</v>
      </c>
      <c r="AT504" s="6" t="str">
        <f>HYPERLINK("http://www.worldcat.org/oclc/1530668","WorldCat Record")</f>
        <v>WorldCat Record</v>
      </c>
      <c r="AU504" s="3" t="s">
        <v>6420</v>
      </c>
      <c r="AV504" s="3" t="s">
        <v>6421</v>
      </c>
      <c r="AW504" s="3" t="s">
        <v>6422</v>
      </c>
      <c r="AX504" s="3" t="s">
        <v>6422</v>
      </c>
      <c r="AY504" s="3" t="s">
        <v>6423</v>
      </c>
      <c r="AZ504" s="3" t="s">
        <v>73</v>
      </c>
      <c r="BB504" s="3" t="s">
        <v>6424</v>
      </c>
      <c r="BC504" s="3" t="s">
        <v>6425</v>
      </c>
      <c r="BD504" s="3" t="s">
        <v>6426</v>
      </c>
    </row>
    <row r="505" spans="1:56" ht="51" customHeight="1" x14ac:dyDescent="0.25">
      <c r="A505" s="7" t="s">
        <v>58</v>
      </c>
      <c r="B505" s="2" t="s">
        <v>6427</v>
      </c>
      <c r="C505" s="2" t="s">
        <v>6428</v>
      </c>
      <c r="D505" s="2" t="s">
        <v>6429</v>
      </c>
      <c r="F505" s="3" t="s">
        <v>58</v>
      </c>
      <c r="G505" s="3" t="s">
        <v>59</v>
      </c>
      <c r="H505" s="3" t="s">
        <v>58</v>
      </c>
      <c r="I505" s="3" t="s">
        <v>58</v>
      </c>
      <c r="J505" s="3" t="s">
        <v>60</v>
      </c>
      <c r="L505" s="2" t="s">
        <v>6430</v>
      </c>
      <c r="M505" s="3" t="s">
        <v>2214</v>
      </c>
      <c r="O505" s="3" t="s">
        <v>63</v>
      </c>
      <c r="P505" s="3" t="s">
        <v>584</v>
      </c>
      <c r="R505" s="3" t="s">
        <v>65</v>
      </c>
      <c r="S505" s="4">
        <v>1</v>
      </c>
      <c r="T505" s="4">
        <v>1</v>
      </c>
      <c r="U505" s="5" t="s">
        <v>6431</v>
      </c>
      <c r="V505" s="5" t="s">
        <v>6431</v>
      </c>
      <c r="W505" s="5" t="s">
        <v>6431</v>
      </c>
      <c r="X505" s="5" t="s">
        <v>6431</v>
      </c>
      <c r="Y505" s="4">
        <v>454</v>
      </c>
      <c r="Z505" s="4">
        <v>365</v>
      </c>
      <c r="AA505" s="4">
        <v>855</v>
      </c>
      <c r="AB505" s="4">
        <v>2</v>
      </c>
      <c r="AC505" s="4">
        <v>16</v>
      </c>
      <c r="AD505" s="4">
        <v>26</v>
      </c>
      <c r="AE505" s="4">
        <v>38</v>
      </c>
      <c r="AF505" s="4">
        <v>15</v>
      </c>
      <c r="AG505" s="4">
        <v>18</v>
      </c>
      <c r="AH505" s="4">
        <v>7</v>
      </c>
      <c r="AI505" s="4">
        <v>9</v>
      </c>
      <c r="AJ505" s="4">
        <v>12</v>
      </c>
      <c r="AK505" s="4">
        <v>14</v>
      </c>
      <c r="AL505" s="4">
        <v>1</v>
      </c>
      <c r="AM505" s="4">
        <v>8</v>
      </c>
      <c r="AN505" s="4">
        <v>0</v>
      </c>
      <c r="AO505" s="4">
        <v>0</v>
      </c>
      <c r="AP505" s="3" t="s">
        <v>58</v>
      </c>
      <c r="AQ505" s="3" t="s">
        <v>68</v>
      </c>
      <c r="AR505" s="6" t="str">
        <f>HYPERLINK("http://catalog.hathitrust.org/Record/004959371","HathiTrust Record")</f>
        <v>HathiTrust Record</v>
      </c>
      <c r="AS505" s="6" t="str">
        <f>HYPERLINK("https://creighton-primo.hosted.exlibrisgroup.com/primo-explore/search?tab=default_tab&amp;search_scope=EVERYTHING&amp;vid=01CRU&amp;lang=en_US&amp;offset=0&amp;query=any,contains,991005030949702656","Catalog Record")</f>
        <v>Catalog Record</v>
      </c>
      <c r="AT505" s="6" t="str">
        <f>HYPERLINK("http://www.worldcat.org/oclc/54046409","WorldCat Record")</f>
        <v>WorldCat Record</v>
      </c>
      <c r="AU505" s="3" t="s">
        <v>6432</v>
      </c>
      <c r="AV505" s="3" t="s">
        <v>6433</v>
      </c>
      <c r="AW505" s="3" t="s">
        <v>6434</v>
      </c>
      <c r="AX505" s="3" t="s">
        <v>6434</v>
      </c>
      <c r="AY505" s="3" t="s">
        <v>6435</v>
      </c>
      <c r="AZ505" s="3" t="s">
        <v>73</v>
      </c>
      <c r="BB505" s="3" t="s">
        <v>6436</v>
      </c>
      <c r="BC505" s="3" t="s">
        <v>6437</v>
      </c>
      <c r="BD505" s="3" t="s">
        <v>6438</v>
      </c>
    </row>
    <row r="506" spans="1:56" ht="51" customHeight="1" x14ac:dyDescent="0.25">
      <c r="A506" s="7" t="s">
        <v>58</v>
      </c>
      <c r="B506" s="2" t="s">
        <v>6439</v>
      </c>
      <c r="C506" s="2" t="s">
        <v>6440</v>
      </c>
      <c r="D506" s="2" t="s">
        <v>6441</v>
      </c>
      <c r="F506" s="3" t="s">
        <v>58</v>
      </c>
      <c r="G506" s="3" t="s">
        <v>59</v>
      </c>
      <c r="H506" s="3" t="s">
        <v>58</v>
      </c>
      <c r="I506" s="3" t="s">
        <v>58</v>
      </c>
      <c r="J506" s="3" t="s">
        <v>60</v>
      </c>
      <c r="K506" s="2" t="s">
        <v>6442</v>
      </c>
      <c r="L506" s="2" t="s">
        <v>6443</v>
      </c>
      <c r="M506" s="3" t="s">
        <v>83</v>
      </c>
      <c r="O506" s="3" t="s">
        <v>63</v>
      </c>
      <c r="P506" s="3" t="s">
        <v>584</v>
      </c>
      <c r="Q506" s="2" t="s">
        <v>6444</v>
      </c>
      <c r="R506" s="3" t="s">
        <v>65</v>
      </c>
      <c r="S506" s="4">
        <v>2</v>
      </c>
      <c r="T506" s="4">
        <v>2</v>
      </c>
      <c r="U506" s="5" t="s">
        <v>6445</v>
      </c>
      <c r="V506" s="5" t="s">
        <v>6445</v>
      </c>
      <c r="W506" s="5" t="s">
        <v>5321</v>
      </c>
      <c r="X506" s="5" t="s">
        <v>5321</v>
      </c>
      <c r="Y506" s="4">
        <v>532</v>
      </c>
      <c r="Z506" s="4">
        <v>393</v>
      </c>
      <c r="AA506" s="4">
        <v>394</v>
      </c>
      <c r="AB506" s="4">
        <v>3</v>
      </c>
      <c r="AC506" s="4">
        <v>3</v>
      </c>
      <c r="AD506" s="4">
        <v>23</v>
      </c>
      <c r="AE506" s="4">
        <v>23</v>
      </c>
      <c r="AF506" s="4">
        <v>7</v>
      </c>
      <c r="AG506" s="4">
        <v>7</v>
      </c>
      <c r="AH506" s="4">
        <v>5</v>
      </c>
      <c r="AI506" s="4">
        <v>5</v>
      </c>
      <c r="AJ506" s="4">
        <v>14</v>
      </c>
      <c r="AK506" s="4">
        <v>14</v>
      </c>
      <c r="AL506" s="4">
        <v>2</v>
      </c>
      <c r="AM506" s="4">
        <v>2</v>
      </c>
      <c r="AN506" s="4">
        <v>0</v>
      </c>
      <c r="AO506" s="4">
        <v>0</v>
      </c>
      <c r="AP506" s="3" t="s">
        <v>58</v>
      </c>
      <c r="AQ506" s="3" t="s">
        <v>58</v>
      </c>
      <c r="AS506" s="6" t="str">
        <f>HYPERLINK("https://creighton-primo.hosted.exlibrisgroup.com/primo-explore/search?tab=default_tab&amp;search_scope=EVERYTHING&amp;vid=01CRU&amp;lang=en_US&amp;offset=0&amp;query=any,contains,991004582029702656","Catalog Record")</f>
        <v>Catalog Record</v>
      </c>
      <c r="AT506" s="6" t="str">
        <f>HYPERLINK("http://www.worldcat.org/oclc/4064723","WorldCat Record")</f>
        <v>WorldCat Record</v>
      </c>
      <c r="AU506" s="3" t="s">
        <v>6446</v>
      </c>
      <c r="AV506" s="3" t="s">
        <v>6447</v>
      </c>
      <c r="AW506" s="3" t="s">
        <v>6448</v>
      </c>
      <c r="AX506" s="3" t="s">
        <v>6448</v>
      </c>
      <c r="AY506" s="3" t="s">
        <v>6449</v>
      </c>
      <c r="AZ506" s="3" t="s">
        <v>73</v>
      </c>
      <c r="BB506" s="3" t="s">
        <v>6450</v>
      </c>
      <c r="BC506" s="3" t="s">
        <v>6451</v>
      </c>
      <c r="BD506" s="3" t="s">
        <v>6452</v>
      </c>
    </row>
    <row r="507" spans="1:56" ht="51" customHeight="1" x14ac:dyDescent="0.25">
      <c r="A507" s="7" t="s">
        <v>58</v>
      </c>
      <c r="B507" s="2" t="s">
        <v>6453</v>
      </c>
      <c r="C507" s="2" t="s">
        <v>6454</v>
      </c>
      <c r="D507" s="2" t="s">
        <v>6455</v>
      </c>
      <c r="F507" s="3" t="s">
        <v>58</v>
      </c>
      <c r="G507" s="3" t="s">
        <v>59</v>
      </c>
      <c r="H507" s="3" t="s">
        <v>58</v>
      </c>
      <c r="I507" s="3" t="s">
        <v>58</v>
      </c>
      <c r="J507" s="3" t="s">
        <v>60</v>
      </c>
      <c r="K507" s="2" t="s">
        <v>6456</v>
      </c>
      <c r="L507" s="2" t="s">
        <v>6457</v>
      </c>
      <c r="M507" s="3" t="s">
        <v>423</v>
      </c>
      <c r="N507" s="2" t="s">
        <v>6458</v>
      </c>
      <c r="O507" s="3" t="s">
        <v>554</v>
      </c>
      <c r="P507" s="3" t="s">
        <v>555</v>
      </c>
      <c r="Q507" s="2" t="s">
        <v>6459</v>
      </c>
      <c r="R507" s="3" t="s">
        <v>65</v>
      </c>
      <c r="S507" s="4">
        <v>1</v>
      </c>
      <c r="T507" s="4">
        <v>1</v>
      </c>
      <c r="U507" s="5" t="s">
        <v>6460</v>
      </c>
      <c r="V507" s="5" t="s">
        <v>6460</v>
      </c>
      <c r="W507" s="5" t="s">
        <v>6461</v>
      </c>
      <c r="X507" s="5" t="s">
        <v>6461</v>
      </c>
      <c r="Y507" s="4">
        <v>7</v>
      </c>
      <c r="Z507" s="4">
        <v>2</v>
      </c>
      <c r="AA507" s="4">
        <v>15</v>
      </c>
      <c r="AB507" s="4">
        <v>1</v>
      </c>
      <c r="AC507" s="4">
        <v>1</v>
      </c>
      <c r="AD507" s="4">
        <v>0</v>
      </c>
      <c r="AE507" s="4">
        <v>0</v>
      </c>
      <c r="AF507" s="4">
        <v>0</v>
      </c>
      <c r="AG507" s="4">
        <v>0</v>
      </c>
      <c r="AH507" s="4">
        <v>0</v>
      </c>
      <c r="AI507" s="4">
        <v>0</v>
      </c>
      <c r="AJ507" s="4">
        <v>0</v>
      </c>
      <c r="AK507" s="4">
        <v>0</v>
      </c>
      <c r="AL507" s="4">
        <v>0</v>
      </c>
      <c r="AM507" s="4">
        <v>0</v>
      </c>
      <c r="AN507" s="4">
        <v>0</v>
      </c>
      <c r="AO507" s="4">
        <v>0</v>
      </c>
      <c r="AP507" s="3" t="s">
        <v>58</v>
      </c>
      <c r="AQ507" s="3" t="s">
        <v>58</v>
      </c>
      <c r="AS507" s="6" t="str">
        <f>HYPERLINK("https://creighton-primo.hosted.exlibrisgroup.com/primo-explore/search?tab=default_tab&amp;search_scope=EVERYTHING&amp;vid=01CRU&amp;lang=en_US&amp;offset=0&amp;query=any,contains,991003770259702656","Catalog Record")</f>
        <v>Catalog Record</v>
      </c>
      <c r="AT507" s="6" t="str">
        <f>HYPERLINK("http://www.worldcat.org/oclc/48939000","WorldCat Record")</f>
        <v>WorldCat Record</v>
      </c>
      <c r="AU507" s="3" t="s">
        <v>6462</v>
      </c>
      <c r="AV507" s="3" t="s">
        <v>6463</v>
      </c>
      <c r="AW507" s="3" t="s">
        <v>6464</v>
      </c>
      <c r="AX507" s="3" t="s">
        <v>6464</v>
      </c>
      <c r="AY507" s="3" t="s">
        <v>6465</v>
      </c>
      <c r="AZ507" s="3" t="s">
        <v>73</v>
      </c>
      <c r="BB507" s="3" t="s">
        <v>6466</v>
      </c>
      <c r="BC507" s="3" t="s">
        <v>6467</v>
      </c>
      <c r="BD507" s="3" t="s">
        <v>6468</v>
      </c>
    </row>
    <row r="508" spans="1:56" ht="51" customHeight="1" x14ac:dyDescent="0.25">
      <c r="A508" s="7" t="s">
        <v>58</v>
      </c>
      <c r="B508" s="2" t="s">
        <v>6469</v>
      </c>
      <c r="C508" s="2" t="s">
        <v>6470</v>
      </c>
      <c r="D508" s="2" t="s">
        <v>6471</v>
      </c>
      <c r="F508" s="3" t="s">
        <v>58</v>
      </c>
      <c r="G508" s="3" t="s">
        <v>59</v>
      </c>
      <c r="H508" s="3" t="s">
        <v>58</v>
      </c>
      <c r="I508" s="3" t="s">
        <v>68</v>
      </c>
      <c r="J508" s="3" t="s">
        <v>60</v>
      </c>
      <c r="K508" s="2" t="s">
        <v>6472</v>
      </c>
      <c r="L508" s="2" t="s">
        <v>6473</v>
      </c>
      <c r="M508" s="3" t="s">
        <v>1784</v>
      </c>
      <c r="N508" s="2" t="s">
        <v>338</v>
      </c>
      <c r="O508" s="3" t="s">
        <v>63</v>
      </c>
      <c r="P508" s="3" t="s">
        <v>214</v>
      </c>
      <c r="R508" s="3" t="s">
        <v>65</v>
      </c>
      <c r="S508" s="4">
        <v>2</v>
      </c>
      <c r="T508" s="4">
        <v>2</v>
      </c>
      <c r="U508" s="5" t="s">
        <v>6474</v>
      </c>
      <c r="V508" s="5" t="s">
        <v>6474</v>
      </c>
      <c r="W508" s="5" t="s">
        <v>6475</v>
      </c>
      <c r="X508" s="5" t="s">
        <v>6475</v>
      </c>
      <c r="Y508" s="4">
        <v>900</v>
      </c>
      <c r="Z508" s="4">
        <v>835</v>
      </c>
      <c r="AA508" s="4">
        <v>940</v>
      </c>
      <c r="AB508" s="4">
        <v>6</v>
      </c>
      <c r="AC508" s="4">
        <v>6</v>
      </c>
      <c r="AD508" s="4">
        <v>30</v>
      </c>
      <c r="AE508" s="4">
        <v>36</v>
      </c>
      <c r="AF508" s="4">
        <v>14</v>
      </c>
      <c r="AG508" s="4">
        <v>18</v>
      </c>
      <c r="AH508" s="4">
        <v>7</v>
      </c>
      <c r="AI508" s="4">
        <v>8</v>
      </c>
      <c r="AJ508" s="4">
        <v>14</v>
      </c>
      <c r="AK508" s="4">
        <v>17</v>
      </c>
      <c r="AL508" s="4">
        <v>5</v>
      </c>
      <c r="AM508" s="4">
        <v>5</v>
      </c>
      <c r="AN508" s="4">
        <v>0</v>
      </c>
      <c r="AO508" s="4">
        <v>0</v>
      </c>
      <c r="AP508" s="3" t="s">
        <v>58</v>
      </c>
      <c r="AQ508" s="3" t="s">
        <v>68</v>
      </c>
      <c r="AR508" s="6" t="str">
        <f>HYPERLINK("http://catalog.hathitrust.org/Record/000044638","HathiTrust Record")</f>
        <v>HathiTrust Record</v>
      </c>
      <c r="AS508" s="6" t="str">
        <f>HYPERLINK("https://creighton-primo.hosted.exlibrisgroup.com/primo-explore/search?tab=default_tab&amp;search_scope=EVERYTHING&amp;vid=01CRU&amp;lang=en_US&amp;offset=0&amp;query=any,contains,991004688859702656","Catalog Record")</f>
        <v>Catalog Record</v>
      </c>
      <c r="AT508" s="6" t="str">
        <f>HYPERLINK("http://www.worldcat.org/oclc/4593801","WorldCat Record")</f>
        <v>WorldCat Record</v>
      </c>
      <c r="AU508" s="3" t="s">
        <v>6476</v>
      </c>
      <c r="AV508" s="3" t="s">
        <v>6477</v>
      </c>
      <c r="AW508" s="3" t="s">
        <v>6478</v>
      </c>
      <c r="AX508" s="3" t="s">
        <v>6478</v>
      </c>
      <c r="AY508" s="3" t="s">
        <v>6479</v>
      </c>
      <c r="AZ508" s="3" t="s">
        <v>73</v>
      </c>
      <c r="BB508" s="3" t="s">
        <v>6480</v>
      </c>
      <c r="BC508" s="3" t="s">
        <v>6481</v>
      </c>
      <c r="BD508" s="3" t="s">
        <v>6482</v>
      </c>
    </row>
    <row r="509" spans="1:56" ht="51" customHeight="1" x14ac:dyDescent="0.25">
      <c r="A509" s="7" t="s">
        <v>58</v>
      </c>
      <c r="B509" s="2" t="s">
        <v>6483</v>
      </c>
      <c r="C509" s="2" t="s">
        <v>6484</v>
      </c>
      <c r="D509" s="2" t="s">
        <v>6485</v>
      </c>
      <c r="F509" s="3" t="s">
        <v>58</v>
      </c>
      <c r="G509" s="3" t="s">
        <v>59</v>
      </c>
      <c r="H509" s="3" t="s">
        <v>58</v>
      </c>
      <c r="I509" s="3" t="s">
        <v>68</v>
      </c>
      <c r="J509" s="3" t="s">
        <v>60</v>
      </c>
      <c r="K509" s="2" t="s">
        <v>6472</v>
      </c>
      <c r="L509" s="2" t="s">
        <v>6486</v>
      </c>
      <c r="M509" s="3" t="s">
        <v>196</v>
      </c>
      <c r="O509" s="3" t="s">
        <v>63</v>
      </c>
      <c r="P509" s="3" t="s">
        <v>214</v>
      </c>
      <c r="R509" s="3" t="s">
        <v>65</v>
      </c>
      <c r="S509" s="4">
        <v>1</v>
      </c>
      <c r="T509" s="4">
        <v>1</v>
      </c>
      <c r="U509" s="5" t="s">
        <v>6487</v>
      </c>
      <c r="V509" s="5" t="s">
        <v>6487</v>
      </c>
      <c r="W509" s="5" t="s">
        <v>6488</v>
      </c>
      <c r="X509" s="5" t="s">
        <v>6488</v>
      </c>
      <c r="Y509" s="4">
        <v>88</v>
      </c>
      <c r="Z509" s="4">
        <v>68</v>
      </c>
      <c r="AA509" s="4">
        <v>940</v>
      </c>
      <c r="AB509" s="4">
        <v>1</v>
      </c>
      <c r="AC509" s="4">
        <v>6</v>
      </c>
      <c r="AD509" s="4">
        <v>5</v>
      </c>
      <c r="AE509" s="4">
        <v>36</v>
      </c>
      <c r="AF509" s="4">
        <v>3</v>
      </c>
      <c r="AG509" s="4">
        <v>18</v>
      </c>
      <c r="AH509" s="4">
        <v>1</v>
      </c>
      <c r="AI509" s="4">
        <v>8</v>
      </c>
      <c r="AJ509" s="4">
        <v>2</v>
      </c>
      <c r="AK509" s="4">
        <v>17</v>
      </c>
      <c r="AL509" s="4">
        <v>0</v>
      </c>
      <c r="AM509" s="4">
        <v>5</v>
      </c>
      <c r="AN509" s="4">
        <v>0</v>
      </c>
      <c r="AO509" s="4">
        <v>0</v>
      </c>
      <c r="AP509" s="3" t="s">
        <v>58</v>
      </c>
      <c r="AQ509" s="3" t="s">
        <v>68</v>
      </c>
      <c r="AR509" s="6" t="str">
        <f>HYPERLINK("http://catalog.hathitrust.org/Record/004536376","HathiTrust Record")</f>
        <v>HathiTrust Record</v>
      </c>
      <c r="AS509" s="6" t="str">
        <f>HYPERLINK("https://creighton-primo.hosted.exlibrisgroup.com/primo-explore/search?tab=default_tab&amp;search_scope=EVERYTHING&amp;vid=01CRU&amp;lang=en_US&amp;offset=0&amp;query=any,contains,991002570179702656","Catalog Record")</f>
        <v>Catalog Record</v>
      </c>
      <c r="AT509" s="6" t="str">
        <f>HYPERLINK("http://www.worldcat.org/oclc/33405056","WorldCat Record")</f>
        <v>WorldCat Record</v>
      </c>
      <c r="AU509" s="3" t="s">
        <v>6476</v>
      </c>
      <c r="AV509" s="3" t="s">
        <v>6489</v>
      </c>
      <c r="AW509" s="3" t="s">
        <v>6490</v>
      </c>
      <c r="AX509" s="3" t="s">
        <v>6490</v>
      </c>
      <c r="AY509" s="3" t="s">
        <v>6491</v>
      </c>
      <c r="AZ509" s="3" t="s">
        <v>73</v>
      </c>
      <c r="BB509" s="3" t="s">
        <v>6492</v>
      </c>
      <c r="BC509" s="3" t="s">
        <v>6493</v>
      </c>
      <c r="BD509" s="3" t="s">
        <v>6494</v>
      </c>
    </row>
    <row r="510" spans="1:56" ht="51" customHeight="1" x14ac:dyDescent="0.25">
      <c r="A510" s="7" t="s">
        <v>58</v>
      </c>
      <c r="B510" s="2" t="s">
        <v>6495</v>
      </c>
      <c r="C510" s="2" t="s">
        <v>6496</v>
      </c>
      <c r="D510" s="2" t="s">
        <v>6497</v>
      </c>
      <c r="F510" s="3" t="s">
        <v>58</v>
      </c>
      <c r="G510" s="3" t="s">
        <v>59</v>
      </c>
      <c r="H510" s="3" t="s">
        <v>58</v>
      </c>
      <c r="I510" s="3" t="s">
        <v>58</v>
      </c>
      <c r="J510" s="3" t="s">
        <v>60</v>
      </c>
      <c r="K510" s="2" t="s">
        <v>6498</v>
      </c>
      <c r="L510" s="2" t="s">
        <v>6499</v>
      </c>
      <c r="M510" s="3" t="s">
        <v>337</v>
      </c>
      <c r="O510" s="3" t="s">
        <v>63</v>
      </c>
      <c r="P510" s="3" t="s">
        <v>510</v>
      </c>
      <c r="R510" s="3" t="s">
        <v>65</v>
      </c>
      <c r="S510" s="4">
        <v>8</v>
      </c>
      <c r="T510" s="4">
        <v>8</v>
      </c>
      <c r="U510" s="5" t="s">
        <v>6500</v>
      </c>
      <c r="V510" s="5" t="s">
        <v>6500</v>
      </c>
      <c r="W510" s="5" t="s">
        <v>4195</v>
      </c>
      <c r="X510" s="5" t="s">
        <v>4195</v>
      </c>
      <c r="Y510" s="4">
        <v>478</v>
      </c>
      <c r="Z510" s="4">
        <v>390</v>
      </c>
      <c r="AA510" s="4">
        <v>390</v>
      </c>
      <c r="AB510" s="4">
        <v>1</v>
      </c>
      <c r="AC510" s="4">
        <v>1</v>
      </c>
      <c r="AD510" s="4">
        <v>24</v>
      </c>
      <c r="AE510" s="4">
        <v>24</v>
      </c>
      <c r="AF510" s="4">
        <v>13</v>
      </c>
      <c r="AG510" s="4">
        <v>13</v>
      </c>
      <c r="AH510" s="4">
        <v>7</v>
      </c>
      <c r="AI510" s="4">
        <v>7</v>
      </c>
      <c r="AJ510" s="4">
        <v>11</v>
      </c>
      <c r="AK510" s="4">
        <v>11</v>
      </c>
      <c r="AL510" s="4">
        <v>0</v>
      </c>
      <c r="AM510" s="4">
        <v>0</v>
      </c>
      <c r="AN510" s="4">
        <v>0</v>
      </c>
      <c r="AO510" s="4">
        <v>0</v>
      </c>
      <c r="AP510" s="3" t="s">
        <v>58</v>
      </c>
      <c r="AQ510" s="3" t="s">
        <v>58</v>
      </c>
      <c r="AS510" s="6" t="str">
        <f>HYPERLINK("https://creighton-primo.hosted.exlibrisgroup.com/primo-explore/search?tab=default_tab&amp;search_scope=EVERYTHING&amp;vid=01CRU&amp;lang=en_US&amp;offset=0&amp;query=any,contains,991004127659702656","Catalog Record")</f>
        <v>Catalog Record</v>
      </c>
      <c r="AT510" s="6" t="str">
        <f>HYPERLINK("http://www.worldcat.org/oclc/50271417","WorldCat Record")</f>
        <v>WorldCat Record</v>
      </c>
      <c r="AU510" s="3" t="s">
        <v>6501</v>
      </c>
      <c r="AV510" s="3" t="s">
        <v>6502</v>
      </c>
      <c r="AW510" s="3" t="s">
        <v>6503</v>
      </c>
      <c r="AX510" s="3" t="s">
        <v>6503</v>
      </c>
      <c r="AY510" s="3" t="s">
        <v>6504</v>
      </c>
      <c r="AZ510" s="3" t="s">
        <v>73</v>
      </c>
      <c r="BB510" s="3" t="s">
        <v>6505</v>
      </c>
      <c r="BC510" s="3" t="s">
        <v>6506</v>
      </c>
      <c r="BD510" s="3" t="s">
        <v>6507</v>
      </c>
    </row>
    <row r="511" spans="1:56" ht="51" customHeight="1" x14ac:dyDescent="0.25">
      <c r="A511" s="7" t="s">
        <v>58</v>
      </c>
      <c r="B511" s="2" t="s">
        <v>6508</v>
      </c>
      <c r="C511" s="2" t="s">
        <v>6509</v>
      </c>
      <c r="D511" s="2" t="s">
        <v>6510</v>
      </c>
      <c r="F511" s="3" t="s">
        <v>58</v>
      </c>
      <c r="G511" s="3" t="s">
        <v>59</v>
      </c>
      <c r="H511" s="3" t="s">
        <v>58</v>
      </c>
      <c r="I511" s="3" t="s">
        <v>58</v>
      </c>
      <c r="J511" s="3" t="s">
        <v>60</v>
      </c>
      <c r="L511" s="2" t="s">
        <v>6511</v>
      </c>
      <c r="M511" s="3" t="s">
        <v>524</v>
      </c>
      <c r="O511" s="3" t="s">
        <v>63</v>
      </c>
      <c r="P511" s="3" t="s">
        <v>555</v>
      </c>
      <c r="Q511" s="2" t="s">
        <v>6512</v>
      </c>
      <c r="R511" s="3" t="s">
        <v>65</v>
      </c>
      <c r="S511" s="4">
        <v>1</v>
      </c>
      <c r="T511" s="4">
        <v>1</v>
      </c>
      <c r="U511" s="5" t="s">
        <v>6513</v>
      </c>
      <c r="V511" s="5" t="s">
        <v>6513</v>
      </c>
      <c r="W511" s="5" t="s">
        <v>5321</v>
      </c>
      <c r="X511" s="5" t="s">
        <v>5321</v>
      </c>
      <c r="Y511" s="4">
        <v>213</v>
      </c>
      <c r="Z511" s="4">
        <v>122</v>
      </c>
      <c r="AA511" s="4">
        <v>122</v>
      </c>
      <c r="AB511" s="4">
        <v>1</v>
      </c>
      <c r="AC511" s="4">
        <v>1</v>
      </c>
      <c r="AD511" s="4">
        <v>6</v>
      </c>
      <c r="AE511" s="4">
        <v>6</v>
      </c>
      <c r="AF511" s="4">
        <v>0</v>
      </c>
      <c r="AG511" s="4">
        <v>0</v>
      </c>
      <c r="AH511" s="4">
        <v>3</v>
      </c>
      <c r="AI511" s="4">
        <v>3</v>
      </c>
      <c r="AJ511" s="4">
        <v>5</v>
      </c>
      <c r="AK511" s="4">
        <v>5</v>
      </c>
      <c r="AL511" s="4">
        <v>0</v>
      </c>
      <c r="AM511" s="4">
        <v>0</v>
      </c>
      <c r="AN511" s="4">
        <v>0</v>
      </c>
      <c r="AO511" s="4">
        <v>0</v>
      </c>
      <c r="AP511" s="3" t="s">
        <v>58</v>
      </c>
      <c r="AQ511" s="3" t="s">
        <v>58</v>
      </c>
      <c r="AS511" s="6" t="str">
        <f>HYPERLINK("https://creighton-primo.hosted.exlibrisgroup.com/primo-explore/search?tab=default_tab&amp;search_scope=EVERYTHING&amp;vid=01CRU&amp;lang=en_US&amp;offset=0&amp;query=any,contains,991000974289702656","Catalog Record")</f>
        <v>Catalog Record</v>
      </c>
      <c r="AT511" s="6" t="str">
        <f>HYPERLINK("http://www.worldcat.org/oclc/14990783","WorldCat Record")</f>
        <v>WorldCat Record</v>
      </c>
      <c r="AU511" s="3" t="s">
        <v>6514</v>
      </c>
      <c r="AV511" s="3" t="s">
        <v>6515</v>
      </c>
      <c r="AW511" s="3" t="s">
        <v>6516</v>
      </c>
      <c r="AX511" s="3" t="s">
        <v>6516</v>
      </c>
      <c r="AY511" s="3" t="s">
        <v>6517</v>
      </c>
      <c r="AZ511" s="3" t="s">
        <v>73</v>
      </c>
      <c r="BB511" s="3" t="s">
        <v>6518</v>
      </c>
      <c r="BC511" s="3" t="s">
        <v>6519</v>
      </c>
      <c r="BD511" s="3" t="s">
        <v>6520</v>
      </c>
    </row>
    <row r="512" spans="1:56" ht="51" customHeight="1" x14ac:dyDescent="0.25">
      <c r="A512" s="7" t="s">
        <v>58</v>
      </c>
      <c r="B512" s="2" t="s">
        <v>6521</v>
      </c>
      <c r="C512" s="2" t="s">
        <v>6522</v>
      </c>
      <c r="D512" s="2" t="s">
        <v>6523</v>
      </c>
      <c r="F512" s="3" t="s">
        <v>58</v>
      </c>
      <c r="G512" s="3" t="s">
        <v>59</v>
      </c>
      <c r="H512" s="3" t="s">
        <v>58</v>
      </c>
      <c r="I512" s="3" t="s">
        <v>58</v>
      </c>
      <c r="J512" s="3" t="s">
        <v>60</v>
      </c>
      <c r="K512" s="2" t="s">
        <v>6524</v>
      </c>
      <c r="L512" s="2" t="s">
        <v>5062</v>
      </c>
      <c r="M512" s="3" t="s">
        <v>1399</v>
      </c>
      <c r="O512" s="3" t="s">
        <v>63</v>
      </c>
      <c r="P512" s="3" t="s">
        <v>214</v>
      </c>
      <c r="R512" s="3" t="s">
        <v>65</v>
      </c>
      <c r="S512" s="4">
        <v>3</v>
      </c>
      <c r="T512" s="4">
        <v>3</v>
      </c>
      <c r="U512" s="5" t="s">
        <v>6525</v>
      </c>
      <c r="V512" s="5" t="s">
        <v>6525</v>
      </c>
      <c r="W512" s="5" t="s">
        <v>5321</v>
      </c>
      <c r="X512" s="5" t="s">
        <v>5321</v>
      </c>
      <c r="Y512" s="4">
        <v>493</v>
      </c>
      <c r="Z512" s="4">
        <v>410</v>
      </c>
      <c r="AA512" s="4">
        <v>411</v>
      </c>
      <c r="AB512" s="4">
        <v>2</v>
      </c>
      <c r="AC512" s="4">
        <v>2</v>
      </c>
      <c r="AD512" s="4">
        <v>15</v>
      </c>
      <c r="AE512" s="4">
        <v>15</v>
      </c>
      <c r="AF512" s="4">
        <v>6</v>
      </c>
      <c r="AG512" s="4">
        <v>6</v>
      </c>
      <c r="AH512" s="4">
        <v>4</v>
      </c>
      <c r="AI512" s="4">
        <v>4</v>
      </c>
      <c r="AJ512" s="4">
        <v>10</v>
      </c>
      <c r="AK512" s="4">
        <v>10</v>
      </c>
      <c r="AL512" s="4">
        <v>1</v>
      </c>
      <c r="AM512" s="4">
        <v>1</v>
      </c>
      <c r="AN512" s="4">
        <v>0</v>
      </c>
      <c r="AO512" s="4">
        <v>0</v>
      </c>
      <c r="AP512" s="3" t="s">
        <v>58</v>
      </c>
      <c r="AQ512" s="3" t="s">
        <v>58</v>
      </c>
      <c r="AS512" s="6" t="str">
        <f>HYPERLINK("https://creighton-primo.hosted.exlibrisgroup.com/primo-explore/search?tab=default_tab&amp;search_scope=EVERYTHING&amp;vid=01CRU&amp;lang=en_US&amp;offset=0&amp;query=any,contains,991001186349702656","Catalog Record")</f>
        <v>Catalog Record</v>
      </c>
      <c r="AT512" s="6" t="str">
        <f>HYPERLINK("http://www.worldcat.org/oclc/17209751","WorldCat Record")</f>
        <v>WorldCat Record</v>
      </c>
      <c r="AU512" s="3" t="s">
        <v>6526</v>
      </c>
      <c r="AV512" s="3" t="s">
        <v>6527</v>
      </c>
      <c r="AW512" s="3" t="s">
        <v>6528</v>
      </c>
      <c r="AX512" s="3" t="s">
        <v>6528</v>
      </c>
      <c r="AY512" s="3" t="s">
        <v>6529</v>
      </c>
      <c r="AZ512" s="3" t="s">
        <v>73</v>
      </c>
      <c r="BB512" s="3" t="s">
        <v>6530</v>
      </c>
      <c r="BC512" s="3" t="s">
        <v>6531</v>
      </c>
      <c r="BD512" s="3" t="s">
        <v>6532</v>
      </c>
    </row>
    <row r="513" spans="1:56" ht="51" customHeight="1" x14ac:dyDescent="0.25">
      <c r="A513" s="7" t="s">
        <v>58</v>
      </c>
      <c r="B513" s="2" t="s">
        <v>6533</v>
      </c>
      <c r="C513" s="2" t="s">
        <v>6534</v>
      </c>
      <c r="D513" s="2" t="s">
        <v>6535</v>
      </c>
      <c r="F513" s="3" t="s">
        <v>58</v>
      </c>
      <c r="G513" s="3" t="s">
        <v>59</v>
      </c>
      <c r="H513" s="3" t="s">
        <v>58</v>
      </c>
      <c r="I513" s="3" t="s">
        <v>58</v>
      </c>
      <c r="J513" s="3" t="s">
        <v>60</v>
      </c>
      <c r="K513" s="2" t="s">
        <v>6536</v>
      </c>
      <c r="L513" s="2" t="s">
        <v>6537</v>
      </c>
      <c r="M513" s="3" t="s">
        <v>759</v>
      </c>
      <c r="O513" s="3" t="s">
        <v>63</v>
      </c>
      <c r="P513" s="3" t="s">
        <v>6538</v>
      </c>
      <c r="R513" s="3" t="s">
        <v>65</v>
      </c>
      <c r="S513" s="4">
        <v>1</v>
      </c>
      <c r="T513" s="4">
        <v>1</v>
      </c>
      <c r="U513" s="5" t="s">
        <v>6539</v>
      </c>
      <c r="V513" s="5" t="s">
        <v>6539</v>
      </c>
      <c r="W513" s="5" t="s">
        <v>5488</v>
      </c>
      <c r="X513" s="5" t="s">
        <v>5488</v>
      </c>
      <c r="Y513" s="4">
        <v>613</v>
      </c>
      <c r="Z513" s="4">
        <v>508</v>
      </c>
      <c r="AA513" s="4">
        <v>577</v>
      </c>
      <c r="AB513" s="4">
        <v>4</v>
      </c>
      <c r="AC513" s="4">
        <v>5</v>
      </c>
      <c r="AD513" s="4">
        <v>25</v>
      </c>
      <c r="AE513" s="4">
        <v>29</v>
      </c>
      <c r="AF513" s="4">
        <v>9</v>
      </c>
      <c r="AG513" s="4">
        <v>10</v>
      </c>
      <c r="AH513" s="4">
        <v>6</v>
      </c>
      <c r="AI513" s="4">
        <v>7</v>
      </c>
      <c r="AJ513" s="4">
        <v>16</v>
      </c>
      <c r="AK513" s="4">
        <v>17</v>
      </c>
      <c r="AL513" s="4">
        <v>3</v>
      </c>
      <c r="AM513" s="4">
        <v>4</v>
      </c>
      <c r="AN513" s="4">
        <v>0</v>
      </c>
      <c r="AO513" s="4">
        <v>0</v>
      </c>
      <c r="AP513" s="3" t="s">
        <v>58</v>
      </c>
      <c r="AQ513" s="3" t="s">
        <v>58</v>
      </c>
      <c r="AS513" s="6" t="str">
        <f>HYPERLINK("https://creighton-primo.hosted.exlibrisgroup.com/primo-explore/search?tab=default_tab&amp;search_scope=EVERYTHING&amp;vid=01CRU&amp;lang=en_US&amp;offset=0&amp;query=any,contains,991004858139702656","Catalog Record")</f>
        <v>Catalog Record</v>
      </c>
      <c r="AT513" s="6" t="str">
        <f>HYPERLINK("http://www.worldcat.org/oclc/5676981","WorldCat Record")</f>
        <v>WorldCat Record</v>
      </c>
      <c r="AU513" s="3" t="s">
        <v>6540</v>
      </c>
      <c r="AV513" s="3" t="s">
        <v>6541</v>
      </c>
      <c r="AW513" s="3" t="s">
        <v>6542</v>
      </c>
      <c r="AX513" s="3" t="s">
        <v>6542</v>
      </c>
      <c r="AY513" s="3" t="s">
        <v>6543</v>
      </c>
      <c r="AZ513" s="3" t="s">
        <v>73</v>
      </c>
      <c r="BB513" s="3" t="s">
        <v>6544</v>
      </c>
      <c r="BC513" s="3" t="s">
        <v>6545</v>
      </c>
      <c r="BD513" s="3" t="s">
        <v>6546</v>
      </c>
    </row>
    <row r="514" spans="1:56" ht="51" customHeight="1" x14ac:dyDescent="0.25">
      <c r="A514" s="7" t="s">
        <v>58</v>
      </c>
      <c r="B514" s="2" t="s">
        <v>6547</v>
      </c>
      <c r="C514" s="2" t="s">
        <v>6548</v>
      </c>
      <c r="D514" s="2" t="s">
        <v>6549</v>
      </c>
      <c r="F514" s="3" t="s">
        <v>58</v>
      </c>
      <c r="G514" s="3" t="s">
        <v>59</v>
      </c>
      <c r="H514" s="3" t="s">
        <v>58</v>
      </c>
      <c r="I514" s="3" t="s">
        <v>58</v>
      </c>
      <c r="J514" s="3" t="s">
        <v>60</v>
      </c>
      <c r="K514" s="2" t="s">
        <v>6550</v>
      </c>
      <c r="L514" s="2" t="s">
        <v>6551</v>
      </c>
      <c r="M514" s="3" t="s">
        <v>759</v>
      </c>
      <c r="O514" s="3" t="s">
        <v>63</v>
      </c>
      <c r="P514" s="3" t="s">
        <v>1917</v>
      </c>
      <c r="Q514" s="2" t="s">
        <v>6552</v>
      </c>
      <c r="R514" s="3" t="s">
        <v>65</v>
      </c>
      <c r="S514" s="4">
        <v>1</v>
      </c>
      <c r="T514" s="4">
        <v>1</v>
      </c>
      <c r="U514" s="5" t="s">
        <v>6553</v>
      </c>
      <c r="V514" s="5" t="s">
        <v>6553</v>
      </c>
      <c r="W514" s="5" t="s">
        <v>5321</v>
      </c>
      <c r="X514" s="5" t="s">
        <v>5321</v>
      </c>
      <c r="Y514" s="4">
        <v>296</v>
      </c>
      <c r="Z514" s="4">
        <v>238</v>
      </c>
      <c r="AA514" s="4">
        <v>274</v>
      </c>
      <c r="AB514" s="4">
        <v>2</v>
      </c>
      <c r="AC514" s="4">
        <v>2</v>
      </c>
      <c r="AD514" s="4">
        <v>15</v>
      </c>
      <c r="AE514" s="4">
        <v>18</v>
      </c>
      <c r="AF514" s="4">
        <v>4</v>
      </c>
      <c r="AG514" s="4">
        <v>7</v>
      </c>
      <c r="AH514" s="4">
        <v>5</v>
      </c>
      <c r="AI514" s="4">
        <v>6</v>
      </c>
      <c r="AJ514" s="4">
        <v>11</v>
      </c>
      <c r="AK514" s="4">
        <v>11</v>
      </c>
      <c r="AL514" s="4">
        <v>1</v>
      </c>
      <c r="AM514" s="4">
        <v>1</v>
      </c>
      <c r="AN514" s="4">
        <v>0</v>
      </c>
      <c r="AO514" s="4">
        <v>0</v>
      </c>
      <c r="AP514" s="3" t="s">
        <v>58</v>
      </c>
      <c r="AQ514" s="3" t="s">
        <v>58</v>
      </c>
      <c r="AS514" s="6" t="str">
        <f>HYPERLINK("https://creighton-primo.hosted.exlibrisgroup.com/primo-explore/search?tab=default_tab&amp;search_scope=EVERYTHING&amp;vid=01CRU&amp;lang=en_US&amp;offset=0&amp;query=any,contains,991004942499702656","Catalog Record")</f>
        <v>Catalog Record</v>
      </c>
      <c r="AT514" s="6" t="str">
        <f>HYPERLINK("http://www.worldcat.org/oclc/6195036","WorldCat Record")</f>
        <v>WorldCat Record</v>
      </c>
      <c r="AU514" s="3" t="s">
        <v>6554</v>
      </c>
      <c r="AV514" s="3" t="s">
        <v>6555</v>
      </c>
      <c r="AW514" s="3" t="s">
        <v>6556</v>
      </c>
      <c r="AX514" s="3" t="s">
        <v>6556</v>
      </c>
      <c r="AY514" s="3" t="s">
        <v>6557</v>
      </c>
      <c r="AZ514" s="3" t="s">
        <v>73</v>
      </c>
      <c r="BB514" s="3" t="s">
        <v>6558</v>
      </c>
      <c r="BC514" s="3" t="s">
        <v>6559</v>
      </c>
      <c r="BD514" s="3" t="s">
        <v>6560</v>
      </c>
    </row>
    <row r="515" spans="1:56" ht="51" customHeight="1" x14ac:dyDescent="0.25">
      <c r="A515" s="7" t="s">
        <v>58</v>
      </c>
      <c r="B515" s="2" t="s">
        <v>6561</v>
      </c>
      <c r="C515" s="2" t="s">
        <v>6562</v>
      </c>
      <c r="D515" s="2" t="s">
        <v>6563</v>
      </c>
      <c r="F515" s="3" t="s">
        <v>58</v>
      </c>
      <c r="G515" s="3" t="s">
        <v>59</v>
      </c>
      <c r="H515" s="3" t="s">
        <v>58</v>
      </c>
      <c r="I515" s="3" t="s">
        <v>58</v>
      </c>
      <c r="J515" s="3" t="s">
        <v>60</v>
      </c>
      <c r="K515" s="2" t="s">
        <v>6564</v>
      </c>
      <c r="L515" s="2" t="s">
        <v>6565</v>
      </c>
      <c r="M515" s="3" t="s">
        <v>154</v>
      </c>
      <c r="O515" s="3" t="s">
        <v>63</v>
      </c>
      <c r="P515" s="3" t="s">
        <v>214</v>
      </c>
      <c r="R515" s="3" t="s">
        <v>65</v>
      </c>
      <c r="S515" s="4">
        <v>10</v>
      </c>
      <c r="T515" s="4">
        <v>10</v>
      </c>
      <c r="U515" s="5" t="s">
        <v>6566</v>
      </c>
      <c r="V515" s="5" t="s">
        <v>6566</v>
      </c>
      <c r="W515" s="5" t="s">
        <v>6567</v>
      </c>
      <c r="X515" s="5" t="s">
        <v>6567</v>
      </c>
      <c r="Y515" s="4">
        <v>913</v>
      </c>
      <c r="Z515" s="4">
        <v>868</v>
      </c>
      <c r="AA515" s="4">
        <v>901</v>
      </c>
      <c r="AB515" s="4">
        <v>5</v>
      </c>
      <c r="AC515" s="4">
        <v>5</v>
      </c>
      <c r="AD515" s="4">
        <v>16</v>
      </c>
      <c r="AE515" s="4">
        <v>16</v>
      </c>
      <c r="AF515" s="4">
        <v>7</v>
      </c>
      <c r="AG515" s="4">
        <v>7</v>
      </c>
      <c r="AH515" s="4">
        <v>3</v>
      </c>
      <c r="AI515" s="4">
        <v>3</v>
      </c>
      <c r="AJ515" s="4">
        <v>7</v>
      </c>
      <c r="AK515" s="4">
        <v>7</v>
      </c>
      <c r="AL515" s="4">
        <v>2</v>
      </c>
      <c r="AM515" s="4">
        <v>2</v>
      </c>
      <c r="AN515" s="4">
        <v>0</v>
      </c>
      <c r="AO515" s="4">
        <v>0</v>
      </c>
      <c r="AP515" s="3" t="s">
        <v>58</v>
      </c>
      <c r="AQ515" s="3" t="s">
        <v>58</v>
      </c>
      <c r="AS515" s="6" t="str">
        <f>HYPERLINK("https://creighton-primo.hosted.exlibrisgroup.com/primo-explore/search?tab=default_tab&amp;search_scope=EVERYTHING&amp;vid=01CRU&amp;lang=en_US&amp;offset=0&amp;query=any,contains,991001502059702656","Catalog Record")</f>
        <v>Catalog Record</v>
      </c>
      <c r="AT515" s="6" t="str">
        <f>HYPERLINK("http://www.worldcat.org/oclc/19811498","WorldCat Record")</f>
        <v>WorldCat Record</v>
      </c>
      <c r="AU515" s="3" t="s">
        <v>6568</v>
      </c>
      <c r="AV515" s="3" t="s">
        <v>6569</v>
      </c>
      <c r="AW515" s="3" t="s">
        <v>6570</v>
      </c>
      <c r="AX515" s="3" t="s">
        <v>6570</v>
      </c>
      <c r="AY515" s="3" t="s">
        <v>6571</v>
      </c>
      <c r="AZ515" s="3" t="s">
        <v>73</v>
      </c>
      <c r="BB515" s="3" t="s">
        <v>6572</v>
      </c>
      <c r="BC515" s="3" t="s">
        <v>6573</v>
      </c>
      <c r="BD515" s="3" t="s">
        <v>6574</v>
      </c>
    </row>
    <row r="516" spans="1:56" ht="51" customHeight="1" x14ac:dyDescent="0.25">
      <c r="A516" s="7" t="s">
        <v>58</v>
      </c>
      <c r="B516" s="2" t="s">
        <v>6575</v>
      </c>
      <c r="C516" s="2" t="s">
        <v>6576</v>
      </c>
      <c r="D516" s="2" t="s">
        <v>6577</v>
      </c>
      <c r="F516" s="3" t="s">
        <v>58</v>
      </c>
      <c r="G516" s="3" t="s">
        <v>59</v>
      </c>
      <c r="H516" s="3" t="s">
        <v>58</v>
      </c>
      <c r="I516" s="3" t="s">
        <v>58</v>
      </c>
      <c r="J516" s="3" t="s">
        <v>60</v>
      </c>
      <c r="K516" s="2" t="s">
        <v>6578</v>
      </c>
      <c r="L516" s="2" t="s">
        <v>6579</v>
      </c>
      <c r="M516" s="3" t="s">
        <v>1091</v>
      </c>
      <c r="O516" s="3" t="s">
        <v>63</v>
      </c>
      <c r="P516" s="3" t="s">
        <v>584</v>
      </c>
      <c r="R516" s="3" t="s">
        <v>65</v>
      </c>
      <c r="S516" s="4">
        <v>1</v>
      </c>
      <c r="T516" s="4">
        <v>1</v>
      </c>
      <c r="U516" s="5" t="s">
        <v>6580</v>
      </c>
      <c r="V516" s="5" t="s">
        <v>6580</v>
      </c>
      <c r="W516" s="5" t="s">
        <v>6580</v>
      </c>
      <c r="X516" s="5" t="s">
        <v>6580</v>
      </c>
      <c r="Y516" s="4">
        <v>21</v>
      </c>
      <c r="Z516" s="4">
        <v>10</v>
      </c>
      <c r="AA516" s="4">
        <v>375</v>
      </c>
      <c r="AB516" s="4">
        <v>1</v>
      </c>
      <c r="AC516" s="4">
        <v>2</v>
      </c>
      <c r="AD516" s="4">
        <v>0</v>
      </c>
      <c r="AE516" s="4">
        <v>28</v>
      </c>
      <c r="AF516" s="4">
        <v>0</v>
      </c>
      <c r="AG516" s="4">
        <v>11</v>
      </c>
      <c r="AH516" s="4">
        <v>0</v>
      </c>
      <c r="AI516" s="4">
        <v>9</v>
      </c>
      <c r="AJ516" s="4">
        <v>0</v>
      </c>
      <c r="AK516" s="4">
        <v>15</v>
      </c>
      <c r="AL516" s="4">
        <v>0</v>
      </c>
      <c r="AM516" s="4">
        <v>1</v>
      </c>
      <c r="AN516" s="4">
        <v>0</v>
      </c>
      <c r="AO516" s="4">
        <v>1</v>
      </c>
      <c r="AP516" s="3" t="s">
        <v>58</v>
      </c>
      <c r="AQ516" s="3" t="s">
        <v>58</v>
      </c>
      <c r="AS516" s="6" t="str">
        <f>HYPERLINK("https://creighton-primo.hosted.exlibrisgroup.com/primo-explore/search?tab=default_tab&amp;search_scope=EVERYTHING&amp;vid=01CRU&amp;lang=en_US&amp;offset=0&amp;query=any,contains,991004264559702656","Catalog Record")</f>
        <v>Catalog Record</v>
      </c>
      <c r="AT516" s="6" t="str">
        <f>HYPERLINK("http://www.worldcat.org/oclc/47824746","WorldCat Record")</f>
        <v>WorldCat Record</v>
      </c>
      <c r="AU516" s="3" t="s">
        <v>6581</v>
      </c>
      <c r="AV516" s="3" t="s">
        <v>6582</v>
      </c>
      <c r="AW516" s="3" t="s">
        <v>6583</v>
      </c>
      <c r="AX516" s="3" t="s">
        <v>6583</v>
      </c>
      <c r="AY516" s="3" t="s">
        <v>6584</v>
      </c>
      <c r="AZ516" s="3" t="s">
        <v>73</v>
      </c>
      <c r="BB516" s="3" t="s">
        <v>6585</v>
      </c>
      <c r="BC516" s="3" t="s">
        <v>6586</v>
      </c>
      <c r="BD516" s="3" t="s">
        <v>6587</v>
      </c>
    </row>
    <row r="517" spans="1:56" ht="51" customHeight="1" x14ac:dyDescent="0.25">
      <c r="A517" s="7" t="s">
        <v>58</v>
      </c>
      <c r="B517" s="2" t="s">
        <v>6588</v>
      </c>
      <c r="C517" s="2" t="s">
        <v>6589</v>
      </c>
      <c r="D517" s="2" t="s">
        <v>6590</v>
      </c>
      <c r="F517" s="3" t="s">
        <v>58</v>
      </c>
      <c r="G517" s="3" t="s">
        <v>59</v>
      </c>
      <c r="H517" s="3" t="s">
        <v>58</v>
      </c>
      <c r="I517" s="3" t="s">
        <v>58</v>
      </c>
      <c r="J517" s="3" t="s">
        <v>60</v>
      </c>
      <c r="K517" s="2" t="s">
        <v>6591</v>
      </c>
      <c r="L517" s="2" t="s">
        <v>6592</v>
      </c>
      <c r="M517" s="3" t="s">
        <v>552</v>
      </c>
      <c r="O517" s="3" t="s">
        <v>63</v>
      </c>
      <c r="P517" s="3" t="s">
        <v>584</v>
      </c>
      <c r="R517" s="3" t="s">
        <v>65</v>
      </c>
      <c r="S517" s="4">
        <v>12</v>
      </c>
      <c r="T517" s="4">
        <v>12</v>
      </c>
      <c r="U517" s="5" t="s">
        <v>6593</v>
      </c>
      <c r="V517" s="5" t="s">
        <v>6593</v>
      </c>
      <c r="W517" s="5" t="s">
        <v>6594</v>
      </c>
      <c r="X517" s="5" t="s">
        <v>6594</v>
      </c>
      <c r="Y517" s="4">
        <v>712</v>
      </c>
      <c r="Z517" s="4">
        <v>542</v>
      </c>
      <c r="AA517" s="4">
        <v>676</v>
      </c>
      <c r="AB517" s="4">
        <v>4</v>
      </c>
      <c r="AC517" s="4">
        <v>5</v>
      </c>
      <c r="AD517" s="4">
        <v>34</v>
      </c>
      <c r="AE517" s="4">
        <v>42</v>
      </c>
      <c r="AF517" s="4">
        <v>17</v>
      </c>
      <c r="AG517" s="4">
        <v>20</v>
      </c>
      <c r="AH517" s="4">
        <v>8</v>
      </c>
      <c r="AI517" s="4">
        <v>10</v>
      </c>
      <c r="AJ517" s="4">
        <v>17</v>
      </c>
      <c r="AK517" s="4">
        <v>20</v>
      </c>
      <c r="AL517" s="4">
        <v>3</v>
      </c>
      <c r="AM517" s="4">
        <v>4</v>
      </c>
      <c r="AN517" s="4">
        <v>2</v>
      </c>
      <c r="AO517" s="4">
        <v>2</v>
      </c>
      <c r="AP517" s="3" t="s">
        <v>58</v>
      </c>
      <c r="AQ517" s="3" t="s">
        <v>58</v>
      </c>
      <c r="AS517" s="6" t="str">
        <f>HYPERLINK("https://creighton-primo.hosted.exlibrisgroup.com/primo-explore/search?tab=default_tab&amp;search_scope=EVERYTHING&amp;vid=01CRU&amp;lang=en_US&amp;offset=0&amp;query=any,contains,991001600889702656","Catalog Record")</f>
        <v>Catalog Record</v>
      </c>
      <c r="AT517" s="6" t="str">
        <f>HYPERLINK("http://www.worldcat.org/oclc/20670549","WorldCat Record")</f>
        <v>WorldCat Record</v>
      </c>
      <c r="AU517" s="3" t="s">
        <v>6595</v>
      </c>
      <c r="AV517" s="3" t="s">
        <v>6596</v>
      </c>
      <c r="AW517" s="3" t="s">
        <v>6597</v>
      </c>
      <c r="AX517" s="3" t="s">
        <v>6597</v>
      </c>
      <c r="AY517" s="3" t="s">
        <v>6598</v>
      </c>
      <c r="AZ517" s="3" t="s">
        <v>73</v>
      </c>
      <c r="BB517" s="3" t="s">
        <v>6599</v>
      </c>
      <c r="BC517" s="3" t="s">
        <v>6600</v>
      </c>
      <c r="BD517" s="3" t="s">
        <v>6601</v>
      </c>
    </row>
    <row r="518" spans="1:56" ht="51" customHeight="1" x14ac:dyDescent="0.25">
      <c r="A518" s="7" t="s">
        <v>58</v>
      </c>
      <c r="B518" s="2" t="s">
        <v>6602</v>
      </c>
      <c r="C518" s="2" t="s">
        <v>6603</v>
      </c>
      <c r="D518" s="2" t="s">
        <v>6604</v>
      </c>
      <c r="F518" s="3" t="s">
        <v>58</v>
      </c>
      <c r="G518" s="3" t="s">
        <v>59</v>
      </c>
      <c r="H518" s="3" t="s">
        <v>58</v>
      </c>
      <c r="I518" s="3" t="s">
        <v>58</v>
      </c>
      <c r="J518" s="3" t="s">
        <v>60</v>
      </c>
      <c r="K518" s="2" t="s">
        <v>6605</v>
      </c>
      <c r="L518" s="2" t="s">
        <v>4284</v>
      </c>
      <c r="M518" s="3" t="s">
        <v>423</v>
      </c>
      <c r="O518" s="3" t="s">
        <v>63</v>
      </c>
      <c r="P518" s="3" t="s">
        <v>214</v>
      </c>
      <c r="Q518" s="2" t="s">
        <v>6365</v>
      </c>
      <c r="R518" s="3" t="s">
        <v>65</v>
      </c>
      <c r="S518" s="4">
        <v>4</v>
      </c>
      <c r="T518" s="4">
        <v>4</v>
      </c>
      <c r="U518" s="5" t="s">
        <v>6606</v>
      </c>
      <c r="V518" s="5" t="s">
        <v>6606</v>
      </c>
      <c r="W518" s="5" t="s">
        <v>6607</v>
      </c>
      <c r="X518" s="5" t="s">
        <v>6607</v>
      </c>
      <c r="Y518" s="4">
        <v>1116</v>
      </c>
      <c r="Z518" s="4">
        <v>956</v>
      </c>
      <c r="AA518" s="4">
        <v>1156</v>
      </c>
      <c r="AB518" s="4">
        <v>6</v>
      </c>
      <c r="AC518" s="4">
        <v>8</v>
      </c>
      <c r="AD518" s="4">
        <v>42</v>
      </c>
      <c r="AE518" s="4">
        <v>45</v>
      </c>
      <c r="AF518" s="4">
        <v>20</v>
      </c>
      <c r="AG518" s="4">
        <v>20</v>
      </c>
      <c r="AH518" s="4">
        <v>10</v>
      </c>
      <c r="AI518" s="4">
        <v>10</v>
      </c>
      <c r="AJ518" s="4">
        <v>21</v>
      </c>
      <c r="AK518" s="4">
        <v>22</v>
      </c>
      <c r="AL518" s="4">
        <v>4</v>
      </c>
      <c r="AM518" s="4">
        <v>6</v>
      </c>
      <c r="AN518" s="4">
        <v>0</v>
      </c>
      <c r="AO518" s="4">
        <v>0</v>
      </c>
      <c r="AP518" s="3" t="s">
        <v>58</v>
      </c>
      <c r="AQ518" s="3" t="s">
        <v>68</v>
      </c>
      <c r="AR518" s="6" t="str">
        <f>HYPERLINK("http://catalog.hathitrust.org/Record/004567282","HathiTrust Record")</f>
        <v>HathiTrust Record</v>
      </c>
      <c r="AS518" s="6" t="str">
        <f>HYPERLINK("https://creighton-primo.hosted.exlibrisgroup.com/primo-explore/search?tab=default_tab&amp;search_scope=EVERYTHING&amp;vid=01CRU&amp;lang=en_US&amp;offset=0&amp;query=any,contains,991002885609702656","Catalog Record")</f>
        <v>Catalog Record</v>
      </c>
      <c r="AT518" s="6" t="str">
        <f>HYPERLINK("http://www.worldcat.org/oclc/38024075","WorldCat Record")</f>
        <v>WorldCat Record</v>
      </c>
      <c r="AU518" s="3" t="s">
        <v>6608</v>
      </c>
      <c r="AV518" s="3" t="s">
        <v>6609</v>
      </c>
      <c r="AW518" s="3" t="s">
        <v>6610</v>
      </c>
      <c r="AX518" s="3" t="s">
        <v>6610</v>
      </c>
      <c r="AY518" s="3" t="s">
        <v>6611</v>
      </c>
      <c r="AZ518" s="3" t="s">
        <v>73</v>
      </c>
      <c r="BB518" s="3" t="s">
        <v>6612</v>
      </c>
      <c r="BC518" s="3" t="s">
        <v>6613</v>
      </c>
      <c r="BD518" s="3" t="s">
        <v>6614</v>
      </c>
    </row>
    <row r="519" spans="1:56" ht="51" customHeight="1" x14ac:dyDescent="0.25">
      <c r="A519" s="7" t="s">
        <v>58</v>
      </c>
      <c r="B519" s="2" t="s">
        <v>6615</v>
      </c>
      <c r="C519" s="2" t="s">
        <v>6616</v>
      </c>
      <c r="D519" s="2" t="s">
        <v>6617</v>
      </c>
      <c r="F519" s="3" t="s">
        <v>58</v>
      </c>
      <c r="G519" s="3" t="s">
        <v>59</v>
      </c>
      <c r="H519" s="3" t="s">
        <v>58</v>
      </c>
      <c r="I519" s="3" t="s">
        <v>58</v>
      </c>
      <c r="J519" s="3" t="s">
        <v>60</v>
      </c>
      <c r="K519" s="2" t="s">
        <v>6618</v>
      </c>
      <c r="L519" s="2" t="s">
        <v>6619</v>
      </c>
      <c r="M519" s="3" t="s">
        <v>1061</v>
      </c>
      <c r="O519" s="3" t="s">
        <v>63</v>
      </c>
      <c r="P519" s="3" t="s">
        <v>354</v>
      </c>
      <c r="R519" s="3" t="s">
        <v>65</v>
      </c>
      <c r="S519" s="4">
        <v>1</v>
      </c>
      <c r="T519" s="4">
        <v>1</v>
      </c>
      <c r="U519" s="5" t="s">
        <v>5346</v>
      </c>
      <c r="V519" s="5" t="s">
        <v>5346</v>
      </c>
      <c r="W519" s="5" t="s">
        <v>6064</v>
      </c>
      <c r="X519" s="5" t="s">
        <v>6064</v>
      </c>
      <c r="Y519" s="4">
        <v>344</v>
      </c>
      <c r="Z519" s="4">
        <v>311</v>
      </c>
      <c r="AA519" s="4">
        <v>312</v>
      </c>
      <c r="AB519" s="4">
        <v>4</v>
      </c>
      <c r="AC519" s="4">
        <v>4</v>
      </c>
      <c r="AD519" s="4">
        <v>17</v>
      </c>
      <c r="AE519" s="4">
        <v>17</v>
      </c>
      <c r="AF519" s="4">
        <v>5</v>
      </c>
      <c r="AG519" s="4">
        <v>5</v>
      </c>
      <c r="AH519" s="4">
        <v>4</v>
      </c>
      <c r="AI519" s="4">
        <v>4</v>
      </c>
      <c r="AJ519" s="4">
        <v>9</v>
      </c>
      <c r="AK519" s="4">
        <v>9</v>
      </c>
      <c r="AL519" s="4">
        <v>3</v>
      </c>
      <c r="AM519" s="4">
        <v>3</v>
      </c>
      <c r="AN519" s="4">
        <v>0</v>
      </c>
      <c r="AO519" s="4">
        <v>0</v>
      </c>
      <c r="AP519" s="3" t="s">
        <v>58</v>
      </c>
      <c r="AQ519" s="3" t="s">
        <v>58</v>
      </c>
      <c r="AS519" s="6" t="str">
        <f>HYPERLINK("https://creighton-primo.hosted.exlibrisgroup.com/primo-explore/search?tab=default_tab&amp;search_scope=EVERYTHING&amp;vid=01CRU&amp;lang=en_US&amp;offset=0&amp;query=any,contains,991002643579702656","Catalog Record")</f>
        <v>Catalog Record</v>
      </c>
      <c r="AT519" s="6" t="str">
        <f>HYPERLINK("http://www.worldcat.org/oclc/34598180","WorldCat Record")</f>
        <v>WorldCat Record</v>
      </c>
      <c r="AU519" s="3" t="s">
        <v>6620</v>
      </c>
      <c r="AV519" s="3" t="s">
        <v>6621</v>
      </c>
      <c r="AW519" s="3" t="s">
        <v>6622</v>
      </c>
      <c r="AX519" s="3" t="s">
        <v>6622</v>
      </c>
      <c r="AY519" s="3" t="s">
        <v>6623</v>
      </c>
      <c r="AZ519" s="3" t="s">
        <v>73</v>
      </c>
      <c r="BB519" s="3" t="s">
        <v>6624</v>
      </c>
      <c r="BC519" s="3" t="s">
        <v>6625</v>
      </c>
      <c r="BD519" s="3" t="s">
        <v>6626</v>
      </c>
    </row>
    <row r="520" spans="1:56" ht="51" customHeight="1" x14ac:dyDescent="0.25">
      <c r="A520" s="7" t="s">
        <v>58</v>
      </c>
      <c r="B520" s="2" t="s">
        <v>6627</v>
      </c>
      <c r="C520" s="2" t="s">
        <v>6628</v>
      </c>
      <c r="D520" s="2" t="s">
        <v>6629</v>
      </c>
      <c r="F520" s="3" t="s">
        <v>58</v>
      </c>
      <c r="G520" s="3" t="s">
        <v>59</v>
      </c>
      <c r="H520" s="3" t="s">
        <v>58</v>
      </c>
      <c r="I520" s="3" t="s">
        <v>58</v>
      </c>
      <c r="J520" s="3" t="s">
        <v>60</v>
      </c>
      <c r="K520" s="2" t="s">
        <v>6630</v>
      </c>
      <c r="L520" s="2" t="s">
        <v>6631</v>
      </c>
      <c r="M520" s="3" t="s">
        <v>382</v>
      </c>
      <c r="O520" s="3" t="s">
        <v>63</v>
      </c>
      <c r="P520" s="3" t="s">
        <v>214</v>
      </c>
      <c r="Q520" s="2" t="s">
        <v>6632</v>
      </c>
      <c r="R520" s="3" t="s">
        <v>65</v>
      </c>
      <c r="S520" s="4">
        <v>1</v>
      </c>
      <c r="T520" s="4">
        <v>1</v>
      </c>
      <c r="U520" s="5" t="s">
        <v>6633</v>
      </c>
      <c r="V520" s="5" t="s">
        <v>6633</v>
      </c>
      <c r="W520" s="5" t="s">
        <v>6633</v>
      </c>
      <c r="X520" s="5" t="s">
        <v>6633</v>
      </c>
      <c r="Y520" s="4">
        <v>391</v>
      </c>
      <c r="Z520" s="4">
        <v>307</v>
      </c>
      <c r="AA520" s="4">
        <v>309</v>
      </c>
      <c r="AB520" s="4">
        <v>3</v>
      </c>
      <c r="AC520" s="4">
        <v>3</v>
      </c>
      <c r="AD520" s="4">
        <v>16</v>
      </c>
      <c r="AE520" s="4">
        <v>16</v>
      </c>
      <c r="AF520" s="4">
        <v>3</v>
      </c>
      <c r="AG520" s="4">
        <v>3</v>
      </c>
      <c r="AH520" s="4">
        <v>5</v>
      </c>
      <c r="AI520" s="4">
        <v>5</v>
      </c>
      <c r="AJ520" s="4">
        <v>10</v>
      </c>
      <c r="AK520" s="4">
        <v>10</v>
      </c>
      <c r="AL520" s="4">
        <v>2</v>
      </c>
      <c r="AM520" s="4">
        <v>2</v>
      </c>
      <c r="AN520" s="4">
        <v>0</v>
      </c>
      <c r="AO520" s="4">
        <v>0</v>
      </c>
      <c r="AP520" s="3" t="s">
        <v>58</v>
      </c>
      <c r="AQ520" s="3" t="s">
        <v>58</v>
      </c>
      <c r="AS520" s="6" t="str">
        <f>HYPERLINK("https://creighton-primo.hosted.exlibrisgroup.com/primo-explore/search?tab=default_tab&amp;search_scope=EVERYTHING&amp;vid=01CRU&amp;lang=en_US&amp;offset=0&amp;query=any,contains,991004011309702656","Catalog Record")</f>
        <v>Catalog Record</v>
      </c>
      <c r="AT520" s="6" t="str">
        <f>HYPERLINK("http://www.worldcat.org/oclc/39505727","WorldCat Record")</f>
        <v>WorldCat Record</v>
      </c>
      <c r="AU520" s="3" t="s">
        <v>6634</v>
      </c>
      <c r="AV520" s="3" t="s">
        <v>6635</v>
      </c>
      <c r="AW520" s="3" t="s">
        <v>6636</v>
      </c>
      <c r="AX520" s="3" t="s">
        <v>6636</v>
      </c>
      <c r="AY520" s="3" t="s">
        <v>6637</v>
      </c>
      <c r="AZ520" s="3" t="s">
        <v>73</v>
      </c>
      <c r="BB520" s="3" t="s">
        <v>6638</v>
      </c>
      <c r="BC520" s="3" t="s">
        <v>6639</v>
      </c>
      <c r="BD520" s="3" t="s">
        <v>6640</v>
      </c>
    </row>
    <row r="521" spans="1:56" ht="51" customHeight="1" x14ac:dyDescent="0.25">
      <c r="A521" s="7" t="s">
        <v>58</v>
      </c>
      <c r="B521" s="2" t="s">
        <v>6641</v>
      </c>
      <c r="C521" s="2" t="s">
        <v>6642</v>
      </c>
      <c r="D521" s="2" t="s">
        <v>6643</v>
      </c>
      <c r="F521" s="3" t="s">
        <v>58</v>
      </c>
      <c r="G521" s="3" t="s">
        <v>59</v>
      </c>
      <c r="H521" s="3" t="s">
        <v>58</v>
      </c>
      <c r="I521" s="3" t="s">
        <v>58</v>
      </c>
      <c r="J521" s="3" t="s">
        <v>60</v>
      </c>
      <c r="K521" s="2" t="s">
        <v>6644</v>
      </c>
      <c r="L521" s="2" t="s">
        <v>6645</v>
      </c>
      <c r="M521" s="3" t="s">
        <v>2214</v>
      </c>
      <c r="O521" s="3" t="s">
        <v>63</v>
      </c>
      <c r="P521" s="3" t="s">
        <v>584</v>
      </c>
      <c r="R521" s="3" t="s">
        <v>65</v>
      </c>
      <c r="S521" s="4">
        <v>5</v>
      </c>
      <c r="T521" s="4">
        <v>5</v>
      </c>
      <c r="U521" s="5" t="s">
        <v>6646</v>
      </c>
      <c r="V521" s="5" t="s">
        <v>6646</v>
      </c>
      <c r="W521" s="5" t="s">
        <v>6647</v>
      </c>
      <c r="X521" s="5" t="s">
        <v>6647</v>
      </c>
      <c r="Y521" s="4">
        <v>370</v>
      </c>
      <c r="Z521" s="4">
        <v>264</v>
      </c>
      <c r="AA521" s="4">
        <v>265</v>
      </c>
      <c r="AB521" s="4">
        <v>2</v>
      </c>
      <c r="AC521" s="4">
        <v>2</v>
      </c>
      <c r="AD521" s="4">
        <v>12</v>
      </c>
      <c r="AE521" s="4">
        <v>12</v>
      </c>
      <c r="AF521" s="4">
        <v>4</v>
      </c>
      <c r="AG521" s="4">
        <v>4</v>
      </c>
      <c r="AH521" s="4">
        <v>4</v>
      </c>
      <c r="AI521" s="4">
        <v>4</v>
      </c>
      <c r="AJ521" s="4">
        <v>6</v>
      </c>
      <c r="AK521" s="4">
        <v>6</v>
      </c>
      <c r="AL521" s="4">
        <v>1</v>
      </c>
      <c r="AM521" s="4">
        <v>1</v>
      </c>
      <c r="AN521" s="4">
        <v>0</v>
      </c>
      <c r="AO521" s="4">
        <v>0</v>
      </c>
      <c r="AP521" s="3" t="s">
        <v>58</v>
      </c>
      <c r="AQ521" s="3" t="s">
        <v>58</v>
      </c>
      <c r="AS521" s="6" t="str">
        <f>HYPERLINK("https://creighton-primo.hosted.exlibrisgroup.com/primo-explore/search?tab=default_tab&amp;search_scope=EVERYTHING&amp;vid=01CRU&amp;lang=en_US&amp;offset=0&amp;query=any,contains,991004548079702656","Catalog Record")</f>
        <v>Catalog Record</v>
      </c>
      <c r="AT521" s="6" t="str">
        <f>HYPERLINK("http://www.worldcat.org/oclc/54544095","WorldCat Record")</f>
        <v>WorldCat Record</v>
      </c>
      <c r="AU521" s="3" t="s">
        <v>6648</v>
      </c>
      <c r="AV521" s="3" t="s">
        <v>6649</v>
      </c>
      <c r="AW521" s="3" t="s">
        <v>6650</v>
      </c>
      <c r="AX521" s="3" t="s">
        <v>6650</v>
      </c>
      <c r="AY521" s="3" t="s">
        <v>6651</v>
      </c>
      <c r="AZ521" s="3" t="s">
        <v>73</v>
      </c>
      <c r="BB521" s="3" t="s">
        <v>6652</v>
      </c>
      <c r="BC521" s="3" t="s">
        <v>6653</v>
      </c>
      <c r="BD521" s="3" t="s">
        <v>6654</v>
      </c>
    </row>
    <row r="522" spans="1:56" ht="51" customHeight="1" x14ac:dyDescent="0.25">
      <c r="A522" s="7" t="s">
        <v>58</v>
      </c>
      <c r="B522" s="2" t="s">
        <v>6655</v>
      </c>
      <c r="C522" s="2" t="s">
        <v>6656</v>
      </c>
      <c r="D522" s="2" t="s">
        <v>6657</v>
      </c>
      <c r="F522" s="3" t="s">
        <v>58</v>
      </c>
      <c r="G522" s="3" t="s">
        <v>59</v>
      </c>
      <c r="H522" s="3" t="s">
        <v>58</v>
      </c>
      <c r="I522" s="3" t="s">
        <v>58</v>
      </c>
      <c r="J522" s="3" t="s">
        <v>60</v>
      </c>
      <c r="K522" s="2" t="s">
        <v>6658</v>
      </c>
      <c r="L522" s="2" t="s">
        <v>6659</v>
      </c>
      <c r="M522" s="3" t="s">
        <v>337</v>
      </c>
      <c r="O522" s="3" t="s">
        <v>63</v>
      </c>
      <c r="P522" s="3" t="s">
        <v>760</v>
      </c>
      <c r="R522" s="3" t="s">
        <v>65</v>
      </c>
      <c r="S522" s="4">
        <v>4</v>
      </c>
      <c r="T522" s="4">
        <v>4</v>
      </c>
      <c r="U522" s="5" t="s">
        <v>6660</v>
      </c>
      <c r="V522" s="5" t="s">
        <v>6660</v>
      </c>
      <c r="W522" s="5" t="s">
        <v>6157</v>
      </c>
      <c r="X522" s="5" t="s">
        <v>6157</v>
      </c>
      <c r="Y522" s="4">
        <v>251</v>
      </c>
      <c r="Z522" s="4">
        <v>198</v>
      </c>
      <c r="AA522" s="4">
        <v>198</v>
      </c>
      <c r="AB522" s="4">
        <v>2</v>
      </c>
      <c r="AC522" s="4">
        <v>2</v>
      </c>
      <c r="AD522" s="4">
        <v>10</v>
      </c>
      <c r="AE522" s="4">
        <v>10</v>
      </c>
      <c r="AF522" s="4">
        <v>2</v>
      </c>
      <c r="AG522" s="4">
        <v>2</v>
      </c>
      <c r="AH522" s="4">
        <v>5</v>
      </c>
      <c r="AI522" s="4">
        <v>5</v>
      </c>
      <c r="AJ522" s="4">
        <v>5</v>
      </c>
      <c r="AK522" s="4">
        <v>5</v>
      </c>
      <c r="AL522" s="4">
        <v>1</v>
      </c>
      <c r="AM522" s="4">
        <v>1</v>
      </c>
      <c r="AN522" s="4">
        <v>0</v>
      </c>
      <c r="AO522" s="4">
        <v>0</v>
      </c>
      <c r="AP522" s="3" t="s">
        <v>58</v>
      </c>
      <c r="AQ522" s="3" t="s">
        <v>58</v>
      </c>
      <c r="AS522" s="6" t="str">
        <f>HYPERLINK("https://creighton-primo.hosted.exlibrisgroup.com/primo-explore/search?tab=default_tab&amp;search_scope=EVERYTHING&amp;vid=01CRU&amp;lang=en_US&amp;offset=0&amp;query=any,contains,991003878459702656","Catalog Record")</f>
        <v>Catalog Record</v>
      </c>
      <c r="AT522" s="6" t="str">
        <f>HYPERLINK("http://www.worldcat.org/oclc/47803842","WorldCat Record")</f>
        <v>WorldCat Record</v>
      </c>
      <c r="AU522" s="3" t="s">
        <v>6661</v>
      </c>
      <c r="AV522" s="3" t="s">
        <v>6662</v>
      </c>
      <c r="AW522" s="3" t="s">
        <v>6663</v>
      </c>
      <c r="AX522" s="3" t="s">
        <v>6663</v>
      </c>
      <c r="AY522" s="3" t="s">
        <v>6664</v>
      </c>
      <c r="AZ522" s="3" t="s">
        <v>73</v>
      </c>
      <c r="BB522" s="3" t="s">
        <v>6665</v>
      </c>
      <c r="BC522" s="3" t="s">
        <v>6666</v>
      </c>
      <c r="BD522" s="3" t="s">
        <v>6667</v>
      </c>
    </row>
    <row r="523" spans="1:56" ht="51" customHeight="1" x14ac:dyDescent="0.25">
      <c r="A523" s="7" t="s">
        <v>58</v>
      </c>
      <c r="B523" s="2" t="s">
        <v>6668</v>
      </c>
      <c r="C523" s="2" t="s">
        <v>6669</v>
      </c>
      <c r="D523" s="2" t="s">
        <v>6670</v>
      </c>
      <c r="F523" s="3" t="s">
        <v>58</v>
      </c>
      <c r="G523" s="3" t="s">
        <v>59</v>
      </c>
      <c r="H523" s="3" t="s">
        <v>58</v>
      </c>
      <c r="I523" s="3" t="s">
        <v>58</v>
      </c>
      <c r="J523" s="3" t="s">
        <v>60</v>
      </c>
      <c r="K523" s="2" t="s">
        <v>6671</v>
      </c>
      <c r="L523" s="2" t="s">
        <v>6672</v>
      </c>
      <c r="M523" s="3" t="s">
        <v>2295</v>
      </c>
      <c r="O523" s="3" t="s">
        <v>63</v>
      </c>
      <c r="P523" s="3" t="s">
        <v>411</v>
      </c>
      <c r="R523" s="3" t="s">
        <v>65</v>
      </c>
      <c r="S523" s="4">
        <v>3</v>
      </c>
      <c r="T523" s="4">
        <v>3</v>
      </c>
      <c r="U523" s="5" t="s">
        <v>6673</v>
      </c>
      <c r="V523" s="5" t="s">
        <v>6673</v>
      </c>
      <c r="W523" s="5" t="s">
        <v>6674</v>
      </c>
      <c r="X523" s="5" t="s">
        <v>6674</v>
      </c>
      <c r="Y523" s="4">
        <v>341</v>
      </c>
      <c r="Z523" s="4">
        <v>287</v>
      </c>
      <c r="AA523" s="4">
        <v>291</v>
      </c>
      <c r="AB523" s="4">
        <v>3</v>
      </c>
      <c r="AC523" s="4">
        <v>3</v>
      </c>
      <c r="AD523" s="4">
        <v>13</v>
      </c>
      <c r="AE523" s="4">
        <v>13</v>
      </c>
      <c r="AF523" s="4">
        <v>3</v>
      </c>
      <c r="AG523" s="4">
        <v>3</v>
      </c>
      <c r="AH523" s="4">
        <v>5</v>
      </c>
      <c r="AI523" s="4">
        <v>5</v>
      </c>
      <c r="AJ523" s="4">
        <v>6</v>
      </c>
      <c r="AK523" s="4">
        <v>6</v>
      </c>
      <c r="AL523" s="4">
        <v>2</v>
      </c>
      <c r="AM523" s="4">
        <v>2</v>
      </c>
      <c r="AN523" s="4">
        <v>0</v>
      </c>
      <c r="AO523" s="4">
        <v>0</v>
      </c>
      <c r="AP523" s="3" t="s">
        <v>58</v>
      </c>
      <c r="AQ523" s="3" t="s">
        <v>68</v>
      </c>
      <c r="AR523" s="6" t="str">
        <f>HYPERLINK("http://catalog.hathitrust.org/Record/004342507","HathiTrust Record")</f>
        <v>HathiTrust Record</v>
      </c>
      <c r="AS523" s="6" t="str">
        <f>HYPERLINK("https://creighton-primo.hosted.exlibrisgroup.com/primo-explore/search?tab=default_tab&amp;search_scope=EVERYTHING&amp;vid=01CRU&amp;lang=en_US&amp;offset=0&amp;query=any,contains,991004124529702656","Catalog Record")</f>
        <v>Catalog Record</v>
      </c>
      <c r="AT523" s="6" t="str">
        <f>HYPERLINK("http://www.worldcat.org/oclc/51923276","WorldCat Record")</f>
        <v>WorldCat Record</v>
      </c>
      <c r="AU523" s="3" t="s">
        <v>6675</v>
      </c>
      <c r="AV523" s="3" t="s">
        <v>6676</v>
      </c>
      <c r="AW523" s="3" t="s">
        <v>6677</v>
      </c>
      <c r="AX523" s="3" t="s">
        <v>6677</v>
      </c>
      <c r="AY523" s="3" t="s">
        <v>6678</v>
      </c>
      <c r="AZ523" s="3" t="s">
        <v>73</v>
      </c>
      <c r="BB523" s="3" t="s">
        <v>6679</v>
      </c>
      <c r="BC523" s="3" t="s">
        <v>6680</v>
      </c>
      <c r="BD523" s="3" t="s">
        <v>6681</v>
      </c>
    </row>
    <row r="524" spans="1:56" ht="51" customHeight="1" x14ac:dyDescent="0.25">
      <c r="A524" s="7" t="s">
        <v>58</v>
      </c>
      <c r="B524" s="2" t="s">
        <v>6682</v>
      </c>
      <c r="C524" s="2" t="s">
        <v>6683</v>
      </c>
      <c r="D524" s="2" t="s">
        <v>6684</v>
      </c>
      <c r="F524" s="3" t="s">
        <v>58</v>
      </c>
      <c r="G524" s="3" t="s">
        <v>59</v>
      </c>
      <c r="H524" s="3" t="s">
        <v>58</v>
      </c>
      <c r="I524" s="3" t="s">
        <v>58</v>
      </c>
      <c r="J524" s="3" t="s">
        <v>60</v>
      </c>
      <c r="L524" s="2" t="s">
        <v>6685</v>
      </c>
      <c r="M524" s="3" t="s">
        <v>83</v>
      </c>
      <c r="O524" s="3" t="s">
        <v>554</v>
      </c>
      <c r="P524" s="3" t="s">
        <v>571</v>
      </c>
      <c r="Q524" s="2" t="s">
        <v>6686</v>
      </c>
      <c r="R524" s="3" t="s">
        <v>65</v>
      </c>
      <c r="S524" s="4">
        <v>2</v>
      </c>
      <c r="T524" s="4">
        <v>2</v>
      </c>
      <c r="U524" s="5" t="s">
        <v>6687</v>
      </c>
      <c r="V524" s="5" t="s">
        <v>6687</v>
      </c>
      <c r="W524" s="5" t="s">
        <v>5321</v>
      </c>
      <c r="X524" s="5" t="s">
        <v>5321</v>
      </c>
      <c r="Y524" s="4">
        <v>69</v>
      </c>
      <c r="Z524" s="4">
        <v>18</v>
      </c>
      <c r="AA524" s="4">
        <v>21</v>
      </c>
      <c r="AB524" s="4">
        <v>1</v>
      </c>
      <c r="AC524" s="4">
        <v>1</v>
      </c>
      <c r="AD524" s="4">
        <v>0</v>
      </c>
      <c r="AE524" s="4">
        <v>0</v>
      </c>
      <c r="AF524" s="4">
        <v>0</v>
      </c>
      <c r="AG524" s="4">
        <v>0</v>
      </c>
      <c r="AH524" s="4">
        <v>0</v>
      </c>
      <c r="AI524" s="4">
        <v>0</v>
      </c>
      <c r="AJ524" s="4">
        <v>0</v>
      </c>
      <c r="AK524" s="4">
        <v>0</v>
      </c>
      <c r="AL524" s="4">
        <v>0</v>
      </c>
      <c r="AM524" s="4">
        <v>0</v>
      </c>
      <c r="AN524" s="4">
        <v>0</v>
      </c>
      <c r="AO524" s="4">
        <v>0</v>
      </c>
      <c r="AP524" s="3" t="s">
        <v>58</v>
      </c>
      <c r="AQ524" s="3" t="s">
        <v>58</v>
      </c>
      <c r="AS524" s="6" t="str">
        <f>HYPERLINK("https://creighton-primo.hosted.exlibrisgroup.com/primo-explore/search?tab=default_tab&amp;search_scope=EVERYTHING&amp;vid=01CRU&amp;lang=en_US&amp;offset=0&amp;query=any,contains,991004793929702656","Catalog Record")</f>
        <v>Catalog Record</v>
      </c>
      <c r="AT524" s="6" t="str">
        <f>HYPERLINK("http://www.worldcat.org/oclc/18470189","WorldCat Record")</f>
        <v>WorldCat Record</v>
      </c>
      <c r="AU524" s="3" t="s">
        <v>6688</v>
      </c>
      <c r="AV524" s="3" t="s">
        <v>6689</v>
      </c>
      <c r="AW524" s="3" t="s">
        <v>6690</v>
      </c>
      <c r="AX524" s="3" t="s">
        <v>6690</v>
      </c>
      <c r="AY524" s="3" t="s">
        <v>6691</v>
      </c>
      <c r="AZ524" s="3" t="s">
        <v>73</v>
      </c>
      <c r="BC524" s="3" t="s">
        <v>6692</v>
      </c>
      <c r="BD524" s="3" t="s">
        <v>6693</v>
      </c>
    </row>
    <row r="525" spans="1:56" ht="51" customHeight="1" x14ac:dyDescent="0.25">
      <c r="A525" s="7" t="s">
        <v>58</v>
      </c>
      <c r="B525" s="2" t="s">
        <v>6694</v>
      </c>
      <c r="C525" s="2" t="s">
        <v>6695</v>
      </c>
      <c r="D525" s="2" t="s">
        <v>6696</v>
      </c>
      <c r="F525" s="3" t="s">
        <v>58</v>
      </c>
      <c r="G525" s="3" t="s">
        <v>59</v>
      </c>
      <c r="H525" s="3" t="s">
        <v>58</v>
      </c>
      <c r="I525" s="3" t="s">
        <v>58</v>
      </c>
      <c r="J525" s="3" t="s">
        <v>60</v>
      </c>
      <c r="K525" s="2" t="s">
        <v>6697</v>
      </c>
      <c r="L525" s="2" t="s">
        <v>6698</v>
      </c>
      <c r="M525" s="3" t="s">
        <v>382</v>
      </c>
      <c r="O525" s="3" t="s">
        <v>63</v>
      </c>
      <c r="P525" s="3" t="s">
        <v>2575</v>
      </c>
      <c r="Q525" s="2" t="s">
        <v>6699</v>
      </c>
      <c r="R525" s="3" t="s">
        <v>65</v>
      </c>
      <c r="S525" s="4">
        <v>4</v>
      </c>
      <c r="T525" s="4">
        <v>4</v>
      </c>
      <c r="U525" s="5" t="s">
        <v>6700</v>
      </c>
      <c r="V525" s="5" t="s">
        <v>6700</v>
      </c>
      <c r="W525" s="5" t="s">
        <v>983</v>
      </c>
      <c r="X525" s="5" t="s">
        <v>983</v>
      </c>
      <c r="Y525" s="4">
        <v>566</v>
      </c>
      <c r="Z525" s="4">
        <v>478</v>
      </c>
      <c r="AA525" s="4">
        <v>487</v>
      </c>
      <c r="AB525" s="4">
        <v>4</v>
      </c>
      <c r="AC525" s="4">
        <v>4</v>
      </c>
      <c r="AD525" s="4">
        <v>19</v>
      </c>
      <c r="AE525" s="4">
        <v>19</v>
      </c>
      <c r="AF525" s="4">
        <v>8</v>
      </c>
      <c r="AG525" s="4">
        <v>8</v>
      </c>
      <c r="AH525" s="4">
        <v>4</v>
      </c>
      <c r="AI525" s="4">
        <v>4</v>
      </c>
      <c r="AJ525" s="4">
        <v>9</v>
      </c>
      <c r="AK525" s="4">
        <v>9</v>
      </c>
      <c r="AL525" s="4">
        <v>2</v>
      </c>
      <c r="AM525" s="4">
        <v>2</v>
      </c>
      <c r="AN525" s="4">
        <v>0</v>
      </c>
      <c r="AO525" s="4">
        <v>0</v>
      </c>
      <c r="AP525" s="3" t="s">
        <v>58</v>
      </c>
      <c r="AQ525" s="3" t="s">
        <v>68</v>
      </c>
      <c r="AR525" s="6" t="str">
        <f>HYPERLINK("http://catalog.hathitrust.org/Record/004056754","HathiTrust Record")</f>
        <v>HathiTrust Record</v>
      </c>
      <c r="AS525" s="6" t="str">
        <f>HYPERLINK("https://creighton-primo.hosted.exlibrisgroup.com/primo-explore/search?tab=default_tab&amp;search_scope=EVERYTHING&amp;vid=01CRU&amp;lang=en_US&amp;offset=0&amp;query=any,contains,991003328809702656","Catalog Record")</f>
        <v>Catalog Record</v>
      </c>
      <c r="AT525" s="6" t="str">
        <f>HYPERLINK("http://www.worldcat.org/oclc/41308618","WorldCat Record")</f>
        <v>WorldCat Record</v>
      </c>
      <c r="AU525" s="3" t="s">
        <v>6701</v>
      </c>
      <c r="AV525" s="3" t="s">
        <v>6702</v>
      </c>
      <c r="AW525" s="3" t="s">
        <v>6703</v>
      </c>
      <c r="AX525" s="3" t="s">
        <v>6703</v>
      </c>
      <c r="AY525" s="3" t="s">
        <v>6704</v>
      </c>
      <c r="AZ525" s="3" t="s">
        <v>73</v>
      </c>
      <c r="BB525" s="3" t="s">
        <v>6705</v>
      </c>
      <c r="BC525" s="3" t="s">
        <v>6706</v>
      </c>
      <c r="BD525" s="3" t="s">
        <v>6707</v>
      </c>
    </row>
    <row r="526" spans="1:56" ht="51" customHeight="1" x14ac:dyDescent="0.25">
      <c r="A526" s="7" t="s">
        <v>58</v>
      </c>
      <c r="B526" s="2" t="s">
        <v>6708</v>
      </c>
      <c r="C526" s="2" t="s">
        <v>6709</v>
      </c>
      <c r="D526" s="2" t="s">
        <v>6710</v>
      </c>
      <c r="F526" s="3" t="s">
        <v>58</v>
      </c>
      <c r="G526" s="3" t="s">
        <v>59</v>
      </c>
      <c r="H526" s="3" t="s">
        <v>58</v>
      </c>
      <c r="I526" s="3" t="s">
        <v>58</v>
      </c>
      <c r="J526" s="3" t="s">
        <v>60</v>
      </c>
      <c r="K526" s="2" t="s">
        <v>6711</v>
      </c>
      <c r="L526" s="2" t="s">
        <v>6712</v>
      </c>
      <c r="M526" s="3" t="s">
        <v>2295</v>
      </c>
      <c r="N526" s="2" t="s">
        <v>870</v>
      </c>
      <c r="O526" s="3" t="s">
        <v>63</v>
      </c>
      <c r="P526" s="3" t="s">
        <v>214</v>
      </c>
      <c r="R526" s="3" t="s">
        <v>65</v>
      </c>
      <c r="S526" s="4">
        <v>2</v>
      </c>
      <c r="T526" s="4">
        <v>2</v>
      </c>
      <c r="U526" s="5" t="s">
        <v>6713</v>
      </c>
      <c r="V526" s="5" t="s">
        <v>6713</v>
      </c>
      <c r="W526" s="5" t="s">
        <v>6714</v>
      </c>
      <c r="X526" s="5" t="s">
        <v>6714</v>
      </c>
      <c r="Y526" s="4">
        <v>1141</v>
      </c>
      <c r="Z526" s="4">
        <v>1110</v>
      </c>
      <c r="AA526" s="4">
        <v>1267</v>
      </c>
      <c r="AB526" s="4">
        <v>13</v>
      </c>
      <c r="AC526" s="4">
        <v>16</v>
      </c>
      <c r="AD526" s="4">
        <v>23</v>
      </c>
      <c r="AE526" s="4">
        <v>30</v>
      </c>
      <c r="AF526" s="4">
        <v>9</v>
      </c>
      <c r="AG526" s="4">
        <v>11</v>
      </c>
      <c r="AH526" s="4">
        <v>5</v>
      </c>
      <c r="AI526" s="4">
        <v>7</v>
      </c>
      <c r="AJ526" s="4">
        <v>9</v>
      </c>
      <c r="AK526" s="4">
        <v>15</v>
      </c>
      <c r="AL526" s="4">
        <v>3</v>
      </c>
      <c r="AM526" s="4">
        <v>4</v>
      </c>
      <c r="AN526" s="4">
        <v>0</v>
      </c>
      <c r="AO526" s="4">
        <v>0</v>
      </c>
      <c r="AP526" s="3" t="s">
        <v>58</v>
      </c>
      <c r="AQ526" s="3" t="s">
        <v>58</v>
      </c>
      <c r="AS526" s="6" t="str">
        <f>HYPERLINK("https://creighton-primo.hosted.exlibrisgroup.com/primo-explore/search?tab=default_tab&amp;search_scope=EVERYTHING&amp;vid=01CRU&amp;lang=en_US&amp;offset=0&amp;query=any,contains,991004006329702656","Catalog Record")</f>
        <v>Catalog Record</v>
      </c>
      <c r="AT526" s="6" t="str">
        <f>HYPERLINK("http://www.worldcat.org/oclc/50906175","WorldCat Record")</f>
        <v>WorldCat Record</v>
      </c>
      <c r="AU526" s="3" t="s">
        <v>6715</v>
      </c>
      <c r="AV526" s="3" t="s">
        <v>6716</v>
      </c>
      <c r="AW526" s="3" t="s">
        <v>6717</v>
      </c>
      <c r="AX526" s="3" t="s">
        <v>6717</v>
      </c>
      <c r="AY526" s="3" t="s">
        <v>6718</v>
      </c>
      <c r="AZ526" s="3" t="s">
        <v>73</v>
      </c>
      <c r="BB526" s="3" t="s">
        <v>6719</v>
      </c>
      <c r="BC526" s="3" t="s">
        <v>6720</v>
      </c>
      <c r="BD526" s="3" t="s">
        <v>6721</v>
      </c>
    </row>
    <row r="527" spans="1:56" ht="51" customHeight="1" x14ac:dyDescent="0.25">
      <c r="A527" s="7" t="s">
        <v>58</v>
      </c>
      <c r="B527" s="2" t="s">
        <v>6722</v>
      </c>
      <c r="C527" s="2" t="s">
        <v>6723</v>
      </c>
      <c r="D527" s="2" t="s">
        <v>6724</v>
      </c>
      <c r="F527" s="3" t="s">
        <v>58</v>
      </c>
      <c r="G527" s="3" t="s">
        <v>59</v>
      </c>
      <c r="H527" s="3" t="s">
        <v>58</v>
      </c>
      <c r="I527" s="3" t="s">
        <v>58</v>
      </c>
      <c r="J527" s="3" t="s">
        <v>60</v>
      </c>
      <c r="K527" s="2" t="s">
        <v>6725</v>
      </c>
      <c r="L527" s="2" t="s">
        <v>6726</v>
      </c>
      <c r="M527" s="3" t="s">
        <v>382</v>
      </c>
      <c r="O527" s="3" t="s">
        <v>554</v>
      </c>
      <c r="P527" s="3" t="s">
        <v>555</v>
      </c>
      <c r="R527" s="3" t="s">
        <v>65</v>
      </c>
      <c r="S527" s="4">
        <v>1</v>
      </c>
      <c r="T527" s="4">
        <v>1</v>
      </c>
      <c r="U527" s="5" t="s">
        <v>6391</v>
      </c>
      <c r="V527" s="5" t="s">
        <v>6391</v>
      </c>
      <c r="W527" s="5" t="s">
        <v>6391</v>
      </c>
      <c r="X527" s="5" t="s">
        <v>6391</v>
      </c>
      <c r="Y527" s="4">
        <v>95</v>
      </c>
      <c r="Z527" s="4">
        <v>43</v>
      </c>
      <c r="AA527" s="4">
        <v>47</v>
      </c>
      <c r="AB527" s="4">
        <v>1</v>
      </c>
      <c r="AC527" s="4">
        <v>1</v>
      </c>
      <c r="AD527" s="4">
        <v>0</v>
      </c>
      <c r="AE527" s="4">
        <v>0</v>
      </c>
      <c r="AF527" s="4">
        <v>0</v>
      </c>
      <c r="AG527" s="4">
        <v>0</v>
      </c>
      <c r="AH527" s="4">
        <v>0</v>
      </c>
      <c r="AI527" s="4">
        <v>0</v>
      </c>
      <c r="AJ527" s="4">
        <v>0</v>
      </c>
      <c r="AK527" s="4">
        <v>0</v>
      </c>
      <c r="AL527" s="4">
        <v>0</v>
      </c>
      <c r="AM527" s="4">
        <v>0</v>
      </c>
      <c r="AN527" s="4">
        <v>0</v>
      </c>
      <c r="AO527" s="4">
        <v>0</v>
      </c>
      <c r="AP527" s="3" t="s">
        <v>58</v>
      </c>
      <c r="AQ527" s="3" t="s">
        <v>68</v>
      </c>
      <c r="AR527" s="6" t="str">
        <f>HYPERLINK("http://catalog.hathitrust.org/Record/004113374","HathiTrust Record")</f>
        <v>HathiTrust Record</v>
      </c>
      <c r="AS527" s="6" t="str">
        <f>HYPERLINK("https://creighton-primo.hosted.exlibrisgroup.com/primo-explore/search?tab=default_tab&amp;search_scope=EVERYTHING&amp;vid=01CRU&amp;lang=en_US&amp;offset=0&amp;query=any,contains,991004133669702656","Catalog Record")</f>
        <v>Catalog Record</v>
      </c>
      <c r="AT527" s="6" t="str">
        <f>HYPERLINK("http://www.worldcat.org/oclc/42021664","WorldCat Record")</f>
        <v>WorldCat Record</v>
      </c>
      <c r="AU527" s="3" t="s">
        <v>6727</v>
      </c>
      <c r="AV527" s="3" t="s">
        <v>6728</v>
      </c>
      <c r="AW527" s="3" t="s">
        <v>6729</v>
      </c>
      <c r="AX527" s="3" t="s">
        <v>6729</v>
      </c>
      <c r="AY527" s="3" t="s">
        <v>6730</v>
      </c>
      <c r="AZ527" s="3" t="s">
        <v>73</v>
      </c>
      <c r="BB527" s="3" t="s">
        <v>6731</v>
      </c>
      <c r="BC527" s="3" t="s">
        <v>6732</v>
      </c>
      <c r="BD527" s="3" t="s">
        <v>6733</v>
      </c>
    </row>
    <row r="528" spans="1:56" ht="51" customHeight="1" x14ac:dyDescent="0.25">
      <c r="A528" s="7" t="s">
        <v>58</v>
      </c>
      <c r="B528" s="2" t="s">
        <v>6734</v>
      </c>
      <c r="C528" s="2" t="s">
        <v>6735</v>
      </c>
      <c r="D528" s="2" t="s">
        <v>6736</v>
      </c>
      <c r="F528" s="3" t="s">
        <v>58</v>
      </c>
      <c r="G528" s="3" t="s">
        <v>59</v>
      </c>
      <c r="H528" s="3" t="s">
        <v>58</v>
      </c>
      <c r="I528" s="3" t="s">
        <v>58</v>
      </c>
      <c r="J528" s="3" t="s">
        <v>60</v>
      </c>
      <c r="K528" s="2" t="s">
        <v>6737</v>
      </c>
      <c r="L528" s="2" t="s">
        <v>6738</v>
      </c>
      <c r="M528" s="3" t="s">
        <v>382</v>
      </c>
      <c r="O528" s="3" t="s">
        <v>63</v>
      </c>
      <c r="P528" s="3" t="s">
        <v>214</v>
      </c>
      <c r="R528" s="3" t="s">
        <v>65</v>
      </c>
      <c r="S528" s="4">
        <v>2</v>
      </c>
      <c r="T528" s="4">
        <v>2</v>
      </c>
      <c r="U528" s="5" t="s">
        <v>6739</v>
      </c>
      <c r="V528" s="5" t="s">
        <v>6739</v>
      </c>
      <c r="W528" s="5" t="s">
        <v>6740</v>
      </c>
      <c r="X528" s="5" t="s">
        <v>6740</v>
      </c>
      <c r="Y528" s="4">
        <v>442</v>
      </c>
      <c r="Z528" s="4">
        <v>401</v>
      </c>
      <c r="AA528" s="4">
        <v>683</v>
      </c>
      <c r="AB528" s="4">
        <v>3</v>
      </c>
      <c r="AC528" s="4">
        <v>27</v>
      </c>
      <c r="AD528" s="4">
        <v>21</v>
      </c>
      <c r="AE528" s="4">
        <v>33</v>
      </c>
      <c r="AF528" s="4">
        <v>8</v>
      </c>
      <c r="AG528" s="4">
        <v>9</v>
      </c>
      <c r="AH528" s="4">
        <v>6</v>
      </c>
      <c r="AI528" s="4">
        <v>6</v>
      </c>
      <c r="AJ528" s="4">
        <v>10</v>
      </c>
      <c r="AK528" s="4">
        <v>11</v>
      </c>
      <c r="AL528" s="4">
        <v>2</v>
      </c>
      <c r="AM528" s="4">
        <v>12</v>
      </c>
      <c r="AN528" s="4">
        <v>0</v>
      </c>
      <c r="AO528" s="4">
        <v>0</v>
      </c>
      <c r="AP528" s="3" t="s">
        <v>58</v>
      </c>
      <c r="AQ528" s="3" t="s">
        <v>58</v>
      </c>
      <c r="AS528" s="6" t="str">
        <f>HYPERLINK("https://creighton-primo.hosted.exlibrisgroup.com/primo-explore/search?tab=default_tab&amp;search_scope=EVERYTHING&amp;vid=01CRU&amp;lang=en_US&amp;offset=0&amp;query=any,contains,991003966759702656","Catalog Record")</f>
        <v>Catalog Record</v>
      </c>
      <c r="AT528" s="6" t="str">
        <f>HYPERLINK("http://www.worldcat.org/oclc/41606204","WorldCat Record")</f>
        <v>WorldCat Record</v>
      </c>
      <c r="AU528" s="3" t="s">
        <v>6741</v>
      </c>
      <c r="AV528" s="3" t="s">
        <v>6742</v>
      </c>
      <c r="AW528" s="3" t="s">
        <v>6743</v>
      </c>
      <c r="AX528" s="3" t="s">
        <v>6743</v>
      </c>
      <c r="AY528" s="3" t="s">
        <v>6744</v>
      </c>
      <c r="AZ528" s="3" t="s">
        <v>73</v>
      </c>
      <c r="BB528" s="3" t="s">
        <v>6745</v>
      </c>
      <c r="BC528" s="3" t="s">
        <v>6746</v>
      </c>
      <c r="BD528" s="3" t="s">
        <v>6747</v>
      </c>
    </row>
    <row r="529" spans="1:56" ht="51" customHeight="1" x14ac:dyDescent="0.25">
      <c r="A529" s="7" t="s">
        <v>58</v>
      </c>
      <c r="B529" s="2" t="s">
        <v>6748</v>
      </c>
      <c r="C529" s="2" t="s">
        <v>6749</v>
      </c>
      <c r="D529" s="2" t="s">
        <v>6750</v>
      </c>
      <c r="F529" s="3" t="s">
        <v>58</v>
      </c>
      <c r="G529" s="3" t="s">
        <v>59</v>
      </c>
      <c r="H529" s="3" t="s">
        <v>58</v>
      </c>
      <c r="I529" s="3" t="s">
        <v>58</v>
      </c>
      <c r="J529" s="3" t="s">
        <v>60</v>
      </c>
      <c r="K529" s="2" t="s">
        <v>6751</v>
      </c>
      <c r="L529" s="2" t="s">
        <v>6752</v>
      </c>
      <c r="M529" s="3" t="s">
        <v>951</v>
      </c>
      <c r="O529" s="3" t="s">
        <v>63</v>
      </c>
      <c r="P529" s="3" t="s">
        <v>214</v>
      </c>
      <c r="R529" s="3" t="s">
        <v>65</v>
      </c>
      <c r="S529" s="4">
        <v>2</v>
      </c>
      <c r="T529" s="4">
        <v>2</v>
      </c>
      <c r="U529" s="5" t="s">
        <v>6753</v>
      </c>
      <c r="V529" s="5" t="s">
        <v>6753</v>
      </c>
      <c r="W529" s="5" t="s">
        <v>6754</v>
      </c>
      <c r="X529" s="5" t="s">
        <v>6754</v>
      </c>
      <c r="Y529" s="4">
        <v>469</v>
      </c>
      <c r="Z529" s="4">
        <v>437</v>
      </c>
      <c r="AA529" s="4">
        <v>557</v>
      </c>
      <c r="AB529" s="4">
        <v>6</v>
      </c>
      <c r="AC529" s="4">
        <v>6</v>
      </c>
      <c r="AD529" s="4">
        <v>17</v>
      </c>
      <c r="AE529" s="4">
        <v>18</v>
      </c>
      <c r="AF529" s="4">
        <v>3</v>
      </c>
      <c r="AG529" s="4">
        <v>4</v>
      </c>
      <c r="AH529" s="4">
        <v>7</v>
      </c>
      <c r="AI529" s="4">
        <v>7</v>
      </c>
      <c r="AJ529" s="4">
        <v>8</v>
      </c>
      <c r="AK529" s="4">
        <v>8</v>
      </c>
      <c r="AL529" s="4">
        <v>4</v>
      </c>
      <c r="AM529" s="4">
        <v>4</v>
      </c>
      <c r="AN529" s="4">
        <v>0</v>
      </c>
      <c r="AO529" s="4">
        <v>0</v>
      </c>
      <c r="AP529" s="3" t="s">
        <v>58</v>
      </c>
      <c r="AQ529" s="3" t="s">
        <v>68</v>
      </c>
      <c r="AR529" s="6" t="str">
        <f>HYPERLINK("http://catalog.hathitrust.org/Record/004130392","HathiTrust Record")</f>
        <v>HathiTrust Record</v>
      </c>
      <c r="AS529" s="6" t="str">
        <f>HYPERLINK("https://creighton-primo.hosted.exlibrisgroup.com/primo-explore/search?tab=default_tab&amp;search_scope=EVERYTHING&amp;vid=01CRU&amp;lang=en_US&amp;offset=0&amp;query=any,contains,991003584269702656","Catalog Record")</f>
        <v>Catalog Record</v>
      </c>
      <c r="AT529" s="6" t="str">
        <f>HYPERLINK("http://www.worldcat.org/oclc/42780475","WorldCat Record")</f>
        <v>WorldCat Record</v>
      </c>
      <c r="AU529" s="3" t="s">
        <v>6755</v>
      </c>
      <c r="AV529" s="3" t="s">
        <v>6756</v>
      </c>
      <c r="AW529" s="3" t="s">
        <v>6757</v>
      </c>
      <c r="AX529" s="3" t="s">
        <v>6757</v>
      </c>
      <c r="AY529" s="3" t="s">
        <v>6758</v>
      </c>
      <c r="AZ529" s="3" t="s">
        <v>73</v>
      </c>
      <c r="BB529" s="3" t="s">
        <v>6759</v>
      </c>
      <c r="BC529" s="3" t="s">
        <v>6760</v>
      </c>
      <c r="BD529" s="3" t="s">
        <v>6761</v>
      </c>
    </row>
    <row r="530" spans="1:56" ht="51" customHeight="1" x14ac:dyDescent="0.25">
      <c r="A530" s="7" t="s">
        <v>58</v>
      </c>
      <c r="B530" s="2" t="s">
        <v>6762</v>
      </c>
      <c r="C530" s="2" t="s">
        <v>6763</v>
      </c>
      <c r="D530" s="2" t="s">
        <v>6764</v>
      </c>
      <c r="F530" s="3" t="s">
        <v>58</v>
      </c>
      <c r="G530" s="3" t="s">
        <v>59</v>
      </c>
      <c r="H530" s="3" t="s">
        <v>58</v>
      </c>
      <c r="I530" s="3" t="s">
        <v>58</v>
      </c>
      <c r="J530" s="3" t="s">
        <v>60</v>
      </c>
      <c r="L530" s="2" t="s">
        <v>6765</v>
      </c>
      <c r="M530" s="3" t="s">
        <v>2326</v>
      </c>
      <c r="N530" s="2" t="s">
        <v>6766</v>
      </c>
      <c r="O530" s="3" t="s">
        <v>63</v>
      </c>
      <c r="P530" s="3" t="s">
        <v>584</v>
      </c>
      <c r="Q530" s="2" t="s">
        <v>6767</v>
      </c>
      <c r="R530" s="3" t="s">
        <v>65</v>
      </c>
      <c r="S530" s="4">
        <v>1</v>
      </c>
      <c r="T530" s="4">
        <v>1</v>
      </c>
      <c r="U530" s="5" t="s">
        <v>2327</v>
      </c>
      <c r="V530" s="5" t="s">
        <v>2327</v>
      </c>
      <c r="W530" s="5" t="s">
        <v>2327</v>
      </c>
      <c r="X530" s="5" t="s">
        <v>2327</v>
      </c>
      <c r="Y530" s="4">
        <v>229</v>
      </c>
      <c r="Z530" s="4">
        <v>195</v>
      </c>
      <c r="AA530" s="4">
        <v>234</v>
      </c>
      <c r="AB530" s="4">
        <v>1</v>
      </c>
      <c r="AC530" s="4">
        <v>2</v>
      </c>
      <c r="AD530" s="4">
        <v>11</v>
      </c>
      <c r="AE530" s="4">
        <v>13</v>
      </c>
      <c r="AF530" s="4">
        <v>4</v>
      </c>
      <c r="AG530" s="4">
        <v>5</v>
      </c>
      <c r="AH530" s="4">
        <v>6</v>
      </c>
      <c r="AI530" s="4">
        <v>6</v>
      </c>
      <c r="AJ530" s="4">
        <v>5</v>
      </c>
      <c r="AK530" s="4">
        <v>6</v>
      </c>
      <c r="AL530" s="4">
        <v>0</v>
      </c>
      <c r="AM530" s="4">
        <v>1</v>
      </c>
      <c r="AN530" s="4">
        <v>0</v>
      </c>
      <c r="AO530" s="4">
        <v>0</v>
      </c>
      <c r="AP530" s="3" t="s">
        <v>58</v>
      </c>
      <c r="AQ530" s="3" t="s">
        <v>58</v>
      </c>
      <c r="AS530" s="6" t="str">
        <f>HYPERLINK("https://creighton-primo.hosted.exlibrisgroup.com/primo-explore/search?tab=default_tab&amp;search_scope=EVERYTHING&amp;vid=01CRU&amp;lang=en_US&amp;offset=0&amp;query=any,contains,991005381219702656","Catalog Record")</f>
        <v>Catalog Record</v>
      </c>
      <c r="AT530" s="6" t="str">
        <f>HYPERLINK("http://www.worldcat.org/oclc/222250018","WorldCat Record")</f>
        <v>WorldCat Record</v>
      </c>
      <c r="AU530" s="3" t="s">
        <v>6768</v>
      </c>
      <c r="AV530" s="3" t="s">
        <v>6769</v>
      </c>
      <c r="AW530" s="3" t="s">
        <v>6770</v>
      </c>
      <c r="AX530" s="3" t="s">
        <v>6770</v>
      </c>
      <c r="AY530" s="3" t="s">
        <v>6771</v>
      </c>
      <c r="AZ530" s="3" t="s">
        <v>73</v>
      </c>
      <c r="BB530" s="3" t="s">
        <v>6772</v>
      </c>
      <c r="BC530" s="3" t="s">
        <v>6773</v>
      </c>
      <c r="BD530" s="3" t="s">
        <v>6774</v>
      </c>
    </row>
    <row r="531" spans="1:56" ht="51" customHeight="1" x14ac:dyDescent="0.25">
      <c r="A531" s="7" t="s">
        <v>58</v>
      </c>
      <c r="B531" s="2" t="s">
        <v>6775</v>
      </c>
      <c r="C531" s="2" t="s">
        <v>6776</v>
      </c>
      <c r="D531" s="2" t="s">
        <v>6777</v>
      </c>
      <c r="F531" s="3" t="s">
        <v>58</v>
      </c>
      <c r="G531" s="3" t="s">
        <v>59</v>
      </c>
      <c r="H531" s="3" t="s">
        <v>58</v>
      </c>
      <c r="I531" s="3" t="s">
        <v>58</v>
      </c>
      <c r="J531" s="3" t="s">
        <v>60</v>
      </c>
      <c r="K531" s="2" t="s">
        <v>6778</v>
      </c>
      <c r="L531" s="2" t="s">
        <v>6779</v>
      </c>
      <c r="M531" s="3" t="s">
        <v>231</v>
      </c>
      <c r="N531" s="2" t="s">
        <v>1470</v>
      </c>
      <c r="O531" s="3" t="s">
        <v>63</v>
      </c>
      <c r="P531" s="3" t="s">
        <v>495</v>
      </c>
      <c r="Q531" s="2" t="s">
        <v>6780</v>
      </c>
      <c r="R531" s="3" t="s">
        <v>65</v>
      </c>
      <c r="S531" s="4">
        <v>1</v>
      </c>
      <c r="T531" s="4">
        <v>1</v>
      </c>
      <c r="U531" s="5" t="s">
        <v>4802</v>
      </c>
      <c r="V531" s="5" t="s">
        <v>4802</v>
      </c>
      <c r="W531" s="5" t="s">
        <v>4761</v>
      </c>
      <c r="X531" s="5" t="s">
        <v>4761</v>
      </c>
      <c r="Y531" s="4">
        <v>549</v>
      </c>
      <c r="Z531" s="4">
        <v>437</v>
      </c>
      <c r="AA531" s="4">
        <v>592</v>
      </c>
      <c r="AB531" s="4">
        <v>2</v>
      </c>
      <c r="AC531" s="4">
        <v>3</v>
      </c>
      <c r="AD531" s="4">
        <v>20</v>
      </c>
      <c r="AE531" s="4">
        <v>34</v>
      </c>
      <c r="AF531" s="4">
        <v>5</v>
      </c>
      <c r="AG531" s="4">
        <v>14</v>
      </c>
      <c r="AH531" s="4">
        <v>7</v>
      </c>
      <c r="AI531" s="4">
        <v>8</v>
      </c>
      <c r="AJ531" s="4">
        <v>13</v>
      </c>
      <c r="AK531" s="4">
        <v>19</v>
      </c>
      <c r="AL531" s="4">
        <v>1</v>
      </c>
      <c r="AM531" s="4">
        <v>2</v>
      </c>
      <c r="AN531" s="4">
        <v>0</v>
      </c>
      <c r="AO531" s="4">
        <v>0</v>
      </c>
      <c r="AP531" s="3" t="s">
        <v>68</v>
      </c>
      <c r="AQ531" s="3" t="s">
        <v>58</v>
      </c>
      <c r="AR531" s="6" t="str">
        <f>HYPERLINK("http://catalog.hathitrust.org/Record/001247239","HathiTrust Record")</f>
        <v>HathiTrust Record</v>
      </c>
      <c r="AS531" s="6" t="str">
        <f>HYPERLINK("https://creighton-primo.hosted.exlibrisgroup.com/primo-explore/search?tab=default_tab&amp;search_scope=EVERYTHING&amp;vid=01CRU&amp;lang=en_US&amp;offset=0&amp;query=any,contains,991002713949702656","Catalog Record")</f>
        <v>Catalog Record</v>
      </c>
      <c r="AT531" s="6" t="str">
        <f>HYPERLINK("http://www.worldcat.org/oclc/410734","WorldCat Record")</f>
        <v>WorldCat Record</v>
      </c>
      <c r="AU531" s="3" t="s">
        <v>6781</v>
      </c>
      <c r="AV531" s="3" t="s">
        <v>6782</v>
      </c>
      <c r="AW531" s="3" t="s">
        <v>6783</v>
      </c>
      <c r="AX531" s="3" t="s">
        <v>6783</v>
      </c>
      <c r="AY531" s="3" t="s">
        <v>6784</v>
      </c>
      <c r="AZ531" s="3" t="s">
        <v>73</v>
      </c>
      <c r="BC531" s="3" t="s">
        <v>6785</v>
      </c>
      <c r="BD531" s="3" t="s">
        <v>6786</v>
      </c>
    </row>
    <row r="532" spans="1:56" ht="51" customHeight="1" x14ac:dyDescent="0.25">
      <c r="A532" s="7" t="s">
        <v>58</v>
      </c>
      <c r="B532" s="2" t="s">
        <v>6787</v>
      </c>
      <c r="C532" s="2" t="s">
        <v>6788</v>
      </c>
      <c r="D532" s="2" t="s">
        <v>6789</v>
      </c>
      <c r="F532" s="3" t="s">
        <v>58</v>
      </c>
      <c r="G532" s="3" t="s">
        <v>59</v>
      </c>
      <c r="H532" s="3" t="s">
        <v>58</v>
      </c>
      <c r="I532" s="3" t="s">
        <v>58</v>
      </c>
      <c r="J532" s="3" t="s">
        <v>60</v>
      </c>
      <c r="K532" s="2" t="s">
        <v>6337</v>
      </c>
      <c r="L532" s="2" t="s">
        <v>6790</v>
      </c>
      <c r="M532" s="3" t="s">
        <v>353</v>
      </c>
      <c r="O532" s="3" t="s">
        <v>63</v>
      </c>
      <c r="P532" s="3" t="s">
        <v>214</v>
      </c>
      <c r="R532" s="3" t="s">
        <v>65</v>
      </c>
      <c r="S532" s="4">
        <v>5</v>
      </c>
      <c r="T532" s="4">
        <v>5</v>
      </c>
      <c r="U532" s="5" t="s">
        <v>6791</v>
      </c>
      <c r="V532" s="5" t="s">
        <v>6791</v>
      </c>
      <c r="W532" s="5" t="s">
        <v>5321</v>
      </c>
      <c r="X532" s="5" t="s">
        <v>5321</v>
      </c>
      <c r="Y532" s="4">
        <v>1079</v>
      </c>
      <c r="Z532" s="4">
        <v>964</v>
      </c>
      <c r="AA532" s="4">
        <v>1059</v>
      </c>
      <c r="AB532" s="4">
        <v>8</v>
      </c>
      <c r="AC532" s="4">
        <v>11</v>
      </c>
      <c r="AD532" s="4">
        <v>29</v>
      </c>
      <c r="AE532" s="4">
        <v>37</v>
      </c>
      <c r="AF532" s="4">
        <v>12</v>
      </c>
      <c r="AG532" s="4">
        <v>17</v>
      </c>
      <c r="AH532" s="4">
        <v>7</v>
      </c>
      <c r="AI532" s="4">
        <v>8</v>
      </c>
      <c r="AJ532" s="4">
        <v>12</v>
      </c>
      <c r="AK532" s="4">
        <v>16</v>
      </c>
      <c r="AL532" s="4">
        <v>4</v>
      </c>
      <c r="AM532" s="4">
        <v>6</v>
      </c>
      <c r="AN532" s="4">
        <v>0</v>
      </c>
      <c r="AO532" s="4">
        <v>0</v>
      </c>
      <c r="AP532" s="3" t="s">
        <v>58</v>
      </c>
      <c r="AQ532" s="3" t="s">
        <v>68</v>
      </c>
      <c r="AR532" s="6" t="str">
        <f>HYPERLINK("http://catalog.hathitrust.org/Record/000814766","HathiTrust Record")</f>
        <v>HathiTrust Record</v>
      </c>
      <c r="AS532" s="6" t="str">
        <f>HYPERLINK("https://creighton-primo.hosted.exlibrisgroup.com/primo-explore/search?tab=default_tab&amp;search_scope=EVERYTHING&amp;vid=01CRU&amp;lang=en_US&amp;offset=0&amp;query=any,contains,991000947729702656","Catalog Record")</f>
        <v>Catalog Record</v>
      </c>
      <c r="AT532" s="6" t="str">
        <f>HYPERLINK("http://www.worldcat.org/oclc/14588463","WorldCat Record")</f>
        <v>WorldCat Record</v>
      </c>
      <c r="AU532" s="3" t="s">
        <v>6792</v>
      </c>
      <c r="AV532" s="3" t="s">
        <v>6793</v>
      </c>
      <c r="AW532" s="3" t="s">
        <v>6794</v>
      </c>
      <c r="AX532" s="3" t="s">
        <v>6794</v>
      </c>
      <c r="AY532" s="3" t="s">
        <v>6795</v>
      </c>
      <c r="AZ532" s="3" t="s">
        <v>73</v>
      </c>
      <c r="BB532" s="3" t="s">
        <v>6796</v>
      </c>
      <c r="BC532" s="3" t="s">
        <v>6797</v>
      </c>
      <c r="BD532" s="3" t="s">
        <v>6798</v>
      </c>
    </row>
    <row r="533" spans="1:56" ht="51" customHeight="1" x14ac:dyDescent="0.25">
      <c r="A533" s="7" t="s">
        <v>58</v>
      </c>
      <c r="B533" s="2" t="s">
        <v>6799</v>
      </c>
      <c r="C533" s="2" t="s">
        <v>6800</v>
      </c>
      <c r="D533" s="2" t="s">
        <v>6801</v>
      </c>
      <c r="F533" s="3" t="s">
        <v>58</v>
      </c>
      <c r="G533" s="3" t="s">
        <v>59</v>
      </c>
      <c r="H533" s="3" t="s">
        <v>58</v>
      </c>
      <c r="I533" s="3" t="s">
        <v>58</v>
      </c>
      <c r="J533" s="3" t="s">
        <v>60</v>
      </c>
      <c r="K533" s="2" t="s">
        <v>6337</v>
      </c>
      <c r="L533" s="2" t="s">
        <v>6802</v>
      </c>
      <c r="M533" s="3" t="s">
        <v>951</v>
      </c>
      <c r="O533" s="3" t="s">
        <v>63</v>
      </c>
      <c r="P533" s="3" t="s">
        <v>510</v>
      </c>
      <c r="R533" s="3" t="s">
        <v>65</v>
      </c>
      <c r="S533" s="4">
        <v>6</v>
      </c>
      <c r="T533" s="4">
        <v>6</v>
      </c>
      <c r="U533" s="5" t="s">
        <v>6803</v>
      </c>
      <c r="V533" s="5" t="s">
        <v>6803</v>
      </c>
      <c r="W533" s="5" t="s">
        <v>6804</v>
      </c>
      <c r="X533" s="5" t="s">
        <v>6804</v>
      </c>
      <c r="Y533" s="4">
        <v>1221</v>
      </c>
      <c r="Z533" s="4">
        <v>1084</v>
      </c>
      <c r="AA533" s="4">
        <v>1161</v>
      </c>
      <c r="AB533" s="4">
        <v>8</v>
      </c>
      <c r="AC533" s="4">
        <v>8</v>
      </c>
      <c r="AD533" s="4">
        <v>46</v>
      </c>
      <c r="AE533" s="4">
        <v>47</v>
      </c>
      <c r="AF533" s="4">
        <v>22</v>
      </c>
      <c r="AG533" s="4">
        <v>23</v>
      </c>
      <c r="AH533" s="4">
        <v>11</v>
      </c>
      <c r="AI533" s="4">
        <v>11</v>
      </c>
      <c r="AJ533" s="4">
        <v>23</v>
      </c>
      <c r="AK533" s="4">
        <v>23</v>
      </c>
      <c r="AL533" s="4">
        <v>4</v>
      </c>
      <c r="AM533" s="4">
        <v>4</v>
      </c>
      <c r="AN533" s="4">
        <v>0</v>
      </c>
      <c r="AO533" s="4">
        <v>0</v>
      </c>
      <c r="AP533" s="3" t="s">
        <v>58</v>
      </c>
      <c r="AQ533" s="3" t="s">
        <v>58</v>
      </c>
      <c r="AS533" s="6" t="str">
        <f>HYPERLINK("https://creighton-primo.hosted.exlibrisgroup.com/primo-explore/search?tab=default_tab&amp;search_scope=EVERYTHING&amp;vid=01CRU&amp;lang=en_US&amp;offset=0&amp;query=any,contains,991003472779702656","Catalog Record")</f>
        <v>Catalog Record</v>
      </c>
      <c r="AT533" s="6" t="str">
        <f>HYPERLINK("http://www.worldcat.org/oclc/44447046","WorldCat Record")</f>
        <v>WorldCat Record</v>
      </c>
      <c r="AU533" s="3" t="s">
        <v>6805</v>
      </c>
      <c r="AV533" s="3" t="s">
        <v>6806</v>
      </c>
      <c r="AW533" s="3" t="s">
        <v>6807</v>
      </c>
      <c r="AX533" s="3" t="s">
        <v>6807</v>
      </c>
      <c r="AY533" s="3" t="s">
        <v>6808</v>
      </c>
      <c r="AZ533" s="3" t="s">
        <v>73</v>
      </c>
      <c r="BB533" s="3" t="s">
        <v>6809</v>
      </c>
      <c r="BC533" s="3" t="s">
        <v>6810</v>
      </c>
      <c r="BD533" s="3" t="s">
        <v>6811</v>
      </c>
    </row>
    <row r="534" spans="1:56" ht="51" customHeight="1" x14ac:dyDescent="0.25">
      <c r="A534" s="7" t="s">
        <v>58</v>
      </c>
      <c r="B534" s="2" t="s">
        <v>6812</v>
      </c>
      <c r="C534" s="2" t="s">
        <v>6813</v>
      </c>
      <c r="D534" s="2" t="s">
        <v>6814</v>
      </c>
      <c r="F534" s="3" t="s">
        <v>58</v>
      </c>
      <c r="G534" s="3" t="s">
        <v>59</v>
      </c>
      <c r="H534" s="3" t="s">
        <v>58</v>
      </c>
      <c r="I534" s="3" t="s">
        <v>58</v>
      </c>
      <c r="J534" s="3" t="s">
        <v>60</v>
      </c>
      <c r="K534" s="2" t="s">
        <v>6815</v>
      </c>
      <c r="L534" s="2" t="s">
        <v>6816</v>
      </c>
      <c r="M534" s="3" t="s">
        <v>842</v>
      </c>
      <c r="O534" s="3" t="s">
        <v>63</v>
      </c>
      <c r="P534" s="3" t="s">
        <v>6817</v>
      </c>
      <c r="R534" s="3" t="s">
        <v>65</v>
      </c>
      <c r="S534" s="4">
        <v>4</v>
      </c>
      <c r="T534" s="4">
        <v>4</v>
      </c>
      <c r="U534" s="5" t="s">
        <v>680</v>
      </c>
      <c r="V534" s="5" t="s">
        <v>680</v>
      </c>
      <c r="W534" s="5" t="s">
        <v>5321</v>
      </c>
      <c r="X534" s="5" t="s">
        <v>5321</v>
      </c>
      <c r="Y534" s="4">
        <v>92</v>
      </c>
      <c r="Z534" s="4">
        <v>81</v>
      </c>
      <c r="AA534" s="4">
        <v>347</v>
      </c>
      <c r="AB534" s="4">
        <v>1</v>
      </c>
      <c r="AC534" s="4">
        <v>3</v>
      </c>
      <c r="AD534" s="4">
        <v>4</v>
      </c>
      <c r="AE534" s="4">
        <v>21</v>
      </c>
      <c r="AF534" s="4">
        <v>3</v>
      </c>
      <c r="AG534" s="4">
        <v>8</v>
      </c>
      <c r="AH534" s="4">
        <v>1</v>
      </c>
      <c r="AI534" s="4">
        <v>7</v>
      </c>
      <c r="AJ534" s="4">
        <v>1</v>
      </c>
      <c r="AK534" s="4">
        <v>10</v>
      </c>
      <c r="AL534" s="4">
        <v>0</v>
      </c>
      <c r="AM534" s="4">
        <v>2</v>
      </c>
      <c r="AN534" s="4">
        <v>0</v>
      </c>
      <c r="AO534" s="4">
        <v>0</v>
      </c>
      <c r="AP534" s="3" t="s">
        <v>58</v>
      </c>
      <c r="AQ534" s="3" t="s">
        <v>58</v>
      </c>
      <c r="AS534" s="6" t="str">
        <f>HYPERLINK("https://creighton-primo.hosted.exlibrisgroup.com/primo-explore/search?tab=default_tab&amp;search_scope=EVERYTHING&amp;vid=01CRU&amp;lang=en_US&amp;offset=0&amp;query=any,contains,991005079249702656","Catalog Record")</f>
        <v>Catalog Record</v>
      </c>
      <c r="AT534" s="6" t="str">
        <f>HYPERLINK("http://www.worldcat.org/oclc/7169317","WorldCat Record")</f>
        <v>WorldCat Record</v>
      </c>
      <c r="AU534" s="3" t="s">
        <v>6818</v>
      </c>
      <c r="AV534" s="3" t="s">
        <v>6819</v>
      </c>
      <c r="AW534" s="3" t="s">
        <v>6820</v>
      </c>
      <c r="AX534" s="3" t="s">
        <v>6820</v>
      </c>
      <c r="AY534" s="3" t="s">
        <v>6821</v>
      </c>
      <c r="AZ534" s="3" t="s">
        <v>73</v>
      </c>
      <c r="BB534" s="3" t="s">
        <v>6822</v>
      </c>
      <c r="BC534" s="3" t="s">
        <v>6823</v>
      </c>
      <c r="BD534" s="3" t="s">
        <v>6824</v>
      </c>
    </row>
    <row r="535" spans="1:56" ht="51" customHeight="1" x14ac:dyDescent="0.25">
      <c r="A535" s="7" t="s">
        <v>58</v>
      </c>
      <c r="B535" s="2" t="s">
        <v>6825</v>
      </c>
      <c r="C535" s="2" t="s">
        <v>6826</v>
      </c>
      <c r="D535" s="2" t="s">
        <v>6827</v>
      </c>
      <c r="F535" s="3" t="s">
        <v>58</v>
      </c>
      <c r="G535" s="3" t="s">
        <v>59</v>
      </c>
      <c r="H535" s="3" t="s">
        <v>58</v>
      </c>
      <c r="I535" s="3" t="s">
        <v>58</v>
      </c>
      <c r="J535" s="3" t="s">
        <v>60</v>
      </c>
      <c r="K535" s="2" t="s">
        <v>6828</v>
      </c>
      <c r="L535" s="2" t="s">
        <v>6829</v>
      </c>
      <c r="M535" s="3" t="s">
        <v>423</v>
      </c>
      <c r="N535" s="2" t="s">
        <v>6830</v>
      </c>
      <c r="O535" s="3" t="s">
        <v>63</v>
      </c>
      <c r="P535" s="3" t="s">
        <v>214</v>
      </c>
      <c r="R535" s="3" t="s">
        <v>65</v>
      </c>
      <c r="S535" s="4">
        <v>2</v>
      </c>
      <c r="T535" s="4">
        <v>2</v>
      </c>
      <c r="U535" s="5" t="s">
        <v>6831</v>
      </c>
      <c r="V535" s="5" t="s">
        <v>6831</v>
      </c>
      <c r="W535" s="5" t="s">
        <v>6831</v>
      </c>
      <c r="X535" s="5" t="s">
        <v>6831</v>
      </c>
      <c r="Y535" s="4">
        <v>121</v>
      </c>
      <c r="Z535" s="4">
        <v>108</v>
      </c>
      <c r="AA535" s="4">
        <v>831</v>
      </c>
      <c r="AB535" s="4">
        <v>2</v>
      </c>
      <c r="AC535" s="4">
        <v>6</v>
      </c>
      <c r="AD535" s="4">
        <v>4</v>
      </c>
      <c r="AE535" s="4">
        <v>41</v>
      </c>
      <c r="AF535" s="4">
        <v>0</v>
      </c>
      <c r="AG535" s="4">
        <v>17</v>
      </c>
      <c r="AH535" s="4">
        <v>2</v>
      </c>
      <c r="AI535" s="4">
        <v>10</v>
      </c>
      <c r="AJ535" s="4">
        <v>2</v>
      </c>
      <c r="AK535" s="4">
        <v>22</v>
      </c>
      <c r="AL535" s="4">
        <v>1</v>
      </c>
      <c r="AM535" s="4">
        <v>4</v>
      </c>
      <c r="AN535" s="4">
        <v>0</v>
      </c>
      <c r="AO535" s="4">
        <v>1</v>
      </c>
      <c r="AP535" s="3" t="s">
        <v>58</v>
      </c>
      <c r="AQ535" s="3" t="s">
        <v>58</v>
      </c>
      <c r="AS535" s="6" t="str">
        <f>HYPERLINK("https://creighton-primo.hosted.exlibrisgroup.com/primo-explore/search?tab=default_tab&amp;search_scope=EVERYTHING&amp;vid=01CRU&amp;lang=en_US&amp;offset=0&amp;query=any,contains,991003280709702656","Catalog Record")</f>
        <v>Catalog Record</v>
      </c>
      <c r="AT535" s="6" t="str">
        <f>HYPERLINK("http://www.worldcat.org/oclc/39543202","WorldCat Record")</f>
        <v>WorldCat Record</v>
      </c>
      <c r="AU535" s="3" t="s">
        <v>6832</v>
      </c>
      <c r="AV535" s="3" t="s">
        <v>6833</v>
      </c>
      <c r="AW535" s="3" t="s">
        <v>6834</v>
      </c>
      <c r="AX535" s="3" t="s">
        <v>6834</v>
      </c>
      <c r="AY535" s="3" t="s">
        <v>6835</v>
      </c>
      <c r="AZ535" s="3" t="s">
        <v>73</v>
      </c>
      <c r="BB535" s="3" t="s">
        <v>6836</v>
      </c>
      <c r="BC535" s="3" t="s">
        <v>6837</v>
      </c>
      <c r="BD535" s="3" t="s">
        <v>6838</v>
      </c>
    </row>
    <row r="536" spans="1:56" ht="51" customHeight="1" x14ac:dyDescent="0.25">
      <c r="A536" s="7" t="s">
        <v>58</v>
      </c>
      <c r="B536" s="2" t="s">
        <v>6839</v>
      </c>
      <c r="C536" s="2" t="s">
        <v>6840</v>
      </c>
      <c r="D536" s="2" t="s">
        <v>6841</v>
      </c>
      <c r="F536" s="3" t="s">
        <v>58</v>
      </c>
      <c r="G536" s="3" t="s">
        <v>59</v>
      </c>
      <c r="H536" s="3" t="s">
        <v>58</v>
      </c>
      <c r="I536" s="3" t="s">
        <v>58</v>
      </c>
      <c r="J536" s="3" t="s">
        <v>60</v>
      </c>
      <c r="K536" s="2" t="s">
        <v>6842</v>
      </c>
      <c r="L536" s="2" t="s">
        <v>6843</v>
      </c>
      <c r="M536" s="3" t="s">
        <v>815</v>
      </c>
      <c r="N536" s="2" t="s">
        <v>338</v>
      </c>
      <c r="O536" s="3" t="s">
        <v>63</v>
      </c>
      <c r="P536" s="3" t="s">
        <v>1584</v>
      </c>
      <c r="R536" s="3" t="s">
        <v>65</v>
      </c>
      <c r="S536" s="4">
        <v>1</v>
      </c>
      <c r="T536" s="4">
        <v>1</v>
      </c>
      <c r="U536" s="5" t="s">
        <v>6844</v>
      </c>
      <c r="V536" s="5" t="s">
        <v>6844</v>
      </c>
      <c r="W536" s="5" t="s">
        <v>6844</v>
      </c>
      <c r="X536" s="5" t="s">
        <v>6844</v>
      </c>
      <c r="Y536" s="4">
        <v>775</v>
      </c>
      <c r="Z536" s="4">
        <v>721</v>
      </c>
      <c r="AA536" s="4">
        <v>727</v>
      </c>
      <c r="AB536" s="4">
        <v>8</v>
      </c>
      <c r="AC536" s="4">
        <v>8</v>
      </c>
      <c r="AD536" s="4">
        <v>15</v>
      </c>
      <c r="AE536" s="4">
        <v>15</v>
      </c>
      <c r="AF536" s="4">
        <v>5</v>
      </c>
      <c r="AG536" s="4">
        <v>5</v>
      </c>
      <c r="AH536" s="4">
        <v>4</v>
      </c>
      <c r="AI536" s="4">
        <v>4</v>
      </c>
      <c r="AJ536" s="4">
        <v>6</v>
      </c>
      <c r="AK536" s="4">
        <v>6</v>
      </c>
      <c r="AL536" s="4">
        <v>2</v>
      </c>
      <c r="AM536" s="4">
        <v>2</v>
      </c>
      <c r="AN536" s="4">
        <v>0</v>
      </c>
      <c r="AO536" s="4">
        <v>0</v>
      </c>
      <c r="AP536" s="3" t="s">
        <v>58</v>
      </c>
      <c r="AQ536" s="3" t="s">
        <v>58</v>
      </c>
      <c r="AS536" s="6" t="str">
        <f>HYPERLINK("https://creighton-primo.hosted.exlibrisgroup.com/primo-explore/search?tab=default_tab&amp;search_scope=EVERYTHING&amp;vid=01CRU&amp;lang=en_US&amp;offset=0&amp;query=any,contains,991005311989702656","Catalog Record")</f>
        <v>Catalog Record</v>
      </c>
      <c r="AT536" s="6" t="str">
        <f>HYPERLINK("http://www.worldcat.org/oclc/226356853","WorldCat Record")</f>
        <v>WorldCat Record</v>
      </c>
      <c r="AU536" s="3" t="s">
        <v>6845</v>
      </c>
      <c r="AV536" s="3" t="s">
        <v>6846</v>
      </c>
      <c r="AW536" s="3" t="s">
        <v>6847</v>
      </c>
      <c r="AX536" s="3" t="s">
        <v>6847</v>
      </c>
      <c r="AY536" s="3" t="s">
        <v>6848</v>
      </c>
      <c r="AZ536" s="3" t="s">
        <v>73</v>
      </c>
      <c r="BB536" s="3" t="s">
        <v>6849</v>
      </c>
      <c r="BC536" s="3" t="s">
        <v>6850</v>
      </c>
      <c r="BD536" s="3" t="s">
        <v>6851</v>
      </c>
    </row>
    <row r="537" spans="1:56" ht="51" customHeight="1" x14ac:dyDescent="0.25">
      <c r="A537" s="7" t="s">
        <v>58</v>
      </c>
      <c r="B537" s="2" t="s">
        <v>6852</v>
      </c>
      <c r="C537" s="2" t="s">
        <v>6853</v>
      </c>
      <c r="D537" s="2" t="s">
        <v>6854</v>
      </c>
      <c r="F537" s="3" t="s">
        <v>58</v>
      </c>
      <c r="G537" s="3" t="s">
        <v>59</v>
      </c>
      <c r="H537" s="3" t="s">
        <v>58</v>
      </c>
      <c r="I537" s="3" t="s">
        <v>58</v>
      </c>
      <c r="J537" s="3" t="s">
        <v>60</v>
      </c>
      <c r="K537" s="2" t="s">
        <v>6855</v>
      </c>
      <c r="L537" s="2" t="s">
        <v>6856</v>
      </c>
      <c r="M537" s="3" t="s">
        <v>1091</v>
      </c>
      <c r="N537" s="2" t="s">
        <v>338</v>
      </c>
      <c r="O537" s="3" t="s">
        <v>63</v>
      </c>
      <c r="P537" s="3" t="s">
        <v>214</v>
      </c>
      <c r="R537" s="3" t="s">
        <v>65</v>
      </c>
      <c r="S537" s="4">
        <v>1</v>
      </c>
      <c r="T537" s="4">
        <v>1</v>
      </c>
      <c r="U537" s="5" t="s">
        <v>6857</v>
      </c>
      <c r="V537" s="5" t="s">
        <v>6857</v>
      </c>
      <c r="W537" s="5" t="s">
        <v>4367</v>
      </c>
      <c r="X537" s="5" t="s">
        <v>4367</v>
      </c>
      <c r="Y537" s="4">
        <v>444</v>
      </c>
      <c r="Z537" s="4">
        <v>415</v>
      </c>
      <c r="AA537" s="4">
        <v>538</v>
      </c>
      <c r="AB537" s="4">
        <v>2</v>
      </c>
      <c r="AC537" s="4">
        <v>2</v>
      </c>
      <c r="AD537" s="4">
        <v>16</v>
      </c>
      <c r="AE537" s="4">
        <v>27</v>
      </c>
      <c r="AF537" s="4">
        <v>6</v>
      </c>
      <c r="AG537" s="4">
        <v>12</v>
      </c>
      <c r="AH537" s="4">
        <v>5</v>
      </c>
      <c r="AI537" s="4">
        <v>8</v>
      </c>
      <c r="AJ537" s="4">
        <v>11</v>
      </c>
      <c r="AK537" s="4">
        <v>16</v>
      </c>
      <c r="AL537" s="4">
        <v>1</v>
      </c>
      <c r="AM537" s="4">
        <v>1</v>
      </c>
      <c r="AN537" s="4">
        <v>0</v>
      </c>
      <c r="AO537" s="4">
        <v>0</v>
      </c>
      <c r="AP537" s="3" t="s">
        <v>58</v>
      </c>
      <c r="AQ537" s="3" t="s">
        <v>58</v>
      </c>
      <c r="AS537" s="6" t="str">
        <f>HYPERLINK("https://creighton-primo.hosted.exlibrisgroup.com/primo-explore/search?tab=default_tab&amp;search_scope=EVERYTHING&amp;vid=01CRU&amp;lang=en_US&amp;offset=0&amp;query=any,contains,991003651819702656","Catalog Record")</f>
        <v>Catalog Record</v>
      </c>
      <c r="AT537" s="6" t="str">
        <f>HYPERLINK("http://www.worldcat.org/oclc/47961827","WorldCat Record")</f>
        <v>WorldCat Record</v>
      </c>
      <c r="AU537" s="3" t="s">
        <v>6858</v>
      </c>
      <c r="AV537" s="3" t="s">
        <v>6859</v>
      </c>
      <c r="AW537" s="3" t="s">
        <v>6860</v>
      </c>
      <c r="AX537" s="3" t="s">
        <v>6860</v>
      </c>
      <c r="AY537" s="3" t="s">
        <v>6861</v>
      </c>
      <c r="AZ537" s="3" t="s">
        <v>73</v>
      </c>
      <c r="BB537" s="3" t="s">
        <v>6862</v>
      </c>
      <c r="BC537" s="3" t="s">
        <v>6863</v>
      </c>
      <c r="BD537" s="3" t="s">
        <v>6864</v>
      </c>
    </row>
    <row r="538" spans="1:56" ht="51" customHeight="1" x14ac:dyDescent="0.25">
      <c r="A538" s="7" t="s">
        <v>58</v>
      </c>
      <c r="B538" s="2" t="s">
        <v>6865</v>
      </c>
      <c r="C538" s="2" t="s">
        <v>6866</v>
      </c>
      <c r="D538" s="2" t="s">
        <v>6867</v>
      </c>
      <c r="F538" s="3" t="s">
        <v>58</v>
      </c>
      <c r="G538" s="3" t="s">
        <v>59</v>
      </c>
      <c r="H538" s="3" t="s">
        <v>58</v>
      </c>
      <c r="I538" s="3" t="s">
        <v>58</v>
      </c>
      <c r="J538" s="3" t="s">
        <v>60</v>
      </c>
      <c r="K538" s="2" t="s">
        <v>6868</v>
      </c>
      <c r="L538" s="2" t="s">
        <v>6869</v>
      </c>
      <c r="M538" s="3" t="s">
        <v>423</v>
      </c>
      <c r="N538" s="2" t="s">
        <v>338</v>
      </c>
      <c r="O538" s="3" t="s">
        <v>63</v>
      </c>
      <c r="P538" s="3" t="s">
        <v>816</v>
      </c>
      <c r="R538" s="3" t="s">
        <v>65</v>
      </c>
      <c r="S538" s="4">
        <v>2</v>
      </c>
      <c r="T538" s="4">
        <v>2</v>
      </c>
      <c r="U538" s="5" t="s">
        <v>2563</v>
      </c>
      <c r="V538" s="5" t="s">
        <v>2563</v>
      </c>
      <c r="W538" s="5" t="s">
        <v>6870</v>
      </c>
      <c r="X538" s="5" t="s">
        <v>6870</v>
      </c>
      <c r="Y538" s="4">
        <v>915</v>
      </c>
      <c r="Z538" s="4">
        <v>841</v>
      </c>
      <c r="AA538" s="4">
        <v>902</v>
      </c>
      <c r="AB538" s="4">
        <v>8</v>
      </c>
      <c r="AC538" s="4">
        <v>8</v>
      </c>
      <c r="AD538" s="4">
        <v>26</v>
      </c>
      <c r="AE538" s="4">
        <v>27</v>
      </c>
      <c r="AF538" s="4">
        <v>8</v>
      </c>
      <c r="AG538" s="4">
        <v>8</v>
      </c>
      <c r="AH538" s="4">
        <v>8</v>
      </c>
      <c r="AI538" s="4">
        <v>9</v>
      </c>
      <c r="AJ538" s="4">
        <v>12</v>
      </c>
      <c r="AK538" s="4">
        <v>13</v>
      </c>
      <c r="AL538" s="4">
        <v>4</v>
      </c>
      <c r="AM538" s="4">
        <v>4</v>
      </c>
      <c r="AN538" s="4">
        <v>0</v>
      </c>
      <c r="AO538" s="4">
        <v>0</v>
      </c>
      <c r="AP538" s="3" t="s">
        <v>58</v>
      </c>
      <c r="AQ538" s="3" t="s">
        <v>58</v>
      </c>
      <c r="AS538" s="6" t="str">
        <f>HYPERLINK("https://creighton-primo.hosted.exlibrisgroup.com/primo-explore/search?tab=default_tab&amp;search_scope=EVERYTHING&amp;vid=01CRU&amp;lang=en_US&amp;offset=0&amp;query=any,contains,991003614119702656","Catalog Record")</f>
        <v>Catalog Record</v>
      </c>
      <c r="AT538" s="6" t="str">
        <f>HYPERLINK("http://www.worldcat.org/oclc/37928476","WorldCat Record")</f>
        <v>WorldCat Record</v>
      </c>
      <c r="AU538" s="3" t="s">
        <v>6871</v>
      </c>
      <c r="AV538" s="3" t="s">
        <v>6872</v>
      </c>
      <c r="AW538" s="3" t="s">
        <v>6873</v>
      </c>
      <c r="AX538" s="3" t="s">
        <v>6873</v>
      </c>
      <c r="AY538" s="3" t="s">
        <v>6874</v>
      </c>
      <c r="AZ538" s="3" t="s">
        <v>73</v>
      </c>
      <c r="BB538" s="3" t="s">
        <v>6875</v>
      </c>
      <c r="BC538" s="3" t="s">
        <v>6876</v>
      </c>
      <c r="BD538" s="3" t="s">
        <v>6877</v>
      </c>
    </row>
    <row r="539" spans="1:56" ht="51" customHeight="1" x14ac:dyDescent="0.25">
      <c r="A539" s="7" t="s">
        <v>58</v>
      </c>
      <c r="B539" s="2" t="s">
        <v>6878</v>
      </c>
      <c r="C539" s="2" t="s">
        <v>6879</v>
      </c>
      <c r="D539" s="2" t="s">
        <v>6880</v>
      </c>
      <c r="F539" s="3" t="s">
        <v>58</v>
      </c>
      <c r="G539" s="3" t="s">
        <v>59</v>
      </c>
      <c r="H539" s="3" t="s">
        <v>58</v>
      </c>
      <c r="I539" s="3" t="s">
        <v>58</v>
      </c>
      <c r="J539" s="3" t="s">
        <v>60</v>
      </c>
      <c r="K539" s="2" t="s">
        <v>6881</v>
      </c>
      <c r="L539" s="2" t="s">
        <v>6882</v>
      </c>
      <c r="M539" s="3" t="s">
        <v>337</v>
      </c>
      <c r="O539" s="3" t="s">
        <v>63</v>
      </c>
      <c r="P539" s="3" t="s">
        <v>510</v>
      </c>
      <c r="R539" s="3" t="s">
        <v>65</v>
      </c>
      <c r="S539" s="4">
        <v>1</v>
      </c>
      <c r="T539" s="4">
        <v>1</v>
      </c>
      <c r="U539" s="5" t="s">
        <v>6883</v>
      </c>
      <c r="V539" s="5" t="s">
        <v>6883</v>
      </c>
      <c r="W539" s="5" t="s">
        <v>6884</v>
      </c>
      <c r="X539" s="5" t="s">
        <v>6884</v>
      </c>
      <c r="Y539" s="4">
        <v>619</v>
      </c>
      <c r="Z539" s="4">
        <v>543</v>
      </c>
      <c r="AA539" s="4">
        <v>715</v>
      </c>
      <c r="AB539" s="4">
        <v>3</v>
      </c>
      <c r="AC539" s="4">
        <v>4</v>
      </c>
      <c r="AD539" s="4">
        <v>29</v>
      </c>
      <c r="AE539" s="4">
        <v>34</v>
      </c>
      <c r="AF539" s="4">
        <v>17</v>
      </c>
      <c r="AG539" s="4">
        <v>19</v>
      </c>
      <c r="AH539" s="4">
        <v>7</v>
      </c>
      <c r="AI539" s="4">
        <v>8</v>
      </c>
      <c r="AJ539" s="4">
        <v>15</v>
      </c>
      <c r="AK539" s="4">
        <v>18</v>
      </c>
      <c r="AL539" s="4">
        <v>1</v>
      </c>
      <c r="AM539" s="4">
        <v>2</v>
      </c>
      <c r="AN539" s="4">
        <v>0</v>
      </c>
      <c r="AO539" s="4">
        <v>0</v>
      </c>
      <c r="AP539" s="3" t="s">
        <v>58</v>
      </c>
      <c r="AQ539" s="3" t="s">
        <v>58</v>
      </c>
      <c r="AS539" s="6" t="str">
        <f>HYPERLINK("https://creighton-primo.hosted.exlibrisgroup.com/primo-explore/search?tab=default_tab&amp;search_scope=EVERYTHING&amp;vid=01CRU&amp;lang=en_US&amp;offset=0&amp;query=any,contains,991003886909702656","Catalog Record")</f>
        <v>Catalog Record</v>
      </c>
      <c r="AT539" s="6" t="str">
        <f>HYPERLINK("http://www.worldcat.org/oclc/48773758","WorldCat Record")</f>
        <v>WorldCat Record</v>
      </c>
      <c r="AU539" s="3" t="s">
        <v>6885</v>
      </c>
      <c r="AV539" s="3" t="s">
        <v>6886</v>
      </c>
      <c r="AW539" s="3" t="s">
        <v>6887</v>
      </c>
      <c r="AX539" s="3" t="s">
        <v>6887</v>
      </c>
      <c r="AY539" s="3" t="s">
        <v>6888</v>
      </c>
      <c r="AZ539" s="3" t="s">
        <v>73</v>
      </c>
      <c r="BB539" s="3" t="s">
        <v>6889</v>
      </c>
      <c r="BC539" s="3" t="s">
        <v>6890</v>
      </c>
      <c r="BD539" s="3" t="s">
        <v>6891</v>
      </c>
    </row>
    <row r="540" spans="1:56" ht="51" customHeight="1" x14ac:dyDescent="0.25">
      <c r="A540" s="7" t="s">
        <v>58</v>
      </c>
      <c r="B540" s="2" t="s">
        <v>6892</v>
      </c>
      <c r="C540" s="2" t="s">
        <v>6893</v>
      </c>
      <c r="D540" s="2" t="s">
        <v>6894</v>
      </c>
      <c r="F540" s="3" t="s">
        <v>58</v>
      </c>
      <c r="G540" s="3" t="s">
        <v>59</v>
      </c>
      <c r="H540" s="3" t="s">
        <v>58</v>
      </c>
      <c r="I540" s="3" t="s">
        <v>58</v>
      </c>
      <c r="J540" s="3" t="s">
        <v>60</v>
      </c>
      <c r="K540" s="2" t="s">
        <v>6895</v>
      </c>
      <c r="L540" s="2" t="s">
        <v>6896</v>
      </c>
      <c r="M540" s="3" t="s">
        <v>2214</v>
      </c>
      <c r="O540" s="3" t="s">
        <v>63</v>
      </c>
      <c r="P540" s="3" t="s">
        <v>3109</v>
      </c>
      <c r="Q540" s="2" t="s">
        <v>6897</v>
      </c>
      <c r="R540" s="3" t="s">
        <v>65</v>
      </c>
      <c r="S540" s="4">
        <v>2</v>
      </c>
      <c r="T540" s="4">
        <v>2</v>
      </c>
      <c r="U540" s="5" t="s">
        <v>6898</v>
      </c>
      <c r="V540" s="5" t="s">
        <v>6898</v>
      </c>
      <c r="W540" s="5" t="s">
        <v>6898</v>
      </c>
      <c r="X540" s="5" t="s">
        <v>6898</v>
      </c>
      <c r="Y540" s="4">
        <v>111</v>
      </c>
      <c r="Z540" s="4">
        <v>92</v>
      </c>
      <c r="AA540" s="4">
        <v>93</v>
      </c>
      <c r="AB540" s="4">
        <v>2</v>
      </c>
      <c r="AC540" s="4">
        <v>2</v>
      </c>
      <c r="AD540" s="4">
        <v>7</v>
      </c>
      <c r="AE540" s="4">
        <v>7</v>
      </c>
      <c r="AF540" s="4">
        <v>3</v>
      </c>
      <c r="AG540" s="4">
        <v>3</v>
      </c>
      <c r="AH540" s="4">
        <v>1</v>
      </c>
      <c r="AI540" s="4">
        <v>1</v>
      </c>
      <c r="AJ540" s="4">
        <v>5</v>
      </c>
      <c r="AK540" s="4">
        <v>5</v>
      </c>
      <c r="AL540" s="4">
        <v>0</v>
      </c>
      <c r="AM540" s="4">
        <v>0</v>
      </c>
      <c r="AN540" s="4">
        <v>0</v>
      </c>
      <c r="AO540" s="4">
        <v>0</v>
      </c>
      <c r="AP540" s="3" t="s">
        <v>58</v>
      </c>
      <c r="AQ540" s="3" t="s">
        <v>58</v>
      </c>
      <c r="AS540" s="6" t="str">
        <f>HYPERLINK("https://creighton-primo.hosted.exlibrisgroup.com/primo-explore/search?tab=default_tab&amp;search_scope=EVERYTHING&amp;vid=01CRU&amp;lang=en_US&amp;offset=0&amp;query=any,contains,991000175809702656","Catalog Record")</f>
        <v>Catalog Record</v>
      </c>
      <c r="AT540" s="6" t="str">
        <f>HYPERLINK("http://www.worldcat.org/oclc/56413552","WorldCat Record")</f>
        <v>WorldCat Record</v>
      </c>
      <c r="AU540" s="3" t="s">
        <v>6899</v>
      </c>
      <c r="AV540" s="3" t="s">
        <v>6900</v>
      </c>
      <c r="AW540" s="3" t="s">
        <v>6901</v>
      </c>
      <c r="AX540" s="3" t="s">
        <v>6901</v>
      </c>
      <c r="AY540" s="3" t="s">
        <v>6902</v>
      </c>
      <c r="AZ540" s="3" t="s">
        <v>73</v>
      </c>
      <c r="BB540" s="3" t="s">
        <v>6903</v>
      </c>
      <c r="BC540" s="3" t="s">
        <v>6904</v>
      </c>
      <c r="BD540" s="3" t="s">
        <v>6905</v>
      </c>
    </row>
    <row r="541" spans="1:56" ht="51" customHeight="1" x14ac:dyDescent="0.25">
      <c r="A541" s="7" t="s">
        <v>58</v>
      </c>
      <c r="B541" s="2" t="s">
        <v>6906</v>
      </c>
      <c r="C541" s="2" t="s">
        <v>6907</v>
      </c>
      <c r="D541" s="2" t="s">
        <v>6908</v>
      </c>
      <c r="F541" s="3" t="s">
        <v>58</v>
      </c>
      <c r="G541" s="3" t="s">
        <v>59</v>
      </c>
      <c r="H541" s="3" t="s">
        <v>58</v>
      </c>
      <c r="I541" s="3" t="s">
        <v>58</v>
      </c>
      <c r="J541" s="3" t="s">
        <v>60</v>
      </c>
      <c r="K541" s="2" t="s">
        <v>6909</v>
      </c>
      <c r="L541" s="2" t="s">
        <v>6910</v>
      </c>
      <c r="M541" s="3" t="s">
        <v>1061</v>
      </c>
      <c r="O541" s="3" t="s">
        <v>63</v>
      </c>
      <c r="P541" s="3" t="s">
        <v>214</v>
      </c>
      <c r="R541" s="3" t="s">
        <v>65</v>
      </c>
      <c r="S541" s="4">
        <v>9</v>
      </c>
      <c r="T541" s="4">
        <v>9</v>
      </c>
      <c r="U541" s="5" t="s">
        <v>6300</v>
      </c>
      <c r="V541" s="5" t="s">
        <v>6300</v>
      </c>
      <c r="W541" s="5" t="s">
        <v>6911</v>
      </c>
      <c r="X541" s="5" t="s">
        <v>6911</v>
      </c>
      <c r="Y541" s="4">
        <v>474</v>
      </c>
      <c r="Z541" s="4">
        <v>356</v>
      </c>
      <c r="AA541" s="4">
        <v>361</v>
      </c>
      <c r="AB541" s="4">
        <v>1</v>
      </c>
      <c r="AC541" s="4">
        <v>1</v>
      </c>
      <c r="AD541" s="4">
        <v>22</v>
      </c>
      <c r="AE541" s="4">
        <v>22</v>
      </c>
      <c r="AF541" s="4">
        <v>9</v>
      </c>
      <c r="AG541" s="4">
        <v>9</v>
      </c>
      <c r="AH541" s="4">
        <v>6</v>
      </c>
      <c r="AI541" s="4">
        <v>6</v>
      </c>
      <c r="AJ541" s="4">
        <v>14</v>
      </c>
      <c r="AK541" s="4">
        <v>14</v>
      </c>
      <c r="AL541" s="4">
        <v>0</v>
      </c>
      <c r="AM541" s="4">
        <v>0</v>
      </c>
      <c r="AN541" s="4">
        <v>1</v>
      </c>
      <c r="AO541" s="4">
        <v>1</v>
      </c>
      <c r="AP541" s="3" t="s">
        <v>58</v>
      </c>
      <c r="AQ541" s="3" t="s">
        <v>58</v>
      </c>
      <c r="AS541" s="6" t="str">
        <f>HYPERLINK("https://creighton-primo.hosted.exlibrisgroup.com/primo-explore/search?tab=default_tab&amp;search_scope=EVERYTHING&amp;vid=01CRU&amp;lang=en_US&amp;offset=0&amp;query=any,contains,991002765919702656","Catalog Record")</f>
        <v>Catalog Record</v>
      </c>
      <c r="AT541" s="6" t="str">
        <f>HYPERLINK("http://www.worldcat.org/oclc/36292914","WorldCat Record")</f>
        <v>WorldCat Record</v>
      </c>
      <c r="AU541" s="3" t="s">
        <v>6912</v>
      </c>
      <c r="AV541" s="3" t="s">
        <v>6913</v>
      </c>
      <c r="AW541" s="3" t="s">
        <v>6914</v>
      </c>
      <c r="AX541" s="3" t="s">
        <v>6914</v>
      </c>
      <c r="AY541" s="3" t="s">
        <v>6915</v>
      </c>
      <c r="AZ541" s="3" t="s">
        <v>73</v>
      </c>
      <c r="BB541" s="3" t="s">
        <v>6916</v>
      </c>
      <c r="BC541" s="3" t="s">
        <v>6917</v>
      </c>
      <c r="BD541" s="3" t="s">
        <v>6918</v>
      </c>
    </row>
    <row r="542" spans="1:56" ht="51" customHeight="1" x14ac:dyDescent="0.25">
      <c r="A542" s="7" t="s">
        <v>58</v>
      </c>
      <c r="B542" s="2" t="s">
        <v>6919</v>
      </c>
      <c r="C542" s="2" t="s">
        <v>6920</v>
      </c>
      <c r="D542" s="2" t="s">
        <v>6921</v>
      </c>
      <c r="F542" s="3" t="s">
        <v>58</v>
      </c>
      <c r="G542" s="3" t="s">
        <v>59</v>
      </c>
      <c r="H542" s="3" t="s">
        <v>58</v>
      </c>
      <c r="I542" s="3" t="s">
        <v>58</v>
      </c>
      <c r="J542" s="3" t="s">
        <v>60</v>
      </c>
      <c r="K542" s="2" t="s">
        <v>6922</v>
      </c>
      <c r="L542" s="2" t="s">
        <v>6923</v>
      </c>
      <c r="M542" s="3" t="s">
        <v>196</v>
      </c>
      <c r="O542" s="3" t="s">
        <v>63</v>
      </c>
      <c r="P542" s="3" t="s">
        <v>214</v>
      </c>
      <c r="R542" s="3" t="s">
        <v>65</v>
      </c>
      <c r="S542" s="4">
        <v>1</v>
      </c>
      <c r="T542" s="4">
        <v>1</v>
      </c>
      <c r="U542" s="5" t="s">
        <v>6924</v>
      </c>
      <c r="V542" s="5" t="s">
        <v>6924</v>
      </c>
      <c r="W542" s="5" t="s">
        <v>6924</v>
      </c>
      <c r="X542" s="5" t="s">
        <v>6924</v>
      </c>
      <c r="Y542" s="4">
        <v>28</v>
      </c>
      <c r="Z542" s="4">
        <v>22</v>
      </c>
      <c r="AA542" s="4">
        <v>22</v>
      </c>
      <c r="AB542" s="4">
        <v>1</v>
      </c>
      <c r="AC542" s="4">
        <v>1</v>
      </c>
      <c r="AD542" s="4">
        <v>0</v>
      </c>
      <c r="AE542" s="4">
        <v>0</v>
      </c>
      <c r="AF542" s="4">
        <v>0</v>
      </c>
      <c r="AG542" s="4">
        <v>0</v>
      </c>
      <c r="AH542" s="4">
        <v>0</v>
      </c>
      <c r="AI542" s="4">
        <v>0</v>
      </c>
      <c r="AJ542" s="4">
        <v>0</v>
      </c>
      <c r="AK542" s="4">
        <v>0</v>
      </c>
      <c r="AL542" s="4">
        <v>0</v>
      </c>
      <c r="AM542" s="4">
        <v>0</v>
      </c>
      <c r="AN542" s="4">
        <v>0</v>
      </c>
      <c r="AO542" s="4">
        <v>0</v>
      </c>
      <c r="AP542" s="3" t="s">
        <v>58</v>
      </c>
      <c r="AQ542" s="3" t="s">
        <v>58</v>
      </c>
      <c r="AS542" s="6" t="str">
        <f>HYPERLINK("https://creighton-primo.hosted.exlibrisgroup.com/primo-explore/search?tab=default_tab&amp;search_scope=EVERYTHING&amp;vid=01CRU&amp;lang=en_US&amp;offset=0&amp;query=any,contains,991004984039702656","Catalog Record")</f>
        <v>Catalog Record</v>
      </c>
      <c r="AT542" s="6" t="str">
        <f>HYPERLINK("http://www.worldcat.org/oclc/35856865","WorldCat Record")</f>
        <v>WorldCat Record</v>
      </c>
      <c r="AU542" s="3" t="s">
        <v>6925</v>
      </c>
      <c r="AV542" s="3" t="s">
        <v>6926</v>
      </c>
      <c r="AW542" s="3" t="s">
        <v>6927</v>
      </c>
      <c r="AX542" s="3" t="s">
        <v>6927</v>
      </c>
      <c r="AY542" s="3" t="s">
        <v>6928</v>
      </c>
      <c r="AZ542" s="3" t="s">
        <v>73</v>
      </c>
      <c r="BB542" s="3" t="s">
        <v>6929</v>
      </c>
      <c r="BC542" s="3" t="s">
        <v>6930</v>
      </c>
      <c r="BD542" s="3" t="s">
        <v>6931</v>
      </c>
    </row>
    <row r="543" spans="1:56" ht="51" customHeight="1" x14ac:dyDescent="0.25">
      <c r="A543" s="7" t="s">
        <v>58</v>
      </c>
      <c r="B543" s="2" t="s">
        <v>6932</v>
      </c>
      <c r="C543" s="2" t="s">
        <v>6933</v>
      </c>
      <c r="D543" s="2" t="s">
        <v>6934</v>
      </c>
      <c r="F543" s="3" t="s">
        <v>58</v>
      </c>
      <c r="G543" s="3" t="s">
        <v>59</v>
      </c>
      <c r="H543" s="3" t="s">
        <v>58</v>
      </c>
      <c r="I543" s="3" t="s">
        <v>58</v>
      </c>
      <c r="J543" s="3" t="s">
        <v>60</v>
      </c>
      <c r="K543" s="2" t="s">
        <v>6935</v>
      </c>
      <c r="L543" s="2" t="s">
        <v>6936</v>
      </c>
      <c r="M543" s="3" t="s">
        <v>382</v>
      </c>
      <c r="N543" s="2" t="s">
        <v>870</v>
      </c>
      <c r="O543" s="3" t="s">
        <v>63</v>
      </c>
      <c r="P543" s="3" t="s">
        <v>214</v>
      </c>
      <c r="R543" s="3" t="s">
        <v>65</v>
      </c>
      <c r="S543" s="4">
        <v>8</v>
      </c>
      <c r="T543" s="4">
        <v>8</v>
      </c>
      <c r="U543" s="5" t="s">
        <v>6937</v>
      </c>
      <c r="V543" s="5" t="s">
        <v>6937</v>
      </c>
      <c r="W543" s="5" t="s">
        <v>6938</v>
      </c>
      <c r="X543" s="5" t="s">
        <v>6938</v>
      </c>
      <c r="Y543" s="4">
        <v>674</v>
      </c>
      <c r="Z543" s="4">
        <v>656</v>
      </c>
      <c r="AA543" s="4">
        <v>1108</v>
      </c>
      <c r="AB543" s="4">
        <v>8</v>
      </c>
      <c r="AC543" s="4">
        <v>10</v>
      </c>
      <c r="AD543" s="4">
        <v>13</v>
      </c>
      <c r="AE543" s="4">
        <v>18</v>
      </c>
      <c r="AF543" s="4">
        <v>3</v>
      </c>
      <c r="AG543" s="4">
        <v>6</v>
      </c>
      <c r="AH543" s="4">
        <v>3</v>
      </c>
      <c r="AI543" s="4">
        <v>4</v>
      </c>
      <c r="AJ543" s="4">
        <v>6</v>
      </c>
      <c r="AK543" s="4">
        <v>8</v>
      </c>
      <c r="AL543" s="4">
        <v>2</v>
      </c>
      <c r="AM543" s="4">
        <v>2</v>
      </c>
      <c r="AN543" s="4">
        <v>1</v>
      </c>
      <c r="AO543" s="4">
        <v>1</v>
      </c>
      <c r="AP543" s="3" t="s">
        <v>58</v>
      </c>
      <c r="AQ543" s="3" t="s">
        <v>68</v>
      </c>
      <c r="AR543" s="6" t="str">
        <f>HYPERLINK("http://catalog.hathitrust.org/Record/003515926","HathiTrust Record")</f>
        <v>HathiTrust Record</v>
      </c>
      <c r="AS543" s="6" t="str">
        <f>HYPERLINK("https://creighton-primo.hosted.exlibrisgroup.com/primo-explore/search?tab=default_tab&amp;search_scope=EVERYTHING&amp;vid=01CRU&amp;lang=en_US&amp;offset=0&amp;query=any,contains,991003019109702656","Catalog Record")</f>
        <v>Catalog Record</v>
      </c>
      <c r="AT543" s="6" t="str">
        <f>HYPERLINK("http://www.worldcat.org/oclc/41096286","WorldCat Record")</f>
        <v>WorldCat Record</v>
      </c>
      <c r="AU543" s="3" t="s">
        <v>6939</v>
      </c>
      <c r="AV543" s="3" t="s">
        <v>6940</v>
      </c>
      <c r="AW543" s="3" t="s">
        <v>6941</v>
      </c>
      <c r="AX543" s="3" t="s">
        <v>6941</v>
      </c>
      <c r="AY543" s="3" t="s">
        <v>6942</v>
      </c>
      <c r="AZ543" s="3" t="s">
        <v>73</v>
      </c>
      <c r="BB543" s="3" t="s">
        <v>6943</v>
      </c>
      <c r="BC543" s="3" t="s">
        <v>6944</v>
      </c>
      <c r="BD543" s="3" t="s">
        <v>6945</v>
      </c>
    </row>
    <row r="544" spans="1:56" ht="51" customHeight="1" x14ac:dyDescent="0.25">
      <c r="A544" s="7" t="s">
        <v>58</v>
      </c>
      <c r="B544" s="2" t="s">
        <v>6946</v>
      </c>
      <c r="C544" s="2" t="s">
        <v>6947</v>
      </c>
      <c r="D544" s="2" t="s">
        <v>6948</v>
      </c>
      <c r="F544" s="3" t="s">
        <v>58</v>
      </c>
      <c r="G544" s="3" t="s">
        <v>59</v>
      </c>
      <c r="H544" s="3" t="s">
        <v>58</v>
      </c>
      <c r="I544" s="3" t="s">
        <v>58</v>
      </c>
      <c r="J544" s="3" t="s">
        <v>60</v>
      </c>
      <c r="K544" s="2" t="s">
        <v>6949</v>
      </c>
      <c r="L544" s="2" t="s">
        <v>6950</v>
      </c>
      <c r="M544" s="3" t="s">
        <v>183</v>
      </c>
      <c r="O544" s="3" t="s">
        <v>63</v>
      </c>
      <c r="P544" s="3" t="s">
        <v>214</v>
      </c>
      <c r="R544" s="3" t="s">
        <v>65</v>
      </c>
      <c r="S544" s="4">
        <v>2</v>
      </c>
      <c r="T544" s="4">
        <v>2</v>
      </c>
      <c r="U544" s="5" t="s">
        <v>3985</v>
      </c>
      <c r="V544" s="5" t="s">
        <v>3985</v>
      </c>
      <c r="W544" s="5" t="s">
        <v>2707</v>
      </c>
      <c r="X544" s="5" t="s">
        <v>2707</v>
      </c>
      <c r="Y544" s="4">
        <v>668</v>
      </c>
      <c r="Z544" s="4">
        <v>570</v>
      </c>
      <c r="AA544" s="4">
        <v>573</v>
      </c>
      <c r="AB544" s="4">
        <v>4</v>
      </c>
      <c r="AC544" s="4">
        <v>4</v>
      </c>
      <c r="AD544" s="4">
        <v>20</v>
      </c>
      <c r="AE544" s="4">
        <v>20</v>
      </c>
      <c r="AF544" s="4">
        <v>7</v>
      </c>
      <c r="AG544" s="4">
        <v>7</v>
      </c>
      <c r="AH544" s="4">
        <v>6</v>
      </c>
      <c r="AI544" s="4">
        <v>6</v>
      </c>
      <c r="AJ544" s="4">
        <v>7</v>
      </c>
      <c r="AK544" s="4">
        <v>7</v>
      </c>
      <c r="AL544" s="4">
        <v>3</v>
      </c>
      <c r="AM544" s="4">
        <v>3</v>
      </c>
      <c r="AN544" s="4">
        <v>0</v>
      </c>
      <c r="AO544" s="4">
        <v>0</v>
      </c>
      <c r="AP544" s="3" t="s">
        <v>58</v>
      </c>
      <c r="AQ544" s="3" t="s">
        <v>68</v>
      </c>
      <c r="AR544" s="6" t="str">
        <f>HYPERLINK("http://catalog.hathitrust.org/Record/000294311","HathiTrust Record")</f>
        <v>HathiTrust Record</v>
      </c>
      <c r="AS544" s="6" t="str">
        <f>HYPERLINK("https://creighton-primo.hosted.exlibrisgroup.com/primo-explore/search?tab=default_tab&amp;search_scope=EVERYTHING&amp;vid=01CRU&amp;lang=en_US&amp;offset=0&amp;query=any,contains,991004370379702656","Catalog Record")</f>
        <v>Catalog Record</v>
      </c>
      <c r="AT544" s="6" t="str">
        <f>HYPERLINK("http://www.worldcat.org/oclc/3187396","WorldCat Record")</f>
        <v>WorldCat Record</v>
      </c>
      <c r="AU544" s="3" t="s">
        <v>6951</v>
      </c>
      <c r="AV544" s="3" t="s">
        <v>6952</v>
      </c>
      <c r="AW544" s="3" t="s">
        <v>6953</v>
      </c>
      <c r="AX544" s="3" t="s">
        <v>6953</v>
      </c>
      <c r="AY544" s="3" t="s">
        <v>6954</v>
      </c>
      <c r="AZ544" s="3" t="s">
        <v>73</v>
      </c>
      <c r="BB544" s="3" t="s">
        <v>6955</v>
      </c>
      <c r="BC544" s="3" t="s">
        <v>6956</v>
      </c>
      <c r="BD544" s="3" t="s">
        <v>6957</v>
      </c>
    </row>
    <row r="545" spans="1:56" ht="51" customHeight="1" x14ac:dyDescent="0.25">
      <c r="A545" s="7" t="s">
        <v>58</v>
      </c>
      <c r="B545" s="2" t="s">
        <v>6958</v>
      </c>
      <c r="C545" s="2" t="s">
        <v>6959</v>
      </c>
      <c r="D545" s="2" t="s">
        <v>6960</v>
      </c>
      <c r="F545" s="3" t="s">
        <v>58</v>
      </c>
      <c r="G545" s="3" t="s">
        <v>59</v>
      </c>
      <c r="H545" s="3" t="s">
        <v>58</v>
      </c>
      <c r="I545" s="3" t="s">
        <v>58</v>
      </c>
      <c r="J545" s="3" t="s">
        <v>60</v>
      </c>
      <c r="K545" s="2" t="s">
        <v>6961</v>
      </c>
      <c r="L545" s="2" t="s">
        <v>6962</v>
      </c>
      <c r="M545" s="3" t="s">
        <v>855</v>
      </c>
      <c r="O545" s="3" t="s">
        <v>63</v>
      </c>
      <c r="P545" s="3" t="s">
        <v>214</v>
      </c>
      <c r="R545" s="3" t="s">
        <v>65</v>
      </c>
      <c r="S545" s="4">
        <v>3</v>
      </c>
      <c r="T545" s="4">
        <v>3</v>
      </c>
      <c r="U545" s="5" t="s">
        <v>6963</v>
      </c>
      <c r="V545" s="5" t="s">
        <v>6963</v>
      </c>
      <c r="W545" s="5" t="s">
        <v>6964</v>
      </c>
      <c r="X545" s="5" t="s">
        <v>6964</v>
      </c>
      <c r="Y545" s="4">
        <v>729</v>
      </c>
      <c r="Z545" s="4">
        <v>682</v>
      </c>
      <c r="AA545" s="4">
        <v>711</v>
      </c>
      <c r="AB545" s="4">
        <v>11</v>
      </c>
      <c r="AC545" s="4">
        <v>11</v>
      </c>
      <c r="AD545" s="4">
        <v>42</v>
      </c>
      <c r="AE545" s="4">
        <v>43</v>
      </c>
      <c r="AF545" s="4">
        <v>14</v>
      </c>
      <c r="AG545" s="4">
        <v>15</v>
      </c>
      <c r="AH545" s="4">
        <v>8</v>
      </c>
      <c r="AI545" s="4">
        <v>8</v>
      </c>
      <c r="AJ545" s="4">
        <v>13</v>
      </c>
      <c r="AK545" s="4">
        <v>13</v>
      </c>
      <c r="AL545" s="4">
        <v>9</v>
      </c>
      <c r="AM545" s="4">
        <v>9</v>
      </c>
      <c r="AN545" s="4">
        <v>6</v>
      </c>
      <c r="AO545" s="4">
        <v>6</v>
      </c>
      <c r="AP545" s="3" t="s">
        <v>58</v>
      </c>
      <c r="AQ545" s="3" t="s">
        <v>68</v>
      </c>
      <c r="AR545" s="6" t="str">
        <f>HYPERLINK("http://catalog.hathitrust.org/Record/002732103","HathiTrust Record")</f>
        <v>HathiTrust Record</v>
      </c>
      <c r="AS545" s="6" t="str">
        <f>HYPERLINK("https://creighton-primo.hosted.exlibrisgroup.com/primo-explore/search?tab=default_tab&amp;search_scope=EVERYTHING&amp;vid=01CRU&amp;lang=en_US&amp;offset=0&amp;query=any,contains,991002121259702656","Catalog Record")</f>
        <v>Catalog Record</v>
      </c>
      <c r="AT545" s="6" t="str">
        <f>HYPERLINK("http://www.worldcat.org/oclc/27186147","WorldCat Record")</f>
        <v>WorldCat Record</v>
      </c>
      <c r="AU545" s="3" t="s">
        <v>6965</v>
      </c>
      <c r="AV545" s="3" t="s">
        <v>6966</v>
      </c>
      <c r="AW545" s="3" t="s">
        <v>6967</v>
      </c>
      <c r="AX545" s="3" t="s">
        <v>6967</v>
      </c>
      <c r="AY545" s="3" t="s">
        <v>6968</v>
      </c>
      <c r="AZ545" s="3" t="s">
        <v>73</v>
      </c>
      <c r="BC545" s="3" t="s">
        <v>6969</v>
      </c>
      <c r="BD545" s="3" t="s">
        <v>6970</v>
      </c>
    </row>
    <row r="546" spans="1:56" ht="51" customHeight="1" x14ac:dyDescent="0.25">
      <c r="A546" s="7" t="s">
        <v>58</v>
      </c>
      <c r="B546" s="2" t="s">
        <v>6971</v>
      </c>
      <c r="C546" s="2" t="s">
        <v>6972</v>
      </c>
      <c r="D546" s="2" t="s">
        <v>6973</v>
      </c>
      <c r="F546" s="3" t="s">
        <v>58</v>
      </c>
      <c r="G546" s="3" t="s">
        <v>59</v>
      </c>
      <c r="H546" s="3" t="s">
        <v>58</v>
      </c>
      <c r="I546" s="3" t="s">
        <v>58</v>
      </c>
      <c r="J546" s="3" t="s">
        <v>60</v>
      </c>
      <c r="K546" s="2" t="s">
        <v>6974</v>
      </c>
      <c r="L546" s="2" t="s">
        <v>6975</v>
      </c>
      <c r="M546" s="3" t="s">
        <v>353</v>
      </c>
      <c r="O546" s="3" t="s">
        <v>63</v>
      </c>
      <c r="P546" s="3" t="s">
        <v>584</v>
      </c>
      <c r="R546" s="3" t="s">
        <v>65</v>
      </c>
      <c r="S546" s="4">
        <v>2</v>
      </c>
      <c r="T546" s="4">
        <v>2</v>
      </c>
      <c r="U546" s="5" t="s">
        <v>6976</v>
      </c>
      <c r="V546" s="5" t="s">
        <v>6976</v>
      </c>
      <c r="W546" s="5" t="s">
        <v>6976</v>
      </c>
      <c r="X546" s="5" t="s">
        <v>6976</v>
      </c>
      <c r="Y546" s="4">
        <v>89</v>
      </c>
      <c r="Z546" s="4">
        <v>71</v>
      </c>
      <c r="AA546" s="4">
        <v>1195</v>
      </c>
      <c r="AB546" s="4">
        <v>1</v>
      </c>
      <c r="AC546" s="4">
        <v>9</v>
      </c>
      <c r="AD546" s="4">
        <v>2</v>
      </c>
      <c r="AE546" s="4">
        <v>42</v>
      </c>
      <c r="AF546" s="4">
        <v>1</v>
      </c>
      <c r="AG546" s="4">
        <v>18</v>
      </c>
      <c r="AH546" s="4">
        <v>0</v>
      </c>
      <c r="AI546" s="4">
        <v>7</v>
      </c>
      <c r="AJ546" s="4">
        <v>1</v>
      </c>
      <c r="AK546" s="4">
        <v>23</v>
      </c>
      <c r="AL546" s="4">
        <v>0</v>
      </c>
      <c r="AM546" s="4">
        <v>5</v>
      </c>
      <c r="AN546" s="4">
        <v>0</v>
      </c>
      <c r="AO546" s="4">
        <v>0</v>
      </c>
      <c r="AP546" s="3" t="s">
        <v>58</v>
      </c>
      <c r="AQ546" s="3" t="s">
        <v>58</v>
      </c>
      <c r="AS546" s="6" t="str">
        <f>HYPERLINK("https://creighton-primo.hosted.exlibrisgroup.com/primo-explore/search?tab=default_tab&amp;search_scope=EVERYTHING&amp;vid=01CRU&amp;lang=en_US&amp;offset=0&amp;query=any,contains,991003505439702656","Catalog Record")</f>
        <v>Catalog Record</v>
      </c>
      <c r="AT546" s="6" t="str">
        <f>HYPERLINK("http://www.worldcat.org/oclc/19065072","WorldCat Record")</f>
        <v>WorldCat Record</v>
      </c>
      <c r="AU546" s="3" t="s">
        <v>6977</v>
      </c>
      <c r="AV546" s="3" t="s">
        <v>6978</v>
      </c>
      <c r="AW546" s="3" t="s">
        <v>6979</v>
      </c>
      <c r="AX546" s="3" t="s">
        <v>6979</v>
      </c>
      <c r="AY546" s="3" t="s">
        <v>6980</v>
      </c>
      <c r="AZ546" s="3" t="s">
        <v>73</v>
      </c>
      <c r="BB546" s="3" t="s">
        <v>6981</v>
      </c>
      <c r="BC546" s="3" t="s">
        <v>6982</v>
      </c>
      <c r="BD546" s="3" t="s">
        <v>6983</v>
      </c>
    </row>
    <row r="547" spans="1:56" ht="51" customHeight="1" x14ac:dyDescent="0.25">
      <c r="A547" s="7" t="s">
        <v>58</v>
      </c>
      <c r="B547" s="2" t="s">
        <v>6984</v>
      </c>
      <c r="C547" s="2" t="s">
        <v>6985</v>
      </c>
      <c r="D547" s="2" t="s">
        <v>6986</v>
      </c>
      <c r="F547" s="3" t="s">
        <v>58</v>
      </c>
      <c r="G547" s="3" t="s">
        <v>59</v>
      </c>
      <c r="H547" s="3" t="s">
        <v>58</v>
      </c>
      <c r="I547" s="3" t="s">
        <v>58</v>
      </c>
      <c r="J547" s="3" t="s">
        <v>60</v>
      </c>
      <c r="K547" s="2" t="s">
        <v>6987</v>
      </c>
      <c r="L547" s="2" t="s">
        <v>6988</v>
      </c>
      <c r="M547" s="3" t="s">
        <v>423</v>
      </c>
      <c r="N547" s="2" t="s">
        <v>6989</v>
      </c>
      <c r="O547" s="3" t="s">
        <v>63</v>
      </c>
      <c r="P547" s="3" t="s">
        <v>214</v>
      </c>
      <c r="R547" s="3" t="s">
        <v>65</v>
      </c>
      <c r="S547" s="4">
        <v>1</v>
      </c>
      <c r="T547" s="4">
        <v>1</v>
      </c>
      <c r="U547" s="5" t="s">
        <v>6990</v>
      </c>
      <c r="V547" s="5" t="s">
        <v>6990</v>
      </c>
      <c r="W547" s="5" t="s">
        <v>6991</v>
      </c>
      <c r="X547" s="5" t="s">
        <v>6991</v>
      </c>
      <c r="Y547" s="4">
        <v>837</v>
      </c>
      <c r="Z547" s="4">
        <v>790</v>
      </c>
      <c r="AA547" s="4">
        <v>817</v>
      </c>
      <c r="AB547" s="4">
        <v>11</v>
      </c>
      <c r="AC547" s="4">
        <v>11</v>
      </c>
      <c r="AD547" s="4">
        <v>20</v>
      </c>
      <c r="AE547" s="4">
        <v>20</v>
      </c>
      <c r="AF547" s="4">
        <v>5</v>
      </c>
      <c r="AG547" s="4">
        <v>5</v>
      </c>
      <c r="AH547" s="4">
        <v>4</v>
      </c>
      <c r="AI547" s="4">
        <v>4</v>
      </c>
      <c r="AJ547" s="4">
        <v>7</v>
      </c>
      <c r="AK547" s="4">
        <v>7</v>
      </c>
      <c r="AL547" s="4">
        <v>6</v>
      </c>
      <c r="AM547" s="4">
        <v>6</v>
      </c>
      <c r="AN547" s="4">
        <v>0</v>
      </c>
      <c r="AO547" s="4">
        <v>0</v>
      </c>
      <c r="AP547" s="3" t="s">
        <v>58</v>
      </c>
      <c r="AQ547" s="3" t="s">
        <v>68</v>
      </c>
      <c r="AR547" s="6" t="str">
        <f>HYPERLINK("http://catalog.hathitrust.org/Record/004026838","HathiTrust Record")</f>
        <v>HathiTrust Record</v>
      </c>
      <c r="AS547" s="6" t="str">
        <f>HYPERLINK("https://creighton-primo.hosted.exlibrisgroup.com/primo-explore/search?tab=default_tab&amp;search_scope=EVERYTHING&amp;vid=01CRU&amp;lang=en_US&amp;offset=0&amp;query=any,contains,991002927479702656","Catalog Record")</f>
        <v>Catalog Record</v>
      </c>
      <c r="AT547" s="6" t="str">
        <f>HYPERLINK("http://www.worldcat.org/oclc/38909925","WorldCat Record")</f>
        <v>WorldCat Record</v>
      </c>
      <c r="AU547" s="3" t="s">
        <v>6992</v>
      </c>
      <c r="AV547" s="3" t="s">
        <v>6993</v>
      </c>
      <c r="AW547" s="3" t="s">
        <v>6994</v>
      </c>
      <c r="AX547" s="3" t="s">
        <v>6994</v>
      </c>
      <c r="AY547" s="3" t="s">
        <v>6995</v>
      </c>
      <c r="AZ547" s="3" t="s">
        <v>73</v>
      </c>
      <c r="BB547" s="3" t="s">
        <v>6996</v>
      </c>
      <c r="BC547" s="3" t="s">
        <v>6997</v>
      </c>
      <c r="BD547" s="3" t="s">
        <v>6998</v>
      </c>
    </row>
    <row r="548" spans="1:56" ht="51" customHeight="1" x14ac:dyDescent="0.25">
      <c r="A548" s="7" t="s">
        <v>58</v>
      </c>
      <c r="B548" s="2" t="s">
        <v>6999</v>
      </c>
      <c r="C548" s="2" t="s">
        <v>7000</v>
      </c>
      <c r="D548" s="2" t="s">
        <v>7001</v>
      </c>
      <c r="F548" s="3" t="s">
        <v>58</v>
      </c>
      <c r="G548" s="3" t="s">
        <v>59</v>
      </c>
      <c r="H548" s="3" t="s">
        <v>58</v>
      </c>
      <c r="I548" s="3" t="s">
        <v>58</v>
      </c>
      <c r="J548" s="3" t="s">
        <v>60</v>
      </c>
      <c r="L548" s="2" t="s">
        <v>7002</v>
      </c>
      <c r="M548" s="3" t="s">
        <v>101</v>
      </c>
      <c r="N548" s="2" t="s">
        <v>7003</v>
      </c>
      <c r="O548" s="3" t="s">
        <v>63</v>
      </c>
      <c r="P548" s="3" t="s">
        <v>510</v>
      </c>
      <c r="R548" s="3" t="s">
        <v>65</v>
      </c>
      <c r="S548" s="4">
        <v>3</v>
      </c>
      <c r="T548" s="4">
        <v>3</v>
      </c>
      <c r="U548" s="5" t="s">
        <v>7004</v>
      </c>
      <c r="V548" s="5" t="s">
        <v>7004</v>
      </c>
      <c r="W548" s="5" t="s">
        <v>5321</v>
      </c>
      <c r="X548" s="5" t="s">
        <v>5321</v>
      </c>
      <c r="Y548" s="4">
        <v>1375</v>
      </c>
      <c r="Z548" s="4">
        <v>1249</v>
      </c>
      <c r="AA548" s="4">
        <v>1322</v>
      </c>
      <c r="AB548" s="4">
        <v>13</v>
      </c>
      <c r="AC548" s="4">
        <v>13</v>
      </c>
      <c r="AD548" s="4">
        <v>50</v>
      </c>
      <c r="AE548" s="4">
        <v>50</v>
      </c>
      <c r="AF548" s="4">
        <v>20</v>
      </c>
      <c r="AG548" s="4">
        <v>20</v>
      </c>
      <c r="AH548" s="4">
        <v>9</v>
      </c>
      <c r="AI548" s="4">
        <v>9</v>
      </c>
      <c r="AJ548" s="4">
        <v>21</v>
      </c>
      <c r="AK548" s="4">
        <v>21</v>
      </c>
      <c r="AL548" s="4">
        <v>10</v>
      </c>
      <c r="AM548" s="4">
        <v>10</v>
      </c>
      <c r="AN548" s="4">
        <v>0</v>
      </c>
      <c r="AO548" s="4">
        <v>0</v>
      </c>
      <c r="AP548" s="3" t="s">
        <v>58</v>
      </c>
      <c r="AQ548" s="3" t="s">
        <v>58</v>
      </c>
      <c r="AS548" s="6" t="str">
        <f>HYPERLINK("https://creighton-primo.hosted.exlibrisgroup.com/primo-explore/search?tab=default_tab&amp;search_scope=EVERYTHING&amp;vid=01CRU&amp;lang=en_US&amp;offset=0&amp;query=any,contains,991000380059702656","Catalog Record")</f>
        <v>Catalog Record</v>
      </c>
      <c r="AT548" s="6" t="str">
        <f>HYPERLINK("http://www.worldcat.org/oclc/10484216","WorldCat Record")</f>
        <v>WorldCat Record</v>
      </c>
      <c r="AU548" s="3" t="s">
        <v>7005</v>
      </c>
      <c r="AV548" s="3" t="s">
        <v>7006</v>
      </c>
      <c r="AW548" s="3" t="s">
        <v>7007</v>
      </c>
      <c r="AX548" s="3" t="s">
        <v>7007</v>
      </c>
      <c r="AY548" s="3" t="s">
        <v>7008</v>
      </c>
      <c r="AZ548" s="3" t="s">
        <v>73</v>
      </c>
      <c r="BB548" s="3" t="s">
        <v>7009</v>
      </c>
      <c r="BC548" s="3" t="s">
        <v>7010</v>
      </c>
      <c r="BD548" s="3" t="s">
        <v>7011</v>
      </c>
    </row>
    <row r="549" spans="1:56" ht="51" customHeight="1" x14ac:dyDescent="0.25">
      <c r="A549" s="7" t="s">
        <v>58</v>
      </c>
      <c r="B549" s="2" t="s">
        <v>7012</v>
      </c>
      <c r="C549" s="2" t="s">
        <v>7013</v>
      </c>
      <c r="D549" s="2" t="s">
        <v>7014</v>
      </c>
      <c r="F549" s="3" t="s">
        <v>58</v>
      </c>
      <c r="G549" s="3" t="s">
        <v>59</v>
      </c>
      <c r="H549" s="3" t="s">
        <v>58</v>
      </c>
      <c r="I549" s="3" t="s">
        <v>58</v>
      </c>
      <c r="J549" s="3" t="s">
        <v>60</v>
      </c>
      <c r="L549" s="2" t="s">
        <v>7015</v>
      </c>
      <c r="M549" s="3" t="s">
        <v>154</v>
      </c>
      <c r="O549" s="3" t="s">
        <v>63</v>
      </c>
      <c r="P549" s="3" t="s">
        <v>214</v>
      </c>
      <c r="R549" s="3" t="s">
        <v>65</v>
      </c>
      <c r="S549" s="4">
        <v>3</v>
      </c>
      <c r="T549" s="4">
        <v>3</v>
      </c>
      <c r="U549" s="5" t="s">
        <v>7004</v>
      </c>
      <c r="V549" s="5" t="s">
        <v>7004</v>
      </c>
      <c r="W549" s="5" t="s">
        <v>7016</v>
      </c>
      <c r="X549" s="5" t="s">
        <v>7016</v>
      </c>
      <c r="Y549" s="4">
        <v>1072</v>
      </c>
      <c r="Z549" s="4">
        <v>927</v>
      </c>
      <c r="AA549" s="4">
        <v>1001</v>
      </c>
      <c r="AB549" s="4">
        <v>6</v>
      </c>
      <c r="AC549" s="4">
        <v>6</v>
      </c>
      <c r="AD549" s="4">
        <v>26</v>
      </c>
      <c r="AE549" s="4">
        <v>30</v>
      </c>
      <c r="AF549" s="4">
        <v>12</v>
      </c>
      <c r="AG549" s="4">
        <v>13</v>
      </c>
      <c r="AH549" s="4">
        <v>7</v>
      </c>
      <c r="AI549" s="4">
        <v>8</v>
      </c>
      <c r="AJ549" s="4">
        <v>13</v>
      </c>
      <c r="AK549" s="4">
        <v>15</v>
      </c>
      <c r="AL549" s="4">
        <v>4</v>
      </c>
      <c r="AM549" s="4">
        <v>4</v>
      </c>
      <c r="AN549" s="4">
        <v>0</v>
      </c>
      <c r="AO549" s="4">
        <v>0</v>
      </c>
      <c r="AP549" s="3" t="s">
        <v>58</v>
      </c>
      <c r="AQ549" s="3" t="s">
        <v>68</v>
      </c>
      <c r="AR549" s="6" t="str">
        <f>HYPERLINK("http://catalog.hathitrust.org/Record/001837343","HathiTrust Record")</f>
        <v>HathiTrust Record</v>
      </c>
      <c r="AS549" s="6" t="str">
        <f>HYPERLINK("https://creighton-primo.hosted.exlibrisgroup.com/primo-explore/search?tab=default_tab&amp;search_scope=EVERYTHING&amp;vid=01CRU&amp;lang=en_US&amp;offset=0&amp;query=any,contains,991001540559702656","Catalog Record")</f>
        <v>Catalog Record</v>
      </c>
      <c r="AT549" s="6" t="str">
        <f>HYPERLINK("http://www.worldcat.org/oclc/20129994","WorldCat Record")</f>
        <v>WorldCat Record</v>
      </c>
      <c r="AU549" s="3" t="s">
        <v>7017</v>
      </c>
      <c r="AV549" s="3" t="s">
        <v>7018</v>
      </c>
      <c r="AW549" s="3" t="s">
        <v>7019</v>
      </c>
      <c r="AX549" s="3" t="s">
        <v>7019</v>
      </c>
      <c r="AY549" s="3" t="s">
        <v>7020</v>
      </c>
      <c r="AZ549" s="3" t="s">
        <v>73</v>
      </c>
      <c r="BC549" s="3" t="s">
        <v>7021</v>
      </c>
      <c r="BD549" s="3" t="s">
        <v>7022</v>
      </c>
    </row>
    <row r="550" spans="1:56" ht="51" customHeight="1" x14ac:dyDescent="0.25">
      <c r="A550" s="7" t="s">
        <v>58</v>
      </c>
      <c r="B550" s="2" t="s">
        <v>7023</v>
      </c>
      <c r="C550" s="2" t="s">
        <v>7024</v>
      </c>
      <c r="D550" s="2" t="s">
        <v>7025</v>
      </c>
      <c r="F550" s="3" t="s">
        <v>58</v>
      </c>
      <c r="G550" s="3" t="s">
        <v>59</v>
      </c>
      <c r="H550" s="3" t="s">
        <v>58</v>
      </c>
      <c r="I550" s="3" t="s">
        <v>58</v>
      </c>
      <c r="J550" s="3" t="s">
        <v>60</v>
      </c>
      <c r="K550" s="2" t="s">
        <v>7026</v>
      </c>
      <c r="L550" s="2" t="s">
        <v>7027</v>
      </c>
      <c r="M550" s="3" t="s">
        <v>898</v>
      </c>
      <c r="O550" s="3" t="s">
        <v>63</v>
      </c>
      <c r="P550" s="3" t="s">
        <v>1299</v>
      </c>
      <c r="R550" s="3" t="s">
        <v>65</v>
      </c>
      <c r="S550" s="4">
        <v>1</v>
      </c>
      <c r="T550" s="4">
        <v>1</v>
      </c>
      <c r="U550" s="5" t="s">
        <v>7028</v>
      </c>
      <c r="V550" s="5" t="s">
        <v>7028</v>
      </c>
      <c r="W550" s="5" t="s">
        <v>7028</v>
      </c>
      <c r="X550" s="5" t="s">
        <v>7028</v>
      </c>
      <c r="Y550" s="4">
        <v>558</v>
      </c>
      <c r="Z550" s="4">
        <v>487</v>
      </c>
      <c r="AA550" s="4">
        <v>534</v>
      </c>
      <c r="AB550" s="4">
        <v>3</v>
      </c>
      <c r="AC550" s="4">
        <v>4</v>
      </c>
      <c r="AD550" s="4">
        <v>25</v>
      </c>
      <c r="AE550" s="4">
        <v>29</v>
      </c>
      <c r="AF550" s="4">
        <v>14</v>
      </c>
      <c r="AG550" s="4">
        <v>16</v>
      </c>
      <c r="AH550" s="4">
        <v>4</v>
      </c>
      <c r="AI550" s="4">
        <v>6</v>
      </c>
      <c r="AJ550" s="4">
        <v>11</v>
      </c>
      <c r="AK550" s="4">
        <v>11</v>
      </c>
      <c r="AL550" s="4">
        <v>2</v>
      </c>
      <c r="AM550" s="4">
        <v>3</v>
      </c>
      <c r="AN550" s="4">
        <v>0</v>
      </c>
      <c r="AO550" s="4">
        <v>0</v>
      </c>
      <c r="AP550" s="3" t="s">
        <v>58</v>
      </c>
      <c r="AQ550" s="3" t="s">
        <v>68</v>
      </c>
      <c r="AR550" s="6" t="str">
        <f>HYPERLINK("http://catalog.hathitrust.org/Record/005275770","HathiTrust Record")</f>
        <v>HathiTrust Record</v>
      </c>
      <c r="AS550" s="6" t="str">
        <f>HYPERLINK("https://creighton-primo.hosted.exlibrisgroup.com/primo-explore/search?tab=default_tab&amp;search_scope=EVERYTHING&amp;vid=01CRU&amp;lang=en_US&amp;offset=0&amp;query=any,contains,991005065849702656","Catalog Record")</f>
        <v>Catalog Record</v>
      </c>
      <c r="AT550" s="6" t="str">
        <f>HYPERLINK("http://www.worldcat.org/oclc/65467748","WorldCat Record")</f>
        <v>WorldCat Record</v>
      </c>
      <c r="AU550" s="3" t="s">
        <v>7029</v>
      </c>
      <c r="AV550" s="3" t="s">
        <v>7030</v>
      </c>
      <c r="AW550" s="3" t="s">
        <v>7031</v>
      </c>
      <c r="AX550" s="3" t="s">
        <v>7031</v>
      </c>
      <c r="AY550" s="3" t="s">
        <v>7032</v>
      </c>
      <c r="AZ550" s="3" t="s">
        <v>73</v>
      </c>
      <c r="BB550" s="3" t="s">
        <v>7033</v>
      </c>
      <c r="BC550" s="3" t="s">
        <v>7034</v>
      </c>
      <c r="BD550" s="3" t="s">
        <v>7035</v>
      </c>
    </row>
    <row r="551" spans="1:56" ht="51" customHeight="1" x14ac:dyDescent="0.25">
      <c r="A551" s="7" t="s">
        <v>58</v>
      </c>
      <c r="B551" s="2" t="s">
        <v>7036</v>
      </c>
      <c r="C551" s="2" t="s">
        <v>7037</v>
      </c>
      <c r="D551" s="2" t="s">
        <v>7038</v>
      </c>
      <c r="F551" s="3" t="s">
        <v>58</v>
      </c>
      <c r="G551" s="3" t="s">
        <v>59</v>
      </c>
      <c r="H551" s="3" t="s">
        <v>58</v>
      </c>
      <c r="I551" s="3" t="s">
        <v>58</v>
      </c>
      <c r="J551" s="3" t="s">
        <v>60</v>
      </c>
      <c r="L551" s="2" t="s">
        <v>7039</v>
      </c>
      <c r="M551" s="3" t="s">
        <v>1091</v>
      </c>
      <c r="O551" s="3" t="s">
        <v>63</v>
      </c>
      <c r="P551" s="3" t="s">
        <v>7040</v>
      </c>
      <c r="R551" s="3" t="s">
        <v>65</v>
      </c>
      <c r="S551" s="4">
        <v>2</v>
      </c>
      <c r="T551" s="4">
        <v>2</v>
      </c>
      <c r="U551" s="5" t="s">
        <v>7041</v>
      </c>
      <c r="V551" s="5" t="s">
        <v>7041</v>
      </c>
      <c r="W551" s="5" t="s">
        <v>6132</v>
      </c>
      <c r="X551" s="5" t="s">
        <v>6132</v>
      </c>
      <c r="Y551" s="4">
        <v>69</v>
      </c>
      <c r="Z551" s="4">
        <v>52</v>
      </c>
      <c r="AA551" s="4">
        <v>54</v>
      </c>
      <c r="AB551" s="4">
        <v>1</v>
      </c>
      <c r="AC551" s="4">
        <v>1</v>
      </c>
      <c r="AD551" s="4">
        <v>0</v>
      </c>
      <c r="AE551" s="4">
        <v>0</v>
      </c>
      <c r="AF551" s="4">
        <v>0</v>
      </c>
      <c r="AG551" s="4">
        <v>0</v>
      </c>
      <c r="AH551" s="4">
        <v>0</v>
      </c>
      <c r="AI551" s="4">
        <v>0</v>
      </c>
      <c r="AJ551" s="4">
        <v>0</v>
      </c>
      <c r="AK551" s="4">
        <v>0</v>
      </c>
      <c r="AL551" s="4">
        <v>0</v>
      </c>
      <c r="AM551" s="4">
        <v>0</v>
      </c>
      <c r="AN551" s="4">
        <v>0</v>
      </c>
      <c r="AO551" s="4">
        <v>0</v>
      </c>
      <c r="AP551" s="3" t="s">
        <v>58</v>
      </c>
      <c r="AQ551" s="3" t="s">
        <v>68</v>
      </c>
      <c r="AR551" s="6" t="str">
        <f>HYPERLINK("http://catalog.hathitrust.org/Record/004248730","HathiTrust Record")</f>
        <v>HathiTrust Record</v>
      </c>
      <c r="AS551" s="6" t="str">
        <f>HYPERLINK("https://creighton-primo.hosted.exlibrisgroup.com/primo-explore/search?tab=default_tab&amp;search_scope=EVERYTHING&amp;vid=01CRU&amp;lang=en_US&amp;offset=0&amp;query=any,contains,991004099509702656","Catalog Record")</f>
        <v>Catalog Record</v>
      </c>
      <c r="AT551" s="6" t="str">
        <f>HYPERLINK("http://www.worldcat.org/oclc/49530109","WorldCat Record")</f>
        <v>WorldCat Record</v>
      </c>
      <c r="AU551" s="3" t="s">
        <v>7042</v>
      </c>
      <c r="AV551" s="3" t="s">
        <v>7043</v>
      </c>
      <c r="AW551" s="3" t="s">
        <v>7044</v>
      </c>
      <c r="AX551" s="3" t="s">
        <v>7044</v>
      </c>
      <c r="AY551" s="3" t="s">
        <v>7045</v>
      </c>
      <c r="AZ551" s="3" t="s">
        <v>73</v>
      </c>
      <c r="BB551" s="3" t="s">
        <v>7046</v>
      </c>
      <c r="BC551" s="3" t="s">
        <v>7047</v>
      </c>
      <c r="BD551" s="3" t="s">
        <v>7048</v>
      </c>
    </row>
    <row r="552" spans="1:56" ht="51" customHeight="1" x14ac:dyDescent="0.25">
      <c r="A552" s="7" t="s">
        <v>58</v>
      </c>
      <c r="B552" s="2" t="s">
        <v>7049</v>
      </c>
      <c r="C552" s="2" t="s">
        <v>7050</v>
      </c>
      <c r="D552" s="2" t="s">
        <v>7051</v>
      </c>
      <c r="F552" s="3" t="s">
        <v>58</v>
      </c>
      <c r="G552" s="3" t="s">
        <v>59</v>
      </c>
      <c r="H552" s="3" t="s">
        <v>58</v>
      </c>
      <c r="I552" s="3" t="s">
        <v>58</v>
      </c>
      <c r="J552" s="3" t="s">
        <v>60</v>
      </c>
      <c r="K552" s="2" t="s">
        <v>7052</v>
      </c>
      <c r="L552" s="2" t="s">
        <v>7053</v>
      </c>
      <c r="M552" s="3" t="s">
        <v>1784</v>
      </c>
      <c r="O552" s="3" t="s">
        <v>63</v>
      </c>
      <c r="P552" s="3" t="s">
        <v>214</v>
      </c>
      <c r="R552" s="3" t="s">
        <v>65</v>
      </c>
      <c r="S552" s="4">
        <v>2</v>
      </c>
      <c r="T552" s="4">
        <v>2</v>
      </c>
      <c r="U552" s="5" t="s">
        <v>7054</v>
      </c>
      <c r="V552" s="5" t="s">
        <v>7054</v>
      </c>
      <c r="W552" s="5" t="s">
        <v>5488</v>
      </c>
      <c r="X552" s="5" t="s">
        <v>5488</v>
      </c>
      <c r="Y552" s="4">
        <v>945</v>
      </c>
      <c r="Z552" s="4">
        <v>869</v>
      </c>
      <c r="AA552" s="4">
        <v>1006</v>
      </c>
      <c r="AB552" s="4">
        <v>4</v>
      </c>
      <c r="AC552" s="4">
        <v>7</v>
      </c>
      <c r="AD552" s="4">
        <v>33</v>
      </c>
      <c r="AE552" s="4">
        <v>40</v>
      </c>
      <c r="AF552" s="4">
        <v>17</v>
      </c>
      <c r="AG552" s="4">
        <v>18</v>
      </c>
      <c r="AH552" s="4">
        <v>5</v>
      </c>
      <c r="AI552" s="4">
        <v>8</v>
      </c>
      <c r="AJ552" s="4">
        <v>17</v>
      </c>
      <c r="AK552" s="4">
        <v>19</v>
      </c>
      <c r="AL552" s="4">
        <v>3</v>
      </c>
      <c r="AM552" s="4">
        <v>6</v>
      </c>
      <c r="AN552" s="4">
        <v>0</v>
      </c>
      <c r="AO552" s="4">
        <v>0</v>
      </c>
      <c r="AP552" s="3" t="s">
        <v>58</v>
      </c>
      <c r="AQ552" s="3" t="s">
        <v>68</v>
      </c>
      <c r="AR552" s="6" t="str">
        <f>HYPERLINK("http://catalog.hathitrust.org/Record/000174053","HathiTrust Record")</f>
        <v>HathiTrust Record</v>
      </c>
      <c r="AS552" s="6" t="str">
        <f>HYPERLINK("https://creighton-primo.hosted.exlibrisgroup.com/primo-explore/search?tab=default_tab&amp;search_scope=EVERYTHING&amp;vid=01CRU&amp;lang=en_US&amp;offset=0&amp;query=any,contains,991004545429702656","Catalog Record")</f>
        <v>Catalog Record</v>
      </c>
      <c r="AT552" s="6" t="str">
        <f>HYPERLINK("http://www.worldcat.org/oclc/3913266","WorldCat Record")</f>
        <v>WorldCat Record</v>
      </c>
      <c r="AU552" s="3" t="s">
        <v>7055</v>
      </c>
      <c r="AV552" s="3" t="s">
        <v>7056</v>
      </c>
      <c r="AW552" s="3" t="s">
        <v>7057</v>
      </c>
      <c r="AX552" s="3" t="s">
        <v>7057</v>
      </c>
      <c r="AY552" s="3" t="s">
        <v>7058</v>
      </c>
      <c r="AZ552" s="3" t="s">
        <v>73</v>
      </c>
      <c r="BB552" s="3" t="s">
        <v>7059</v>
      </c>
      <c r="BC552" s="3" t="s">
        <v>7060</v>
      </c>
      <c r="BD552" s="3" t="s">
        <v>7061</v>
      </c>
    </row>
    <row r="553" spans="1:56" ht="51" customHeight="1" x14ac:dyDescent="0.25">
      <c r="A553" s="7" t="s">
        <v>58</v>
      </c>
      <c r="B553" s="2" t="s">
        <v>7062</v>
      </c>
      <c r="C553" s="2" t="s">
        <v>7063</v>
      </c>
      <c r="D553" s="2" t="s">
        <v>7064</v>
      </c>
      <c r="F553" s="3" t="s">
        <v>58</v>
      </c>
      <c r="G553" s="3" t="s">
        <v>59</v>
      </c>
      <c r="H553" s="3" t="s">
        <v>58</v>
      </c>
      <c r="I553" s="3" t="s">
        <v>58</v>
      </c>
      <c r="J553" s="3" t="s">
        <v>60</v>
      </c>
      <c r="K553" s="2" t="s">
        <v>7065</v>
      </c>
      <c r="L553" s="2" t="s">
        <v>7066</v>
      </c>
      <c r="M553" s="3" t="s">
        <v>538</v>
      </c>
      <c r="O553" s="3" t="s">
        <v>554</v>
      </c>
      <c r="P553" s="3" t="s">
        <v>555</v>
      </c>
      <c r="R553" s="3" t="s">
        <v>65</v>
      </c>
      <c r="S553" s="4">
        <v>5</v>
      </c>
      <c r="T553" s="4">
        <v>5</v>
      </c>
      <c r="U553" s="5" t="s">
        <v>5280</v>
      </c>
      <c r="V553" s="5" t="s">
        <v>5280</v>
      </c>
      <c r="W553" s="5" t="s">
        <v>7067</v>
      </c>
      <c r="X553" s="5" t="s">
        <v>7067</v>
      </c>
      <c r="Y553" s="4">
        <v>52</v>
      </c>
      <c r="Z553" s="4">
        <v>30</v>
      </c>
      <c r="AA553" s="4">
        <v>32</v>
      </c>
      <c r="AB553" s="4">
        <v>1</v>
      </c>
      <c r="AC553" s="4">
        <v>1</v>
      </c>
      <c r="AD553" s="4">
        <v>1</v>
      </c>
      <c r="AE553" s="4">
        <v>1</v>
      </c>
      <c r="AF553" s="4">
        <v>0</v>
      </c>
      <c r="AG553" s="4">
        <v>0</v>
      </c>
      <c r="AH553" s="4">
        <v>0</v>
      </c>
      <c r="AI553" s="4">
        <v>0</v>
      </c>
      <c r="AJ553" s="4">
        <v>1</v>
      </c>
      <c r="AK553" s="4">
        <v>1</v>
      </c>
      <c r="AL553" s="4">
        <v>0</v>
      </c>
      <c r="AM553" s="4">
        <v>0</v>
      </c>
      <c r="AN553" s="4">
        <v>0</v>
      </c>
      <c r="AO553" s="4">
        <v>0</v>
      </c>
      <c r="AP553" s="3" t="s">
        <v>58</v>
      </c>
      <c r="AQ553" s="3" t="s">
        <v>68</v>
      </c>
      <c r="AR553" s="6" t="str">
        <f>HYPERLINK("http://catalog.hathitrust.org/Record/010645453","HathiTrust Record")</f>
        <v>HathiTrust Record</v>
      </c>
      <c r="AS553" s="6" t="str">
        <f>HYPERLINK("https://creighton-primo.hosted.exlibrisgroup.com/primo-explore/search?tab=default_tab&amp;search_scope=EVERYTHING&amp;vid=01CRU&amp;lang=en_US&amp;offset=0&amp;query=any,contains,991005056709702656","Catalog Record")</f>
        <v>Catalog Record</v>
      </c>
      <c r="AT553" s="6" t="str">
        <f>HYPERLINK("http://www.worldcat.org/oclc/6901393","WorldCat Record")</f>
        <v>WorldCat Record</v>
      </c>
      <c r="AU553" s="3" t="s">
        <v>7068</v>
      </c>
      <c r="AV553" s="3" t="s">
        <v>7069</v>
      </c>
      <c r="AW553" s="3" t="s">
        <v>7070</v>
      </c>
      <c r="AX553" s="3" t="s">
        <v>7070</v>
      </c>
      <c r="AY553" s="3" t="s">
        <v>7071</v>
      </c>
      <c r="AZ553" s="3" t="s">
        <v>73</v>
      </c>
      <c r="BC553" s="3" t="s">
        <v>7072</v>
      </c>
      <c r="BD553" s="3" t="s">
        <v>7073</v>
      </c>
    </row>
    <row r="554" spans="1:56" ht="51" customHeight="1" x14ac:dyDescent="0.25">
      <c r="A554" s="7" t="s">
        <v>58</v>
      </c>
      <c r="B554" s="2" t="s">
        <v>7074</v>
      </c>
      <c r="C554" s="2" t="s">
        <v>7075</v>
      </c>
      <c r="D554" s="2" t="s">
        <v>7076</v>
      </c>
      <c r="F554" s="3" t="s">
        <v>58</v>
      </c>
      <c r="G554" s="3" t="s">
        <v>59</v>
      </c>
      <c r="H554" s="3" t="s">
        <v>58</v>
      </c>
      <c r="I554" s="3" t="s">
        <v>58</v>
      </c>
      <c r="J554" s="3" t="s">
        <v>60</v>
      </c>
      <c r="K554" s="2" t="s">
        <v>7077</v>
      </c>
      <c r="L554" s="2" t="s">
        <v>7078</v>
      </c>
      <c r="M554" s="3" t="s">
        <v>855</v>
      </c>
      <c r="N554" s="2" t="s">
        <v>338</v>
      </c>
      <c r="O554" s="3" t="s">
        <v>63</v>
      </c>
      <c r="P554" s="3" t="s">
        <v>214</v>
      </c>
      <c r="R554" s="3" t="s">
        <v>65</v>
      </c>
      <c r="S554" s="4">
        <v>6</v>
      </c>
      <c r="T554" s="4">
        <v>6</v>
      </c>
      <c r="U554" s="5" t="s">
        <v>5280</v>
      </c>
      <c r="V554" s="5" t="s">
        <v>5280</v>
      </c>
      <c r="W554" s="5" t="s">
        <v>7079</v>
      </c>
      <c r="X554" s="5" t="s">
        <v>7079</v>
      </c>
      <c r="Y554" s="4">
        <v>605</v>
      </c>
      <c r="Z554" s="4">
        <v>542</v>
      </c>
      <c r="AA554" s="4">
        <v>545</v>
      </c>
      <c r="AB554" s="4">
        <v>3</v>
      </c>
      <c r="AC554" s="4">
        <v>3</v>
      </c>
      <c r="AD554" s="4">
        <v>17</v>
      </c>
      <c r="AE554" s="4">
        <v>17</v>
      </c>
      <c r="AF554" s="4">
        <v>6</v>
      </c>
      <c r="AG554" s="4">
        <v>6</v>
      </c>
      <c r="AH554" s="4">
        <v>3</v>
      </c>
      <c r="AI554" s="4">
        <v>3</v>
      </c>
      <c r="AJ554" s="4">
        <v>9</v>
      </c>
      <c r="AK554" s="4">
        <v>9</v>
      </c>
      <c r="AL554" s="4">
        <v>2</v>
      </c>
      <c r="AM554" s="4">
        <v>2</v>
      </c>
      <c r="AN554" s="4">
        <v>0</v>
      </c>
      <c r="AO554" s="4">
        <v>0</v>
      </c>
      <c r="AP554" s="3" t="s">
        <v>58</v>
      </c>
      <c r="AQ554" s="3" t="s">
        <v>68</v>
      </c>
      <c r="AR554" s="6" t="str">
        <f>HYPERLINK("http://catalog.hathitrust.org/Record/002712754","HathiTrust Record")</f>
        <v>HathiTrust Record</v>
      </c>
      <c r="AS554" s="6" t="str">
        <f>HYPERLINK("https://creighton-primo.hosted.exlibrisgroup.com/primo-explore/search?tab=default_tab&amp;search_scope=EVERYTHING&amp;vid=01CRU&amp;lang=en_US&amp;offset=0&amp;query=any,contains,991002164179702656","Catalog Record")</f>
        <v>Catalog Record</v>
      </c>
      <c r="AT554" s="6" t="str">
        <f>HYPERLINK("http://www.worldcat.org/oclc/27870949","WorldCat Record")</f>
        <v>WorldCat Record</v>
      </c>
      <c r="AU554" s="3" t="s">
        <v>7080</v>
      </c>
      <c r="AV554" s="3" t="s">
        <v>7081</v>
      </c>
      <c r="AW554" s="3" t="s">
        <v>7082</v>
      </c>
      <c r="AX554" s="3" t="s">
        <v>7082</v>
      </c>
      <c r="AY554" s="3" t="s">
        <v>7083</v>
      </c>
      <c r="AZ554" s="3" t="s">
        <v>73</v>
      </c>
      <c r="BB554" s="3" t="s">
        <v>7084</v>
      </c>
      <c r="BC554" s="3" t="s">
        <v>7085</v>
      </c>
      <c r="BD554" s="3" t="s">
        <v>7086</v>
      </c>
    </row>
    <row r="555" spans="1:56" ht="51" customHeight="1" x14ac:dyDescent="0.25">
      <c r="A555" s="7" t="s">
        <v>58</v>
      </c>
      <c r="B555" s="2" t="s">
        <v>7087</v>
      </c>
      <c r="C555" s="2" t="s">
        <v>7088</v>
      </c>
      <c r="D555" s="2" t="s">
        <v>7089</v>
      </c>
      <c r="F555" s="3" t="s">
        <v>58</v>
      </c>
      <c r="G555" s="3" t="s">
        <v>59</v>
      </c>
      <c r="H555" s="3" t="s">
        <v>58</v>
      </c>
      <c r="I555" s="3" t="s">
        <v>58</v>
      </c>
      <c r="J555" s="3" t="s">
        <v>60</v>
      </c>
      <c r="K555" s="2" t="s">
        <v>7090</v>
      </c>
      <c r="L555" s="2" t="s">
        <v>7091</v>
      </c>
      <c r="M555" s="3" t="s">
        <v>479</v>
      </c>
      <c r="O555" s="3" t="s">
        <v>63</v>
      </c>
      <c r="P555" s="3" t="s">
        <v>816</v>
      </c>
      <c r="R555" s="3" t="s">
        <v>65</v>
      </c>
      <c r="S555" s="4">
        <v>5</v>
      </c>
      <c r="T555" s="4">
        <v>5</v>
      </c>
      <c r="U555" s="5" t="s">
        <v>7092</v>
      </c>
      <c r="V555" s="5" t="s">
        <v>7092</v>
      </c>
      <c r="W555" s="5" t="s">
        <v>7093</v>
      </c>
      <c r="X555" s="5" t="s">
        <v>7093</v>
      </c>
      <c r="Y555" s="4">
        <v>1163</v>
      </c>
      <c r="Z555" s="4">
        <v>1022</v>
      </c>
      <c r="AA555" s="4">
        <v>1036</v>
      </c>
      <c r="AB555" s="4">
        <v>9</v>
      </c>
      <c r="AC555" s="4">
        <v>9</v>
      </c>
      <c r="AD555" s="4">
        <v>34</v>
      </c>
      <c r="AE555" s="4">
        <v>34</v>
      </c>
      <c r="AF555" s="4">
        <v>14</v>
      </c>
      <c r="AG555" s="4">
        <v>14</v>
      </c>
      <c r="AH555" s="4">
        <v>8</v>
      </c>
      <c r="AI555" s="4">
        <v>8</v>
      </c>
      <c r="AJ555" s="4">
        <v>14</v>
      </c>
      <c r="AK555" s="4">
        <v>14</v>
      </c>
      <c r="AL555" s="4">
        <v>6</v>
      </c>
      <c r="AM555" s="4">
        <v>6</v>
      </c>
      <c r="AN555" s="4">
        <v>0</v>
      </c>
      <c r="AO555" s="4">
        <v>0</v>
      </c>
      <c r="AP555" s="3" t="s">
        <v>58</v>
      </c>
      <c r="AQ555" s="3" t="s">
        <v>58</v>
      </c>
      <c r="AS555" s="6" t="str">
        <f>HYPERLINK("https://creighton-primo.hosted.exlibrisgroup.com/primo-explore/search?tab=default_tab&amp;search_scope=EVERYTHING&amp;vid=01CRU&amp;lang=en_US&amp;offset=0&amp;query=any,contains,991002277249702656","Catalog Record")</f>
        <v>Catalog Record</v>
      </c>
      <c r="AT555" s="6" t="str">
        <f>HYPERLINK("http://www.worldcat.org/oclc/29548576","WorldCat Record")</f>
        <v>WorldCat Record</v>
      </c>
      <c r="AU555" s="3" t="s">
        <v>7094</v>
      </c>
      <c r="AV555" s="3" t="s">
        <v>7095</v>
      </c>
      <c r="AW555" s="3" t="s">
        <v>7096</v>
      </c>
      <c r="AX555" s="3" t="s">
        <v>7096</v>
      </c>
      <c r="AY555" s="3" t="s">
        <v>7097</v>
      </c>
      <c r="AZ555" s="3" t="s">
        <v>73</v>
      </c>
      <c r="BB555" s="3" t="s">
        <v>7098</v>
      </c>
      <c r="BC555" s="3" t="s">
        <v>7099</v>
      </c>
      <c r="BD555" s="3" t="s">
        <v>7100</v>
      </c>
    </row>
    <row r="556" spans="1:56" ht="51" customHeight="1" x14ac:dyDescent="0.25">
      <c r="A556" s="7" t="s">
        <v>58</v>
      </c>
      <c r="B556" s="2" t="s">
        <v>7101</v>
      </c>
      <c r="C556" s="2" t="s">
        <v>7102</v>
      </c>
      <c r="D556" s="2" t="s">
        <v>7103</v>
      </c>
      <c r="F556" s="3" t="s">
        <v>58</v>
      </c>
      <c r="G556" s="3" t="s">
        <v>59</v>
      </c>
      <c r="H556" s="3" t="s">
        <v>58</v>
      </c>
      <c r="I556" s="3" t="s">
        <v>58</v>
      </c>
      <c r="J556" s="3" t="s">
        <v>60</v>
      </c>
      <c r="K556" s="2" t="s">
        <v>7104</v>
      </c>
      <c r="L556" s="2" t="s">
        <v>6338</v>
      </c>
      <c r="M556" s="3" t="s">
        <v>855</v>
      </c>
      <c r="O556" s="3" t="s">
        <v>63</v>
      </c>
      <c r="P556" s="3" t="s">
        <v>214</v>
      </c>
      <c r="R556" s="3" t="s">
        <v>65</v>
      </c>
      <c r="S556" s="4">
        <v>4</v>
      </c>
      <c r="T556" s="4">
        <v>4</v>
      </c>
      <c r="U556" s="5" t="s">
        <v>3605</v>
      </c>
      <c r="V556" s="5" t="s">
        <v>3605</v>
      </c>
      <c r="W556" s="5" t="s">
        <v>7105</v>
      </c>
      <c r="X556" s="5" t="s">
        <v>7105</v>
      </c>
      <c r="Y556" s="4">
        <v>450</v>
      </c>
      <c r="Z556" s="4">
        <v>397</v>
      </c>
      <c r="AA556" s="4">
        <v>446</v>
      </c>
      <c r="AB556" s="4">
        <v>5</v>
      </c>
      <c r="AC556" s="4">
        <v>5</v>
      </c>
      <c r="AD556" s="4">
        <v>18</v>
      </c>
      <c r="AE556" s="4">
        <v>20</v>
      </c>
      <c r="AF556" s="4">
        <v>5</v>
      </c>
      <c r="AG556" s="4">
        <v>7</v>
      </c>
      <c r="AH556" s="4">
        <v>3</v>
      </c>
      <c r="AI556" s="4">
        <v>3</v>
      </c>
      <c r="AJ556" s="4">
        <v>12</v>
      </c>
      <c r="AK556" s="4">
        <v>13</v>
      </c>
      <c r="AL556" s="4">
        <v>2</v>
      </c>
      <c r="AM556" s="4">
        <v>2</v>
      </c>
      <c r="AN556" s="4">
        <v>0</v>
      </c>
      <c r="AO556" s="4">
        <v>0</v>
      </c>
      <c r="AP556" s="3" t="s">
        <v>58</v>
      </c>
      <c r="AQ556" s="3" t="s">
        <v>68</v>
      </c>
      <c r="AR556" s="6" t="str">
        <f>HYPERLINK("http://catalog.hathitrust.org/Record/002856033","HathiTrust Record")</f>
        <v>HathiTrust Record</v>
      </c>
      <c r="AS556" s="6" t="str">
        <f>HYPERLINK("https://creighton-primo.hosted.exlibrisgroup.com/primo-explore/search?tab=default_tab&amp;search_scope=EVERYTHING&amp;vid=01CRU&amp;lang=en_US&amp;offset=0&amp;query=any,contains,991002227369702656","Catalog Record")</f>
        <v>Catalog Record</v>
      </c>
      <c r="AT556" s="6" t="str">
        <f>HYPERLINK("http://www.worldcat.org/oclc/28708318","WorldCat Record")</f>
        <v>WorldCat Record</v>
      </c>
      <c r="AU556" s="3" t="s">
        <v>7106</v>
      </c>
      <c r="AV556" s="3" t="s">
        <v>7107</v>
      </c>
      <c r="AW556" s="3" t="s">
        <v>7108</v>
      </c>
      <c r="AX556" s="3" t="s">
        <v>7108</v>
      </c>
      <c r="AY556" s="3" t="s">
        <v>7109</v>
      </c>
      <c r="AZ556" s="3" t="s">
        <v>73</v>
      </c>
      <c r="BB556" s="3" t="s">
        <v>7110</v>
      </c>
      <c r="BC556" s="3" t="s">
        <v>7111</v>
      </c>
      <c r="BD556" s="3" t="s">
        <v>7112</v>
      </c>
    </row>
    <row r="557" spans="1:56" ht="51" customHeight="1" x14ac:dyDescent="0.25">
      <c r="A557" s="7" t="s">
        <v>58</v>
      </c>
      <c r="B557" s="2" t="s">
        <v>7113</v>
      </c>
      <c r="C557" s="2" t="s">
        <v>7114</v>
      </c>
      <c r="D557" s="2" t="s">
        <v>7115</v>
      </c>
      <c r="F557" s="3" t="s">
        <v>58</v>
      </c>
      <c r="G557" s="3" t="s">
        <v>59</v>
      </c>
      <c r="H557" s="3" t="s">
        <v>58</v>
      </c>
      <c r="I557" s="3" t="s">
        <v>58</v>
      </c>
      <c r="J557" s="3" t="s">
        <v>60</v>
      </c>
      <c r="K557" s="2" t="s">
        <v>7116</v>
      </c>
      <c r="L557" s="2" t="s">
        <v>7117</v>
      </c>
      <c r="M557" s="3" t="s">
        <v>2132</v>
      </c>
      <c r="O557" s="3" t="s">
        <v>63</v>
      </c>
      <c r="P557" s="3" t="s">
        <v>214</v>
      </c>
      <c r="Q557" s="2" t="s">
        <v>7118</v>
      </c>
      <c r="R557" s="3" t="s">
        <v>65</v>
      </c>
      <c r="S557" s="4">
        <v>4</v>
      </c>
      <c r="T557" s="4">
        <v>4</v>
      </c>
      <c r="U557" s="5" t="s">
        <v>7119</v>
      </c>
      <c r="V557" s="5" t="s">
        <v>7119</v>
      </c>
      <c r="W557" s="5" t="s">
        <v>540</v>
      </c>
      <c r="X557" s="5" t="s">
        <v>540</v>
      </c>
      <c r="Y557" s="4">
        <v>545</v>
      </c>
      <c r="Z557" s="4">
        <v>441</v>
      </c>
      <c r="AA557" s="4">
        <v>783</v>
      </c>
      <c r="AB557" s="4">
        <v>4</v>
      </c>
      <c r="AC557" s="4">
        <v>4</v>
      </c>
      <c r="AD557" s="4">
        <v>16</v>
      </c>
      <c r="AE557" s="4">
        <v>31</v>
      </c>
      <c r="AF557" s="4">
        <v>3</v>
      </c>
      <c r="AG557" s="4">
        <v>13</v>
      </c>
      <c r="AH557" s="4">
        <v>5</v>
      </c>
      <c r="AI557" s="4">
        <v>8</v>
      </c>
      <c r="AJ557" s="4">
        <v>10</v>
      </c>
      <c r="AK557" s="4">
        <v>19</v>
      </c>
      <c r="AL557" s="4">
        <v>3</v>
      </c>
      <c r="AM557" s="4">
        <v>3</v>
      </c>
      <c r="AN557" s="4">
        <v>0</v>
      </c>
      <c r="AO557" s="4">
        <v>0</v>
      </c>
      <c r="AP557" s="3" t="s">
        <v>58</v>
      </c>
      <c r="AQ557" s="3" t="s">
        <v>68</v>
      </c>
      <c r="AR557" s="6" t="str">
        <f>HYPERLINK("http://catalog.hathitrust.org/Record/001247450","HathiTrust Record")</f>
        <v>HathiTrust Record</v>
      </c>
      <c r="AS557" s="6" t="str">
        <f>HYPERLINK("https://creighton-primo.hosted.exlibrisgroup.com/primo-explore/search?tab=default_tab&amp;search_scope=EVERYTHING&amp;vid=01CRU&amp;lang=en_US&amp;offset=0&amp;query=any,contains,991002127249702656","Catalog Record")</f>
        <v>Catalog Record</v>
      </c>
      <c r="AT557" s="6" t="str">
        <f>HYPERLINK("http://www.worldcat.org/oclc/269307","WorldCat Record")</f>
        <v>WorldCat Record</v>
      </c>
      <c r="AU557" s="3" t="s">
        <v>7120</v>
      </c>
      <c r="AV557" s="3" t="s">
        <v>7121</v>
      </c>
      <c r="AW557" s="3" t="s">
        <v>7122</v>
      </c>
      <c r="AX557" s="3" t="s">
        <v>7122</v>
      </c>
      <c r="AY557" s="3" t="s">
        <v>7123</v>
      </c>
      <c r="AZ557" s="3" t="s">
        <v>73</v>
      </c>
      <c r="BC557" s="3" t="s">
        <v>7124</v>
      </c>
      <c r="BD557" s="3" t="s">
        <v>7125</v>
      </c>
    </row>
    <row r="558" spans="1:56" ht="51" customHeight="1" x14ac:dyDescent="0.25">
      <c r="A558" s="7" t="s">
        <v>58</v>
      </c>
      <c r="B558" s="2" t="s">
        <v>7126</v>
      </c>
      <c r="C558" s="2" t="s">
        <v>7127</v>
      </c>
      <c r="D558" s="2" t="s">
        <v>7128</v>
      </c>
      <c r="F558" s="3" t="s">
        <v>58</v>
      </c>
      <c r="G558" s="3" t="s">
        <v>59</v>
      </c>
      <c r="H558" s="3" t="s">
        <v>58</v>
      </c>
      <c r="I558" s="3" t="s">
        <v>58</v>
      </c>
      <c r="J558" s="3" t="s">
        <v>60</v>
      </c>
      <c r="K558" s="2" t="s">
        <v>7129</v>
      </c>
      <c r="L558" s="2" t="s">
        <v>7130</v>
      </c>
      <c r="M558" s="3" t="s">
        <v>83</v>
      </c>
      <c r="O558" s="3" t="s">
        <v>63</v>
      </c>
      <c r="P558" s="3" t="s">
        <v>214</v>
      </c>
      <c r="R558" s="3" t="s">
        <v>65</v>
      </c>
      <c r="S558" s="4">
        <v>3</v>
      </c>
      <c r="T558" s="4">
        <v>3</v>
      </c>
      <c r="U558" s="5" t="s">
        <v>7131</v>
      </c>
      <c r="V558" s="5" t="s">
        <v>7131</v>
      </c>
      <c r="W558" s="5" t="s">
        <v>5321</v>
      </c>
      <c r="X558" s="5" t="s">
        <v>5321</v>
      </c>
      <c r="Y558" s="4">
        <v>359</v>
      </c>
      <c r="Z558" s="4">
        <v>321</v>
      </c>
      <c r="AA558" s="4">
        <v>371</v>
      </c>
      <c r="AB558" s="4">
        <v>2</v>
      </c>
      <c r="AC558" s="4">
        <v>2</v>
      </c>
      <c r="AD558" s="4">
        <v>20</v>
      </c>
      <c r="AE558" s="4">
        <v>22</v>
      </c>
      <c r="AF558" s="4">
        <v>9</v>
      </c>
      <c r="AG558" s="4">
        <v>11</v>
      </c>
      <c r="AH558" s="4">
        <v>8</v>
      </c>
      <c r="AI558" s="4">
        <v>8</v>
      </c>
      <c r="AJ558" s="4">
        <v>9</v>
      </c>
      <c r="AK558" s="4">
        <v>10</v>
      </c>
      <c r="AL558" s="4">
        <v>1</v>
      </c>
      <c r="AM558" s="4">
        <v>1</v>
      </c>
      <c r="AN558" s="4">
        <v>0</v>
      </c>
      <c r="AO558" s="4">
        <v>0</v>
      </c>
      <c r="AP558" s="3" t="s">
        <v>58</v>
      </c>
      <c r="AQ558" s="3" t="s">
        <v>58</v>
      </c>
      <c r="AS558" s="6" t="str">
        <f>HYPERLINK("https://creighton-primo.hosted.exlibrisgroup.com/primo-explore/search?tab=default_tab&amp;search_scope=EVERYTHING&amp;vid=01CRU&amp;lang=en_US&amp;offset=0&amp;query=any,contains,991004420829702656","Catalog Record")</f>
        <v>Catalog Record</v>
      </c>
      <c r="AT558" s="6" t="str">
        <f>HYPERLINK("http://www.worldcat.org/oclc/3380486","WorldCat Record")</f>
        <v>WorldCat Record</v>
      </c>
      <c r="AU558" s="3" t="s">
        <v>7132</v>
      </c>
      <c r="AV558" s="3" t="s">
        <v>7133</v>
      </c>
      <c r="AW558" s="3" t="s">
        <v>7134</v>
      </c>
      <c r="AX558" s="3" t="s">
        <v>7134</v>
      </c>
      <c r="AY558" s="3" t="s">
        <v>7135</v>
      </c>
      <c r="AZ558" s="3" t="s">
        <v>73</v>
      </c>
      <c r="BB558" s="3" t="s">
        <v>7136</v>
      </c>
      <c r="BC558" s="3" t="s">
        <v>7137</v>
      </c>
      <c r="BD558" s="3" t="s">
        <v>7138</v>
      </c>
    </row>
    <row r="559" spans="1:56" ht="51" customHeight="1" x14ac:dyDescent="0.25">
      <c r="A559" s="7" t="s">
        <v>58</v>
      </c>
      <c r="B559" s="2" t="s">
        <v>7139</v>
      </c>
      <c r="C559" s="2" t="s">
        <v>7140</v>
      </c>
      <c r="D559" s="2" t="s">
        <v>7141</v>
      </c>
      <c r="F559" s="3" t="s">
        <v>58</v>
      </c>
      <c r="G559" s="3" t="s">
        <v>59</v>
      </c>
      <c r="H559" s="3" t="s">
        <v>58</v>
      </c>
      <c r="I559" s="3" t="s">
        <v>58</v>
      </c>
      <c r="J559" s="3" t="s">
        <v>60</v>
      </c>
      <c r="K559" s="2" t="s">
        <v>7142</v>
      </c>
      <c r="L559" s="2" t="s">
        <v>7143</v>
      </c>
      <c r="M559" s="3" t="s">
        <v>261</v>
      </c>
      <c r="O559" s="3" t="s">
        <v>63</v>
      </c>
      <c r="P559" s="3" t="s">
        <v>214</v>
      </c>
      <c r="Q559" s="2" t="s">
        <v>7144</v>
      </c>
      <c r="R559" s="3" t="s">
        <v>65</v>
      </c>
      <c r="S559" s="4">
        <v>4</v>
      </c>
      <c r="T559" s="4">
        <v>4</v>
      </c>
      <c r="U559" s="5" t="s">
        <v>7145</v>
      </c>
      <c r="V559" s="5" t="s">
        <v>7145</v>
      </c>
      <c r="W559" s="5" t="s">
        <v>540</v>
      </c>
      <c r="X559" s="5" t="s">
        <v>540</v>
      </c>
      <c r="Y559" s="4">
        <v>125</v>
      </c>
      <c r="Z559" s="4">
        <v>114</v>
      </c>
      <c r="AA559" s="4">
        <v>234</v>
      </c>
      <c r="AB559" s="4">
        <v>1</v>
      </c>
      <c r="AC559" s="4">
        <v>1</v>
      </c>
      <c r="AD559" s="4">
        <v>5</v>
      </c>
      <c r="AE559" s="4">
        <v>10</v>
      </c>
      <c r="AF559" s="4">
        <v>2</v>
      </c>
      <c r="AG559" s="4">
        <v>3</v>
      </c>
      <c r="AH559" s="4">
        <v>2</v>
      </c>
      <c r="AI559" s="4">
        <v>4</v>
      </c>
      <c r="AJ559" s="4">
        <v>3</v>
      </c>
      <c r="AK559" s="4">
        <v>6</v>
      </c>
      <c r="AL559" s="4">
        <v>0</v>
      </c>
      <c r="AM559" s="4">
        <v>0</v>
      </c>
      <c r="AN559" s="4">
        <v>0</v>
      </c>
      <c r="AO559" s="4">
        <v>0</v>
      </c>
      <c r="AP559" s="3" t="s">
        <v>58</v>
      </c>
      <c r="AQ559" s="3" t="s">
        <v>68</v>
      </c>
      <c r="AR559" s="6" t="str">
        <f>HYPERLINK("http://catalog.hathitrust.org/Record/100620288","HathiTrust Record")</f>
        <v>HathiTrust Record</v>
      </c>
      <c r="AS559" s="6" t="str">
        <f>HYPERLINK("https://creighton-primo.hosted.exlibrisgroup.com/primo-explore/search?tab=default_tab&amp;search_scope=EVERYTHING&amp;vid=01CRU&amp;lang=en_US&amp;offset=0&amp;query=any,contains,991003597369702656","Catalog Record")</f>
        <v>Catalog Record</v>
      </c>
      <c r="AT559" s="6" t="str">
        <f>HYPERLINK("http://www.worldcat.org/oclc/1175947","WorldCat Record")</f>
        <v>WorldCat Record</v>
      </c>
      <c r="AU559" s="3" t="s">
        <v>7146</v>
      </c>
      <c r="AV559" s="3" t="s">
        <v>7147</v>
      </c>
      <c r="AW559" s="3" t="s">
        <v>7148</v>
      </c>
      <c r="AX559" s="3" t="s">
        <v>7148</v>
      </c>
      <c r="AY559" s="3" t="s">
        <v>7149</v>
      </c>
      <c r="AZ559" s="3" t="s">
        <v>73</v>
      </c>
      <c r="BB559" s="3" t="s">
        <v>7150</v>
      </c>
      <c r="BC559" s="3" t="s">
        <v>7151</v>
      </c>
      <c r="BD559" s="3" t="s">
        <v>7152</v>
      </c>
    </row>
    <row r="560" spans="1:56" ht="51" customHeight="1" x14ac:dyDescent="0.25">
      <c r="A560" s="7" t="s">
        <v>58</v>
      </c>
      <c r="B560" s="2" t="s">
        <v>7153</v>
      </c>
      <c r="C560" s="2" t="s">
        <v>7154</v>
      </c>
      <c r="D560" s="2" t="s">
        <v>7155</v>
      </c>
      <c r="F560" s="3" t="s">
        <v>58</v>
      </c>
      <c r="G560" s="3" t="s">
        <v>59</v>
      </c>
      <c r="H560" s="3" t="s">
        <v>58</v>
      </c>
      <c r="I560" s="3" t="s">
        <v>58</v>
      </c>
      <c r="J560" s="3" t="s">
        <v>60</v>
      </c>
      <c r="K560" s="2" t="s">
        <v>7156</v>
      </c>
      <c r="L560" s="2" t="s">
        <v>7157</v>
      </c>
      <c r="M560" s="3" t="s">
        <v>4851</v>
      </c>
      <c r="O560" s="3" t="s">
        <v>63</v>
      </c>
      <c r="P560" s="3" t="s">
        <v>214</v>
      </c>
      <c r="R560" s="3" t="s">
        <v>65</v>
      </c>
      <c r="S560" s="4">
        <v>2</v>
      </c>
      <c r="T560" s="4">
        <v>2</v>
      </c>
      <c r="U560" s="5" t="s">
        <v>7131</v>
      </c>
      <c r="V560" s="5" t="s">
        <v>7131</v>
      </c>
      <c r="W560" s="5" t="s">
        <v>7158</v>
      </c>
      <c r="X560" s="5" t="s">
        <v>7158</v>
      </c>
      <c r="Y560" s="4">
        <v>487</v>
      </c>
      <c r="Z560" s="4">
        <v>413</v>
      </c>
      <c r="AA560" s="4">
        <v>447</v>
      </c>
      <c r="AB560" s="4">
        <v>2</v>
      </c>
      <c r="AC560" s="4">
        <v>2</v>
      </c>
      <c r="AD560" s="4">
        <v>16</v>
      </c>
      <c r="AE560" s="4">
        <v>18</v>
      </c>
      <c r="AF560" s="4">
        <v>3</v>
      </c>
      <c r="AG560" s="4">
        <v>4</v>
      </c>
      <c r="AH560" s="4">
        <v>6</v>
      </c>
      <c r="AI560" s="4">
        <v>6</v>
      </c>
      <c r="AJ560" s="4">
        <v>10</v>
      </c>
      <c r="AK560" s="4">
        <v>11</v>
      </c>
      <c r="AL560" s="4">
        <v>0</v>
      </c>
      <c r="AM560" s="4">
        <v>0</v>
      </c>
      <c r="AN560" s="4">
        <v>0</v>
      </c>
      <c r="AO560" s="4">
        <v>0</v>
      </c>
      <c r="AP560" s="3" t="s">
        <v>58</v>
      </c>
      <c r="AQ560" s="3" t="s">
        <v>68</v>
      </c>
      <c r="AR560" s="6" t="str">
        <f>HYPERLINK("http://catalog.hathitrust.org/Record/001247459","HathiTrust Record")</f>
        <v>HathiTrust Record</v>
      </c>
      <c r="AS560" s="6" t="str">
        <f>HYPERLINK("https://creighton-primo.hosted.exlibrisgroup.com/primo-explore/search?tab=default_tab&amp;search_scope=EVERYTHING&amp;vid=01CRU&amp;lang=en_US&amp;offset=0&amp;query=any,contains,991002709749702656","Catalog Record")</f>
        <v>Catalog Record</v>
      </c>
      <c r="AT560" s="6" t="str">
        <f>HYPERLINK("http://www.worldcat.org/oclc/408696","WorldCat Record")</f>
        <v>WorldCat Record</v>
      </c>
      <c r="AU560" s="3" t="s">
        <v>7159</v>
      </c>
      <c r="AV560" s="3" t="s">
        <v>7160</v>
      </c>
      <c r="AW560" s="3" t="s">
        <v>7161</v>
      </c>
      <c r="AX560" s="3" t="s">
        <v>7161</v>
      </c>
      <c r="AY560" s="3" t="s">
        <v>7162</v>
      </c>
      <c r="AZ560" s="3" t="s">
        <v>73</v>
      </c>
      <c r="BC560" s="3" t="s">
        <v>7163</v>
      </c>
      <c r="BD560" s="3" t="s">
        <v>7164</v>
      </c>
    </row>
    <row r="561" spans="1:56" ht="51" customHeight="1" x14ac:dyDescent="0.25">
      <c r="A561" s="7" t="s">
        <v>58</v>
      </c>
      <c r="B561" s="2" t="s">
        <v>7165</v>
      </c>
      <c r="C561" s="2" t="s">
        <v>7166</v>
      </c>
      <c r="D561" s="2" t="s">
        <v>7167</v>
      </c>
      <c r="F561" s="3" t="s">
        <v>58</v>
      </c>
      <c r="G561" s="3" t="s">
        <v>59</v>
      </c>
      <c r="H561" s="3" t="s">
        <v>58</v>
      </c>
      <c r="I561" s="3" t="s">
        <v>58</v>
      </c>
      <c r="J561" s="3" t="s">
        <v>60</v>
      </c>
      <c r="L561" s="2" t="s">
        <v>7168</v>
      </c>
      <c r="M561" s="3" t="s">
        <v>996</v>
      </c>
      <c r="N561" s="2" t="s">
        <v>424</v>
      </c>
      <c r="O561" s="3" t="s">
        <v>63</v>
      </c>
      <c r="P561" s="3" t="s">
        <v>584</v>
      </c>
      <c r="R561" s="3" t="s">
        <v>65</v>
      </c>
      <c r="S561" s="4">
        <v>2</v>
      </c>
      <c r="T561" s="4">
        <v>2</v>
      </c>
      <c r="U561" s="5" t="s">
        <v>7131</v>
      </c>
      <c r="V561" s="5" t="s">
        <v>7131</v>
      </c>
      <c r="W561" s="5" t="s">
        <v>540</v>
      </c>
      <c r="X561" s="5" t="s">
        <v>540</v>
      </c>
      <c r="Y561" s="4">
        <v>572</v>
      </c>
      <c r="Z561" s="4">
        <v>482</v>
      </c>
      <c r="AA561" s="4">
        <v>973</v>
      </c>
      <c r="AB561" s="4">
        <v>6</v>
      </c>
      <c r="AC561" s="4">
        <v>12</v>
      </c>
      <c r="AD561" s="4">
        <v>21</v>
      </c>
      <c r="AE561" s="4">
        <v>45</v>
      </c>
      <c r="AF561" s="4">
        <v>8</v>
      </c>
      <c r="AG561" s="4">
        <v>16</v>
      </c>
      <c r="AH561" s="4">
        <v>5</v>
      </c>
      <c r="AI561" s="4">
        <v>11</v>
      </c>
      <c r="AJ561" s="4">
        <v>6</v>
      </c>
      <c r="AK561" s="4">
        <v>16</v>
      </c>
      <c r="AL561" s="4">
        <v>5</v>
      </c>
      <c r="AM561" s="4">
        <v>11</v>
      </c>
      <c r="AN561" s="4">
        <v>0</v>
      </c>
      <c r="AO561" s="4">
        <v>0</v>
      </c>
      <c r="AP561" s="3" t="s">
        <v>58</v>
      </c>
      <c r="AQ561" s="3" t="s">
        <v>58</v>
      </c>
      <c r="AS561" s="6" t="str">
        <f>HYPERLINK("https://creighton-primo.hosted.exlibrisgroup.com/primo-explore/search?tab=default_tab&amp;search_scope=EVERYTHING&amp;vid=01CRU&amp;lang=en_US&amp;offset=0&amp;query=any,contains,991003072939702656","Catalog Record")</f>
        <v>Catalog Record</v>
      </c>
      <c r="AT561" s="6" t="str">
        <f>HYPERLINK("http://www.worldcat.org/oclc/627104","WorldCat Record")</f>
        <v>WorldCat Record</v>
      </c>
      <c r="AU561" s="3" t="s">
        <v>7169</v>
      </c>
      <c r="AV561" s="3" t="s">
        <v>7170</v>
      </c>
      <c r="AW561" s="3" t="s">
        <v>7171</v>
      </c>
      <c r="AX561" s="3" t="s">
        <v>7171</v>
      </c>
      <c r="AY561" s="3" t="s">
        <v>7172</v>
      </c>
      <c r="AZ561" s="3" t="s">
        <v>73</v>
      </c>
      <c r="BB561" s="3" t="s">
        <v>7173</v>
      </c>
      <c r="BC561" s="3" t="s">
        <v>7174</v>
      </c>
      <c r="BD561" s="3" t="s">
        <v>7175</v>
      </c>
    </row>
    <row r="562" spans="1:56" ht="51" customHeight="1" x14ac:dyDescent="0.25">
      <c r="A562" s="7" t="s">
        <v>58</v>
      </c>
      <c r="B562" s="2" t="s">
        <v>7176</v>
      </c>
      <c r="C562" s="2" t="s">
        <v>7177</v>
      </c>
      <c r="D562" s="2" t="s">
        <v>7178</v>
      </c>
      <c r="F562" s="3" t="s">
        <v>58</v>
      </c>
      <c r="G562" s="3" t="s">
        <v>59</v>
      </c>
      <c r="H562" s="3" t="s">
        <v>58</v>
      </c>
      <c r="I562" s="3" t="s">
        <v>58</v>
      </c>
      <c r="J562" s="3" t="s">
        <v>60</v>
      </c>
      <c r="K562" s="2" t="s">
        <v>7179</v>
      </c>
      <c r="L562" s="2" t="s">
        <v>7180</v>
      </c>
      <c r="M562" s="3" t="s">
        <v>62</v>
      </c>
      <c r="N562" s="2" t="s">
        <v>1470</v>
      </c>
      <c r="O562" s="3" t="s">
        <v>63</v>
      </c>
      <c r="P562" s="3" t="s">
        <v>816</v>
      </c>
      <c r="R562" s="3" t="s">
        <v>65</v>
      </c>
      <c r="S562" s="4">
        <v>3</v>
      </c>
      <c r="T562" s="4">
        <v>3</v>
      </c>
      <c r="U562" s="5" t="s">
        <v>7181</v>
      </c>
      <c r="V562" s="5" t="s">
        <v>7181</v>
      </c>
      <c r="W562" s="5" t="s">
        <v>540</v>
      </c>
      <c r="X562" s="5" t="s">
        <v>540</v>
      </c>
      <c r="Y562" s="4">
        <v>690</v>
      </c>
      <c r="Z562" s="4">
        <v>622</v>
      </c>
      <c r="AA562" s="4">
        <v>626</v>
      </c>
      <c r="AB562" s="4">
        <v>4</v>
      </c>
      <c r="AC562" s="4">
        <v>4</v>
      </c>
      <c r="AD562" s="4">
        <v>27</v>
      </c>
      <c r="AE562" s="4">
        <v>27</v>
      </c>
      <c r="AF562" s="4">
        <v>10</v>
      </c>
      <c r="AG562" s="4">
        <v>10</v>
      </c>
      <c r="AH562" s="4">
        <v>7</v>
      </c>
      <c r="AI562" s="4">
        <v>7</v>
      </c>
      <c r="AJ562" s="4">
        <v>14</v>
      </c>
      <c r="AK562" s="4">
        <v>14</v>
      </c>
      <c r="AL562" s="4">
        <v>3</v>
      </c>
      <c r="AM562" s="4">
        <v>3</v>
      </c>
      <c r="AN562" s="4">
        <v>0</v>
      </c>
      <c r="AO562" s="4">
        <v>0</v>
      </c>
      <c r="AP562" s="3" t="s">
        <v>58</v>
      </c>
      <c r="AQ562" s="3" t="s">
        <v>68</v>
      </c>
      <c r="AR562" s="6" t="str">
        <f>HYPERLINK("http://catalog.hathitrust.org/Record/001247497","HathiTrust Record")</f>
        <v>HathiTrust Record</v>
      </c>
      <c r="AS562" s="6" t="str">
        <f>HYPERLINK("https://creighton-primo.hosted.exlibrisgroup.com/primo-explore/search?tab=default_tab&amp;search_scope=EVERYTHING&amp;vid=01CRU&amp;lang=en_US&amp;offset=0&amp;query=any,contains,991000883089702656","Catalog Record")</f>
        <v>Catalog Record</v>
      </c>
      <c r="AT562" s="6" t="str">
        <f>HYPERLINK("http://www.worldcat.org/oclc/152353","WorldCat Record")</f>
        <v>WorldCat Record</v>
      </c>
      <c r="AU562" s="3" t="s">
        <v>7182</v>
      </c>
      <c r="AV562" s="3" t="s">
        <v>7183</v>
      </c>
      <c r="AW562" s="3" t="s">
        <v>7184</v>
      </c>
      <c r="AX562" s="3" t="s">
        <v>7184</v>
      </c>
      <c r="AY562" s="3" t="s">
        <v>7185</v>
      </c>
      <c r="AZ562" s="3" t="s">
        <v>73</v>
      </c>
      <c r="BC562" s="3" t="s">
        <v>7186</v>
      </c>
      <c r="BD562" s="3" t="s">
        <v>7187</v>
      </c>
    </row>
    <row r="563" spans="1:56" ht="51" customHeight="1" x14ac:dyDescent="0.25">
      <c r="A563" s="7" t="s">
        <v>58</v>
      </c>
      <c r="B563" s="2" t="s">
        <v>7188</v>
      </c>
      <c r="C563" s="2" t="s">
        <v>7189</v>
      </c>
      <c r="D563" s="2" t="s">
        <v>7190</v>
      </c>
      <c r="F563" s="3" t="s">
        <v>58</v>
      </c>
      <c r="G563" s="3" t="s">
        <v>59</v>
      </c>
      <c r="H563" s="3" t="s">
        <v>58</v>
      </c>
      <c r="I563" s="3" t="s">
        <v>58</v>
      </c>
      <c r="J563" s="3" t="s">
        <v>60</v>
      </c>
      <c r="K563" s="2" t="s">
        <v>7191</v>
      </c>
      <c r="L563" s="2" t="s">
        <v>7192</v>
      </c>
      <c r="M563" s="3" t="s">
        <v>759</v>
      </c>
      <c r="O563" s="3" t="s">
        <v>63</v>
      </c>
      <c r="P563" s="3" t="s">
        <v>495</v>
      </c>
      <c r="Q563" s="2" t="s">
        <v>7193</v>
      </c>
      <c r="R563" s="3" t="s">
        <v>65</v>
      </c>
      <c r="S563" s="4">
        <v>1</v>
      </c>
      <c r="T563" s="4">
        <v>1</v>
      </c>
      <c r="U563" s="5" t="s">
        <v>7194</v>
      </c>
      <c r="V563" s="5" t="s">
        <v>7194</v>
      </c>
      <c r="W563" s="5" t="s">
        <v>5321</v>
      </c>
      <c r="X563" s="5" t="s">
        <v>5321</v>
      </c>
      <c r="Y563" s="4">
        <v>131</v>
      </c>
      <c r="Z563" s="4">
        <v>103</v>
      </c>
      <c r="AA563" s="4">
        <v>118</v>
      </c>
      <c r="AB563" s="4">
        <v>1</v>
      </c>
      <c r="AC563" s="4">
        <v>1</v>
      </c>
      <c r="AD563" s="4">
        <v>7</v>
      </c>
      <c r="AE563" s="4">
        <v>7</v>
      </c>
      <c r="AF563" s="4">
        <v>1</v>
      </c>
      <c r="AG563" s="4">
        <v>1</v>
      </c>
      <c r="AH563" s="4">
        <v>4</v>
      </c>
      <c r="AI563" s="4">
        <v>4</v>
      </c>
      <c r="AJ563" s="4">
        <v>4</v>
      </c>
      <c r="AK563" s="4">
        <v>4</v>
      </c>
      <c r="AL563" s="4">
        <v>0</v>
      </c>
      <c r="AM563" s="4">
        <v>0</v>
      </c>
      <c r="AN563" s="4">
        <v>0</v>
      </c>
      <c r="AO563" s="4">
        <v>0</v>
      </c>
      <c r="AP563" s="3" t="s">
        <v>58</v>
      </c>
      <c r="AQ563" s="3" t="s">
        <v>58</v>
      </c>
      <c r="AS563" s="6" t="str">
        <f>HYPERLINK("https://creighton-primo.hosted.exlibrisgroup.com/primo-explore/search?tab=default_tab&amp;search_scope=EVERYTHING&amp;vid=01CRU&amp;lang=en_US&amp;offset=0&amp;query=any,contains,991004952109702656","Catalog Record")</f>
        <v>Catalog Record</v>
      </c>
      <c r="AT563" s="6" t="str">
        <f>HYPERLINK("http://www.worldcat.org/oclc/6251072","WorldCat Record")</f>
        <v>WorldCat Record</v>
      </c>
      <c r="AU563" s="3" t="s">
        <v>7195</v>
      </c>
      <c r="AV563" s="3" t="s">
        <v>7196</v>
      </c>
      <c r="AW563" s="3" t="s">
        <v>7197</v>
      </c>
      <c r="AX563" s="3" t="s">
        <v>7197</v>
      </c>
      <c r="AY563" s="3" t="s">
        <v>7198</v>
      </c>
      <c r="AZ563" s="3" t="s">
        <v>73</v>
      </c>
      <c r="BB563" s="3" t="s">
        <v>7199</v>
      </c>
      <c r="BC563" s="3" t="s">
        <v>7200</v>
      </c>
      <c r="BD563" s="3" t="s">
        <v>7201</v>
      </c>
    </row>
    <row r="564" spans="1:56" ht="51" customHeight="1" x14ac:dyDescent="0.25">
      <c r="A564" s="7" t="s">
        <v>58</v>
      </c>
      <c r="B564" s="2" t="s">
        <v>7202</v>
      </c>
      <c r="C564" s="2" t="s">
        <v>7203</v>
      </c>
      <c r="D564" s="2" t="s">
        <v>7204</v>
      </c>
      <c r="F564" s="3" t="s">
        <v>58</v>
      </c>
      <c r="G564" s="3" t="s">
        <v>59</v>
      </c>
      <c r="H564" s="3" t="s">
        <v>58</v>
      </c>
      <c r="I564" s="3" t="s">
        <v>58</v>
      </c>
      <c r="J564" s="3" t="s">
        <v>60</v>
      </c>
      <c r="L564" s="2" t="s">
        <v>7205</v>
      </c>
      <c r="M564" s="3" t="s">
        <v>101</v>
      </c>
      <c r="O564" s="3" t="s">
        <v>63</v>
      </c>
      <c r="P564" s="3" t="s">
        <v>354</v>
      </c>
      <c r="R564" s="3" t="s">
        <v>65</v>
      </c>
      <c r="S564" s="4">
        <v>2</v>
      </c>
      <c r="T564" s="4">
        <v>2</v>
      </c>
      <c r="U564" s="5" t="s">
        <v>7206</v>
      </c>
      <c r="V564" s="5" t="s">
        <v>7206</v>
      </c>
      <c r="W564" s="5" t="s">
        <v>5321</v>
      </c>
      <c r="X564" s="5" t="s">
        <v>5321</v>
      </c>
      <c r="Y564" s="4">
        <v>347</v>
      </c>
      <c r="Z564" s="4">
        <v>299</v>
      </c>
      <c r="AA564" s="4">
        <v>304</v>
      </c>
      <c r="AB564" s="4">
        <v>3</v>
      </c>
      <c r="AC564" s="4">
        <v>3</v>
      </c>
      <c r="AD564" s="4">
        <v>12</v>
      </c>
      <c r="AE564" s="4">
        <v>12</v>
      </c>
      <c r="AF564" s="4">
        <v>4</v>
      </c>
      <c r="AG564" s="4">
        <v>4</v>
      </c>
      <c r="AH564" s="4">
        <v>3</v>
      </c>
      <c r="AI564" s="4">
        <v>3</v>
      </c>
      <c r="AJ564" s="4">
        <v>6</v>
      </c>
      <c r="AK564" s="4">
        <v>6</v>
      </c>
      <c r="AL564" s="4">
        <v>2</v>
      </c>
      <c r="AM564" s="4">
        <v>2</v>
      </c>
      <c r="AN564" s="4">
        <v>0</v>
      </c>
      <c r="AO564" s="4">
        <v>0</v>
      </c>
      <c r="AP564" s="3" t="s">
        <v>58</v>
      </c>
      <c r="AQ564" s="3" t="s">
        <v>58</v>
      </c>
      <c r="AS564" s="6" t="str">
        <f>HYPERLINK("https://creighton-primo.hosted.exlibrisgroup.com/primo-explore/search?tab=default_tab&amp;search_scope=EVERYTHING&amp;vid=01CRU&amp;lang=en_US&amp;offset=0&amp;query=any,contains,991000274319702656","Catalog Record")</f>
        <v>Catalog Record</v>
      </c>
      <c r="AT564" s="6" t="str">
        <f>HYPERLINK("http://www.worldcat.org/oclc/9893842","WorldCat Record")</f>
        <v>WorldCat Record</v>
      </c>
      <c r="AU564" s="3" t="s">
        <v>7207</v>
      </c>
      <c r="AV564" s="3" t="s">
        <v>7208</v>
      </c>
      <c r="AW564" s="3" t="s">
        <v>7209</v>
      </c>
      <c r="AX564" s="3" t="s">
        <v>7209</v>
      </c>
      <c r="AY564" s="3" t="s">
        <v>7210</v>
      </c>
      <c r="AZ564" s="3" t="s">
        <v>73</v>
      </c>
      <c r="BB564" s="3" t="s">
        <v>7211</v>
      </c>
      <c r="BC564" s="3" t="s">
        <v>7212</v>
      </c>
      <c r="BD564" s="3" t="s">
        <v>7213</v>
      </c>
    </row>
    <row r="565" spans="1:56" ht="51" customHeight="1" x14ac:dyDescent="0.25">
      <c r="A565" s="7" t="s">
        <v>58</v>
      </c>
      <c r="B565" s="2" t="s">
        <v>7214</v>
      </c>
      <c r="C565" s="2" t="s">
        <v>7215</v>
      </c>
      <c r="D565" s="2" t="s">
        <v>7216</v>
      </c>
      <c r="F565" s="3" t="s">
        <v>58</v>
      </c>
      <c r="G565" s="3" t="s">
        <v>59</v>
      </c>
      <c r="H565" s="3" t="s">
        <v>58</v>
      </c>
      <c r="I565" s="3" t="s">
        <v>58</v>
      </c>
      <c r="J565" s="3" t="s">
        <v>60</v>
      </c>
      <c r="K565" s="2" t="s">
        <v>7217</v>
      </c>
      <c r="L565" s="2" t="s">
        <v>7218</v>
      </c>
      <c r="M565" s="3" t="s">
        <v>552</v>
      </c>
      <c r="N565" s="2" t="s">
        <v>7219</v>
      </c>
      <c r="O565" s="3" t="s">
        <v>63</v>
      </c>
      <c r="P565" s="3" t="s">
        <v>214</v>
      </c>
      <c r="R565" s="3" t="s">
        <v>65</v>
      </c>
      <c r="S565" s="4">
        <v>4</v>
      </c>
      <c r="T565" s="4">
        <v>4</v>
      </c>
      <c r="U565" s="5" t="s">
        <v>7220</v>
      </c>
      <c r="V565" s="5" t="s">
        <v>7220</v>
      </c>
      <c r="W565" s="5" t="s">
        <v>5035</v>
      </c>
      <c r="X565" s="5" t="s">
        <v>5035</v>
      </c>
      <c r="Y565" s="4">
        <v>535</v>
      </c>
      <c r="Z565" s="4">
        <v>519</v>
      </c>
      <c r="AA565" s="4">
        <v>1402</v>
      </c>
      <c r="AB565" s="4">
        <v>7</v>
      </c>
      <c r="AC565" s="4">
        <v>14</v>
      </c>
      <c r="AD565" s="4">
        <v>8</v>
      </c>
      <c r="AE565" s="4">
        <v>20</v>
      </c>
      <c r="AF565" s="4">
        <v>5</v>
      </c>
      <c r="AG565" s="4">
        <v>8</v>
      </c>
      <c r="AH565" s="4">
        <v>0</v>
      </c>
      <c r="AI565" s="4">
        <v>4</v>
      </c>
      <c r="AJ565" s="4">
        <v>4</v>
      </c>
      <c r="AK565" s="4">
        <v>9</v>
      </c>
      <c r="AL565" s="4">
        <v>1</v>
      </c>
      <c r="AM565" s="4">
        <v>4</v>
      </c>
      <c r="AN565" s="4">
        <v>0</v>
      </c>
      <c r="AO565" s="4">
        <v>0</v>
      </c>
      <c r="AP565" s="3" t="s">
        <v>58</v>
      </c>
      <c r="AQ565" s="3" t="s">
        <v>68</v>
      </c>
      <c r="AR565" s="6" t="str">
        <f>HYPERLINK("http://catalog.hathitrust.org/Record/007135636","HathiTrust Record")</f>
        <v>HathiTrust Record</v>
      </c>
      <c r="AS565" s="6" t="str">
        <f>HYPERLINK("https://creighton-primo.hosted.exlibrisgroup.com/primo-explore/search?tab=default_tab&amp;search_scope=EVERYTHING&amp;vid=01CRU&amp;lang=en_US&amp;offset=0&amp;query=any,contains,991003345649702656","Catalog Record")</f>
        <v>Catalog Record</v>
      </c>
      <c r="AT565" s="6" t="str">
        <f>HYPERLINK("http://www.worldcat.org/oclc/20791477","WorldCat Record")</f>
        <v>WorldCat Record</v>
      </c>
      <c r="AU565" s="3" t="s">
        <v>7221</v>
      </c>
      <c r="AV565" s="3" t="s">
        <v>7222</v>
      </c>
      <c r="AW565" s="3" t="s">
        <v>7223</v>
      </c>
      <c r="AX565" s="3" t="s">
        <v>7223</v>
      </c>
      <c r="AY565" s="3" t="s">
        <v>7224</v>
      </c>
      <c r="AZ565" s="3" t="s">
        <v>73</v>
      </c>
      <c r="BB565" s="3" t="s">
        <v>7225</v>
      </c>
      <c r="BC565" s="3" t="s">
        <v>7226</v>
      </c>
      <c r="BD565" s="3" t="s">
        <v>7227</v>
      </c>
    </row>
    <row r="566" spans="1:56" ht="51" customHeight="1" x14ac:dyDescent="0.25">
      <c r="A566" s="7" t="s">
        <v>58</v>
      </c>
      <c r="B566" s="2" t="s">
        <v>7228</v>
      </c>
      <c r="C566" s="2" t="s">
        <v>7229</v>
      </c>
      <c r="D566" s="2" t="s">
        <v>7230</v>
      </c>
      <c r="F566" s="3" t="s">
        <v>58</v>
      </c>
      <c r="G566" s="3" t="s">
        <v>59</v>
      </c>
      <c r="H566" s="3" t="s">
        <v>58</v>
      </c>
      <c r="I566" s="3" t="s">
        <v>58</v>
      </c>
      <c r="J566" s="3" t="s">
        <v>60</v>
      </c>
      <c r="K566" s="2" t="s">
        <v>7231</v>
      </c>
      <c r="L566" s="2" t="s">
        <v>7232</v>
      </c>
      <c r="M566" s="3" t="s">
        <v>1544</v>
      </c>
      <c r="N566" s="2" t="s">
        <v>1009</v>
      </c>
      <c r="O566" s="3" t="s">
        <v>63</v>
      </c>
      <c r="P566" s="3" t="s">
        <v>214</v>
      </c>
      <c r="R566" s="3" t="s">
        <v>65</v>
      </c>
      <c r="S566" s="4">
        <v>1</v>
      </c>
      <c r="T566" s="4">
        <v>1</v>
      </c>
      <c r="U566" s="5" t="s">
        <v>1813</v>
      </c>
      <c r="V566" s="5" t="s">
        <v>1813</v>
      </c>
      <c r="W566" s="5" t="s">
        <v>7233</v>
      </c>
      <c r="X566" s="5" t="s">
        <v>7233</v>
      </c>
      <c r="Y566" s="4">
        <v>201</v>
      </c>
      <c r="Z566" s="4">
        <v>183</v>
      </c>
      <c r="AA566" s="4">
        <v>224</v>
      </c>
      <c r="AB566" s="4">
        <v>2</v>
      </c>
      <c r="AC566" s="4">
        <v>2</v>
      </c>
      <c r="AD566" s="4">
        <v>7</v>
      </c>
      <c r="AE566" s="4">
        <v>8</v>
      </c>
      <c r="AF566" s="4">
        <v>2</v>
      </c>
      <c r="AG566" s="4">
        <v>2</v>
      </c>
      <c r="AH566" s="4">
        <v>2</v>
      </c>
      <c r="AI566" s="4">
        <v>3</v>
      </c>
      <c r="AJ566" s="4">
        <v>4</v>
      </c>
      <c r="AK566" s="4">
        <v>5</v>
      </c>
      <c r="AL566" s="4">
        <v>1</v>
      </c>
      <c r="AM566" s="4">
        <v>1</v>
      </c>
      <c r="AN566" s="4">
        <v>0</v>
      </c>
      <c r="AO566" s="4">
        <v>0</v>
      </c>
      <c r="AP566" s="3" t="s">
        <v>58</v>
      </c>
      <c r="AQ566" s="3" t="s">
        <v>58</v>
      </c>
      <c r="AS566" s="6" t="str">
        <f>HYPERLINK("https://creighton-primo.hosted.exlibrisgroup.com/primo-explore/search?tab=default_tab&amp;search_scope=EVERYTHING&amp;vid=01CRU&amp;lang=en_US&amp;offset=0&amp;query=any,contains,991002012369702656","Catalog Record")</f>
        <v>Catalog Record</v>
      </c>
      <c r="AT566" s="6" t="str">
        <f>HYPERLINK("http://www.worldcat.org/oclc/25628486","WorldCat Record")</f>
        <v>WorldCat Record</v>
      </c>
      <c r="AU566" s="3" t="s">
        <v>7234</v>
      </c>
      <c r="AV566" s="3" t="s">
        <v>7235</v>
      </c>
      <c r="AW566" s="3" t="s">
        <v>7236</v>
      </c>
      <c r="AX566" s="3" t="s">
        <v>7236</v>
      </c>
      <c r="AY566" s="3" t="s">
        <v>7237</v>
      </c>
      <c r="AZ566" s="3" t="s">
        <v>73</v>
      </c>
      <c r="BB566" s="3" t="s">
        <v>7238</v>
      </c>
      <c r="BC566" s="3" t="s">
        <v>7239</v>
      </c>
      <c r="BD566" s="3" t="s">
        <v>7240</v>
      </c>
    </row>
    <row r="567" spans="1:56" ht="51" customHeight="1" x14ac:dyDescent="0.25">
      <c r="A567" s="7" t="s">
        <v>58</v>
      </c>
      <c r="B567" s="2" t="s">
        <v>7241</v>
      </c>
      <c r="C567" s="2" t="s">
        <v>7242</v>
      </c>
      <c r="D567" s="2" t="s">
        <v>7243</v>
      </c>
      <c r="E567" s="3" t="s">
        <v>223</v>
      </c>
      <c r="F567" s="3" t="s">
        <v>58</v>
      </c>
      <c r="G567" s="3" t="s">
        <v>59</v>
      </c>
      <c r="H567" s="3" t="s">
        <v>58</v>
      </c>
      <c r="I567" s="3" t="s">
        <v>58</v>
      </c>
      <c r="J567" s="3" t="s">
        <v>60</v>
      </c>
      <c r="L567" s="2" t="s">
        <v>7244</v>
      </c>
      <c r="M567" s="3" t="s">
        <v>759</v>
      </c>
      <c r="O567" s="3" t="s">
        <v>63</v>
      </c>
      <c r="P567" s="3" t="s">
        <v>7245</v>
      </c>
      <c r="Q567" s="2" t="s">
        <v>7246</v>
      </c>
      <c r="R567" s="3" t="s">
        <v>65</v>
      </c>
      <c r="S567" s="4">
        <v>2</v>
      </c>
      <c r="T567" s="4">
        <v>2</v>
      </c>
      <c r="U567" s="5" t="s">
        <v>7247</v>
      </c>
      <c r="V567" s="5" t="s">
        <v>7247</v>
      </c>
      <c r="W567" s="5" t="s">
        <v>5321</v>
      </c>
      <c r="X567" s="5" t="s">
        <v>5321</v>
      </c>
      <c r="Y567" s="4">
        <v>158</v>
      </c>
      <c r="Z567" s="4">
        <v>111</v>
      </c>
      <c r="AA567" s="4">
        <v>113</v>
      </c>
      <c r="AB567" s="4">
        <v>2</v>
      </c>
      <c r="AC567" s="4">
        <v>2</v>
      </c>
      <c r="AD567" s="4">
        <v>9</v>
      </c>
      <c r="AE567" s="4">
        <v>9</v>
      </c>
      <c r="AF567" s="4">
        <v>2</v>
      </c>
      <c r="AG567" s="4">
        <v>2</v>
      </c>
      <c r="AH567" s="4">
        <v>3</v>
      </c>
      <c r="AI567" s="4">
        <v>3</v>
      </c>
      <c r="AJ567" s="4">
        <v>5</v>
      </c>
      <c r="AK567" s="4">
        <v>5</v>
      </c>
      <c r="AL567" s="4">
        <v>1</v>
      </c>
      <c r="AM567" s="4">
        <v>1</v>
      </c>
      <c r="AN567" s="4">
        <v>0</v>
      </c>
      <c r="AO567" s="4">
        <v>0</v>
      </c>
      <c r="AP567" s="3" t="s">
        <v>58</v>
      </c>
      <c r="AQ567" s="3" t="s">
        <v>68</v>
      </c>
      <c r="AR567" s="6" t="str">
        <f>HYPERLINK("http://catalog.hathitrust.org/Record/000198344","HathiTrust Record")</f>
        <v>HathiTrust Record</v>
      </c>
      <c r="AS567" s="6" t="str">
        <f>HYPERLINK("https://creighton-primo.hosted.exlibrisgroup.com/primo-explore/search?tab=default_tab&amp;search_scope=EVERYTHING&amp;vid=01CRU&amp;lang=en_US&amp;offset=0&amp;query=any,contains,991005090729702656","Catalog Record")</f>
        <v>Catalog Record</v>
      </c>
      <c r="AT567" s="6" t="str">
        <f>HYPERLINK("http://www.worldcat.org/oclc/8390040","WorldCat Record")</f>
        <v>WorldCat Record</v>
      </c>
      <c r="AU567" s="3" t="s">
        <v>7248</v>
      </c>
      <c r="AV567" s="3" t="s">
        <v>7249</v>
      </c>
      <c r="AW567" s="3" t="s">
        <v>7250</v>
      </c>
      <c r="AX567" s="3" t="s">
        <v>7250</v>
      </c>
      <c r="AY567" s="3" t="s">
        <v>7251</v>
      </c>
      <c r="AZ567" s="3" t="s">
        <v>73</v>
      </c>
      <c r="BB567" s="3" t="s">
        <v>7252</v>
      </c>
      <c r="BC567" s="3" t="s">
        <v>7253</v>
      </c>
      <c r="BD567" s="3" t="s">
        <v>7254</v>
      </c>
    </row>
    <row r="568" spans="1:56" ht="51" customHeight="1" x14ac:dyDescent="0.25">
      <c r="A568" s="7" t="s">
        <v>58</v>
      </c>
      <c r="B568" s="2" t="s">
        <v>7255</v>
      </c>
      <c r="C568" s="2" t="s">
        <v>7256</v>
      </c>
      <c r="D568" s="2" t="s">
        <v>7257</v>
      </c>
      <c r="F568" s="3" t="s">
        <v>58</v>
      </c>
      <c r="G568" s="3" t="s">
        <v>59</v>
      </c>
      <c r="H568" s="3" t="s">
        <v>58</v>
      </c>
      <c r="I568" s="3" t="s">
        <v>58</v>
      </c>
      <c r="J568" s="3" t="s">
        <v>60</v>
      </c>
      <c r="K568" s="2" t="s">
        <v>7258</v>
      </c>
      <c r="L568" s="2" t="s">
        <v>7259</v>
      </c>
      <c r="M568" s="3" t="s">
        <v>855</v>
      </c>
      <c r="O568" s="3" t="s">
        <v>7260</v>
      </c>
      <c r="P568" s="3" t="s">
        <v>7245</v>
      </c>
      <c r="Q568" s="2" t="s">
        <v>7261</v>
      </c>
      <c r="R568" s="3" t="s">
        <v>65</v>
      </c>
      <c r="S568" s="4">
        <v>1</v>
      </c>
      <c r="T568" s="4">
        <v>1</v>
      </c>
      <c r="U568" s="5" t="s">
        <v>7262</v>
      </c>
      <c r="V568" s="5" t="s">
        <v>7262</v>
      </c>
      <c r="W568" s="5" t="s">
        <v>7262</v>
      </c>
      <c r="X568" s="5" t="s">
        <v>7262</v>
      </c>
      <c r="Y568" s="4">
        <v>50</v>
      </c>
      <c r="Z568" s="4">
        <v>30</v>
      </c>
      <c r="AA568" s="4">
        <v>30</v>
      </c>
      <c r="AB568" s="4">
        <v>2</v>
      </c>
      <c r="AC568" s="4">
        <v>2</v>
      </c>
      <c r="AD568" s="4">
        <v>1</v>
      </c>
      <c r="AE568" s="4">
        <v>1</v>
      </c>
      <c r="AF568" s="4">
        <v>0</v>
      </c>
      <c r="AG568" s="4">
        <v>0</v>
      </c>
      <c r="AH568" s="4">
        <v>0</v>
      </c>
      <c r="AI568" s="4">
        <v>0</v>
      </c>
      <c r="AJ568" s="4">
        <v>0</v>
      </c>
      <c r="AK568" s="4">
        <v>0</v>
      </c>
      <c r="AL568" s="4">
        <v>1</v>
      </c>
      <c r="AM568" s="4">
        <v>1</v>
      </c>
      <c r="AN568" s="4">
        <v>0</v>
      </c>
      <c r="AO568" s="4">
        <v>0</v>
      </c>
      <c r="AP568" s="3" t="s">
        <v>58</v>
      </c>
      <c r="AQ568" s="3" t="s">
        <v>58</v>
      </c>
      <c r="AS568" s="6" t="str">
        <f>HYPERLINK("https://creighton-primo.hosted.exlibrisgroup.com/primo-explore/search?tab=default_tab&amp;search_scope=EVERYTHING&amp;vid=01CRU&amp;lang=en_US&amp;offset=0&amp;query=any,contains,991005369249702656","Catalog Record")</f>
        <v>Catalog Record</v>
      </c>
      <c r="AT568" s="6" t="str">
        <f>HYPERLINK("http://www.worldcat.org/oclc/30561134","WorldCat Record")</f>
        <v>WorldCat Record</v>
      </c>
      <c r="AU568" s="3" t="s">
        <v>7263</v>
      </c>
      <c r="AV568" s="3" t="s">
        <v>7264</v>
      </c>
      <c r="AW568" s="3" t="s">
        <v>7265</v>
      </c>
      <c r="AX568" s="3" t="s">
        <v>7265</v>
      </c>
      <c r="AY568" s="3" t="s">
        <v>7266</v>
      </c>
      <c r="AZ568" s="3" t="s">
        <v>73</v>
      </c>
      <c r="BB568" s="3" t="s">
        <v>7267</v>
      </c>
      <c r="BC568" s="3" t="s">
        <v>7268</v>
      </c>
      <c r="BD568" s="3" t="s">
        <v>7269</v>
      </c>
    </row>
    <row r="569" spans="1:56" ht="51" customHeight="1" x14ac:dyDescent="0.25">
      <c r="A569" s="7" t="s">
        <v>58</v>
      </c>
      <c r="B569" s="2" t="s">
        <v>7270</v>
      </c>
      <c r="C569" s="2" t="s">
        <v>7271</v>
      </c>
      <c r="D569" s="2" t="s">
        <v>7272</v>
      </c>
      <c r="F569" s="3" t="s">
        <v>58</v>
      </c>
      <c r="G569" s="3" t="s">
        <v>59</v>
      </c>
      <c r="H569" s="3" t="s">
        <v>58</v>
      </c>
      <c r="I569" s="3" t="s">
        <v>58</v>
      </c>
      <c r="J569" s="3" t="s">
        <v>60</v>
      </c>
      <c r="K569" s="2" t="s">
        <v>7273</v>
      </c>
      <c r="L569" s="2" t="s">
        <v>7274</v>
      </c>
      <c r="M569" s="3" t="s">
        <v>353</v>
      </c>
      <c r="O569" s="3" t="s">
        <v>7260</v>
      </c>
      <c r="P569" s="3" t="s">
        <v>7245</v>
      </c>
      <c r="Q569" s="2" t="s">
        <v>7275</v>
      </c>
      <c r="R569" s="3" t="s">
        <v>65</v>
      </c>
      <c r="S569" s="4">
        <v>0</v>
      </c>
      <c r="T569" s="4">
        <v>0</v>
      </c>
      <c r="U569" s="5" t="s">
        <v>7276</v>
      </c>
      <c r="V569" s="5" t="s">
        <v>7276</v>
      </c>
      <c r="W569" s="5" t="s">
        <v>5321</v>
      </c>
      <c r="X569" s="5" t="s">
        <v>5321</v>
      </c>
      <c r="Y569" s="4">
        <v>94</v>
      </c>
      <c r="Z569" s="4">
        <v>65</v>
      </c>
      <c r="AA569" s="4">
        <v>67</v>
      </c>
      <c r="AB569" s="4">
        <v>1</v>
      </c>
      <c r="AC569" s="4">
        <v>1</v>
      </c>
      <c r="AD569" s="4">
        <v>3</v>
      </c>
      <c r="AE569" s="4">
        <v>3</v>
      </c>
      <c r="AF569" s="4">
        <v>1</v>
      </c>
      <c r="AG569" s="4">
        <v>1</v>
      </c>
      <c r="AH569" s="4">
        <v>0</v>
      </c>
      <c r="AI569" s="4">
        <v>0</v>
      </c>
      <c r="AJ569" s="4">
        <v>2</v>
      </c>
      <c r="AK569" s="4">
        <v>2</v>
      </c>
      <c r="AL569" s="4">
        <v>0</v>
      </c>
      <c r="AM569" s="4">
        <v>0</v>
      </c>
      <c r="AN569" s="4">
        <v>0</v>
      </c>
      <c r="AO569" s="4">
        <v>0</v>
      </c>
      <c r="AP569" s="3" t="s">
        <v>58</v>
      </c>
      <c r="AQ569" s="3" t="s">
        <v>68</v>
      </c>
      <c r="AR569" s="6" t="str">
        <f>HYPERLINK("http://catalog.hathitrust.org/Record/001076429","HathiTrust Record")</f>
        <v>HathiTrust Record</v>
      </c>
      <c r="AS569" s="6" t="str">
        <f>HYPERLINK("https://creighton-primo.hosted.exlibrisgroup.com/primo-explore/search?tab=default_tab&amp;search_scope=EVERYTHING&amp;vid=01CRU&amp;lang=en_US&amp;offset=0&amp;query=any,contains,991001341179702656","Catalog Record")</f>
        <v>Catalog Record</v>
      </c>
      <c r="AT569" s="6" t="str">
        <f>HYPERLINK("http://www.worldcat.org/oclc/18382676","WorldCat Record")</f>
        <v>WorldCat Record</v>
      </c>
      <c r="AU569" s="3" t="s">
        <v>7277</v>
      </c>
      <c r="AV569" s="3" t="s">
        <v>7278</v>
      </c>
      <c r="AW569" s="3" t="s">
        <v>7279</v>
      </c>
      <c r="AX569" s="3" t="s">
        <v>7279</v>
      </c>
      <c r="AY569" s="3" t="s">
        <v>7280</v>
      </c>
      <c r="AZ569" s="3" t="s">
        <v>73</v>
      </c>
      <c r="BB569" s="3" t="s">
        <v>7281</v>
      </c>
      <c r="BC569" s="3" t="s">
        <v>7282</v>
      </c>
      <c r="BD569" s="3" t="s">
        <v>7283</v>
      </c>
    </row>
    <row r="570" spans="1:56" ht="51" customHeight="1" x14ac:dyDescent="0.25">
      <c r="A570" s="7" t="s">
        <v>58</v>
      </c>
      <c r="B570" s="2" t="s">
        <v>7284</v>
      </c>
      <c r="C570" s="2" t="s">
        <v>7285</v>
      </c>
      <c r="D570" s="2" t="s">
        <v>7286</v>
      </c>
      <c r="F570" s="3" t="s">
        <v>58</v>
      </c>
      <c r="G570" s="3" t="s">
        <v>59</v>
      </c>
      <c r="H570" s="3" t="s">
        <v>58</v>
      </c>
      <c r="I570" s="3" t="s">
        <v>58</v>
      </c>
      <c r="J570" s="3" t="s">
        <v>60</v>
      </c>
      <c r="K570" s="2" t="s">
        <v>7287</v>
      </c>
      <c r="L570" s="2" t="s">
        <v>7288</v>
      </c>
      <c r="M570" s="3" t="s">
        <v>4023</v>
      </c>
      <c r="O570" s="3" t="s">
        <v>63</v>
      </c>
      <c r="P570" s="3" t="s">
        <v>354</v>
      </c>
      <c r="Q570" s="2" t="s">
        <v>7289</v>
      </c>
      <c r="R570" s="3" t="s">
        <v>65</v>
      </c>
      <c r="S570" s="4">
        <v>1</v>
      </c>
      <c r="T570" s="4">
        <v>1</v>
      </c>
      <c r="U570" s="5" t="s">
        <v>6024</v>
      </c>
      <c r="V570" s="5" t="s">
        <v>6024</v>
      </c>
      <c r="W570" s="5" t="s">
        <v>6024</v>
      </c>
      <c r="X570" s="5" t="s">
        <v>6024</v>
      </c>
      <c r="Y570" s="4">
        <v>426</v>
      </c>
      <c r="Z570" s="4">
        <v>339</v>
      </c>
      <c r="AA570" s="4">
        <v>341</v>
      </c>
      <c r="AB570" s="4">
        <v>2</v>
      </c>
      <c r="AC570" s="4">
        <v>2</v>
      </c>
      <c r="AD570" s="4">
        <v>26</v>
      </c>
      <c r="AE570" s="4">
        <v>26</v>
      </c>
      <c r="AF570" s="4">
        <v>12</v>
      </c>
      <c r="AG570" s="4">
        <v>12</v>
      </c>
      <c r="AH570" s="4">
        <v>8</v>
      </c>
      <c r="AI570" s="4">
        <v>8</v>
      </c>
      <c r="AJ570" s="4">
        <v>14</v>
      </c>
      <c r="AK570" s="4">
        <v>14</v>
      </c>
      <c r="AL570" s="4">
        <v>1</v>
      </c>
      <c r="AM570" s="4">
        <v>1</v>
      </c>
      <c r="AN570" s="4">
        <v>0</v>
      </c>
      <c r="AO570" s="4">
        <v>0</v>
      </c>
      <c r="AP570" s="3" t="s">
        <v>58</v>
      </c>
      <c r="AQ570" s="3" t="s">
        <v>58</v>
      </c>
      <c r="AS570" s="6" t="str">
        <f>HYPERLINK("https://creighton-primo.hosted.exlibrisgroup.com/primo-explore/search?tab=default_tab&amp;search_scope=EVERYTHING&amp;vid=01CRU&amp;lang=en_US&amp;offset=0&amp;query=any,contains,991005196089702656","Catalog Record")</f>
        <v>Catalog Record</v>
      </c>
      <c r="AT570" s="6" t="str">
        <f>HYPERLINK("http://www.worldcat.org/oclc/52464748","WorldCat Record")</f>
        <v>WorldCat Record</v>
      </c>
      <c r="AU570" s="3" t="s">
        <v>7290</v>
      </c>
      <c r="AV570" s="3" t="s">
        <v>7291</v>
      </c>
      <c r="AW570" s="3" t="s">
        <v>7292</v>
      </c>
      <c r="AX570" s="3" t="s">
        <v>7292</v>
      </c>
      <c r="AY570" s="3" t="s">
        <v>7293</v>
      </c>
      <c r="AZ570" s="3" t="s">
        <v>73</v>
      </c>
      <c r="BB570" s="3" t="s">
        <v>7294</v>
      </c>
      <c r="BC570" s="3" t="s">
        <v>7295</v>
      </c>
      <c r="BD570" s="3" t="s">
        <v>7296</v>
      </c>
    </row>
    <row r="571" spans="1:56" ht="51" customHeight="1" x14ac:dyDescent="0.25">
      <c r="A571" s="7" t="s">
        <v>58</v>
      </c>
      <c r="B571" s="2" t="s">
        <v>7297</v>
      </c>
      <c r="C571" s="2" t="s">
        <v>7298</v>
      </c>
      <c r="D571" s="2" t="s">
        <v>7299</v>
      </c>
      <c r="F571" s="3" t="s">
        <v>58</v>
      </c>
      <c r="G571" s="3" t="s">
        <v>59</v>
      </c>
      <c r="H571" s="3" t="s">
        <v>58</v>
      </c>
      <c r="I571" s="3" t="s">
        <v>58</v>
      </c>
      <c r="J571" s="3" t="s">
        <v>60</v>
      </c>
      <c r="K571" s="2" t="s">
        <v>7300</v>
      </c>
      <c r="L571" s="2" t="s">
        <v>7301</v>
      </c>
      <c r="M571" s="3" t="s">
        <v>1091</v>
      </c>
      <c r="N571" s="2" t="s">
        <v>7302</v>
      </c>
      <c r="O571" s="3" t="s">
        <v>7260</v>
      </c>
      <c r="P571" s="3" t="s">
        <v>7245</v>
      </c>
      <c r="Q571" s="2" t="s">
        <v>7303</v>
      </c>
      <c r="R571" s="3" t="s">
        <v>65</v>
      </c>
      <c r="S571" s="4">
        <v>1</v>
      </c>
      <c r="T571" s="4">
        <v>1</v>
      </c>
      <c r="U571" s="5" t="s">
        <v>774</v>
      </c>
      <c r="V571" s="5" t="s">
        <v>774</v>
      </c>
      <c r="W571" s="5" t="s">
        <v>774</v>
      </c>
      <c r="X571" s="5" t="s">
        <v>774</v>
      </c>
      <c r="Y571" s="4">
        <v>20</v>
      </c>
      <c r="Z571" s="4">
        <v>7</v>
      </c>
      <c r="AA571" s="4">
        <v>47</v>
      </c>
      <c r="AB571" s="4">
        <v>1</v>
      </c>
      <c r="AC571" s="4">
        <v>1</v>
      </c>
      <c r="AD571" s="4">
        <v>0</v>
      </c>
      <c r="AE571" s="4">
        <v>1</v>
      </c>
      <c r="AF571" s="4">
        <v>0</v>
      </c>
      <c r="AG571" s="4">
        <v>0</v>
      </c>
      <c r="AH571" s="4">
        <v>0</v>
      </c>
      <c r="AI571" s="4">
        <v>1</v>
      </c>
      <c r="AJ571" s="4">
        <v>0</v>
      </c>
      <c r="AK571" s="4">
        <v>0</v>
      </c>
      <c r="AL571" s="4">
        <v>0</v>
      </c>
      <c r="AM571" s="4">
        <v>0</v>
      </c>
      <c r="AN571" s="4">
        <v>0</v>
      </c>
      <c r="AO571" s="4">
        <v>0</v>
      </c>
      <c r="AP571" s="3" t="s">
        <v>58</v>
      </c>
      <c r="AQ571" s="3" t="s">
        <v>58</v>
      </c>
      <c r="AS571" s="6" t="str">
        <f>HYPERLINK("https://creighton-primo.hosted.exlibrisgroup.com/primo-explore/search?tab=default_tab&amp;search_scope=EVERYTHING&amp;vid=01CRU&amp;lang=en_US&amp;offset=0&amp;query=any,contains,991005173529702656","Catalog Record")</f>
        <v>Catalog Record</v>
      </c>
      <c r="AT571" s="6" t="str">
        <f>HYPERLINK("http://www.worldcat.org/oclc/51030007","WorldCat Record")</f>
        <v>WorldCat Record</v>
      </c>
      <c r="AU571" s="3" t="s">
        <v>7304</v>
      </c>
      <c r="AV571" s="3" t="s">
        <v>7305</v>
      </c>
      <c r="AW571" s="3" t="s">
        <v>7306</v>
      </c>
      <c r="AX571" s="3" t="s">
        <v>7306</v>
      </c>
      <c r="AY571" s="3" t="s">
        <v>7307</v>
      </c>
      <c r="AZ571" s="3" t="s">
        <v>73</v>
      </c>
      <c r="BB571" s="3" t="s">
        <v>7308</v>
      </c>
      <c r="BC571" s="3" t="s">
        <v>7309</v>
      </c>
      <c r="BD571" s="3" t="s">
        <v>7310</v>
      </c>
    </row>
    <row r="572" spans="1:56" ht="51" customHeight="1" x14ac:dyDescent="0.25">
      <c r="A572" s="7" t="s">
        <v>58</v>
      </c>
      <c r="B572" s="2" t="s">
        <v>7311</v>
      </c>
      <c r="C572" s="2" t="s">
        <v>7312</v>
      </c>
      <c r="D572" s="2" t="s">
        <v>7313</v>
      </c>
      <c r="F572" s="3" t="s">
        <v>58</v>
      </c>
      <c r="G572" s="3" t="s">
        <v>59</v>
      </c>
      <c r="H572" s="3" t="s">
        <v>58</v>
      </c>
      <c r="I572" s="3" t="s">
        <v>58</v>
      </c>
      <c r="J572" s="3" t="s">
        <v>60</v>
      </c>
      <c r="K572" s="2" t="s">
        <v>7314</v>
      </c>
      <c r="L572" s="2" t="s">
        <v>7315</v>
      </c>
      <c r="M572" s="3" t="s">
        <v>898</v>
      </c>
      <c r="O572" s="3" t="s">
        <v>63</v>
      </c>
      <c r="P572" s="3" t="s">
        <v>214</v>
      </c>
      <c r="Q572" s="2" t="s">
        <v>7316</v>
      </c>
      <c r="R572" s="3" t="s">
        <v>65</v>
      </c>
      <c r="S572" s="4">
        <v>2</v>
      </c>
      <c r="T572" s="4">
        <v>2</v>
      </c>
      <c r="U572" s="5" t="s">
        <v>7317</v>
      </c>
      <c r="V572" s="5" t="s">
        <v>7317</v>
      </c>
      <c r="W572" s="5" t="s">
        <v>7318</v>
      </c>
      <c r="X572" s="5" t="s">
        <v>7318</v>
      </c>
      <c r="Y572" s="4">
        <v>393</v>
      </c>
      <c r="Z572" s="4">
        <v>318</v>
      </c>
      <c r="AA572" s="4">
        <v>879</v>
      </c>
      <c r="AB572" s="4">
        <v>2</v>
      </c>
      <c r="AC572" s="4">
        <v>8</v>
      </c>
      <c r="AD572" s="4">
        <v>16</v>
      </c>
      <c r="AE572" s="4">
        <v>38</v>
      </c>
      <c r="AF572" s="4">
        <v>6</v>
      </c>
      <c r="AG572" s="4">
        <v>14</v>
      </c>
      <c r="AH572" s="4">
        <v>6</v>
      </c>
      <c r="AI572" s="4">
        <v>10</v>
      </c>
      <c r="AJ572" s="4">
        <v>9</v>
      </c>
      <c r="AK572" s="4">
        <v>16</v>
      </c>
      <c r="AL572" s="4">
        <v>1</v>
      </c>
      <c r="AM572" s="4">
        <v>6</v>
      </c>
      <c r="AN572" s="4">
        <v>0</v>
      </c>
      <c r="AO572" s="4">
        <v>1</v>
      </c>
      <c r="AP572" s="3" t="s">
        <v>58</v>
      </c>
      <c r="AQ572" s="3" t="s">
        <v>58</v>
      </c>
      <c r="AS572" s="6" t="str">
        <f>HYPERLINK("https://creighton-primo.hosted.exlibrisgroup.com/primo-explore/search?tab=default_tab&amp;search_scope=EVERYTHING&amp;vid=01CRU&amp;lang=en_US&amp;offset=0&amp;query=any,contains,991004789599702656","Catalog Record")</f>
        <v>Catalog Record</v>
      </c>
      <c r="AT572" s="6" t="str">
        <f>HYPERLINK("http://www.worldcat.org/oclc/61451585","WorldCat Record")</f>
        <v>WorldCat Record</v>
      </c>
      <c r="AU572" s="3" t="s">
        <v>7319</v>
      </c>
      <c r="AV572" s="3" t="s">
        <v>7320</v>
      </c>
      <c r="AW572" s="3" t="s">
        <v>7321</v>
      </c>
      <c r="AX572" s="3" t="s">
        <v>7321</v>
      </c>
      <c r="AY572" s="3" t="s">
        <v>7322</v>
      </c>
      <c r="AZ572" s="3" t="s">
        <v>73</v>
      </c>
      <c r="BB572" s="3" t="s">
        <v>7323</v>
      </c>
      <c r="BC572" s="3" t="s">
        <v>7324</v>
      </c>
      <c r="BD572" s="3" t="s">
        <v>7325</v>
      </c>
    </row>
    <row r="573" spans="1:56" ht="51" customHeight="1" x14ac:dyDescent="0.25">
      <c r="A573" s="7" t="s">
        <v>58</v>
      </c>
      <c r="B573" s="2" t="s">
        <v>7326</v>
      </c>
      <c r="C573" s="2" t="s">
        <v>7327</v>
      </c>
      <c r="D573" s="2" t="s">
        <v>7328</v>
      </c>
      <c r="F573" s="3" t="s">
        <v>58</v>
      </c>
      <c r="G573" s="3" t="s">
        <v>59</v>
      </c>
      <c r="H573" s="3" t="s">
        <v>58</v>
      </c>
      <c r="I573" s="3" t="s">
        <v>58</v>
      </c>
      <c r="J573" s="3" t="s">
        <v>60</v>
      </c>
      <c r="K573" s="2" t="s">
        <v>7329</v>
      </c>
      <c r="M573" s="3" t="s">
        <v>538</v>
      </c>
      <c r="O573" s="3" t="s">
        <v>7260</v>
      </c>
      <c r="P573" s="3" t="s">
        <v>571</v>
      </c>
      <c r="Q573" s="2" t="s">
        <v>7330</v>
      </c>
      <c r="R573" s="3" t="s">
        <v>65</v>
      </c>
      <c r="S573" s="4">
        <v>1</v>
      </c>
      <c r="T573" s="4">
        <v>1</v>
      </c>
      <c r="U573" s="5" t="s">
        <v>7331</v>
      </c>
      <c r="V573" s="5" t="s">
        <v>7331</v>
      </c>
      <c r="W573" s="5" t="s">
        <v>5321</v>
      </c>
      <c r="X573" s="5" t="s">
        <v>5321</v>
      </c>
      <c r="Y573" s="4">
        <v>66</v>
      </c>
      <c r="Z573" s="4">
        <v>47</v>
      </c>
      <c r="AA573" s="4">
        <v>51</v>
      </c>
      <c r="AB573" s="4">
        <v>1</v>
      </c>
      <c r="AC573" s="4">
        <v>1</v>
      </c>
      <c r="AD573" s="4">
        <v>1</v>
      </c>
      <c r="AE573" s="4">
        <v>1</v>
      </c>
      <c r="AF573" s="4">
        <v>0</v>
      </c>
      <c r="AG573" s="4">
        <v>0</v>
      </c>
      <c r="AH573" s="4">
        <v>0</v>
      </c>
      <c r="AI573" s="4">
        <v>0</v>
      </c>
      <c r="AJ573" s="4">
        <v>1</v>
      </c>
      <c r="AK573" s="4">
        <v>1</v>
      </c>
      <c r="AL573" s="4">
        <v>0</v>
      </c>
      <c r="AM573" s="4">
        <v>0</v>
      </c>
      <c r="AN573" s="4">
        <v>0</v>
      </c>
      <c r="AO573" s="4">
        <v>0</v>
      </c>
      <c r="AP573" s="3" t="s">
        <v>58</v>
      </c>
      <c r="AQ573" s="3" t="s">
        <v>68</v>
      </c>
      <c r="AR573" s="6" t="str">
        <f>HYPERLINK("http://catalog.hathitrust.org/Record/001865044","HathiTrust Record")</f>
        <v>HathiTrust Record</v>
      </c>
      <c r="AS573" s="6" t="str">
        <f>HYPERLINK("https://creighton-primo.hosted.exlibrisgroup.com/primo-explore/search?tab=default_tab&amp;search_scope=EVERYTHING&amp;vid=01CRU&amp;lang=en_US&amp;offset=0&amp;query=any,contains,991001774739702656","Catalog Record")</f>
        <v>Catalog Record</v>
      </c>
      <c r="AT573" s="6" t="str">
        <f>HYPERLINK("http://www.worldcat.org/oclc/236398","WorldCat Record")</f>
        <v>WorldCat Record</v>
      </c>
      <c r="AU573" s="3" t="s">
        <v>7332</v>
      </c>
      <c r="AV573" s="3" t="s">
        <v>7333</v>
      </c>
      <c r="AW573" s="3" t="s">
        <v>7334</v>
      </c>
      <c r="AX573" s="3" t="s">
        <v>7334</v>
      </c>
      <c r="AY573" s="3" t="s">
        <v>7335</v>
      </c>
      <c r="AZ573" s="3" t="s">
        <v>73</v>
      </c>
      <c r="BC573" s="3" t="s">
        <v>7336</v>
      </c>
      <c r="BD573" s="3" t="s">
        <v>7337</v>
      </c>
    </row>
    <row r="574" spans="1:56" ht="51" customHeight="1" x14ac:dyDescent="0.25">
      <c r="A574" s="7" t="s">
        <v>58</v>
      </c>
      <c r="B574" s="2" t="s">
        <v>7338</v>
      </c>
      <c r="C574" s="2" t="s">
        <v>7339</v>
      </c>
      <c r="D574" s="2" t="s">
        <v>7340</v>
      </c>
      <c r="F574" s="3" t="s">
        <v>58</v>
      </c>
      <c r="G574" s="3" t="s">
        <v>59</v>
      </c>
      <c r="H574" s="3" t="s">
        <v>58</v>
      </c>
      <c r="I574" s="3" t="s">
        <v>58</v>
      </c>
      <c r="J574" s="3" t="s">
        <v>60</v>
      </c>
      <c r="K574" s="2" t="s">
        <v>2822</v>
      </c>
      <c r="L574" s="2" t="s">
        <v>7341</v>
      </c>
      <c r="M574" s="3" t="s">
        <v>2214</v>
      </c>
      <c r="O574" s="3" t="s">
        <v>63</v>
      </c>
      <c r="P574" s="3" t="s">
        <v>214</v>
      </c>
      <c r="R574" s="3" t="s">
        <v>65</v>
      </c>
      <c r="S574" s="4">
        <v>2</v>
      </c>
      <c r="T574" s="4">
        <v>2</v>
      </c>
      <c r="U574" s="5" t="s">
        <v>7342</v>
      </c>
      <c r="V574" s="5" t="s">
        <v>7342</v>
      </c>
      <c r="W574" s="5" t="s">
        <v>7343</v>
      </c>
      <c r="X574" s="5" t="s">
        <v>7343</v>
      </c>
      <c r="Y574" s="4">
        <v>78</v>
      </c>
      <c r="Z574" s="4">
        <v>62</v>
      </c>
      <c r="AA574" s="4">
        <v>74</v>
      </c>
      <c r="AB574" s="4">
        <v>1</v>
      </c>
      <c r="AC574" s="4">
        <v>2</v>
      </c>
      <c r="AD574" s="4">
        <v>3</v>
      </c>
      <c r="AE574" s="4">
        <v>5</v>
      </c>
      <c r="AF574" s="4">
        <v>1</v>
      </c>
      <c r="AG574" s="4">
        <v>2</v>
      </c>
      <c r="AH574" s="4">
        <v>1</v>
      </c>
      <c r="AI574" s="4">
        <v>2</v>
      </c>
      <c r="AJ574" s="4">
        <v>2</v>
      </c>
      <c r="AK574" s="4">
        <v>2</v>
      </c>
      <c r="AL574" s="4">
        <v>0</v>
      </c>
      <c r="AM574" s="4">
        <v>1</v>
      </c>
      <c r="AN574" s="4">
        <v>0</v>
      </c>
      <c r="AO574" s="4">
        <v>0</v>
      </c>
      <c r="AP574" s="3" t="s">
        <v>58</v>
      </c>
      <c r="AQ574" s="3" t="s">
        <v>58</v>
      </c>
      <c r="AS574" s="6" t="str">
        <f>HYPERLINK("https://creighton-primo.hosted.exlibrisgroup.com/primo-explore/search?tab=default_tab&amp;search_scope=EVERYTHING&amp;vid=01CRU&amp;lang=en_US&amp;offset=0&amp;query=any,contains,991005324039702656","Catalog Record")</f>
        <v>Catalog Record</v>
      </c>
      <c r="AT574" s="6" t="str">
        <f>HYPERLINK("http://www.worldcat.org/oclc/57168660","WorldCat Record")</f>
        <v>WorldCat Record</v>
      </c>
      <c r="AU574" s="3" t="s">
        <v>7344</v>
      </c>
      <c r="AV574" s="3" t="s">
        <v>7345</v>
      </c>
      <c r="AW574" s="3" t="s">
        <v>7346</v>
      </c>
      <c r="AX574" s="3" t="s">
        <v>7346</v>
      </c>
      <c r="AY574" s="3" t="s">
        <v>7347</v>
      </c>
      <c r="AZ574" s="3" t="s">
        <v>73</v>
      </c>
      <c r="BB574" s="3" t="s">
        <v>7348</v>
      </c>
      <c r="BC574" s="3" t="s">
        <v>7349</v>
      </c>
      <c r="BD574" s="3" t="s">
        <v>7350</v>
      </c>
    </row>
    <row r="575" spans="1:56" ht="51" customHeight="1" x14ac:dyDescent="0.25">
      <c r="A575" s="7" t="s">
        <v>58</v>
      </c>
      <c r="B575" s="2" t="s">
        <v>7351</v>
      </c>
      <c r="C575" s="2" t="s">
        <v>7352</v>
      </c>
      <c r="D575" s="2" t="s">
        <v>7353</v>
      </c>
      <c r="F575" s="3" t="s">
        <v>58</v>
      </c>
      <c r="G575" s="3" t="s">
        <v>59</v>
      </c>
      <c r="H575" s="3" t="s">
        <v>58</v>
      </c>
      <c r="I575" s="3" t="s">
        <v>58</v>
      </c>
      <c r="J575" s="3" t="s">
        <v>60</v>
      </c>
      <c r="L575" s="2" t="s">
        <v>7354</v>
      </c>
      <c r="M575" s="3" t="s">
        <v>479</v>
      </c>
      <c r="O575" s="3" t="s">
        <v>63</v>
      </c>
      <c r="P575" s="3" t="s">
        <v>354</v>
      </c>
      <c r="R575" s="3" t="s">
        <v>65</v>
      </c>
      <c r="S575" s="4">
        <v>2</v>
      </c>
      <c r="T575" s="4">
        <v>2</v>
      </c>
      <c r="U575" s="5" t="s">
        <v>7355</v>
      </c>
      <c r="V575" s="5" t="s">
        <v>7355</v>
      </c>
      <c r="W575" s="5" t="s">
        <v>1625</v>
      </c>
      <c r="X575" s="5" t="s">
        <v>1625</v>
      </c>
      <c r="Y575" s="4">
        <v>212</v>
      </c>
      <c r="Z575" s="4">
        <v>148</v>
      </c>
      <c r="AA575" s="4">
        <v>151</v>
      </c>
      <c r="AB575" s="4">
        <v>1</v>
      </c>
      <c r="AC575" s="4">
        <v>1</v>
      </c>
      <c r="AD575" s="4">
        <v>8</v>
      </c>
      <c r="AE575" s="4">
        <v>8</v>
      </c>
      <c r="AF575" s="4">
        <v>2</v>
      </c>
      <c r="AG575" s="4">
        <v>2</v>
      </c>
      <c r="AH575" s="4">
        <v>4</v>
      </c>
      <c r="AI575" s="4">
        <v>4</v>
      </c>
      <c r="AJ575" s="4">
        <v>5</v>
      </c>
      <c r="AK575" s="4">
        <v>5</v>
      </c>
      <c r="AL575" s="4">
        <v>0</v>
      </c>
      <c r="AM575" s="4">
        <v>0</v>
      </c>
      <c r="AN575" s="4">
        <v>0</v>
      </c>
      <c r="AO575" s="4">
        <v>0</v>
      </c>
      <c r="AP575" s="3" t="s">
        <v>58</v>
      </c>
      <c r="AQ575" s="3" t="s">
        <v>68</v>
      </c>
      <c r="AR575" s="6" t="str">
        <f>HYPERLINK("http://catalog.hathitrust.org/Record/003539996","HathiTrust Record")</f>
        <v>HathiTrust Record</v>
      </c>
      <c r="AS575" s="6" t="str">
        <f>HYPERLINK("https://creighton-primo.hosted.exlibrisgroup.com/primo-explore/search?tab=default_tab&amp;search_scope=EVERYTHING&amp;vid=01CRU&amp;lang=en_US&amp;offset=0&amp;query=any,contains,991001991209702656","Catalog Record")</f>
        <v>Catalog Record</v>
      </c>
      <c r="AT575" s="6" t="str">
        <f>HYPERLINK("http://www.worldcat.org/oclc/25283070","WorldCat Record")</f>
        <v>WorldCat Record</v>
      </c>
      <c r="AU575" s="3" t="s">
        <v>7356</v>
      </c>
      <c r="AV575" s="3" t="s">
        <v>7357</v>
      </c>
      <c r="AW575" s="3" t="s">
        <v>7358</v>
      </c>
      <c r="AX575" s="3" t="s">
        <v>7358</v>
      </c>
      <c r="AY575" s="3" t="s">
        <v>7359</v>
      </c>
      <c r="AZ575" s="3" t="s">
        <v>73</v>
      </c>
      <c r="BB575" s="3" t="s">
        <v>7360</v>
      </c>
      <c r="BC575" s="3" t="s">
        <v>7361</v>
      </c>
      <c r="BD575" s="3" t="s">
        <v>7362</v>
      </c>
    </row>
    <row r="576" spans="1:56" ht="51" customHeight="1" x14ac:dyDescent="0.25">
      <c r="A576" s="7" t="s">
        <v>58</v>
      </c>
      <c r="B576" s="2" t="s">
        <v>7363</v>
      </c>
      <c r="C576" s="2" t="s">
        <v>7364</v>
      </c>
      <c r="D576" s="2" t="s">
        <v>7365</v>
      </c>
      <c r="F576" s="3" t="s">
        <v>58</v>
      </c>
      <c r="G576" s="3" t="s">
        <v>59</v>
      </c>
      <c r="H576" s="3" t="s">
        <v>58</v>
      </c>
      <c r="I576" s="3" t="s">
        <v>58</v>
      </c>
      <c r="J576" s="3" t="s">
        <v>60</v>
      </c>
      <c r="K576" s="2" t="s">
        <v>7366</v>
      </c>
      <c r="L576" s="2" t="s">
        <v>7367</v>
      </c>
      <c r="M576" s="3" t="s">
        <v>653</v>
      </c>
      <c r="O576" s="3" t="s">
        <v>63</v>
      </c>
      <c r="P576" s="3" t="s">
        <v>584</v>
      </c>
      <c r="Q576" s="2" t="s">
        <v>7368</v>
      </c>
      <c r="R576" s="3" t="s">
        <v>65</v>
      </c>
      <c r="S576" s="4">
        <v>13</v>
      </c>
      <c r="T576" s="4">
        <v>13</v>
      </c>
      <c r="U576" s="5" t="s">
        <v>7369</v>
      </c>
      <c r="V576" s="5" t="s">
        <v>7369</v>
      </c>
      <c r="W576" s="5" t="s">
        <v>7370</v>
      </c>
      <c r="X576" s="5" t="s">
        <v>7370</v>
      </c>
      <c r="Y576" s="4">
        <v>460</v>
      </c>
      <c r="Z576" s="4">
        <v>320</v>
      </c>
      <c r="AA576" s="4">
        <v>339</v>
      </c>
      <c r="AB576" s="4">
        <v>2</v>
      </c>
      <c r="AC576" s="4">
        <v>2</v>
      </c>
      <c r="AD576" s="4">
        <v>19</v>
      </c>
      <c r="AE576" s="4">
        <v>20</v>
      </c>
      <c r="AF576" s="4">
        <v>6</v>
      </c>
      <c r="AG576" s="4">
        <v>7</v>
      </c>
      <c r="AH576" s="4">
        <v>6</v>
      </c>
      <c r="AI576" s="4">
        <v>6</v>
      </c>
      <c r="AJ576" s="4">
        <v>12</v>
      </c>
      <c r="AK576" s="4">
        <v>12</v>
      </c>
      <c r="AL576" s="4">
        <v>1</v>
      </c>
      <c r="AM576" s="4">
        <v>1</v>
      </c>
      <c r="AN576" s="4">
        <v>0</v>
      </c>
      <c r="AO576" s="4">
        <v>0</v>
      </c>
      <c r="AP576" s="3" t="s">
        <v>58</v>
      </c>
      <c r="AQ576" s="3" t="s">
        <v>58</v>
      </c>
      <c r="AS576" s="6" t="str">
        <f>HYPERLINK("https://creighton-primo.hosted.exlibrisgroup.com/primo-explore/search?tab=default_tab&amp;search_scope=EVERYTHING&amp;vid=01CRU&amp;lang=en_US&amp;offset=0&amp;query=any,contains,991001729499702656","Catalog Record")</f>
        <v>Catalog Record</v>
      </c>
      <c r="AT576" s="6" t="str">
        <f>HYPERLINK("http://www.worldcat.org/oclc/21909414","WorldCat Record")</f>
        <v>WorldCat Record</v>
      </c>
      <c r="AU576" s="3" t="s">
        <v>7371</v>
      </c>
      <c r="AV576" s="3" t="s">
        <v>7372</v>
      </c>
      <c r="AW576" s="3" t="s">
        <v>7373</v>
      </c>
      <c r="AX576" s="3" t="s">
        <v>7373</v>
      </c>
      <c r="AY576" s="3" t="s">
        <v>7374</v>
      </c>
      <c r="AZ576" s="3" t="s">
        <v>73</v>
      </c>
      <c r="BB576" s="3" t="s">
        <v>7375</v>
      </c>
      <c r="BC576" s="3" t="s">
        <v>7376</v>
      </c>
      <c r="BD576" s="3" t="s">
        <v>7377</v>
      </c>
    </row>
    <row r="577" spans="1:56" ht="51" customHeight="1" x14ac:dyDescent="0.25">
      <c r="A577" s="7" t="s">
        <v>58</v>
      </c>
      <c r="B577" s="2" t="s">
        <v>7378</v>
      </c>
      <c r="C577" s="2" t="s">
        <v>7379</v>
      </c>
      <c r="D577" s="2" t="s">
        <v>7380</v>
      </c>
      <c r="F577" s="3" t="s">
        <v>58</v>
      </c>
      <c r="G577" s="3" t="s">
        <v>59</v>
      </c>
      <c r="H577" s="3" t="s">
        <v>58</v>
      </c>
      <c r="I577" s="3" t="s">
        <v>58</v>
      </c>
      <c r="J577" s="3" t="s">
        <v>60</v>
      </c>
      <c r="K577" s="2" t="s">
        <v>7381</v>
      </c>
      <c r="L577" s="2" t="s">
        <v>7382</v>
      </c>
      <c r="M577" s="3" t="s">
        <v>83</v>
      </c>
      <c r="O577" s="3" t="s">
        <v>63</v>
      </c>
      <c r="P577" s="3" t="s">
        <v>584</v>
      </c>
      <c r="R577" s="3" t="s">
        <v>65</v>
      </c>
      <c r="S577" s="4">
        <v>2</v>
      </c>
      <c r="T577" s="4">
        <v>2</v>
      </c>
      <c r="U577" s="5" t="s">
        <v>7383</v>
      </c>
      <c r="V577" s="5" t="s">
        <v>7383</v>
      </c>
      <c r="W577" s="5" t="s">
        <v>5321</v>
      </c>
      <c r="X577" s="5" t="s">
        <v>5321</v>
      </c>
      <c r="Y577" s="4">
        <v>65</v>
      </c>
      <c r="Z577" s="4">
        <v>44</v>
      </c>
      <c r="AA577" s="4">
        <v>131</v>
      </c>
      <c r="AB577" s="4">
        <v>1</v>
      </c>
      <c r="AC577" s="4">
        <v>1</v>
      </c>
      <c r="AD577" s="4">
        <v>1</v>
      </c>
      <c r="AE577" s="4">
        <v>2</v>
      </c>
      <c r="AF577" s="4">
        <v>1</v>
      </c>
      <c r="AG577" s="4">
        <v>2</v>
      </c>
      <c r="AH577" s="4">
        <v>0</v>
      </c>
      <c r="AI577" s="4">
        <v>0</v>
      </c>
      <c r="AJ577" s="4">
        <v>0</v>
      </c>
      <c r="AK577" s="4">
        <v>1</v>
      </c>
      <c r="AL577" s="4">
        <v>0</v>
      </c>
      <c r="AM577" s="4">
        <v>0</v>
      </c>
      <c r="AN577" s="4">
        <v>0</v>
      </c>
      <c r="AO577" s="4">
        <v>0</v>
      </c>
      <c r="AP577" s="3" t="s">
        <v>58</v>
      </c>
      <c r="AQ577" s="3" t="s">
        <v>58</v>
      </c>
      <c r="AS577" s="6" t="str">
        <f>HYPERLINK("https://creighton-primo.hosted.exlibrisgroup.com/primo-explore/search?tab=default_tab&amp;search_scope=EVERYTHING&amp;vid=01CRU&amp;lang=en_US&amp;offset=0&amp;query=any,contains,991004644099702656","Catalog Record")</f>
        <v>Catalog Record</v>
      </c>
      <c r="AT577" s="6" t="str">
        <f>HYPERLINK("http://www.worldcat.org/oclc/5076040","WorldCat Record")</f>
        <v>WorldCat Record</v>
      </c>
      <c r="AU577" s="3" t="s">
        <v>7384</v>
      </c>
      <c r="AV577" s="3" t="s">
        <v>7385</v>
      </c>
      <c r="AW577" s="3" t="s">
        <v>7386</v>
      </c>
      <c r="AX577" s="3" t="s">
        <v>7386</v>
      </c>
      <c r="AY577" s="3" t="s">
        <v>7387</v>
      </c>
      <c r="AZ577" s="3" t="s">
        <v>73</v>
      </c>
      <c r="BC577" s="3" t="s">
        <v>7388</v>
      </c>
      <c r="BD577" s="3" t="s">
        <v>7389</v>
      </c>
    </row>
    <row r="578" spans="1:56" ht="51" customHeight="1" x14ac:dyDescent="0.25">
      <c r="A578" s="7" t="s">
        <v>58</v>
      </c>
      <c r="B578" s="2" t="s">
        <v>7390</v>
      </c>
      <c r="C578" s="2" t="s">
        <v>7391</v>
      </c>
      <c r="D578" s="2" t="s">
        <v>7392</v>
      </c>
      <c r="E578" s="3" t="s">
        <v>223</v>
      </c>
      <c r="F578" s="3" t="s">
        <v>58</v>
      </c>
      <c r="G578" s="3" t="s">
        <v>59</v>
      </c>
      <c r="H578" s="3" t="s">
        <v>58</v>
      </c>
      <c r="I578" s="3" t="s">
        <v>58</v>
      </c>
      <c r="J578" s="3" t="s">
        <v>60</v>
      </c>
      <c r="L578" s="2" t="s">
        <v>7393</v>
      </c>
      <c r="M578" s="3" t="s">
        <v>951</v>
      </c>
      <c r="O578" s="3" t="s">
        <v>63</v>
      </c>
      <c r="P578" s="3" t="s">
        <v>510</v>
      </c>
      <c r="R578" s="3" t="s">
        <v>65</v>
      </c>
      <c r="S578" s="4">
        <v>1</v>
      </c>
      <c r="T578" s="4">
        <v>1</v>
      </c>
      <c r="U578" s="5" t="s">
        <v>7394</v>
      </c>
      <c r="V578" s="5" t="s">
        <v>7394</v>
      </c>
      <c r="W578" s="5" t="s">
        <v>7394</v>
      </c>
      <c r="X578" s="5" t="s">
        <v>7394</v>
      </c>
      <c r="Y578" s="4">
        <v>474</v>
      </c>
      <c r="Z578" s="4">
        <v>397</v>
      </c>
      <c r="AA578" s="4">
        <v>397</v>
      </c>
      <c r="AB578" s="4">
        <v>4</v>
      </c>
      <c r="AC578" s="4">
        <v>4</v>
      </c>
      <c r="AD578" s="4">
        <v>29</v>
      </c>
      <c r="AE578" s="4">
        <v>29</v>
      </c>
      <c r="AF578" s="4">
        <v>11</v>
      </c>
      <c r="AG578" s="4">
        <v>11</v>
      </c>
      <c r="AH578" s="4">
        <v>8</v>
      </c>
      <c r="AI578" s="4">
        <v>8</v>
      </c>
      <c r="AJ578" s="4">
        <v>15</v>
      </c>
      <c r="AK578" s="4">
        <v>15</v>
      </c>
      <c r="AL578" s="4">
        <v>3</v>
      </c>
      <c r="AM578" s="4">
        <v>3</v>
      </c>
      <c r="AN578" s="4">
        <v>1</v>
      </c>
      <c r="AO578" s="4">
        <v>1</v>
      </c>
      <c r="AP578" s="3" t="s">
        <v>58</v>
      </c>
      <c r="AQ578" s="3" t="s">
        <v>58</v>
      </c>
      <c r="AS578" s="6" t="str">
        <f>HYPERLINK("https://creighton-primo.hosted.exlibrisgroup.com/primo-explore/search?tab=default_tab&amp;search_scope=EVERYTHING&amp;vid=01CRU&amp;lang=en_US&amp;offset=0&amp;query=any,contains,991003307759702656","Catalog Record")</f>
        <v>Catalog Record</v>
      </c>
      <c r="AT578" s="6" t="str">
        <f>HYPERLINK("http://www.worldcat.org/oclc/42955407","WorldCat Record")</f>
        <v>WorldCat Record</v>
      </c>
      <c r="AU578" s="3" t="s">
        <v>7395</v>
      </c>
      <c r="AV578" s="3" t="s">
        <v>7396</v>
      </c>
      <c r="AW578" s="3" t="s">
        <v>7397</v>
      </c>
      <c r="AX578" s="3" t="s">
        <v>7397</v>
      </c>
      <c r="AY578" s="3" t="s">
        <v>7398</v>
      </c>
      <c r="AZ578" s="3" t="s">
        <v>73</v>
      </c>
      <c r="BB578" s="3" t="s">
        <v>7399</v>
      </c>
      <c r="BC578" s="3" t="s">
        <v>7400</v>
      </c>
      <c r="BD578" s="3" t="s">
        <v>7401</v>
      </c>
    </row>
    <row r="579" spans="1:56" ht="51" customHeight="1" x14ac:dyDescent="0.25">
      <c r="A579" s="7" t="s">
        <v>58</v>
      </c>
      <c r="B579" s="2" t="s">
        <v>7402</v>
      </c>
      <c r="C579" s="2" t="s">
        <v>7403</v>
      </c>
      <c r="D579" s="2" t="s">
        <v>7404</v>
      </c>
      <c r="F579" s="3" t="s">
        <v>58</v>
      </c>
      <c r="G579" s="3" t="s">
        <v>59</v>
      </c>
      <c r="H579" s="3" t="s">
        <v>58</v>
      </c>
      <c r="I579" s="3" t="s">
        <v>58</v>
      </c>
      <c r="J579" s="3" t="s">
        <v>60</v>
      </c>
      <c r="K579" s="2" t="s">
        <v>7405</v>
      </c>
      <c r="L579" s="2" t="s">
        <v>7406</v>
      </c>
      <c r="M579" s="3" t="s">
        <v>2186</v>
      </c>
      <c r="N579" s="2" t="s">
        <v>338</v>
      </c>
      <c r="O579" s="3" t="s">
        <v>63</v>
      </c>
      <c r="P579" s="3" t="s">
        <v>214</v>
      </c>
      <c r="Q579" s="2" t="s">
        <v>7407</v>
      </c>
      <c r="R579" s="3" t="s">
        <v>65</v>
      </c>
      <c r="S579" s="4">
        <v>1</v>
      </c>
      <c r="T579" s="4">
        <v>1</v>
      </c>
      <c r="U579" s="5" t="s">
        <v>7408</v>
      </c>
      <c r="V579" s="5" t="s">
        <v>7408</v>
      </c>
      <c r="W579" s="5" t="s">
        <v>7408</v>
      </c>
      <c r="X579" s="5" t="s">
        <v>7408</v>
      </c>
      <c r="Y579" s="4">
        <v>529</v>
      </c>
      <c r="Z579" s="4">
        <v>486</v>
      </c>
      <c r="AA579" s="4">
        <v>511</v>
      </c>
      <c r="AB579" s="4">
        <v>2</v>
      </c>
      <c r="AC579" s="4">
        <v>2</v>
      </c>
      <c r="AD579" s="4">
        <v>22</v>
      </c>
      <c r="AE579" s="4">
        <v>22</v>
      </c>
      <c r="AF579" s="4">
        <v>9</v>
      </c>
      <c r="AG579" s="4">
        <v>9</v>
      </c>
      <c r="AH579" s="4">
        <v>6</v>
      </c>
      <c r="AI579" s="4">
        <v>6</v>
      </c>
      <c r="AJ579" s="4">
        <v>11</v>
      </c>
      <c r="AK579" s="4">
        <v>11</v>
      </c>
      <c r="AL579" s="4">
        <v>1</v>
      </c>
      <c r="AM579" s="4">
        <v>1</v>
      </c>
      <c r="AN579" s="4">
        <v>0</v>
      </c>
      <c r="AO579" s="4">
        <v>0</v>
      </c>
      <c r="AP579" s="3" t="s">
        <v>58</v>
      </c>
      <c r="AQ579" s="3" t="s">
        <v>58</v>
      </c>
      <c r="AS579" s="6" t="str">
        <f>HYPERLINK("https://creighton-primo.hosted.exlibrisgroup.com/primo-explore/search?tab=default_tab&amp;search_scope=EVERYTHING&amp;vid=01CRU&amp;lang=en_US&amp;offset=0&amp;query=any,contains,991005390519702656","Catalog Record")</f>
        <v>Catalog Record</v>
      </c>
      <c r="AT579" s="6" t="str">
        <f>HYPERLINK("http://www.worldcat.org/oclc/76820947","WorldCat Record")</f>
        <v>WorldCat Record</v>
      </c>
      <c r="AU579" s="3" t="s">
        <v>7409</v>
      </c>
      <c r="AV579" s="3" t="s">
        <v>7410</v>
      </c>
      <c r="AW579" s="3" t="s">
        <v>7411</v>
      </c>
      <c r="AX579" s="3" t="s">
        <v>7411</v>
      </c>
      <c r="AY579" s="3" t="s">
        <v>7412</v>
      </c>
      <c r="AZ579" s="3" t="s">
        <v>73</v>
      </c>
      <c r="BB579" s="3" t="s">
        <v>7413</v>
      </c>
      <c r="BC579" s="3" t="s">
        <v>7414</v>
      </c>
      <c r="BD579" s="3" t="s">
        <v>7415</v>
      </c>
    </row>
    <row r="580" spans="1:56" ht="51" customHeight="1" x14ac:dyDescent="0.25">
      <c r="A580" s="7" t="s">
        <v>58</v>
      </c>
      <c r="B580" s="2" t="s">
        <v>7416</v>
      </c>
      <c r="C580" s="2" t="s">
        <v>7417</v>
      </c>
      <c r="D580" s="2" t="s">
        <v>7418</v>
      </c>
      <c r="F580" s="3" t="s">
        <v>58</v>
      </c>
      <c r="G580" s="3" t="s">
        <v>59</v>
      </c>
      <c r="H580" s="3" t="s">
        <v>58</v>
      </c>
      <c r="I580" s="3" t="s">
        <v>58</v>
      </c>
      <c r="J580" s="3" t="s">
        <v>60</v>
      </c>
      <c r="K580" s="2" t="s">
        <v>7419</v>
      </c>
      <c r="L580" s="2" t="s">
        <v>7288</v>
      </c>
      <c r="M580" s="3" t="s">
        <v>4023</v>
      </c>
      <c r="O580" s="3" t="s">
        <v>63</v>
      </c>
      <c r="P580" s="3" t="s">
        <v>354</v>
      </c>
      <c r="R580" s="3" t="s">
        <v>65</v>
      </c>
      <c r="S580" s="4">
        <v>1</v>
      </c>
      <c r="T580" s="4">
        <v>1</v>
      </c>
      <c r="U580" s="5" t="s">
        <v>6898</v>
      </c>
      <c r="V580" s="5" t="s">
        <v>6898</v>
      </c>
      <c r="W580" s="5" t="s">
        <v>6898</v>
      </c>
      <c r="X580" s="5" t="s">
        <v>6898</v>
      </c>
      <c r="Y580" s="4">
        <v>684</v>
      </c>
      <c r="Z580" s="4">
        <v>553</v>
      </c>
      <c r="AA580" s="4">
        <v>782</v>
      </c>
      <c r="AB580" s="4">
        <v>4</v>
      </c>
      <c r="AC580" s="4">
        <v>5</v>
      </c>
      <c r="AD580" s="4">
        <v>27</v>
      </c>
      <c r="AE580" s="4">
        <v>38</v>
      </c>
      <c r="AF580" s="4">
        <v>12</v>
      </c>
      <c r="AG580" s="4">
        <v>19</v>
      </c>
      <c r="AH580" s="4">
        <v>7</v>
      </c>
      <c r="AI580" s="4">
        <v>10</v>
      </c>
      <c r="AJ580" s="4">
        <v>12</v>
      </c>
      <c r="AK580" s="4">
        <v>16</v>
      </c>
      <c r="AL580" s="4">
        <v>3</v>
      </c>
      <c r="AM580" s="4">
        <v>4</v>
      </c>
      <c r="AN580" s="4">
        <v>0</v>
      </c>
      <c r="AO580" s="4">
        <v>0</v>
      </c>
      <c r="AP580" s="3" t="s">
        <v>58</v>
      </c>
      <c r="AQ580" s="3" t="s">
        <v>58</v>
      </c>
      <c r="AS580" s="6" t="str">
        <f>HYPERLINK("https://creighton-primo.hosted.exlibrisgroup.com/primo-explore/search?tab=default_tab&amp;search_scope=EVERYTHING&amp;vid=01CRU&amp;lang=en_US&amp;offset=0&amp;query=any,contains,991000177409702656","Catalog Record")</f>
        <v>Catalog Record</v>
      </c>
      <c r="AT580" s="6" t="str">
        <f>HYPERLINK("http://www.worldcat.org/oclc/54066336","WorldCat Record")</f>
        <v>WorldCat Record</v>
      </c>
      <c r="AU580" s="3" t="s">
        <v>7420</v>
      </c>
      <c r="AV580" s="3" t="s">
        <v>7421</v>
      </c>
      <c r="AW580" s="3" t="s">
        <v>7422</v>
      </c>
      <c r="AX580" s="3" t="s">
        <v>7422</v>
      </c>
      <c r="AY580" s="3" t="s">
        <v>7423</v>
      </c>
      <c r="AZ580" s="3" t="s">
        <v>73</v>
      </c>
      <c r="BB580" s="3" t="s">
        <v>7424</v>
      </c>
      <c r="BC580" s="3" t="s">
        <v>7425</v>
      </c>
      <c r="BD580" s="3" t="s">
        <v>7426</v>
      </c>
    </row>
    <row r="581" spans="1:56" ht="51" customHeight="1" x14ac:dyDescent="0.25">
      <c r="A581" s="7" t="s">
        <v>58</v>
      </c>
      <c r="B581" s="2" t="s">
        <v>7427</v>
      </c>
      <c r="C581" s="2" t="s">
        <v>7428</v>
      </c>
      <c r="D581" s="2" t="s">
        <v>7429</v>
      </c>
      <c r="F581" s="3" t="s">
        <v>58</v>
      </c>
      <c r="G581" s="3" t="s">
        <v>59</v>
      </c>
      <c r="H581" s="3" t="s">
        <v>58</v>
      </c>
      <c r="I581" s="3" t="s">
        <v>58</v>
      </c>
      <c r="J581" s="3" t="s">
        <v>60</v>
      </c>
      <c r="K581" s="2" t="s">
        <v>7430</v>
      </c>
      <c r="L581" s="2" t="s">
        <v>7431</v>
      </c>
      <c r="M581" s="3" t="s">
        <v>598</v>
      </c>
      <c r="O581" s="3" t="s">
        <v>63</v>
      </c>
      <c r="P581" s="3" t="s">
        <v>411</v>
      </c>
      <c r="R581" s="3" t="s">
        <v>65</v>
      </c>
      <c r="S581" s="4">
        <v>5</v>
      </c>
      <c r="T581" s="4">
        <v>5</v>
      </c>
      <c r="U581" s="5" t="s">
        <v>7432</v>
      </c>
      <c r="V581" s="5" t="s">
        <v>7432</v>
      </c>
      <c r="W581" s="5" t="s">
        <v>540</v>
      </c>
      <c r="X581" s="5" t="s">
        <v>540</v>
      </c>
      <c r="Y581" s="4">
        <v>367</v>
      </c>
      <c r="Z581" s="4">
        <v>323</v>
      </c>
      <c r="AA581" s="4">
        <v>903</v>
      </c>
      <c r="AB581" s="4">
        <v>4</v>
      </c>
      <c r="AC581" s="4">
        <v>8</v>
      </c>
      <c r="AD581" s="4">
        <v>22</v>
      </c>
      <c r="AE581" s="4">
        <v>46</v>
      </c>
      <c r="AF581" s="4">
        <v>7</v>
      </c>
      <c r="AG581" s="4">
        <v>19</v>
      </c>
      <c r="AH581" s="4">
        <v>3</v>
      </c>
      <c r="AI581" s="4">
        <v>9</v>
      </c>
      <c r="AJ581" s="4">
        <v>16</v>
      </c>
      <c r="AK581" s="4">
        <v>20</v>
      </c>
      <c r="AL581" s="4">
        <v>3</v>
      </c>
      <c r="AM581" s="4">
        <v>7</v>
      </c>
      <c r="AN581" s="4">
        <v>0</v>
      </c>
      <c r="AO581" s="4">
        <v>1</v>
      </c>
      <c r="AP581" s="3" t="s">
        <v>68</v>
      </c>
      <c r="AQ581" s="3" t="s">
        <v>58</v>
      </c>
      <c r="AR581" s="6" t="str">
        <f>HYPERLINK("http://catalog.hathitrust.org/Record/004409755","HathiTrust Record")</f>
        <v>HathiTrust Record</v>
      </c>
      <c r="AS581" s="6" t="str">
        <f>HYPERLINK("https://creighton-primo.hosted.exlibrisgroup.com/primo-explore/search?tab=default_tab&amp;search_scope=EVERYTHING&amp;vid=01CRU&amp;lang=en_US&amp;offset=0&amp;query=any,contains,991003800329702656","Catalog Record")</f>
        <v>Catalog Record</v>
      </c>
      <c r="AT581" s="6" t="str">
        <f>HYPERLINK("http://www.worldcat.org/oclc/1527069","WorldCat Record")</f>
        <v>WorldCat Record</v>
      </c>
      <c r="AU581" s="3" t="s">
        <v>7433</v>
      </c>
      <c r="AV581" s="3" t="s">
        <v>7434</v>
      </c>
      <c r="AW581" s="3" t="s">
        <v>7435</v>
      </c>
      <c r="AX581" s="3" t="s">
        <v>7435</v>
      </c>
      <c r="AY581" s="3" t="s">
        <v>7436</v>
      </c>
      <c r="AZ581" s="3" t="s">
        <v>73</v>
      </c>
      <c r="BC581" s="3" t="s">
        <v>7437</v>
      </c>
      <c r="BD581" s="3" t="s">
        <v>7438</v>
      </c>
    </row>
    <row r="582" spans="1:56" ht="51" customHeight="1" x14ac:dyDescent="0.25">
      <c r="A582" s="7" t="s">
        <v>58</v>
      </c>
      <c r="B582" s="2" t="s">
        <v>7439</v>
      </c>
      <c r="C582" s="2" t="s">
        <v>7440</v>
      </c>
      <c r="D582" s="2" t="s">
        <v>7441</v>
      </c>
      <c r="F582" s="3" t="s">
        <v>58</v>
      </c>
      <c r="G582" s="3" t="s">
        <v>59</v>
      </c>
      <c r="H582" s="3" t="s">
        <v>58</v>
      </c>
      <c r="I582" s="3" t="s">
        <v>58</v>
      </c>
      <c r="J582" s="3" t="s">
        <v>60</v>
      </c>
      <c r="K582" s="2" t="s">
        <v>7442</v>
      </c>
      <c r="L582" s="2" t="s">
        <v>7443</v>
      </c>
      <c r="M582" s="3" t="s">
        <v>196</v>
      </c>
      <c r="O582" s="3" t="s">
        <v>63</v>
      </c>
      <c r="P582" s="3" t="s">
        <v>411</v>
      </c>
      <c r="R582" s="3" t="s">
        <v>65</v>
      </c>
      <c r="S582" s="4">
        <v>2</v>
      </c>
      <c r="T582" s="4">
        <v>2</v>
      </c>
      <c r="U582" s="5" t="s">
        <v>7444</v>
      </c>
      <c r="V582" s="5" t="s">
        <v>7444</v>
      </c>
      <c r="W582" s="5" t="s">
        <v>7445</v>
      </c>
      <c r="X582" s="5" t="s">
        <v>7445</v>
      </c>
      <c r="Y582" s="4">
        <v>317</v>
      </c>
      <c r="Z582" s="4">
        <v>258</v>
      </c>
      <c r="AA582" s="4">
        <v>258</v>
      </c>
      <c r="AB582" s="4">
        <v>3</v>
      </c>
      <c r="AC582" s="4">
        <v>3</v>
      </c>
      <c r="AD582" s="4">
        <v>16</v>
      </c>
      <c r="AE582" s="4">
        <v>16</v>
      </c>
      <c r="AF582" s="4">
        <v>4</v>
      </c>
      <c r="AG582" s="4">
        <v>4</v>
      </c>
      <c r="AH582" s="4">
        <v>5</v>
      </c>
      <c r="AI582" s="4">
        <v>5</v>
      </c>
      <c r="AJ582" s="4">
        <v>9</v>
      </c>
      <c r="AK582" s="4">
        <v>9</v>
      </c>
      <c r="AL582" s="4">
        <v>2</v>
      </c>
      <c r="AM582" s="4">
        <v>2</v>
      </c>
      <c r="AN582" s="4">
        <v>0</v>
      </c>
      <c r="AO582" s="4">
        <v>0</v>
      </c>
      <c r="AP582" s="3" t="s">
        <v>58</v>
      </c>
      <c r="AQ582" s="3" t="s">
        <v>58</v>
      </c>
      <c r="AS582" s="6" t="str">
        <f>HYPERLINK("https://creighton-primo.hosted.exlibrisgroup.com/primo-explore/search?tab=default_tab&amp;search_scope=EVERYTHING&amp;vid=01CRU&amp;lang=en_US&amp;offset=0&amp;query=any,contains,991002582419702656","Catalog Record")</f>
        <v>Catalog Record</v>
      </c>
      <c r="AT582" s="6" t="str">
        <f>HYPERLINK("http://www.worldcat.org/oclc/33861919","WorldCat Record")</f>
        <v>WorldCat Record</v>
      </c>
      <c r="AU582" s="3" t="s">
        <v>7446</v>
      </c>
      <c r="AV582" s="3" t="s">
        <v>7447</v>
      </c>
      <c r="AW582" s="3" t="s">
        <v>7448</v>
      </c>
      <c r="AX582" s="3" t="s">
        <v>7448</v>
      </c>
      <c r="AY582" s="3" t="s">
        <v>7449</v>
      </c>
      <c r="AZ582" s="3" t="s">
        <v>73</v>
      </c>
      <c r="BB582" s="3" t="s">
        <v>7450</v>
      </c>
      <c r="BC582" s="3" t="s">
        <v>7451</v>
      </c>
      <c r="BD582" s="3" t="s">
        <v>7452</v>
      </c>
    </row>
    <row r="583" spans="1:56" ht="51" customHeight="1" x14ac:dyDescent="0.25">
      <c r="A583" s="7" t="s">
        <v>58</v>
      </c>
      <c r="B583" s="2" t="s">
        <v>7453</v>
      </c>
      <c r="C583" s="2" t="s">
        <v>7454</v>
      </c>
      <c r="D583" s="2" t="s">
        <v>7455</v>
      </c>
      <c r="F583" s="3" t="s">
        <v>58</v>
      </c>
      <c r="G583" s="3" t="s">
        <v>59</v>
      </c>
      <c r="H583" s="3" t="s">
        <v>58</v>
      </c>
      <c r="I583" s="3" t="s">
        <v>58</v>
      </c>
      <c r="J583" s="3" t="s">
        <v>60</v>
      </c>
      <c r="K583" s="2" t="s">
        <v>7456</v>
      </c>
      <c r="L583" s="2" t="s">
        <v>7457</v>
      </c>
      <c r="M583" s="3" t="s">
        <v>154</v>
      </c>
      <c r="N583" s="2" t="s">
        <v>424</v>
      </c>
      <c r="O583" s="3" t="s">
        <v>63</v>
      </c>
      <c r="P583" s="3" t="s">
        <v>354</v>
      </c>
      <c r="R583" s="3" t="s">
        <v>65</v>
      </c>
      <c r="S583" s="4">
        <v>3</v>
      </c>
      <c r="T583" s="4">
        <v>3</v>
      </c>
      <c r="U583" s="5" t="s">
        <v>7458</v>
      </c>
      <c r="V583" s="5" t="s">
        <v>7458</v>
      </c>
      <c r="W583" s="5" t="s">
        <v>7459</v>
      </c>
      <c r="X583" s="5" t="s">
        <v>7459</v>
      </c>
      <c r="Y583" s="4">
        <v>193</v>
      </c>
      <c r="Z583" s="4">
        <v>163</v>
      </c>
      <c r="AA583" s="4">
        <v>350</v>
      </c>
      <c r="AB583" s="4">
        <v>3</v>
      </c>
      <c r="AC583" s="4">
        <v>3</v>
      </c>
      <c r="AD583" s="4">
        <v>9</v>
      </c>
      <c r="AE583" s="4">
        <v>17</v>
      </c>
      <c r="AF583" s="4">
        <v>2</v>
      </c>
      <c r="AG583" s="4">
        <v>4</v>
      </c>
      <c r="AH583" s="4">
        <v>2</v>
      </c>
      <c r="AI583" s="4">
        <v>3</v>
      </c>
      <c r="AJ583" s="4">
        <v>5</v>
      </c>
      <c r="AK583" s="4">
        <v>11</v>
      </c>
      <c r="AL583" s="4">
        <v>2</v>
      </c>
      <c r="AM583" s="4">
        <v>2</v>
      </c>
      <c r="AN583" s="4">
        <v>0</v>
      </c>
      <c r="AO583" s="4">
        <v>0</v>
      </c>
      <c r="AP583" s="3" t="s">
        <v>58</v>
      </c>
      <c r="AQ583" s="3" t="s">
        <v>58</v>
      </c>
      <c r="AS583" s="6" t="str">
        <f>HYPERLINK("https://creighton-primo.hosted.exlibrisgroup.com/primo-explore/search?tab=default_tab&amp;search_scope=EVERYTHING&amp;vid=01CRU&amp;lang=en_US&amp;offset=0&amp;query=any,contains,991001339959702656","Catalog Record")</f>
        <v>Catalog Record</v>
      </c>
      <c r="AT583" s="6" t="str">
        <f>HYPERLINK("http://www.worldcat.org/oclc/18381246","WorldCat Record")</f>
        <v>WorldCat Record</v>
      </c>
      <c r="AU583" s="3" t="s">
        <v>7460</v>
      </c>
      <c r="AV583" s="3" t="s">
        <v>7461</v>
      </c>
      <c r="AW583" s="3" t="s">
        <v>7462</v>
      </c>
      <c r="AX583" s="3" t="s">
        <v>7462</v>
      </c>
      <c r="AY583" s="3" t="s">
        <v>7463</v>
      </c>
      <c r="AZ583" s="3" t="s">
        <v>73</v>
      </c>
      <c r="BB583" s="3" t="s">
        <v>7464</v>
      </c>
      <c r="BC583" s="3" t="s">
        <v>7465</v>
      </c>
      <c r="BD583" s="3" t="s">
        <v>7466</v>
      </c>
    </row>
    <row r="584" spans="1:56" ht="51" customHeight="1" x14ac:dyDescent="0.25">
      <c r="A584" s="7" t="s">
        <v>58</v>
      </c>
      <c r="B584" s="2" t="s">
        <v>7467</v>
      </c>
      <c r="C584" s="2" t="s">
        <v>7468</v>
      </c>
      <c r="D584" s="2" t="s">
        <v>7469</v>
      </c>
      <c r="F584" s="3" t="s">
        <v>58</v>
      </c>
      <c r="G584" s="3" t="s">
        <v>59</v>
      </c>
      <c r="H584" s="3" t="s">
        <v>58</v>
      </c>
      <c r="I584" s="3" t="s">
        <v>58</v>
      </c>
      <c r="J584" s="3" t="s">
        <v>60</v>
      </c>
      <c r="K584" s="2" t="s">
        <v>7470</v>
      </c>
      <c r="L584" s="2" t="s">
        <v>7471</v>
      </c>
      <c r="M584" s="3" t="s">
        <v>2706</v>
      </c>
      <c r="O584" s="3" t="s">
        <v>63</v>
      </c>
      <c r="P584" s="3" t="s">
        <v>411</v>
      </c>
      <c r="R584" s="3" t="s">
        <v>65</v>
      </c>
      <c r="S584" s="4">
        <v>2</v>
      </c>
      <c r="T584" s="4">
        <v>2</v>
      </c>
      <c r="U584" s="5" t="s">
        <v>5049</v>
      </c>
      <c r="V584" s="5" t="s">
        <v>5049</v>
      </c>
      <c r="W584" s="5" t="s">
        <v>540</v>
      </c>
      <c r="X584" s="5" t="s">
        <v>540</v>
      </c>
      <c r="Y584" s="4">
        <v>704</v>
      </c>
      <c r="Z584" s="4">
        <v>628</v>
      </c>
      <c r="AA584" s="4">
        <v>669</v>
      </c>
      <c r="AB584" s="4">
        <v>10</v>
      </c>
      <c r="AC584" s="4">
        <v>10</v>
      </c>
      <c r="AD584" s="4">
        <v>35</v>
      </c>
      <c r="AE584" s="4">
        <v>35</v>
      </c>
      <c r="AF584" s="4">
        <v>14</v>
      </c>
      <c r="AG584" s="4">
        <v>14</v>
      </c>
      <c r="AH584" s="4">
        <v>5</v>
      </c>
      <c r="AI584" s="4">
        <v>5</v>
      </c>
      <c r="AJ584" s="4">
        <v>16</v>
      </c>
      <c r="AK584" s="4">
        <v>16</v>
      </c>
      <c r="AL584" s="4">
        <v>6</v>
      </c>
      <c r="AM584" s="4">
        <v>6</v>
      </c>
      <c r="AN584" s="4">
        <v>1</v>
      </c>
      <c r="AO584" s="4">
        <v>1</v>
      </c>
      <c r="AP584" s="3" t="s">
        <v>58</v>
      </c>
      <c r="AQ584" s="3" t="s">
        <v>68</v>
      </c>
      <c r="AR584" s="6" t="str">
        <f>HYPERLINK("http://catalog.hathitrust.org/Record/001247628","HathiTrust Record")</f>
        <v>HathiTrust Record</v>
      </c>
      <c r="AS584" s="6" t="str">
        <f>HYPERLINK("https://creighton-primo.hosted.exlibrisgroup.com/primo-explore/search?tab=default_tab&amp;search_scope=EVERYTHING&amp;vid=01CRU&amp;lang=en_US&amp;offset=0&amp;query=any,contains,991001914519702656","Catalog Record")</f>
        <v>Catalog Record</v>
      </c>
      <c r="AT584" s="6" t="str">
        <f>HYPERLINK("http://www.worldcat.org/oclc/243372","WorldCat Record")</f>
        <v>WorldCat Record</v>
      </c>
      <c r="AU584" s="3" t="s">
        <v>7472</v>
      </c>
      <c r="AV584" s="3" t="s">
        <v>7473</v>
      </c>
      <c r="AW584" s="3" t="s">
        <v>7474</v>
      </c>
      <c r="AX584" s="3" t="s">
        <v>7474</v>
      </c>
      <c r="AY584" s="3" t="s">
        <v>7475</v>
      </c>
      <c r="AZ584" s="3" t="s">
        <v>73</v>
      </c>
      <c r="BC584" s="3" t="s">
        <v>7476</v>
      </c>
      <c r="BD584" s="3" t="s">
        <v>7477</v>
      </c>
    </row>
    <row r="585" spans="1:56" ht="51" customHeight="1" x14ac:dyDescent="0.25">
      <c r="A585" s="7" t="s">
        <v>58</v>
      </c>
      <c r="B585" s="2" t="s">
        <v>7478</v>
      </c>
      <c r="C585" s="2" t="s">
        <v>7479</v>
      </c>
      <c r="D585" s="2" t="s">
        <v>7480</v>
      </c>
      <c r="F585" s="3" t="s">
        <v>58</v>
      </c>
      <c r="G585" s="3" t="s">
        <v>59</v>
      </c>
      <c r="H585" s="3" t="s">
        <v>58</v>
      </c>
      <c r="I585" s="3" t="s">
        <v>58</v>
      </c>
      <c r="J585" s="3" t="s">
        <v>60</v>
      </c>
      <c r="L585" s="2" t="s">
        <v>7481</v>
      </c>
      <c r="M585" s="3" t="s">
        <v>2326</v>
      </c>
      <c r="O585" s="3" t="s">
        <v>63</v>
      </c>
      <c r="P585" s="3" t="s">
        <v>354</v>
      </c>
      <c r="R585" s="3" t="s">
        <v>65</v>
      </c>
      <c r="S585" s="4">
        <v>1</v>
      </c>
      <c r="T585" s="4">
        <v>1</v>
      </c>
      <c r="U585" s="5" t="s">
        <v>7482</v>
      </c>
      <c r="V585" s="5" t="s">
        <v>7482</v>
      </c>
      <c r="W585" s="5" t="s">
        <v>7482</v>
      </c>
      <c r="X585" s="5" t="s">
        <v>7482</v>
      </c>
      <c r="Y585" s="4">
        <v>344</v>
      </c>
      <c r="Z585" s="4">
        <v>289</v>
      </c>
      <c r="AA585" s="4">
        <v>291</v>
      </c>
      <c r="AB585" s="4">
        <v>3</v>
      </c>
      <c r="AC585" s="4">
        <v>3</v>
      </c>
      <c r="AD585" s="4">
        <v>15</v>
      </c>
      <c r="AE585" s="4">
        <v>15</v>
      </c>
      <c r="AF585" s="4">
        <v>6</v>
      </c>
      <c r="AG585" s="4">
        <v>6</v>
      </c>
      <c r="AH585" s="4">
        <v>3</v>
      </c>
      <c r="AI585" s="4">
        <v>3</v>
      </c>
      <c r="AJ585" s="4">
        <v>8</v>
      </c>
      <c r="AK585" s="4">
        <v>8</v>
      </c>
      <c r="AL585" s="4">
        <v>2</v>
      </c>
      <c r="AM585" s="4">
        <v>2</v>
      </c>
      <c r="AN585" s="4">
        <v>0</v>
      </c>
      <c r="AO585" s="4">
        <v>0</v>
      </c>
      <c r="AP585" s="3" t="s">
        <v>58</v>
      </c>
      <c r="AQ585" s="3" t="s">
        <v>68</v>
      </c>
      <c r="AR585" s="6" t="str">
        <f>HYPERLINK("http://catalog.hathitrust.org/Record/006820130","HathiTrust Record")</f>
        <v>HathiTrust Record</v>
      </c>
      <c r="AS585" s="6" t="str">
        <f>HYPERLINK("https://creighton-primo.hosted.exlibrisgroup.com/primo-explore/search?tab=default_tab&amp;search_scope=EVERYTHING&amp;vid=01CRU&amp;lang=en_US&amp;offset=0&amp;query=any,contains,991005388559702656","Catalog Record")</f>
        <v>Catalog Record</v>
      </c>
      <c r="AT585" s="6" t="str">
        <f>HYPERLINK("http://www.worldcat.org/oclc/223108144","WorldCat Record")</f>
        <v>WorldCat Record</v>
      </c>
      <c r="AU585" s="3" t="s">
        <v>7483</v>
      </c>
      <c r="AV585" s="3" t="s">
        <v>7484</v>
      </c>
      <c r="AW585" s="3" t="s">
        <v>7485</v>
      </c>
      <c r="AX585" s="3" t="s">
        <v>7485</v>
      </c>
      <c r="AY585" s="3" t="s">
        <v>7486</v>
      </c>
      <c r="AZ585" s="3" t="s">
        <v>73</v>
      </c>
      <c r="BB585" s="3" t="s">
        <v>7487</v>
      </c>
      <c r="BC585" s="3" t="s">
        <v>7488</v>
      </c>
      <c r="BD585" s="3" t="s">
        <v>7489</v>
      </c>
    </row>
    <row r="586" spans="1:56" ht="51" customHeight="1" x14ac:dyDescent="0.25">
      <c r="A586" s="7" t="s">
        <v>58</v>
      </c>
      <c r="B586" s="2" t="s">
        <v>7490</v>
      </c>
      <c r="C586" s="2" t="s">
        <v>7491</v>
      </c>
      <c r="D586" s="2" t="s">
        <v>7492</v>
      </c>
      <c r="F586" s="3" t="s">
        <v>58</v>
      </c>
      <c r="G586" s="3" t="s">
        <v>59</v>
      </c>
      <c r="H586" s="3" t="s">
        <v>58</v>
      </c>
      <c r="I586" s="3" t="s">
        <v>58</v>
      </c>
      <c r="J586" s="3" t="s">
        <v>60</v>
      </c>
      <c r="K586" s="2" t="s">
        <v>7493</v>
      </c>
      <c r="L586" s="2" t="s">
        <v>7494</v>
      </c>
      <c r="M586" s="3" t="s">
        <v>2326</v>
      </c>
      <c r="N586" s="2" t="s">
        <v>7495</v>
      </c>
      <c r="O586" s="3" t="s">
        <v>63</v>
      </c>
      <c r="P586" s="3" t="s">
        <v>584</v>
      </c>
      <c r="R586" s="3" t="s">
        <v>65</v>
      </c>
      <c r="S586" s="4">
        <v>2</v>
      </c>
      <c r="T586" s="4">
        <v>2</v>
      </c>
      <c r="U586" s="5" t="s">
        <v>7496</v>
      </c>
      <c r="V586" s="5" t="s">
        <v>7496</v>
      </c>
      <c r="W586" s="5" t="s">
        <v>7497</v>
      </c>
      <c r="X586" s="5" t="s">
        <v>7497</v>
      </c>
      <c r="Y586" s="4">
        <v>504</v>
      </c>
      <c r="Z586" s="4">
        <v>361</v>
      </c>
      <c r="AA586" s="4">
        <v>481</v>
      </c>
      <c r="AB586" s="4">
        <v>2</v>
      </c>
      <c r="AC586" s="4">
        <v>3</v>
      </c>
      <c r="AD586" s="4">
        <v>15</v>
      </c>
      <c r="AE586" s="4">
        <v>19</v>
      </c>
      <c r="AF586" s="4">
        <v>5</v>
      </c>
      <c r="AG586" s="4">
        <v>6</v>
      </c>
      <c r="AH586" s="4">
        <v>4</v>
      </c>
      <c r="AI586" s="4">
        <v>5</v>
      </c>
      <c r="AJ586" s="4">
        <v>8</v>
      </c>
      <c r="AK586" s="4">
        <v>10</v>
      </c>
      <c r="AL586" s="4">
        <v>1</v>
      </c>
      <c r="AM586" s="4">
        <v>2</v>
      </c>
      <c r="AN586" s="4">
        <v>0</v>
      </c>
      <c r="AO586" s="4">
        <v>0</v>
      </c>
      <c r="AP586" s="3" t="s">
        <v>58</v>
      </c>
      <c r="AQ586" s="3" t="s">
        <v>58</v>
      </c>
      <c r="AS586" s="6" t="str">
        <f>HYPERLINK("https://creighton-primo.hosted.exlibrisgroup.com/primo-explore/search?tab=default_tab&amp;search_scope=EVERYTHING&amp;vid=01CRU&amp;lang=en_US&amp;offset=0&amp;query=any,contains,991005361679702656","Catalog Record")</f>
        <v>Catalog Record</v>
      </c>
      <c r="AT586" s="6" t="str">
        <f>HYPERLINK("http://www.worldcat.org/oclc/317919518","WorldCat Record")</f>
        <v>WorldCat Record</v>
      </c>
      <c r="AU586" s="3" t="s">
        <v>7498</v>
      </c>
      <c r="AV586" s="3" t="s">
        <v>7499</v>
      </c>
      <c r="AW586" s="3" t="s">
        <v>7500</v>
      </c>
      <c r="AX586" s="3" t="s">
        <v>7500</v>
      </c>
      <c r="AY586" s="3" t="s">
        <v>7501</v>
      </c>
      <c r="AZ586" s="3" t="s">
        <v>73</v>
      </c>
      <c r="BB586" s="3" t="s">
        <v>7502</v>
      </c>
      <c r="BC586" s="3" t="s">
        <v>7503</v>
      </c>
      <c r="BD586" s="3" t="s">
        <v>7504</v>
      </c>
    </row>
    <row r="587" spans="1:56" ht="51" customHeight="1" x14ac:dyDescent="0.25">
      <c r="A587" s="7" t="s">
        <v>58</v>
      </c>
      <c r="B587" s="2" t="s">
        <v>7505</v>
      </c>
      <c r="C587" s="2" t="s">
        <v>7506</v>
      </c>
      <c r="D587" s="2" t="s">
        <v>7507</v>
      </c>
      <c r="F587" s="3" t="s">
        <v>58</v>
      </c>
      <c r="G587" s="3" t="s">
        <v>59</v>
      </c>
      <c r="H587" s="3" t="s">
        <v>58</v>
      </c>
      <c r="I587" s="3" t="s">
        <v>58</v>
      </c>
      <c r="J587" s="3" t="s">
        <v>60</v>
      </c>
      <c r="K587" s="2" t="s">
        <v>7508</v>
      </c>
      <c r="L587" s="2" t="s">
        <v>7509</v>
      </c>
      <c r="M587" s="3" t="s">
        <v>4023</v>
      </c>
      <c r="O587" s="3" t="s">
        <v>63</v>
      </c>
      <c r="P587" s="3" t="s">
        <v>2061</v>
      </c>
      <c r="Q587" s="2" t="s">
        <v>7510</v>
      </c>
      <c r="R587" s="3" t="s">
        <v>65</v>
      </c>
      <c r="S587" s="4">
        <v>2</v>
      </c>
      <c r="T587" s="4">
        <v>2</v>
      </c>
      <c r="U587" s="5" t="s">
        <v>7511</v>
      </c>
      <c r="V587" s="5" t="s">
        <v>7511</v>
      </c>
      <c r="W587" s="5" t="s">
        <v>7511</v>
      </c>
      <c r="X587" s="5" t="s">
        <v>7511</v>
      </c>
      <c r="Y587" s="4">
        <v>588</v>
      </c>
      <c r="Z587" s="4">
        <v>538</v>
      </c>
      <c r="AA587" s="4">
        <v>1030</v>
      </c>
      <c r="AB587" s="4">
        <v>4</v>
      </c>
      <c r="AC587" s="4">
        <v>5</v>
      </c>
      <c r="AD587" s="4">
        <v>25</v>
      </c>
      <c r="AE587" s="4">
        <v>32</v>
      </c>
      <c r="AF587" s="4">
        <v>15</v>
      </c>
      <c r="AG587" s="4">
        <v>19</v>
      </c>
      <c r="AH587" s="4">
        <v>5</v>
      </c>
      <c r="AI587" s="4">
        <v>7</v>
      </c>
      <c r="AJ587" s="4">
        <v>10</v>
      </c>
      <c r="AK587" s="4">
        <v>12</v>
      </c>
      <c r="AL587" s="4">
        <v>2</v>
      </c>
      <c r="AM587" s="4">
        <v>3</v>
      </c>
      <c r="AN587" s="4">
        <v>1</v>
      </c>
      <c r="AO587" s="4">
        <v>1</v>
      </c>
      <c r="AP587" s="3" t="s">
        <v>58</v>
      </c>
      <c r="AQ587" s="3" t="s">
        <v>68</v>
      </c>
      <c r="AR587" s="6" t="str">
        <f>HYPERLINK("http://catalog.hathitrust.org/Record/004925917","HathiTrust Record")</f>
        <v>HathiTrust Record</v>
      </c>
      <c r="AS587" s="6" t="str">
        <f>HYPERLINK("https://creighton-primo.hosted.exlibrisgroup.com/primo-explore/search?tab=default_tab&amp;search_scope=EVERYTHING&amp;vid=01CRU&amp;lang=en_US&amp;offset=0&amp;query=any,contains,991004453149702656","Catalog Record")</f>
        <v>Catalog Record</v>
      </c>
      <c r="AT587" s="6" t="str">
        <f>HYPERLINK("http://www.worldcat.org/oclc/56421972","WorldCat Record")</f>
        <v>WorldCat Record</v>
      </c>
      <c r="AU587" s="3" t="s">
        <v>7512</v>
      </c>
      <c r="AV587" s="3" t="s">
        <v>7513</v>
      </c>
      <c r="AW587" s="3" t="s">
        <v>7514</v>
      </c>
      <c r="AX587" s="3" t="s">
        <v>7514</v>
      </c>
      <c r="AY587" s="3" t="s">
        <v>7515</v>
      </c>
      <c r="AZ587" s="3" t="s">
        <v>73</v>
      </c>
      <c r="BB587" s="3" t="s">
        <v>7516</v>
      </c>
      <c r="BC587" s="3" t="s">
        <v>7517</v>
      </c>
      <c r="BD587" s="3" t="s">
        <v>7518</v>
      </c>
    </row>
    <row r="588" spans="1:56" ht="51" customHeight="1" x14ac:dyDescent="0.25">
      <c r="A588" s="7" t="s">
        <v>58</v>
      </c>
      <c r="B588" s="2" t="s">
        <v>7519</v>
      </c>
      <c r="C588" s="2" t="s">
        <v>7520</v>
      </c>
      <c r="D588" s="2" t="s">
        <v>7521</v>
      </c>
      <c r="F588" s="3" t="s">
        <v>58</v>
      </c>
      <c r="G588" s="3" t="s">
        <v>59</v>
      </c>
      <c r="H588" s="3" t="s">
        <v>58</v>
      </c>
      <c r="I588" s="3" t="s">
        <v>58</v>
      </c>
      <c r="J588" s="3" t="s">
        <v>60</v>
      </c>
      <c r="K588" s="2" t="s">
        <v>7522</v>
      </c>
      <c r="L588" s="2" t="s">
        <v>7523</v>
      </c>
      <c r="M588" s="3" t="s">
        <v>2295</v>
      </c>
      <c r="N588" s="2" t="s">
        <v>338</v>
      </c>
      <c r="O588" s="3" t="s">
        <v>63</v>
      </c>
      <c r="P588" s="3" t="s">
        <v>2061</v>
      </c>
      <c r="R588" s="3" t="s">
        <v>65</v>
      </c>
      <c r="S588" s="4">
        <v>1</v>
      </c>
      <c r="T588" s="4">
        <v>1</v>
      </c>
      <c r="U588" s="5" t="s">
        <v>7524</v>
      </c>
      <c r="V588" s="5" t="s">
        <v>7524</v>
      </c>
      <c r="W588" s="5" t="s">
        <v>7525</v>
      </c>
      <c r="X588" s="5" t="s">
        <v>7525</v>
      </c>
      <c r="Y588" s="4">
        <v>604</v>
      </c>
      <c r="Z588" s="4">
        <v>519</v>
      </c>
      <c r="AA588" s="4">
        <v>584</v>
      </c>
      <c r="AB588" s="4">
        <v>5</v>
      </c>
      <c r="AC588" s="4">
        <v>5</v>
      </c>
      <c r="AD588" s="4">
        <v>19</v>
      </c>
      <c r="AE588" s="4">
        <v>20</v>
      </c>
      <c r="AF588" s="4">
        <v>6</v>
      </c>
      <c r="AG588" s="4">
        <v>6</v>
      </c>
      <c r="AH588" s="4">
        <v>5</v>
      </c>
      <c r="AI588" s="4">
        <v>5</v>
      </c>
      <c r="AJ588" s="4">
        <v>8</v>
      </c>
      <c r="AK588" s="4">
        <v>9</v>
      </c>
      <c r="AL588" s="4">
        <v>3</v>
      </c>
      <c r="AM588" s="4">
        <v>3</v>
      </c>
      <c r="AN588" s="4">
        <v>1</v>
      </c>
      <c r="AO588" s="4">
        <v>1</v>
      </c>
      <c r="AP588" s="3" t="s">
        <v>58</v>
      </c>
      <c r="AQ588" s="3" t="s">
        <v>68</v>
      </c>
      <c r="AR588" s="6" t="str">
        <f>HYPERLINK("http://catalog.hathitrust.org/Record/004335217","HathiTrust Record")</f>
        <v>HathiTrust Record</v>
      </c>
      <c r="AS588" s="6" t="str">
        <f>HYPERLINK("https://creighton-primo.hosted.exlibrisgroup.com/primo-explore/search?tab=default_tab&amp;search_scope=EVERYTHING&amp;vid=01CRU&amp;lang=en_US&amp;offset=0&amp;query=any,contains,991004149449702656","Catalog Record")</f>
        <v>Catalog Record</v>
      </c>
      <c r="AT588" s="6" t="str">
        <f>HYPERLINK("http://www.worldcat.org/oclc/51898707","WorldCat Record")</f>
        <v>WorldCat Record</v>
      </c>
      <c r="AU588" s="3" t="s">
        <v>7526</v>
      </c>
      <c r="AV588" s="3" t="s">
        <v>7527</v>
      </c>
      <c r="AW588" s="3" t="s">
        <v>7528</v>
      </c>
      <c r="AX588" s="3" t="s">
        <v>7528</v>
      </c>
      <c r="AY588" s="3" t="s">
        <v>7529</v>
      </c>
      <c r="AZ588" s="3" t="s">
        <v>73</v>
      </c>
      <c r="BB588" s="3" t="s">
        <v>7530</v>
      </c>
      <c r="BC588" s="3" t="s">
        <v>7531</v>
      </c>
      <c r="BD588" s="3" t="s">
        <v>7532</v>
      </c>
    </row>
    <row r="589" spans="1:56" ht="51" customHeight="1" x14ac:dyDescent="0.25">
      <c r="A589" s="7" t="s">
        <v>58</v>
      </c>
      <c r="B589" s="2" t="s">
        <v>7533</v>
      </c>
      <c r="C589" s="2" t="s">
        <v>7534</v>
      </c>
      <c r="D589" s="2" t="s">
        <v>7535</v>
      </c>
      <c r="F589" s="3" t="s">
        <v>58</v>
      </c>
      <c r="G589" s="3" t="s">
        <v>59</v>
      </c>
      <c r="H589" s="3" t="s">
        <v>58</v>
      </c>
      <c r="I589" s="3" t="s">
        <v>58</v>
      </c>
      <c r="J589" s="3" t="s">
        <v>60</v>
      </c>
      <c r="K589" s="2" t="s">
        <v>7536</v>
      </c>
      <c r="L589" s="2" t="s">
        <v>7537</v>
      </c>
      <c r="M589" s="3" t="s">
        <v>138</v>
      </c>
      <c r="O589" s="3" t="s">
        <v>63</v>
      </c>
      <c r="P589" s="3" t="s">
        <v>214</v>
      </c>
      <c r="R589" s="3" t="s">
        <v>65</v>
      </c>
      <c r="S589" s="4">
        <v>2</v>
      </c>
      <c r="T589" s="4">
        <v>2</v>
      </c>
      <c r="U589" s="5" t="s">
        <v>7538</v>
      </c>
      <c r="V589" s="5" t="s">
        <v>7538</v>
      </c>
      <c r="W589" s="5" t="s">
        <v>5321</v>
      </c>
      <c r="X589" s="5" t="s">
        <v>5321</v>
      </c>
      <c r="Y589" s="4">
        <v>818</v>
      </c>
      <c r="Z589" s="4">
        <v>674</v>
      </c>
      <c r="AA589" s="4">
        <v>832</v>
      </c>
      <c r="AB589" s="4">
        <v>4</v>
      </c>
      <c r="AC589" s="4">
        <v>5</v>
      </c>
      <c r="AD589" s="4">
        <v>31</v>
      </c>
      <c r="AE589" s="4">
        <v>39</v>
      </c>
      <c r="AF589" s="4">
        <v>14</v>
      </c>
      <c r="AG589" s="4">
        <v>16</v>
      </c>
      <c r="AH589" s="4">
        <v>8</v>
      </c>
      <c r="AI589" s="4">
        <v>10</v>
      </c>
      <c r="AJ589" s="4">
        <v>17</v>
      </c>
      <c r="AK589" s="4">
        <v>21</v>
      </c>
      <c r="AL589" s="4">
        <v>3</v>
      </c>
      <c r="AM589" s="4">
        <v>4</v>
      </c>
      <c r="AN589" s="4">
        <v>0</v>
      </c>
      <c r="AO589" s="4">
        <v>0</v>
      </c>
      <c r="AP589" s="3" t="s">
        <v>58</v>
      </c>
      <c r="AQ589" s="3" t="s">
        <v>68</v>
      </c>
      <c r="AR589" s="6" t="str">
        <f>HYPERLINK("http://catalog.hathitrust.org/Record/000261815","HathiTrust Record")</f>
        <v>HathiTrust Record</v>
      </c>
      <c r="AS589" s="6" t="str">
        <f>HYPERLINK("https://creighton-primo.hosted.exlibrisgroup.com/primo-explore/search?tab=default_tab&amp;search_scope=EVERYTHING&amp;vid=01CRU&amp;lang=en_US&amp;offset=0&amp;query=any,contains,991005168789702656","Catalog Record")</f>
        <v>Catalog Record</v>
      </c>
      <c r="AT589" s="6" t="str">
        <f>HYPERLINK("http://www.worldcat.org/oclc/7837637","WorldCat Record")</f>
        <v>WorldCat Record</v>
      </c>
      <c r="AU589" s="3" t="s">
        <v>7539</v>
      </c>
      <c r="AV589" s="3" t="s">
        <v>7540</v>
      </c>
      <c r="AW589" s="3" t="s">
        <v>7541</v>
      </c>
      <c r="AX589" s="3" t="s">
        <v>7541</v>
      </c>
      <c r="AY589" s="3" t="s">
        <v>7542</v>
      </c>
      <c r="AZ589" s="3" t="s">
        <v>73</v>
      </c>
      <c r="BB589" s="3" t="s">
        <v>7543</v>
      </c>
      <c r="BC589" s="3" t="s">
        <v>7544</v>
      </c>
      <c r="BD589" s="3" t="s">
        <v>7545</v>
      </c>
    </row>
    <row r="590" spans="1:56" ht="51" customHeight="1" x14ac:dyDescent="0.25">
      <c r="A590" s="7" t="s">
        <v>58</v>
      </c>
      <c r="B590" s="2" t="s">
        <v>7546</v>
      </c>
      <c r="C590" s="2" t="s">
        <v>7547</v>
      </c>
      <c r="D590" s="2" t="s">
        <v>7548</v>
      </c>
      <c r="F590" s="3" t="s">
        <v>58</v>
      </c>
      <c r="G590" s="3" t="s">
        <v>59</v>
      </c>
      <c r="H590" s="3" t="s">
        <v>58</v>
      </c>
      <c r="I590" s="3" t="s">
        <v>58</v>
      </c>
      <c r="J590" s="3" t="s">
        <v>60</v>
      </c>
      <c r="K590" s="2" t="s">
        <v>7549</v>
      </c>
      <c r="L590" s="2" t="s">
        <v>7550</v>
      </c>
      <c r="M590" s="3" t="s">
        <v>1544</v>
      </c>
      <c r="O590" s="3" t="s">
        <v>63</v>
      </c>
      <c r="P590" s="3" t="s">
        <v>197</v>
      </c>
      <c r="R590" s="3" t="s">
        <v>65</v>
      </c>
      <c r="S590" s="4">
        <v>2</v>
      </c>
      <c r="T590" s="4">
        <v>2</v>
      </c>
      <c r="U590" s="5" t="s">
        <v>1666</v>
      </c>
      <c r="V590" s="5" t="s">
        <v>1666</v>
      </c>
      <c r="W590" s="5" t="s">
        <v>7551</v>
      </c>
      <c r="X590" s="5" t="s">
        <v>7551</v>
      </c>
      <c r="Y590" s="4">
        <v>441</v>
      </c>
      <c r="Z590" s="4">
        <v>360</v>
      </c>
      <c r="AA590" s="4">
        <v>363</v>
      </c>
      <c r="AB590" s="4">
        <v>2</v>
      </c>
      <c r="AC590" s="4">
        <v>2</v>
      </c>
      <c r="AD590" s="4">
        <v>23</v>
      </c>
      <c r="AE590" s="4">
        <v>23</v>
      </c>
      <c r="AF590" s="4">
        <v>11</v>
      </c>
      <c r="AG590" s="4">
        <v>11</v>
      </c>
      <c r="AH590" s="4">
        <v>5</v>
      </c>
      <c r="AI590" s="4">
        <v>5</v>
      </c>
      <c r="AJ590" s="4">
        <v>13</v>
      </c>
      <c r="AK590" s="4">
        <v>13</v>
      </c>
      <c r="AL590" s="4">
        <v>0</v>
      </c>
      <c r="AM590" s="4">
        <v>0</v>
      </c>
      <c r="AN590" s="4">
        <v>0</v>
      </c>
      <c r="AO590" s="4">
        <v>0</v>
      </c>
      <c r="AP590" s="3" t="s">
        <v>58</v>
      </c>
      <c r="AQ590" s="3" t="s">
        <v>68</v>
      </c>
      <c r="AR590" s="6" t="str">
        <f>HYPERLINK("http://catalog.hathitrust.org/Record/002557510","HathiTrust Record")</f>
        <v>HathiTrust Record</v>
      </c>
      <c r="AS590" s="6" t="str">
        <f>HYPERLINK("https://creighton-primo.hosted.exlibrisgroup.com/primo-explore/search?tab=default_tab&amp;search_scope=EVERYTHING&amp;vid=01CRU&amp;lang=en_US&amp;offset=0&amp;query=any,contains,991001948319702656","Catalog Record")</f>
        <v>Catalog Record</v>
      </c>
      <c r="AT590" s="6" t="str">
        <f>HYPERLINK("http://www.worldcat.org/oclc/24628316","WorldCat Record")</f>
        <v>WorldCat Record</v>
      </c>
      <c r="AU590" s="3" t="s">
        <v>7552</v>
      </c>
      <c r="AV590" s="3" t="s">
        <v>7553</v>
      </c>
      <c r="AW590" s="3" t="s">
        <v>7554</v>
      </c>
      <c r="AX590" s="3" t="s">
        <v>7554</v>
      </c>
      <c r="AY590" s="3" t="s">
        <v>7555</v>
      </c>
      <c r="AZ590" s="3" t="s">
        <v>73</v>
      </c>
      <c r="BB590" s="3" t="s">
        <v>7556</v>
      </c>
      <c r="BC590" s="3" t="s">
        <v>7557</v>
      </c>
      <c r="BD590" s="3" t="s">
        <v>7558</v>
      </c>
    </row>
    <row r="591" spans="1:56" ht="51" customHeight="1" x14ac:dyDescent="0.25">
      <c r="A591" s="7" t="s">
        <v>58</v>
      </c>
      <c r="B591" s="2" t="s">
        <v>7559</v>
      </c>
      <c r="C591" s="2" t="s">
        <v>7560</v>
      </c>
      <c r="D591" s="2" t="s">
        <v>7561</v>
      </c>
      <c r="F591" s="3" t="s">
        <v>58</v>
      </c>
      <c r="G591" s="3" t="s">
        <v>59</v>
      </c>
      <c r="H591" s="3" t="s">
        <v>58</v>
      </c>
      <c r="I591" s="3" t="s">
        <v>58</v>
      </c>
      <c r="J591" s="3" t="s">
        <v>60</v>
      </c>
      <c r="K591" s="2" t="s">
        <v>7562</v>
      </c>
      <c r="L591" s="2" t="s">
        <v>7563</v>
      </c>
      <c r="M591" s="3" t="s">
        <v>4023</v>
      </c>
      <c r="N591" s="2" t="s">
        <v>7564</v>
      </c>
      <c r="O591" s="3" t="s">
        <v>63</v>
      </c>
      <c r="P591" s="3" t="s">
        <v>214</v>
      </c>
      <c r="Q591" s="2" t="s">
        <v>7565</v>
      </c>
      <c r="R591" s="3" t="s">
        <v>65</v>
      </c>
      <c r="S591" s="4">
        <v>4</v>
      </c>
      <c r="T591" s="4">
        <v>4</v>
      </c>
      <c r="U591" s="5" t="s">
        <v>7566</v>
      </c>
      <c r="V591" s="5" t="s">
        <v>7566</v>
      </c>
      <c r="W591" s="5" t="s">
        <v>7567</v>
      </c>
      <c r="X591" s="5" t="s">
        <v>7567</v>
      </c>
      <c r="Y591" s="4">
        <v>96</v>
      </c>
      <c r="Z591" s="4">
        <v>74</v>
      </c>
      <c r="AA591" s="4">
        <v>1119</v>
      </c>
      <c r="AB591" s="4">
        <v>2</v>
      </c>
      <c r="AC591" s="4">
        <v>7</v>
      </c>
      <c r="AD591" s="4">
        <v>4</v>
      </c>
      <c r="AE591" s="4">
        <v>54</v>
      </c>
      <c r="AF591" s="4">
        <v>1</v>
      </c>
      <c r="AG591" s="4">
        <v>24</v>
      </c>
      <c r="AH591" s="4">
        <v>2</v>
      </c>
      <c r="AI591" s="4">
        <v>11</v>
      </c>
      <c r="AJ591" s="4">
        <v>2</v>
      </c>
      <c r="AK591" s="4">
        <v>26</v>
      </c>
      <c r="AL591" s="4">
        <v>1</v>
      </c>
      <c r="AM591" s="4">
        <v>6</v>
      </c>
      <c r="AN591" s="4">
        <v>0</v>
      </c>
      <c r="AO591" s="4">
        <v>0</v>
      </c>
      <c r="AP591" s="3" t="s">
        <v>58</v>
      </c>
      <c r="AQ591" s="3" t="s">
        <v>58</v>
      </c>
      <c r="AS591" s="6" t="str">
        <f>HYPERLINK("https://creighton-primo.hosted.exlibrisgroup.com/primo-explore/search?tab=default_tab&amp;search_scope=EVERYTHING&amp;vid=01CRU&amp;lang=en_US&amp;offset=0&amp;query=any,contains,991004516049702656","Catalog Record")</f>
        <v>Catalog Record</v>
      </c>
      <c r="AT591" s="6" t="str">
        <f>HYPERLINK("http://www.worldcat.org/oclc/57366369","WorldCat Record")</f>
        <v>WorldCat Record</v>
      </c>
      <c r="AU591" s="3" t="s">
        <v>7568</v>
      </c>
      <c r="AV591" s="3" t="s">
        <v>7569</v>
      </c>
      <c r="AW591" s="3" t="s">
        <v>7570</v>
      </c>
      <c r="AX591" s="3" t="s">
        <v>7570</v>
      </c>
      <c r="AY591" s="3" t="s">
        <v>7571</v>
      </c>
      <c r="AZ591" s="3" t="s">
        <v>73</v>
      </c>
      <c r="BB591" s="3" t="s">
        <v>7572</v>
      </c>
      <c r="BC591" s="3" t="s">
        <v>7573</v>
      </c>
      <c r="BD591" s="3" t="s">
        <v>7574</v>
      </c>
    </row>
    <row r="592" spans="1:56" ht="51" customHeight="1" x14ac:dyDescent="0.25">
      <c r="A592" s="7" t="s">
        <v>58</v>
      </c>
      <c r="B592" s="2" t="s">
        <v>7575</v>
      </c>
      <c r="C592" s="2" t="s">
        <v>7576</v>
      </c>
      <c r="D592" s="2" t="s">
        <v>7577</v>
      </c>
      <c r="F592" s="3" t="s">
        <v>58</v>
      </c>
      <c r="G592" s="3" t="s">
        <v>59</v>
      </c>
      <c r="H592" s="3" t="s">
        <v>58</v>
      </c>
      <c r="I592" s="3" t="s">
        <v>58</v>
      </c>
      <c r="J592" s="3" t="s">
        <v>60</v>
      </c>
      <c r="K592" s="2" t="s">
        <v>7578</v>
      </c>
      <c r="L592" s="2" t="s">
        <v>7579</v>
      </c>
      <c r="M592" s="3" t="s">
        <v>2295</v>
      </c>
      <c r="N592" s="2" t="s">
        <v>338</v>
      </c>
      <c r="O592" s="3" t="s">
        <v>63</v>
      </c>
      <c r="P592" s="3" t="s">
        <v>2061</v>
      </c>
      <c r="R592" s="3" t="s">
        <v>65</v>
      </c>
      <c r="S592" s="4">
        <v>1</v>
      </c>
      <c r="T592" s="4">
        <v>1</v>
      </c>
      <c r="U592" s="5" t="s">
        <v>7580</v>
      </c>
      <c r="V592" s="5" t="s">
        <v>7580</v>
      </c>
      <c r="W592" s="5" t="s">
        <v>7580</v>
      </c>
      <c r="X592" s="5" t="s">
        <v>7580</v>
      </c>
      <c r="Y592" s="4">
        <v>638</v>
      </c>
      <c r="Z592" s="4">
        <v>583</v>
      </c>
      <c r="AA592" s="4">
        <v>596</v>
      </c>
      <c r="AB592" s="4">
        <v>6</v>
      </c>
      <c r="AC592" s="4">
        <v>6</v>
      </c>
      <c r="AD592" s="4">
        <v>24</v>
      </c>
      <c r="AE592" s="4">
        <v>24</v>
      </c>
      <c r="AF592" s="4">
        <v>9</v>
      </c>
      <c r="AG592" s="4">
        <v>9</v>
      </c>
      <c r="AH592" s="4">
        <v>5</v>
      </c>
      <c r="AI592" s="4">
        <v>5</v>
      </c>
      <c r="AJ592" s="4">
        <v>11</v>
      </c>
      <c r="AK592" s="4">
        <v>11</v>
      </c>
      <c r="AL592" s="4">
        <v>5</v>
      </c>
      <c r="AM592" s="4">
        <v>5</v>
      </c>
      <c r="AN592" s="4">
        <v>0</v>
      </c>
      <c r="AO592" s="4">
        <v>0</v>
      </c>
      <c r="AP592" s="3" t="s">
        <v>58</v>
      </c>
      <c r="AQ592" s="3" t="s">
        <v>58</v>
      </c>
      <c r="AS592" s="6" t="str">
        <f>HYPERLINK("https://creighton-primo.hosted.exlibrisgroup.com/primo-explore/search?tab=default_tab&amp;search_scope=EVERYTHING&amp;vid=01CRU&amp;lang=en_US&amp;offset=0&amp;query=any,contains,991004199799702656","Catalog Record")</f>
        <v>Catalog Record</v>
      </c>
      <c r="AT592" s="6" t="str">
        <f>HYPERLINK("http://www.worldcat.org/oclc/53374901","WorldCat Record")</f>
        <v>WorldCat Record</v>
      </c>
      <c r="AU592" s="3" t="s">
        <v>7581</v>
      </c>
      <c r="AV592" s="3" t="s">
        <v>7582</v>
      </c>
      <c r="AW592" s="3" t="s">
        <v>7583</v>
      </c>
      <c r="AX592" s="3" t="s">
        <v>7583</v>
      </c>
      <c r="AY592" s="3" t="s">
        <v>7584</v>
      </c>
      <c r="AZ592" s="3" t="s">
        <v>73</v>
      </c>
      <c r="BB592" s="3" t="s">
        <v>7585</v>
      </c>
      <c r="BC592" s="3" t="s">
        <v>7586</v>
      </c>
      <c r="BD592" s="3" t="s">
        <v>7587</v>
      </c>
    </row>
    <row r="593" spans="1:56" ht="51" customHeight="1" x14ac:dyDescent="0.25">
      <c r="A593" s="7" t="s">
        <v>58</v>
      </c>
      <c r="B593" s="2" t="s">
        <v>7588</v>
      </c>
      <c r="C593" s="2" t="s">
        <v>7589</v>
      </c>
      <c r="D593" s="2" t="s">
        <v>7590</v>
      </c>
      <c r="F593" s="3" t="s">
        <v>58</v>
      </c>
      <c r="G593" s="3" t="s">
        <v>59</v>
      </c>
      <c r="H593" s="3" t="s">
        <v>58</v>
      </c>
      <c r="I593" s="3" t="s">
        <v>58</v>
      </c>
      <c r="J593" s="3" t="s">
        <v>60</v>
      </c>
      <c r="K593" s="2" t="s">
        <v>7591</v>
      </c>
      <c r="L593" s="2" t="s">
        <v>7592</v>
      </c>
      <c r="M593" s="3" t="s">
        <v>2132</v>
      </c>
      <c r="N593" s="2" t="s">
        <v>1470</v>
      </c>
      <c r="O593" s="3" t="s">
        <v>63</v>
      </c>
      <c r="P593" s="3" t="s">
        <v>214</v>
      </c>
      <c r="R593" s="3" t="s">
        <v>65</v>
      </c>
      <c r="S593" s="4">
        <v>3</v>
      </c>
      <c r="T593" s="4">
        <v>3</v>
      </c>
      <c r="U593" s="5" t="s">
        <v>7593</v>
      </c>
      <c r="V593" s="5" t="s">
        <v>7593</v>
      </c>
      <c r="W593" s="5" t="s">
        <v>540</v>
      </c>
      <c r="X593" s="5" t="s">
        <v>540</v>
      </c>
      <c r="Y593" s="4">
        <v>709</v>
      </c>
      <c r="Z593" s="4">
        <v>655</v>
      </c>
      <c r="AA593" s="4">
        <v>700</v>
      </c>
      <c r="AB593" s="4">
        <v>4</v>
      </c>
      <c r="AC593" s="4">
        <v>5</v>
      </c>
      <c r="AD593" s="4">
        <v>35</v>
      </c>
      <c r="AE593" s="4">
        <v>39</v>
      </c>
      <c r="AF593" s="4">
        <v>13</v>
      </c>
      <c r="AG593" s="4">
        <v>14</v>
      </c>
      <c r="AH593" s="4">
        <v>8</v>
      </c>
      <c r="AI593" s="4">
        <v>9</v>
      </c>
      <c r="AJ593" s="4">
        <v>21</v>
      </c>
      <c r="AK593" s="4">
        <v>22</v>
      </c>
      <c r="AL593" s="4">
        <v>3</v>
      </c>
      <c r="AM593" s="4">
        <v>4</v>
      </c>
      <c r="AN593" s="4">
        <v>0</v>
      </c>
      <c r="AO593" s="4">
        <v>0</v>
      </c>
      <c r="AP593" s="3" t="s">
        <v>58</v>
      </c>
      <c r="AQ593" s="3" t="s">
        <v>68</v>
      </c>
      <c r="AR593" s="6" t="str">
        <f>HYPERLINK("http://catalog.hathitrust.org/Record/000006675","HathiTrust Record")</f>
        <v>HathiTrust Record</v>
      </c>
      <c r="AS593" s="6" t="str">
        <f>HYPERLINK("https://creighton-primo.hosted.exlibrisgroup.com/primo-explore/search?tab=default_tab&amp;search_scope=EVERYTHING&amp;vid=01CRU&amp;lang=en_US&amp;offset=0&amp;query=any,contains,991002872359702656","Catalog Record")</f>
        <v>Catalog Record</v>
      </c>
      <c r="AT593" s="6" t="str">
        <f>HYPERLINK("http://www.worldcat.org/oclc/500389","WorldCat Record")</f>
        <v>WorldCat Record</v>
      </c>
      <c r="AU593" s="3" t="s">
        <v>7594</v>
      </c>
      <c r="AV593" s="3" t="s">
        <v>7595</v>
      </c>
      <c r="AW593" s="3" t="s">
        <v>7596</v>
      </c>
      <c r="AX593" s="3" t="s">
        <v>7596</v>
      </c>
      <c r="AY593" s="3" t="s">
        <v>7597</v>
      </c>
      <c r="AZ593" s="3" t="s">
        <v>73</v>
      </c>
      <c r="BC593" s="3" t="s">
        <v>7598</v>
      </c>
      <c r="BD593" s="3" t="s">
        <v>7599</v>
      </c>
    </row>
    <row r="594" spans="1:56" ht="51" customHeight="1" x14ac:dyDescent="0.25">
      <c r="A594" s="7" t="s">
        <v>58</v>
      </c>
      <c r="B594" s="2" t="s">
        <v>7600</v>
      </c>
      <c r="C594" s="2" t="s">
        <v>7601</v>
      </c>
      <c r="D594" s="2" t="s">
        <v>7602</v>
      </c>
      <c r="F594" s="3" t="s">
        <v>58</v>
      </c>
      <c r="G594" s="3" t="s">
        <v>59</v>
      </c>
      <c r="H594" s="3" t="s">
        <v>58</v>
      </c>
      <c r="I594" s="3" t="s">
        <v>58</v>
      </c>
      <c r="J594" s="3" t="s">
        <v>60</v>
      </c>
      <c r="K594" s="2" t="s">
        <v>7603</v>
      </c>
      <c r="L594" s="2" t="s">
        <v>7604</v>
      </c>
      <c r="M594" s="3" t="s">
        <v>524</v>
      </c>
      <c r="N594" s="2" t="s">
        <v>338</v>
      </c>
      <c r="O594" s="3" t="s">
        <v>63</v>
      </c>
      <c r="P594" s="3" t="s">
        <v>214</v>
      </c>
      <c r="R594" s="3" t="s">
        <v>65</v>
      </c>
      <c r="S594" s="4">
        <v>3</v>
      </c>
      <c r="T594" s="4">
        <v>3</v>
      </c>
      <c r="U594" s="5" t="s">
        <v>7605</v>
      </c>
      <c r="V594" s="5" t="s">
        <v>7605</v>
      </c>
      <c r="W594" s="5" t="s">
        <v>5321</v>
      </c>
      <c r="X594" s="5" t="s">
        <v>5321</v>
      </c>
      <c r="Y594" s="4">
        <v>842</v>
      </c>
      <c r="Z594" s="4">
        <v>755</v>
      </c>
      <c r="AA594" s="4">
        <v>877</v>
      </c>
      <c r="AB594" s="4">
        <v>4</v>
      </c>
      <c r="AC594" s="4">
        <v>5</v>
      </c>
      <c r="AD594" s="4">
        <v>29</v>
      </c>
      <c r="AE594" s="4">
        <v>39</v>
      </c>
      <c r="AF594" s="4">
        <v>9</v>
      </c>
      <c r="AG594" s="4">
        <v>13</v>
      </c>
      <c r="AH594" s="4">
        <v>8</v>
      </c>
      <c r="AI594" s="4">
        <v>9</v>
      </c>
      <c r="AJ594" s="4">
        <v>19</v>
      </c>
      <c r="AK594" s="4">
        <v>23</v>
      </c>
      <c r="AL594" s="4">
        <v>3</v>
      </c>
      <c r="AM594" s="4">
        <v>4</v>
      </c>
      <c r="AN594" s="4">
        <v>0</v>
      </c>
      <c r="AO594" s="4">
        <v>0</v>
      </c>
      <c r="AP594" s="3" t="s">
        <v>58</v>
      </c>
      <c r="AQ594" s="3" t="s">
        <v>58</v>
      </c>
      <c r="AS594" s="6" t="str">
        <f>HYPERLINK("https://creighton-primo.hosted.exlibrisgroup.com/primo-explore/search?tab=default_tab&amp;search_scope=EVERYTHING&amp;vid=01CRU&amp;lang=en_US&amp;offset=0&amp;query=any,contains,991000737909702656","Catalog Record")</f>
        <v>Catalog Record</v>
      </c>
      <c r="AT594" s="6" t="str">
        <f>HYPERLINK("http://www.worldcat.org/oclc/12804297","WorldCat Record")</f>
        <v>WorldCat Record</v>
      </c>
      <c r="AU594" s="3" t="s">
        <v>7606</v>
      </c>
      <c r="AV594" s="3" t="s">
        <v>7607</v>
      </c>
      <c r="AW594" s="3" t="s">
        <v>7608</v>
      </c>
      <c r="AX594" s="3" t="s">
        <v>7608</v>
      </c>
      <c r="AY594" s="3" t="s">
        <v>7609</v>
      </c>
      <c r="AZ594" s="3" t="s">
        <v>73</v>
      </c>
      <c r="BB594" s="3" t="s">
        <v>7610</v>
      </c>
      <c r="BC594" s="3" t="s">
        <v>7611</v>
      </c>
      <c r="BD594" s="3" t="s">
        <v>7612</v>
      </c>
    </row>
    <row r="595" spans="1:56" ht="51" customHeight="1" x14ac:dyDescent="0.25">
      <c r="A595" s="7" t="s">
        <v>58</v>
      </c>
      <c r="B595" s="2" t="s">
        <v>7613</v>
      </c>
      <c r="C595" s="2" t="s">
        <v>7614</v>
      </c>
      <c r="D595" s="2" t="s">
        <v>7615</v>
      </c>
      <c r="F595" s="3" t="s">
        <v>58</v>
      </c>
      <c r="G595" s="3" t="s">
        <v>59</v>
      </c>
      <c r="H595" s="3" t="s">
        <v>58</v>
      </c>
      <c r="I595" s="3" t="s">
        <v>58</v>
      </c>
      <c r="J595" s="3" t="s">
        <v>60</v>
      </c>
      <c r="K595" s="2" t="s">
        <v>7616</v>
      </c>
      <c r="L595" s="2" t="s">
        <v>7617</v>
      </c>
      <c r="M595" s="3" t="s">
        <v>368</v>
      </c>
      <c r="O595" s="3" t="s">
        <v>63</v>
      </c>
      <c r="P595" s="3" t="s">
        <v>214</v>
      </c>
      <c r="R595" s="3" t="s">
        <v>65</v>
      </c>
      <c r="S595" s="4">
        <v>2</v>
      </c>
      <c r="T595" s="4">
        <v>2</v>
      </c>
      <c r="U595" s="5" t="s">
        <v>1878</v>
      </c>
      <c r="V595" s="5" t="s">
        <v>1878</v>
      </c>
      <c r="W595" s="5" t="s">
        <v>7618</v>
      </c>
      <c r="X595" s="5" t="s">
        <v>7618</v>
      </c>
      <c r="Y595" s="4">
        <v>805</v>
      </c>
      <c r="Z595" s="4">
        <v>734</v>
      </c>
      <c r="AA595" s="4">
        <v>734</v>
      </c>
      <c r="AB595" s="4">
        <v>3</v>
      </c>
      <c r="AC595" s="4">
        <v>3</v>
      </c>
      <c r="AD595" s="4">
        <v>24</v>
      </c>
      <c r="AE595" s="4">
        <v>24</v>
      </c>
      <c r="AF595" s="4">
        <v>12</v>
      </c>
      <c r="AG595" s="4">
        <v>12</v>
      </c>
      <c r="AH595" s="4">
        <v>5</v>
      </c>
      <c r="AI595" s="4">
        <v>5</v>
      </c>
      <c r="AJ595" s="4">
        <v>13</v>
      </c>
      <c r="AK595" s="4">
        <v>13</v>
      </c>
      <c r="AL595" s="4">
        <v>1</v>
      </c>
      <c r="AM595" s="4">
        <v>1</v>
      </c>
      <c r="AN595" s="4">
        <v>0</v>
      </c>
      <c r="AO595" s="4">
        <v>0</v>
      </c>
      <c r="AP595" s="3" t="s">
        <v>58</v>
      </c>
      <c r="AQ595" s="3" t="s">
        <v>58</v>
      </c>
      <c r="AS595" s="6" t="str">
        <f>HYPERLINK("https://creighton-primo.hosted.exlibrisgroup.com/primo-explore/search?tab=default_tab&amp;search_scope=EVERYTHING&amp;vid=01CRU&amp;lang=en_US&amp;offset=0&amp;query=any,contains,991003918079702656","Catalog Record")</f>
        <v>Catalog Record</v>
      </c>
      <c r="AT595" s="6" t="str">
        <f>HYPERLINK("http://www.worldcat.org/oclc/1863576","WorldCat Record")</f>
        <v>WorldCat Record</v>
      </c>
      <c r="AU595" s="3" t="s">
        <v>7619</v>
      </c>
      <c r="AV595" s="3" t="s">
        <v>7620</v>
      </c>
      <c r="AW595" s="3" t="s">
        <v>7621</v>
      </c>
      <c r="AX595" s="3" t="s">
        <v>7621</v>
      </c>
      <c r="AY595" s="3" t="s">
        <v>7622</v>
      </c>
      <c r="AZ595" s="3" t="s">
        <v>73</v>
      </c>
      <c r="BB595" s="3" t="s">
        <v>7623</v>
      </c>
      <c r="BC595" s="3" t="s">
        <v>7624</v>
      </c>
      <c r="BD595" s="3" t="s">
        <v>7625</v>
      </c>
    </row>
    <row r="596" spans="1:56" ht="51" customHeight="1" x14ac:dyDescent="0.25">
      <c r="A596" s="7" t="s">
        <v>58</v>
      </c>
      <c r="B596" s="2" t="s">
        <v>7626</v>
      </c>
      <c r="C596" s="2" t="s">
        <v>7627</v>
      </c>
      <c r="D596" s="2" t="s">
        <v>7628</v>
      </c>
      <c r="E596" s="3" t="s">
        <v>223</v>
      </c>
      <c r="F596" s="3" t="s">
        <v>68</v>
      </c>
      <c r="G596" s="3" t="s">
        <v>59</v>
      </c>
      <c r="H596" s="3" t="s">
        <v>58</v>
      </c>
      <c r="I596" s="3" t="s">
        <v>58</v>
      </c>
      <c r="J596" s="3" t="s">
        <v>60</v>
      </c>
      <c r="K596" s="2" t="s">
        <v>7629</v>
      </c>
      <c r="L596" s="2" t="s">
        <v>7630</v>
      </c>
      <c r="M596" s="3" t="s">
        <v>249</v>
      </c>
      <c r="O596" s="3" t="s">
        <v>63</v>
      </c>
      <c r="P596" s="3" t="s">
        <v>214</v>
      </c>
      <c r="R596" s="3" t="s">
        <v>65</v>
      </c>
      <c r="S596" s="4">
        <v>0</v>
      </c>
      <c r="T596" s="4">
        <v>0</v>
      </c>
      <c r="U596" s="5" t="s">
        <v>7631</v>
      </c>
      <c r="V596" s="5" t="s">
        <v>7631</v>
      </c>
      <c r="W596" s="5" t="s">
        <v>7632</v>
      </c>
      <c r="X596" s="5" t="s">
        <v>7632</v>
      </c>
      <c r="Y596" s="4">
        <v>940</v>
      </c>
      <c r="Z596" s="4">
        <v>871</v>
      </c>
      <c r="AA596" s="4">
        <v>1062</v>
      </c>
      <c r="AB596" s="4">
        <v>5</v>
      </c>
      <c r="AC596" s="4">
        <v>10</v>
      </c>
      <c r="AD596" s="4">
        <v>36</v>
      </c>
      <c r="AE596" s="4">
        <v>47</v>
      </c>
      <c r="AF596" s="4">
        <v>15</v>
      </c>
      <c r="AG596" s="4">
        <v>20</v>
      </c>
      <c r="AH596" s="4">
        <v>8</v>
      </c>
      <c r="AI596" s="4">
        <v>9</v>
      </c>
      <c r="AJ596" s="4">
        <v>18</v>
      </c>
      <c r="AK596" s="4">
        <v>20</v>
      </c>
      <c r="AL596" s="4">
        <v>3</v>
      </c>
      <c r="AM596" s="4">
        <v>8</v>
      </c>
      <c r="AN596" s="4">
        <v>1</v>
      </c>
      <c r="AO596" s="4">
        <v>1</v>
      </c>
      <c r="AP596" s="3" t="s">
        <v>58</v>
      </c>
      <c r="AQ596" s="3" t="s">
        <v>68</v>
      </c>
      <c r="AR596" s="6" t="str">
        <f>HYPERLINK("http://catalog.hathitrust.org/Record/000435001","HathiTrust Record")</f>
        <v>HathiTrust Record</v>
      </c>
      <c r="AS596" s="6" t="str">
        <f>HYPERLINK("https://creighton-primo.hosted.exlibrisgroup.com/primo-explore/search?tab=default_tab&amp;search_scope=EVERYTHING&amp;vid=01CRU&amp;lang=en_US&amp;offset=0&amp;query=any,contains,991002709599702656","Catalog Record")</f>
        <v>Catalog Record</v>
      </c>
      <c r="AT596" s="6" t="str">
        <f>HYPERLINK("http://www.worldcat.org/oclc/408631","WorldCat Record")</f>
        <v>WorldCat Record</v>
      </c>
      <c r="AU596" s="3" t="s">
        <v>7633</v>
      </c>
      <c r="AV596" s="3" t="s">
        <v>7634</v>
      </c>
      <c r="AW596" s="3" t="s">
        <v>7635</v>
      </c>
      <c r="AX596" s="3" t="s">
        <v>7635</v>
      </c>
      <c r="AY596" s="3" t="s">
        <v>7636</v>
      </c>
      <c r="AZ596" s="3" t="s">
        <v>73</v>
      </c>
      <c r="BB596" s="3" t="s">
        <v>7637</v>
      </c>
      <c r="BC596" s="3" t="s">
        <v>7638</v>
      </c>
      <c r="BD596" s="3" t="s">
        <v>7639</v>
      </c>
    </row>
    <row r="597" spans="1:56" ht="51" customHeight="1" x14ac:dyDescent="0.25">
      <c r="A597" s="7" t="s">
        <v>58</v>
      </c>
      <c r="B597" s="2" t="s">
        <v>7626</v>
      </c>
      <c r="C597" s="2" t="s">
        <v>7627</v>
      </c>
      <c r="D597" s="2" t="s">
        <v>7628</v>
      </c>
      <c r="E597" s="3" t="s">
        <v>210</v>
      </c>
      <c r="F597" s="3" t="s">
        <v>68</v>
      </c>
      <c r="G597" s="3" t="s">
        <v>59</v>
      </c>
      <c r="H597" s="3" t="s">
        <v>58</v>
      </c>
      <c r="I597" s="3" t="s">
        <v>58</v>
      </c>
      <c r="J597" s="3" t="s">
        <v>60</v>
      </c>
      <c r="K597" s="2" t="s">
        <v>7629</v>
      </c>
      <c r="L597" s="2" t="s">
        <v>7630</v>
      </c>
      <c r="M597" s="3" t="s">
        <v>249</v>
      </c>
      <c r="O597" s="3" t="s">
        <v>63</v>
      </c>
      <c r="P597" s="3" t="s">
        <v>214</v>
      </c>
      <c r="R597" s="3" t="s">
        <v>65</v>
      </c>
      <c r="S597" s="4">
        <v>0</v>
      </c>
      <c r="T597" s="4">
        <v>0</v>
      </c>
      <c r="U597" s="5" t="s">
        <v>7631</v>
      </c>
      <c r="V597" s="5" t="s">
        <v>7631</v>
      </c>
      <c r="W597" s="5" t="s">
        <v>7632</v>
      </c>
      <c r="X597" s="5" t="s">
        <v>7632</v>
      </c>
      <c r="Y597" s="4">
        <v>940</v>
      </c>
      <c r="Z597" s="4">
        <v>871</v>
      </c>
      <c r="AA597" s="4">
        <v>1062</v>
      </c>
      <c r="AB597" s="4">
        <v>5</v>
      </c>
      <c r="AC597" s="4">
        <v>10</v>
      </c>
      <c r="AD597" s="4">
        <v>36</v>
      </c>
      <c r="AE597" s="4">
        <v>47</v>
      </c>
      <c r="AF597" s="4">
        <v>15</v>
      </c>
      <c r="AG597" s="4">
        <v>20</v>
      </c>
      <c r="AH597" s="4">
        <v>8</v>
      </c>
      <c r="AI597" s="4">
        <v>9</v>
      </c>
      <c r="AJ597" s="4">
        <v>18</v>
      </c>
      <c r="AK597" s="4">
        <v>20</v>
      </c>
      <c r="AL597" s="4">
        <v>3</v>
      </c>
      <c r="AM597" s="4">
        <v>8</v>
      </c>
      <c r="AN597" s="4">
        <v>1</v>
      </c>
      <c r="AO597" s="4">
        <v>1</v>
      </c>
      <c r="AP597" s="3" t="s">
        <v>58</v>
      </c>
      <c r="AQ597" s="3" t="s">
        <v>68</v>
      </c>
      <c r="AR597" s="6" t="str">
        <f>HYPERLINK("http://catalog.hathitrust.org/Record/000435001","HathiTrust Record")</f>
        <v>HathiTrust Record</v>
      </c>
      <c r="AS597" s="6" t="str">
        <f>HYPERLINK("https://creighton-primo.hosted.exlibrisgroup.com/primo-explore/search?tab=default_tab&amp;search_scope=EVERYTHING&amp;vid=01CRU&amp;lang=en_US&amp;offset=0&amp;query=any,contains,991002709599702656","Catalog Record")</f>
        <v>Catalog Record</v>
      </c>
      <c r="AT597" s="6" t="str">
        <f>HYPERLINK("http://www.worldcat.org/oclc/408631","WorldCat Record")</f>
        <v>WorldCat Record</v>
      </c>
      <c r="AU597" s="3" t="s">
        <v>7633</v>
      </c>
      <c r="AV597" s="3" t="s">
        <v>7634</v>
      </c>
      <c r="AW597" s="3" t="s">
        <v>7635</v>
      </c>
      <c r="AX597" s="3" t="s">
        <v>7635</v>
      </c>
      <c r="AY597" s="3" t="s">
        <v>7636</v>
      </c>
      <c r="AZ597" s="3" t="s">
        <v>73</v>
      </c>
      <c r="BB597" s="3" t="s">
        <v>7637</v>
      </c>
      <c r="BC597" s="3" t="s">
        <v>7640</v>
      </c>
      <c r="BD597" s="3" t="s">
        <v>7641</v>
      </c>
    </row>
    <row r="598" spans="1:56" ht="51" customHeight="1" x14ac:dyDescent="0.25">
      <c r="A598" s="7" t="s">
        <v>58</v>
      </c>
      <c r="B598" s="2" t="s">
        <v>7642</v>
      </c>
      <c r="C598" s="2" t="s">
        <v>7643</v>
      </c>
      <c r="D598" s="2" t="s">
        <v>7644</v>
      </c>
      <c r="F598" s="3" t="s">
        <v>58</v>
      </c>
      <c r="G598" s="3" t="s">
        <v>59</v>
      </c>
      <c r="H598" s="3" t="s">
        <v>58</v>
      </c>
      <c r="I598" s="3" t="s">
        <v>58</v>
      </c>
      <c r="J598" s="3" t="s">
        <v>60</v>
      </c>
      <c r="K598" s="2" t="s">
        <v>7645</v>
      </c>
      <c r="L598" s="2" t="s">
        <v>7646</v>
      </c>
      <c r="M598" s="3" t="s">
        <v>4023</v>
      </c>
      <c r="N598" s="2" t="s">
        <v>338</v>
      </c>
      <c r="O598" s="3" t="s">
        <v>63</v>
      </c>
      <c r="P598" s="3" t="s">
        <v>2061</v>
      </c>
      <c r="R598" s="3" t="s">
        <v>65</v>
      </c>
      <c r="S598" s="4">
        <v>1</v>
      </c>
      <c r="T598" s="4">
        <v>1</v>
      </c>
      <c r="U598" s="5" t="s">
        <v>7647</v>
      </c>
      <c r="V598" s="5" t="s">
        <v>7647</v>
      </c>
      <c r="W598" s="5" t="s">
        <v>7647</v>
      </c>
      <c r="X598" s="5" t="s">
        <v>7647</v>
      </c>
      <c r="Y598" s="4">
        <v>429</v>
      </c>
      <c r="Z598" s="4">
        <v>377</v>
      </c>
      <c r="AA598" s="4">
        <v>387</v>
      </c>
      <c r="AB598" s="4">
        <v>2</v>
      </c>
      <c r="AC598" s="4">
        <v>2</v>
      </c>
      <c r="AD598" s="4">
        <v>18</v>
      </c>
      <c r="AE598" s="4">
        <v>18</v>
      </c>
      <c r="AF598" s="4">
        <v>7</v>
      </c>
      <c r="AG598" s="4">
        <v>7</v>
      </c>
      <c r="AH598" s="4">
        <v>5</v>
      </c>
      <c r="AI598" s="4">
        <v>5</v>
      </c>
      <c r="AJ598" s="4">
        <v>10</v>
      </c>
      <c r="AK598" s="4">
        <v>10</v>
      </c>
      <c r="AL598" s="4">
        <v>1</v>
      </c>
      <c r="AM598" s="4">
        <v>1</v>
      </c>
      <c r="AN598" s="4">
        <v>0</v>
      </c>
      <c r="AO598" s="4">
        <v>0</v>
      </c>
      <c r="AP598" s="3" t="s">
        <v>58</v>
      </c>
      <c r="AQ598" s="3" t="s">
        <v>68</v>
      </c>
      <c r="AR598" s="6" t="str">
        <f>HYPERLINK("http://catalog.hathitrust.org/Record/004358227","HathiTrust Record")</f>
        <v>HathiTrust Record</v>
      </c>
      <c r="AS598" s="6" t="str">
        <f>HYPERLINK("https://creighton-primo.hosted.exlibrisgroup.com/primo-explore/search?tab=default_tab&amp;search_scope=EVERYTHING&amp;vid=01CRU&amp;lang=en_US&amp;offset=0&amp;query=any,contains,991004699999702656","Catalog Record")</f>
        <v>Catalog Record</v>
      </c>
      <c r="AT598" s="6" t="str">
        <f>HYPERLINK("http://www.worldcat.org/oclc/53796736","WorldCat Record")</f>
        <v>WorldCat Record</v>
      </c>
      <c r="AU598" s="3" t="s">
        <v>7648</v>
      </c>
      <c r="AV598" s="3" t="s">
        <v>7649</v>
      </c>
      <c r="AW598" s="3" t="s">
        <v>7650</v>
      </c>
      <c r="AX598" s="3" t="s">
        <v>7650</v>
      </c>
      <c r="AY598" s="3" t="s">
        <v>7651</v>
      </c>
      <c r="AZ598" s="3" t="s">
        <v>73</v>
      </c>
      <c r="BB598" s="3" t="s">
        <v>7652</v>
      </c>
      <c r="BC598" s="3" t="s">
        <v>7653</v>
      </c>
      <c r="BD598" s="3" t="s">
        <v>7654</v>
      </c>
    </row>
    <row r="599" spans="1:56" ht="51" customHeight="1" x14ac:dyDescent="0.25">
      <c r="A599" s="7" t="s">
        <v>58</v>
      </c>
      <c r="B599" s="2" t="s">
        <v>7655</v>
      </c>
      <c r="C599" s="2" t="s">
        <v>7656</v>
      </c>
      <c r="D599" s="2" t="s">
        <v>7657</v>
      </c>
      <c r="F599" s="3" t="s">
        <v>58</v>
      </c>
      <c r="G599" s="3" t="s">
        <v>59</v>
      </c>
      <c r="H599" s="3" t="s">
        <v>58</v>
      </c>
      <c r="I599" s="3" t="s">
        <v>58</v>
      </c>
      <c r="J599" s="3" t="s">
        <v>60</v>
      </c>
      <c r="K599" s="2" t="s">
        <v>7658</v>
      </c>
      <c r="L599" s="2" t="s">
        <v>7659</v>
      </c>
      <c r="M599" s="3" t="s">
        <v>7660</v>
      </c>
      <c r="O599" s="3" t="s">
        <v>63</v>
      </c>
      <c r="P599" s="3" t="s">
        <v>571</v>
      </c>
      <c r="R599" s="3" t="s">
        <v>65</v>
      </c>
      <c r="S599" s="4">
        <v>3</v>
      </c>
      <c r="T599" s="4">
        <v>3</v>
      </c>
      <c r="U599" s="5" t="s">
        <v>7661</v>
      </c>
      <c r="V599" s="5" t="s">
        <v>7661</v>
      </c>
      <c r="W599" s="5" t="s">
        <v>540</v>
      </c>
      <c r="X599" s="5" t="s">
        <v>540</v>
      </c>
      <c r="Y599" s="4">
        <v>498</v>
      </c>
      <c r="Z599" s="4">
        <v>461</v>
      </c>
      <c r="AA599" s="4">
        <v>827</v>
      </c>
      <c r="AB599" s="4">
        <v>6</v>
      </c>
      <c r="AC599" s="4">
        <v>7</v>
      </c>
      <c r="AD599" s="4">
        <v>17</v>
      </c>
      <c r="AE599" s="4">
        <v>40</v>
      </c>
      <c r="AF599" s="4">
        <v>6</v>
      </c>
      <c r="AG599" s="4">
        <v>18</v>
      </c>
      <c r="AH599" s="4">
        <v>2</v>
      </c>
      <c r="AI599" s="4">
        <v>8</v>
      </c>
      <c r="AJ599" s="4">
        <v>7</v>
      </c>
      <c r="AK599" s="4">
        <v>18</v>
      </c>
      <c r="AL599" s="4">
        <v>5</v>
      </c>
      <c r="AM599" s="4">
        <v>6</v>
      </c>
      <c r="AN599" s="4">
        <v>0</v>
      </c>
      <c r="AO599" s="4">
        <v>0</v>
      </c>
      <c r="AP599" s="3" t="s">
        <v>58</v>
      </c>
      <c r="AQ599" s="3" t="s">
        <v>68</v>
      </c>
      <c r="AR599" s="6" t="str">
        <f>HYPERLINK("http://catalog.hathitrust.org/Record/000025824","HathiTrust Record")</f>
        <v>HathiTrust Record</v>
      </c>
      <c r="AS599" s="6" t="str">
        <f>HYPERLINK("https://creighton-primo.hosted.exlibrisgroup.com/primo-explore/search?tab=default_tab&amp;search_scope=EVERYTHING&amp;vid=01CRU&amp;lang=en_US&amp;offset=0&amp;query=any,contains,991003752899702656","Catalog Record")</f>
        <v>Catalog Record</v>
      </c>
      <c r="AT599" s="6" t="str">
        <f>HYPERLINK("http://www.worldcat.org/oclc/1431551","WorldCat Record")</f>
        <v>WorldCat Record</v>
      </c>
      <c r="AU599" s="3" t="s">
        <v>7662</v>
      </c>
      <c r="AV599" s="3" t="s">
        <v>7663</v>
      </c>
      <c r="AW599" s="3" t="s">
        <v>7664</v>
      </c>
      <c r="AX599" s="3" t="s">
        <v>7664</v>
      </c>
      <c r="AY599" s="3" t="s">
        <v>7665</v>
      </c>
      <c r="AZ599" s="3" t="s">
        <v>73</v>
      </c>
      <c r="BC599" s="3" t="s">
        <v>7666</v>
      </c>
      <c r="BD599" s="3" t="s">
        <v>7667</v>
      </c>
    </row>
    <row r="600" spans="1:56" ht="51" customHeight="1" x14ac:dyDescent="0.25">
      <c r="A600" s="7" t="s">
        <v>58</v>
      </c>
      <c r="B600" s="2" t="s">
        <v>7668</v>
      </c>
      <c r="C600" s="2" t="s">
        <v>7669</v>
      </c>
      <c r="D600" s="2" t="s">
        <v>7670</v>
      </c>
      <c r="F600" s="3" t="s">
        <v>58</v>
      </c>
      <c r="G600" s="3" t="s">
        <v>59</v>
      </c>
      <c r="H600" s="3" t="s">
        <v>58</v>
      </c>
      <c r="I600" s="3" t="s">
        <v>58</v>
      </c>
      <c r="J600" s="3" t="s">
        <v>60</v>
      </c>
      <c r="K600" s="2" t="s">
        <v>7671</v>
      </c>
      <c r="L600" s="2" t="s">
        <v>7672</v>
      </c>
      <c r="M600" s="3" t="s">
        <v>397</v>
      </c>
      <c r="O600" s="3" t="s">
        <v>63</v>
      </c>
      <c r="P600" s="3" t="s">
        <v>495</v>
      </c>
      <c r="R600" s="3" t="s">
        <v>65</v>
      </c>
      <c r="S600" s="4">
        <v>9</v>
      </c>
      <c r="T600" s="4">
        <v>9</v>
      </c>
      <c r="U600" s="5" t="s">
        <v>7673</v>
      </c>
      <c r="V600" s="5" t="s">
        <v>7673</v>
      </c>
      <c r="W600" s="5" t="s">
        <v>5321</v>
      </c>
      <c r="X600" s="5" t="s">
        <v>5321</v>
      </c>
      <c r="Y600" s="4">
        <v>156</v>
      </c>
      <c r="Z600" s="4">
        <v>141</v>
      </c>
      <c r="AA600" s="4">
        <v>179</v>
      </c>
      <c r="AB600" s="4">
        <v>2</v>
      </c>
      <c r="AC600" s="4">
        <v>2</v>
      </c>
      <c r="AD600" s="4">
        <v>5</v>
      </c>
      <c r="AE600" s="4">
        <v>6</v>
      </c>
      <c r="AF600" s="4">
        <v>3</v>
      </c>
      <c r="AG600" s="4">
        <v>3</v>
      </c>
      <c r="AH600" s="4">
        <v>0</v>
      </c>
      <c r="AI600" s="4">
        <v>0</v>
      </c>
      <c r="AJ600" s="4">
        <v>3</v>
      </c>
      <c r="AK600" s="4">
        <v>4</v>
      </c>
      <c r="AL600" s="4">
        <v>1</v>
      </c>
      <c r="AM600" s="4">
        <v>1</v>
      </c>
      <c r="AN600" s="4">
        <v>0</v>
      </c>
      <c r="AO600" s="4">
        <v>0</v>
      </c>
      <c r="AP600" s="3" t="s">
        <v>58</v>
      </c>
      <c r="AQ600" s="3" t="s">
        <v>58</v>
      </c>
      <c r="AS600" s="6" t="str">
        <f>HYPERLINK("https://creighton-primo.hosted.exlibrisgroup.com/primo-explore/search?tab=default_tab&amp;search_scope=EVERYTHING&amp;vid=01CRU&amp;lang=en_US&amp;offset=0&amp;query=any,contains,991000567829702656","Catalog Record")</f>
        <v>Catalog Record</v>
      </c>
      <c r="AT600" s="6" t="str">
        <f>HYPERLINK("http://www.worldcat.org/oclc/11623580","WorldCat Record")</f>
        <v>WorldCat Record</v>
      </c>
      <c r="AU600" s="3" t="s">
        <v>7674</v>
      </c>
      <c r="AV600" s="3" t="s">
        <v>7675</v>
      </c>
      <c r="AW600" s="3" t="s">
        <v>7676</v>
      </c>
      <c r="AX600" s="3" t="s">
        <v>7676</v>
      </c>
      <c r="AY600" s="3" t="s">
        <v>7677</v>
      </c>
      <c r="AZ600" s="3" t="s">
        <v>73</v>
      </c>
      <c r="BB600" s="3" t="s">
        <v>7678</v>
      </c>
      <c r="BC600" s="3" t="s">
        <v>7679</v>
      </c>
      <c r="BD600" s="3" t="s">
        <v>7680</v>
      </c>
    </row>
    <row r="601" spans="1:56" ht="51" customHeight="1" x14ac:dyDescent="0.25">
      <c r="A601" s="7" t="s">
        <v>58</v>
      </c>
      <c r="B601" s="2" t="s">
        <v>7681</v>
      </c>
      <c r="C601" s="2" t="s">
        <v>7682</v>
      </c>
      <c r="D601" s="2" t="s">
        <v>7683</v>
      </c>
      <c r="F601" s="3" t="s">
        <v>58</v>
      </c>
      <c r="G601" s="3" t="s">
        <v>59</v>
      </c>
      <c r="H601" s="3" t="s">
        <v>58</v>
      </c>
      <c r="I601" s="3" t="s">
        <v>58</v>
      </c>
      <c r="J601" s="3" t="s">
        <v>60</v>
      </c>
      <c r="L601" s="2" t="s">
        <v>7684</v>
      </c>
      <c r="M601" s="3" t="s">
        <v>800</v>
      </c>
      <c r="O601" s="3" t="s">
        <v>63</v>
      </c>
      <c r="P601" s="3" t="s">
        <v>981</v>
      </c>
      <c r="R601" s="3" t="s">
        <v>65</v>
      </c>
      <c r="S601" s="4">
        <v>2</v>
      </c>
      <c r="T601" s="4">
        <v>2</v>
      </c>
      <c r="U601" s="5" t="s">
        <v>7685</v>
      </c>
      <c r="V601" s="5" t="s">
        <v>7685</v>
      </c>
      <c r="W601" s="5" t="s">
        <v>7686</v>
      </c>
      <c r="X601" s="5" t="s">
        <v>7686</v>
      </c>
      <c r="Y601" s="4">
        <v>272</v>
      </c>
      <c r="Z601" s="4">
        <v>262</v>
      </c>
      <c r="AA601" s="4">
        <v>263</v>
      </c>
      <c r="AB601" s="4">
        <v>4</v>
      </c>
      <c r="AC601" s="4">
        <v>4</v>
      </c>
      <c r="AD601" s="4">
        <v>15</v>
      </c>
      <c r="AE601" s="4">
        <v>15</v>
      </c>
      <c r="AF601" s="4">
        <v>3</v>
      </c>
      <c r="AG601" s="4">
        <v>3</v>
      </c>
      <c r="AH601" s="4">
        <v>5</v>
      </c>
      <c r="AI601" s="4">
        <v>5</v>
      </c>
      <c r="AJ601" s="4">
        <v>9</v>
      </c>
      <c r="AK601" s="4">
        <v>9</v>
      </c>
      <c r="AL601" s="4">
        <v>3</v>
      </c>
      <c r="AM601" s="4">
        <v>3</v>
      </c>
      <c r="AN601" s="4">
        <v>0</v>
      </c>
      <c r="AO601" s="4">
        <v>0</v>
      </c>
      <c r="AP601" s="3" t="s">
        <v>58</v>
      </c>
      <c r="AQ601" s="3" t="s">
        <v>68</v>
      </c>
      <c r="AR601" s="6" t="str">
        <f>HYPERLINK("http://catalog.hathitrust.org/Record/002997933","HathiTrust Record")</f>
        <v>HathiTrust Record</v>
      </c>
      <c r="AS601" s="6" t="str">
        <f>HYPERLINK("https://creighton-primo.hosted.exlibrisgroup.com/primo-explore/search?tab=default_tab&amp;search_scope=EVERYTHING&amp;vid=01CRU&amp;lang=en_US&amp;offset=0&amp;query=any,contains,991002493519702656","Catalog Record")</f>
        <v>Catalog Record</v>
      </c>
      <c r="AT601" s="6" t="str">
        <f>HYPERLINK("http://www.worldcat.org/oclc/32443199","WorldCat Record")</f>
        <v>WorldCat Record</v>
      </c>
      <c r="AU601" s="3" t="s">
        <v>7687</v>
      </c>
      <c r="AV601" s="3" t="s">
        <v>7688</v>
      </c>
      <c r="AW601" s="3" t="s">
        <v>7689</v>
      </c>
      <c r="AX601" s="3" t="s">
        <v>7689</v>
      </c>
      <c r="AY601" s="3" t="s">
        <v>7690</v>
      </c>
      <c r="AZ601" s="3" t="s">
        <v>73</v>
      </c>
      <c r="BC601" s="3" t="s">
        <v>7691</v>
      </c>
      <c r="BD601" s="3" t="s">
        <v>7692</v>
      </c>
    </row>
    <row r="602" spans="1:56" ht="51" customHeight="1" x14ac:dyDescent="0.25">
      <c r="A602" s="7" t="s">
        <v>58</v>
      </c>
      <c r="B602" s="2" t="s">
        <v>7693</v>
      </c>
      <c r="C602" s="2" t="s">
        <v>7694</v>
      </c>
      <c r="D602" s="2" t="s">
        <v>7695</v>
      </c>
      <c r="F602" s="3" t="s">
        <v>58</v>
      </c>
      <c r="G602" s="3" t="s">
        <v>59</v>
      </c>
      <c r="H602" s="3" t="s">
        <v>58</v>
      </c>
      <c r="I602" s="3" t="s">
        <v>58</v>
      </c>
      <c r="J602" s="3" t="s">
        <v>60</v>
      </c>
      <c r="K602" s="2" t="s">
        <v>7696</v>
      </c>
      <c r="L602" s="2" t="s">
        <v>7697</v>
      </c>
      <c r="M602" s="3" t="s">
        <v>423</v>
      </c>
      <c r="O602" s="3" t="s">
        <v>63</v>
      </c>
      <c r="P602" s="3" t="s">
        <v>214</v>
      </c>
      <c r="R602" s="3" t="s">
        <v>65</v>
      </c>
      <c r="S602" s="4">
        <v>1</v>
      </c>
      <c r="T602" s="4">
        <v>1</v>
      </c>
      <c r="U602" s="5" t="s">
        <v>7698</v>
      </c>
      <c r="V602" s="5" t="s">
        <v>7698</v>
      </c>
      <c r="W602" s="5" t="s">
        <v>7699</v>
      </c>
      <c r="X602" s="5" t="s">
        <v>7699</v>
      </c>
      <c r="Y602" s="4">
        <v>327</v>
      </c>
      <c r="Z602" s="4">
        <v>276</v>
      </c>
      <c r="AA602" s="4">
        <v>327</v>
      </c>
      <c r="AB602" s="4">
        <v>2</v>
      </c>
      <c r="AC602" s="4">
        <v>3</v>
      </c>
      <c r="AD602" s="4">
        <v>20</v>
      </c>
      <c r="AE602" s="4">
        <v>22</v>
      </c>
      <c r="AF602" s="4">
        <v>6</v>
      </c>
      <c r="AG602" s="4">
        <v>7</v>
      </c>
      <c r="AH602" s="4">
        <v>7</v>
      </c>
      <c r="AI602" s="4">
        <v>7</v>
      </c>
      <c r="AJ602" s="4">
        <v>12</v>
      </c>
      <c r="AK602" s="4">
        <v>13</v>
      </c>
      <c r="AL602" s="4">
        <v>1</v>
      </c>
      <c r="AM602" s="4">
        <v>2</v>
      </c>
      <c r="AN602" s="4">
        <v>0</v>
      </c>
      <c r="AO602" s="4">
        <v>0</v>
      </c>
      <c r="AP602" s="3" t="s">
        <v>58</v>
      </c>
      <c r="AQ602" s="3" t="s">
        <v>58</v>
      </c>
      <c r="AS602" s="6" t="str">
        <f>HYPERLINK("https://creighton-primo.hosted.exlibrisgroup.com/primo-explore/search?tab=default_tab&amp;search_scope=EVERYTHING&amp;vid=01CRU&amp;lang=en_US&amp;offset=0&amp;query=any,contains,991002826809702656","Catalog Record")</f>
        <v>Catalog Record</v>
      </c>
      <c r="AT602" s="6" t="str">
        <f>HYPERLINK("http://www.worldcat.org/oclc/37220709","WorldCat Record")</f>
        <v>WorldCat Record</v>
      </c>
      <c r="AU602" s="3" t="s">
        <v>7700</v>
      </c>
      <c r="AV602" s="3" t="s">
        <v>7701</v>
      </c>
      <c r="AW602" s="3" t="s">
        <v>7702</v>
      </c>
      <c r="AX602" s="3" t="s">
        <v>7702</v>
      </c>
      <c r="AY602" s="3" t="s">
        <v>7703</v>
      </c>
      <c r="AZ602" s="3" t="s">
        <v>73</v>
      </c>
      <c r="BB602" s="3" t="s">
        <v>7704</v>
      </c>
      <c r="BC602" s="3" t="s">
        <v>7705</v>
      </c>
      <c r="BD602" s="3" t="s">
        <v>7706</v>
      </c>
    </row>
    <row r="603" spans="1:56" ht="51" customHeight="1" x14ac:dyDescent="0.25">
      <c r="A603" s="7" t="s">
        <v>58</v>
      </c>
      <c r="B603" s="2" t="s">
        <v>7707</v>
      </c>
      <c r="C603" s="2" t="s">
        <v>7708</v>
      </c>
      <c r="D603" s="2" t="s">
        <v>7709</v>
      </c>
      <c r="F603" s="3" t="s">
        <v>58</v>
      </c>
      <c r="G603" s="3" t="s">
        <v>59</v>
      </c>
      <c r="H603" s="3" t="s">
        <v>58</v>
      </c>
      <c r="I603" s="3" t="s">
        <v>58</v>
      </c>
      <c r="J603" s="3" t="s">
        <v>60</v>
      </c>
      <c r="K603" s="2" t="s">
        <v>7710</v>
      </c>
      <c r="L603" s="2" t="s">
        <v>7711</v>
      </c>
      <c r="M603" s="3" t="s">
        <v>2295</v>
      </c>
      <c r="O603" s="3" t="s">
        <v>63</v>
      </c>
      <c r="P603" s="3" t="s">
        <v>411</v>
      </c>
      <c r="R603" s="3" t="s">
        <v>65</v>
      </c>
      <c r="S603" s="4">
        <v>2</v>
      </c>
      <c r="T603" s="4">
        <v>2</v>
      </c>
      <c r="U603" s="5" t="s">
        <v>7712</v>
      </c>
      <c r="V603" s="5" t="s">
        <v>7712</v>
      </c>
      <c r="W603" s="5" t="s">
        <v>4957</v>
      </c>
      <c r="X603" s="5" t="s">
        <v>4957</v>
      </c>
      <c r="Y603" s="4">
        <v>594</v>
      </c>
      <c r="Z603" s="4">
        <v>494</v>
      </c>
      <c r="AA603" s="4">
        <v>497</v>
      </c>
      <c r="AB603" s="4">
        <v>2</v>
      </c>
      <c r="AC603" s="4">
        <v>2</v>
      </c>
      <c r="AD603" s="4">
        <v>21</v>
      </c>
      <c r="AE603" s="4">
        <v>21</v>
      </c>
      <c r="AF603" s="4">
        <v>8</v>
      </c>
      <c r="AG603" s="4">
        <v>8</v>
      </c>
      <c r="AH603" s="4">
        <v>6</v>
      </c>
      <c r="AI603" s="4">
        <v>6</v>
      </c>
      <c r="AJ603" s="4">
        <v>12</v>
      </c>
      <c r="AK603" s="4">
        <v>12</v>
      </c>
      <c r="AL603" s="4">
        <v>1</v>
      </c>
      <c r="AM603" s="4">
        <v>1</v>
      </c>
      <c r="AN603" s="4">
        <v>1</v>
      </c>
      <c r="AO603" s="4">
        <v>1</v>
      </c>
      <c r="AP603" s="3" t="s">
        <v>58</v>
      </c>
      <c r="AQ603" s="3" t="s">
        <v>68</v>
      </c>
      <c r="AR603" s="6" t="str">
        <f>HYPERLINK("http://catalog.hathitrust.org/Record/004314680","HathiTrust Record")</f>
        <v>HathiTrust Record</v>
      </c>
      <c r="AS603" s="6" t="str">
        <f>HYPERLINK("https://creighton-primo.hosted.exlibrisgroup.com/primo-explore/search?tab=default_tab&amp;search_scope=EVERYTHING&amp;vid=01CRU&amp;lang=en_US&amp;offset=0&amp;query=any,contains,991004074509702656","Catalog Record")</f>
        <v>Catalog Record</v>
      </c>
      <c r="AT603" s="6" t="str">
        <f>HYPERLINK("http://www.worldcat.org/oclc/50441628","WorldCat Record")</f>
        <v>WorldCat Record</v>
      </c>
      <c r="AU603" s="3" t="s">
        <v>7713</v>
      </c>
      <c r="AV603" s="3" t="s">
        <v>7714</v>
      </c>
      <c r="AW603" s="3" t="s">
        <v>7715</v>
      </c>
      <c r="AX603" s="3" t="s">
        <v>7715</v>
      </c>
      <c r="AY603" s="3" t="s">
        <v>7716</v>
      </c>
      <c r="AZ603" s="3" t="s">
        <v>73</v>
      </c>
      <c r="BB603" s="3" t="s">
        <v>7717</v>
      </c>
      <c r="BC603" s="3" t="s">
        <v>7718</v>
      </c>
      <c r="BD603" s="3" t="s">
        <v>7719</v>
      </c>
    </row>
    <row r="604" spans="1:56" ht="51" customHeight="1" x14ac:dyDescent="0.25">
      <c r="A604" s="7" t="s">
        <v>58</v>
      </c>
      <c r="B604" s="2" t="s">
        <v>7720</v>
      </c>
      <c r="C604" s="2" t="s">
        <v>7721</v>
      </c>
      <c r="D604" s="2" t="s">
        <v>7722</v>
      </c>
      <c r="F604" s="3" t="s">
        <v>58</v>
      </c>
      <c r="G604" s="3" t="s">
        <v>59</v>
      </c>
      <c r="H604" s="3" t="s">
        <v>58</v>
      </c>
      <c r="I604" s="3" t="s">
        <v>58</v>
      </c>
      <c r="J604" s="3" t="s">
        <v>60</v>
      </c>
      <c r="K604" s="2" t="s">
        <v>7723</v>
      </c>
      <c r="L604" s="2" t="s">
        <v>7724</v>
      </c>
      <c r="M604" s="3" t="s">
        <v>524</v>
      </c>
      <c r="O604" s="3" t="s">
        <v>63</v>
      </c>
      <c r="P604" s="3" t="s">
        <v>3109</v>
      </c>
      <c r="R604" s="3" t="s">
        <v>65</v>
      </c>
      <c r="S604" s="4">
        <v>0</v>
      </c>
      <c r="T604" s="4">
        <v>0</v>
      </c>
      <c r="U604" s="5" t="s">
        <v>7725</v>
      </c>
      <c r="V604" s="5" t="s">
        <v>7725</v>
      </c>
      <c r="W604" s="5" t="s">
        <v>5321</v>
      </c>
      <c r="X604" s="5" t="s">
        <v>5321</v>
      </c>
      <c r="Y604" s="4">
        <v>283</v>
      </c>
      <c r="Z604" s="4">
        <v>224</v>
      </c>
      <c r="AA604" s="4">
        <v>226</v>
      </c>
      <c r="AB604" s="4">
        <v>2</v>
      </c>
      <c r="AC604" s="4">
        <v>2</v>
      </c>
      <c r="AD604" s="4">
        <v>11</v>
      </c>
      <c r="AE604" s="4">
        <v>11</v>
      </c>
      <c r="AF604" s="4">
        <v>1</v>
      </c>
      <c r="AG604" s="4">
        <v>1</v>
      </c>
      <c r="AH604" s="4">
        <v>5</v>
      </c>
      <c r="AI604" s="4">
        <v>5</v>
      </c>
      <c r="AJ604" s="4">
        <v>7</v>
      </c>
      <c r="AK604" s="4">
        <v>7</v>
      </c>
      <c r="AL604" s="4">
        <v>1</v>
      </c>
      <c r="AM604" s="4">
        <v>1</v>
      </c>
      <c r="AN604" s="4">
        <v>0</v>
      </c>
      <c r="AO604" s="4">
        <v>0</v>
      </c>
      <c r="AP604" s="3" t="s">
        <v>58</v>
      </c>
      <c r="AQ604" s="3" t="s">
        <v>68</v>
      </c>
      <c r="AR604" s="6" t="str">
        <f>HYPERLINK("http://catalog.hathitrust.org/Record/000486484","HathiTrust Record")</f>
        <v>HathiTrust Record</v>
      </c>
      <c r="AS604" s="6" t="str">
        <f>HYPERLINK("https://creighton-primo.hosted.exlibrisgroup.com/primo-explore/search?tab=default_tab&amp;search_scope=EVERYTHING&amp;vid=01CRU&amp;lang=en_US&amp;offset=0&amp;query=any,contains,991000886529702656","Catalog Record")</f>
        <v>Catalog Record</v>
      </c>
      <c r="AT604" s="6" t="str">
        <f>HYPERLINK("http://www.worldcat.org/oclc/13861408","WorldCat Record")</f>
        <v>WorldCat Record</v>
      </c>
      <c r="AU604" s="3" t="s">
        <v>7726</v>
      </c>
      <c r="AV604" s="3" t="s">
        <v>7727</v>
      </c>
      <c r="AW604" s="3" t="s">
        <v>7728</v>
      </c>
      <c r="AX604" s="3" t="s">
        <v>7728</v>
      </c>
      <c r="AY604" s="3" t="s">
        <v>7729</v>
      </c>
      <c r="AZ604" s="3" t="s">
        <v>73</v>
      </c>
      <c r="BB604" s="3" t="s">
        <v>7730</v>
      </c>
      <c r="BC604" s="3" t="s">
        <v>7731</v>
      </c>
      <c r="BD604" s="3" t="s">
        <v>7732</v>
      </c>
    </row>
    <row r="605" spans="1:56" ht="51" customHeight="1" x14ac:dyDescent="0.25">
      <c r="A605" s="7" t="s">
        <v>58</v>
      </c>
      <c r="B605" s="2" t="s">
        <v>7733</v>
      </c>
      <c r="C605" s="2" t="s">
        <v>7734</v>
      </c>
      <c r="D605" s="2" t="s">
        <v>7735</v>
      </c>
      <c r="F605" s="3" t="s">
        <v>58</v>
      </c>
      <c r="G605" s="3" t="s">
        <v>59</v>
      </c>
      <c r="H605" s="3" t="s">
        <v>58</v>
      </c>
      <c r="I605" s="3" t="s">
        <v>58</v>
      </c>
      <c r="J605" s="3" t="s">
        <v>60</v>
      </c>
      <c r="K605" s="2" t="s">
        <v>7736</v>
      </c>
      <c r="L605" s="2" t="s">
        <v>7737</v>
      </c>
      <c r="M605" s="3" t="s">
        <v>4023</v>
      </c>
      <c r="O605" s="3" t="s">
        <v>63</v>
      </c>
      <c r="P605" s="3" t="s">
        <v>411</v>
      </c>
      <c r="R605" s="3" t="s">
        <v>65</v>
      </c>
      <c r="S605" s="4">
        <v>1</v>
      </c>
      <c r="T605" s="4">
        <v>1</v>
      </c>
      <c r="U605" s="5" t="s">
        <v>7738</v>
      </c>
      <c r="V605" s="5" t="s">
        <v>7738</v>
      </c>
      <c r="W605" s="5" t="s">
        <v>7738</v>
      </c>
      <c r="X605" s="5" t="s">
        <v>7738</v>
      </c>
      <c r="Y605" s="4">
        <v>410</v>
      </c>
      <c r="Z605" s="4">
        <v>355</v>
      </c>
      <c r="AA605" s="4">
        <v>360</v>
      </c>
      <c r="AB605" s="4">
        <v>2</v>
      </c>
      <c r="AC605" s="4">
        <v>2</v>
      </c>
      <c r="AD605" s="4">
        <v>15</v>
      </c>
      <c r="AE605" s="4">
        <v>15</v>
      </c>
      <c r="AF605" s="4">
        <v>7</v>
      </c>
      <c r="AG605" s="4">
        <v>7</v>
      </c>
      <c r="AH605" s="4">
        <v>3</v>
      </c>
      <c r="AI605" s="4">
        <v>3</v>
      </c>
      <c r="AJ605" s="4">
        <v>9</v>
      </c>
      <c r="AK605" s="4">
        <v>9</v>
      </c>
      <c r="AL605" s="4">
        <v>1</v>
      </c>
      <c r="AM605" s="4">
        <v>1</v>
      </c>
      <c r="AN605" s="4">
        <v>0</v>
      </c>
      <c r="AO605" s="4">
        <v>0</v>
      </c>
      <c r="AP605" s="3" t="s">
        <v>58</v>
      </c>
      <c r="AQ605" s="3" t="s">
        <v>68</v>
      </c>
      <c r="AR605" s="6" t="str">
        <f>HYPERLINK("http://catalog.hathitrust.org/Record/004736310","HathiTrust Record")</f>
        <v>HathiTrust Record</v>
      </c>
      <c r="AS605" s="6" t="str">
        <f>HYPERLINK("https://creighton-primo.hosted.exlibrisgroup.com/primo-explore/search?tab=default_tab&amp;search_scope=EVERYTHING&amp;vid=01CRU&amp;lang=en_US&amp;offset=0&amp;query=any,contains,991004300609702656","Catalog Record")</f>
        <v>Catalog Record</v>
      </c>
      <c r="AT605" s="6" t="str">
        <f>HYPERLINK("http://www.worldcat.org/oclc/53462223","WorldCat Record")</f>
        <v>WorldCat Record</v>
      </c>
      <c r="AU605" s="3" t="s">
        <v>7739</v>
      </c>
      <c r="AV605" s="3" t="s">
        <v>7740</v>
      </c>
      <c r="AW605" s="3" t="s">
        <v>7741</v>
      </c>
      <c r="AX605" s="3" t="s">
        <v>7741</v>
      </c>
      <c r="AY605" s="3" t="s">
        <v>7742</v>
      </c>
      <c r="AZ605" s="3" t="s">
        <v>73</v>
      </c>
      <c r="BB605" s="3" t="s">
        <v>7743</v>
      </c>
      <c r="BC605" s="3" t="s">
        <v>7744</v>
      </c>
      <c r="BD605" s="3" t="s">
        <v>7745</v>
      </c>
    </row>
    <row r="606" spans="1:56" ht="51" customHeight="1" x14ac:dyDescent="0.25">
      <c r="A606" s="7" t="s">
        <v>58</v>
      </c>
      <c r="B606" s="2" t="s">
        <v>7746</v>
      </c>
      <c r="C606" s="2" t="s">
        <v>7747</v>
      </c>
      <c r="D606" s="2" t="s">
        <v>7748</v>
      </c>
      <c r="F606" s="3" t="s">
        <v>58</v>
      </c>
      <c r="G606" s="3" t="s">
        <v>59</v>
      </c>
      <c r="H606" s="3" t="s">
        <v>58</v>
      </c>
      <c r="I606" s="3" t="s">
        <v>58</v>
      </c>
      <c r="J606" s="3" t="s">
        <v>60</v>
      </c>
      <c r="K606" s="2" t="s">
        <v>7749</v>
      </c>
      <c r="L606" s="2" t="s">
        <v>7750</v>
      </c>
      <c r="M606" s="3" t="s">
        <v>138</v>
      </c>
      <c r="O606" s="3" t="s">
        <v>63</v>
      </c>
      <c r="P606" s="3" t="s">
        <v>354</v>
      </c>
      <c r="Q606" s="2" t="s">
        <v>6444</v>
      </c>
      <c r="R606" s="3" t="s">
        <v>65</v>
      </c>
      <c r="S606" s="4">
        <v>0</v>
      </c>
      <c r="T606" s="4">
        <v>0</v>
      </c>
      <c r="U606" s="5" t="s">
        <v>7751</v>
      </c>
      <c r="V606" s="5" t="s">
        <v>7751</v>
      </c>
      <c r="W606" s="5" t="s">
        <v>1904</v>
      </c>
      <c r="X606" s="5" t="s">
        <v>1904</v>
      </c>
      <c r="Y606" s="4">
        <v>424</v>
      </c>
      <c r="Z606" s="4">
        <v>284</v>
      </c>
      <c r="AA606" s="4">
        <v>727</v>
      </c>
      <c r="AB606" s="4">
        <v>2</v>
      </c>
      <c r="AC606" s="4">
        <v>6</v>
      </c>
      <c r="AD606" s="4">
        <v>15</v>
      </c>
      <c r="AE606" s="4">
        <v>38</v>
      </c>
      <c r="AF606" s="4">
        <v>4</v>
      </c>
      <c r="AG606" s="4">
        <v>15</v>
      </c>
      <c r="AH606" s="4">
        <v>5</v>
      </c>
      <c r="AI606" s="4">
        <v>10</v>
      </c>
      <c r="AJ606" s="4">
        <v>11</v>
      </c>
      <c r="AK606" s="4">
        <v>16</v>
      </c>
      <c r="AL606" s="4">
        <v>1</v>
      </c>
      <c r="AM606" s="4">
        <v>5</v>
      </c>
      <c r="AN606" s="4">
        <v>0</v>
      </c>
      <c r="AO606" s="4">
        <v>1</v>
      </c>
      <c r="AP606" s="3" t="s">
        <v>58</v>
      </c>
      <c r="AQ606" s="3" t="s">
        <v>68</v>
      </c>
      <c r="AR606" s="6" t="str">
        <f>HYPERLINK("http://catalog.hathitrust.org/Record/000763122","HathiTrust Record")</f>
        <v>HathiTrust Record</v>
      </c>
      <c r="AS606" s="6" t="str">
        <f>HYPERLINK("https://creighton-primo.hosted.exlibrisgroup.com/primo-explore/search?tab=default_tab&amp;search_scope=EVERYTHING&amp;vid=01CRU&amp;lang=en_US&amp;offset=0&amp;query=any,contains,991005114549702656","Catalog Record")</f>
        <v>Catalog Record</v>
      </c>
      <c r="AT606" s="6" t="str">
        <f>HYPERLINK("http://www.worldcat.org/oclc/7461158","WorldCat Record")</f>
        <v>WorldCat Record</v>
      </c>
      <c r="AU606" s="3" t="s">
        <v>7752</v>
      </c>
      <c r="AV606" s="3" t="s">
        <v>7753</v>
      </c>
      <c r="AW606" s="3" t="s">
        <v>7754</v>
      </c>
      <c r="AX606" s="3" t="s">
        <v>7754</v>
      </c>
      <c r="AY606" s="3" t="s">
        <v>7755</v>
      </c>
      <c r="AZ606" s="3" t="s">
        <v>73</v>
      </c>
      <c r="BB606" s="3" t="s">
        <v>7756</v>
      </c>
      <c r="BC606" s="3" t="s">
        <v>7757</v>
      </c>
      <c r="BD606" s="3" t="s">
        <v>7758</v>
      </c>
    </row>
    <row r="607" spans="1:56" ht="51" customHeight="1" x14ac:dyDescent="0.25">
      <c r="A607" s="7" t="s">
        <v>58</v>
      </c>
      <c r="B607" s="2" t="s">
        <v>7759</v>
      </c>
      <c r="C607" s="2" t="s">
        <v>7760</v>
      </c>
      <c r="D607" s="2" t="s">
        <v>7761</v>
      </c>
      <c r="F607" s="3" t="s">
        <v>58</v>
      </c>
      <c r="G607" s="3" t="s">
        <v>59</v>
      </c>
      <c r="H607" s="3" t="s">
        <v>58</v>
      </c>
      <c r="I607" s="3" t="s">
        <v>58</v>
      </c>
      <c r="J607" s="3" t="s">
        <v>60</v>
      </c>
      <c r="K607" s="2" t="s">
        <v>7762</v>
      </c>
      <c r="L607" s="2" t="s">
        <v>7763</v>
      </c>
      <c r="M607" s="3" t="s">
        <v>1061</v>
      </c>
      <c r="O607" s="3" t="s">
        <v>63</v>
      </c>
      <c r="P607" s="3" t="s">
        <v>354</v>
      </c>
      <c r="R607" s="3" t="s">
        <v>65</v>
      </c>
      <c r="S607" s="4">
        <v>1</v>
      </c>
      <c r="T607" s="4">
        <v>1</v>
      </c>
      <c r="U607" s="5" t="s">
        <v>7764</v>
      </c>
      <c r="V607" s="5" t="s">
        <v>7764</v>
      </c>
      <c r="W607" s="5" t="s">
        <v>7765</v>
      </c>
      <c r="X607" s="5" t="s">
        <v>7765</v>
      </c>
      <c r="Y607" s="4">
        <v>379</v>
      </c>
      <c r="Z607" s="4">
        <v>315</v>
      </c>
      <c r="AA607" s="4">
        <v>334</v>
      </c>
      <c r="AB607" s="4">
        <v>2</v>
      </c>
      <c r="AC607" s="4">
        <v>2</v>
      </c>
      <c r="AD607" s="4">
        <v>23</v>
      </c>
      <c r="AE607" s="4">
        <v>23</v>
      </c>
      <c r="AF607" s="4">
        <v>11</v>
      </c>
      <c r="AG607" s="4">
        <v>11</v>
      </c>
      <c r="AH607" s="4">
        <v>6</v>
      </c>
      <c r="AI607" s="4">
        <v>6</v>
      </c>
      <c r="AJ607" s="4">
        <v>15</v>
      </c>
      <c r="AK607" s="4">
        <v>15</v>
      </c>
      <c r="AL607" s="4">
        <v>1</v>
      </c>
      <c r="AM607" s="4">
        <v>1</v>
      </c>
      <c r="AN607" s="4">
        <v>0</v>
      </c>
      <c r="AO607" s="4">
        <v>0</v>
      </c>
      <c r="AP607" s="3" t="s">
        <v>58</v>
      </c>
      <c r="AQ607" s="3" t="s">
        <v>58</v>
      </c>
      <c r="AS607" s="6" t="str">
        <f>HYPERLINK("https://creighton-primo.hosted.exlibrisgroup.com/primo-explore/search?tab=default_tab&amp;search_scope=EVERYTHING&amp;vid=01CRU&amp;lang=en_US&amp;offset=0&amp;query=any,contains,991002705309702656","Catalog Record")</f>
        <v>Catalog Record</v>
      </c>
      <c r="AT607" s="6" t="str">
        <f>HYPERLINK("http://www.worldcat.org/oclc/35318351","WorldCat Record")</f>
        <v>WorldCat Record</v>
      </c>
      <c r="AU607" s="3" t="s">
        <v>7766</v>
      </c>
      <c r="AV607" s="3" t="s">
        <v>7767</v>
      </c>
      <c r="AW607" s="3" t="s">
        <v>7768</v>
      </c>
      <c r="AX607" s="3" t="s">
        <v>7768</v>
      </c>
      <c r="AY607" s="3" t="s">
        <v>7769</v>
      </c>
      <c r="AZ607" s="3" t="s">
        <v>73</v>
      </c>
      <c r="BB607" s="3" t="s">
        <v>7770</v>
      </c>
      <c r="BC607" s="3" t="s">
        <v>7771</v>
      </c>
      <c r="BD607" s="3" t="s">
        <v>7772</v>
      </c>
    </row>
    <row r="608" spans="1:56" ht="51" customHeight="1" x14ac:dyDescent="0.25">
      <c r="A608" s="7" t="s">
        <v>58</v>
      </c>
      <c r="B608" s="2" t="s">
        <v>7773</v>
      </c>
      <c r="C608" s="2" t="s">
        <v>7774</v>
      </c>
      <c r="D608" s="2" t="s">
        <v>7775</v>
      </c>
      <c r="F608" s="3" t="s">
        <v>58</v>
      </c>
      <c r="G608" s="3" t="s">
        <v>59</v>
      </c>
      <c r="H608" s="3" t="s">
        <v>58</v>
      </c>
      <c r="I608" s="3" t="s">
        <v>58</v>
      </c>
      <c r="J608" s="3" t="s">
        <v>60</v>
      </c>
      <c r="K608" s="2" t="s">
        <v>7776</v>
      </c>
      <c r="L608" s="2" t="s">
        <v>7777</v>
      </c>
      <c r="M608" s="3" t="s">
        <v>101</v>
      </c>
      <c r="O608" s="3" t="s">
        <v>63</v>
      </c>
      <c r="P608" s="3" t="s">
        <v>354</v>
      </c>
      <c r="R608" s="3" t="s">
        <v>65</v>
      </c>
      <c r="S608" s="4">
        <v>10</v>
      </c>
      <c r="T608" s="4">
        <v>10</v>
      </c>
      <c r="U608" s="5" t="s">
        <v>233</v>
      </c>
      <c r="V608" s="5" t="s">
        <v>233</v>
      </c>
      <c r="W608" s="5" t="s">
        <v>7778</v>
      </c>
      <c r="X608" s="5" t="s">
        <v>7778</v>
      </c>
      <c r="Y608" s="4">
        <v>1078</v>
      </c>
      <c r="Z608" s="4">
        <v>875</v>
      </c>
      <c r="AA608" s="4">
        <v>909</v>
      </c>
      <c r="AB608" s="4">
        <v>8</v>
      </c>
      <c r="AC608" s="4">
        <v>8</v>
      </c>
      <c r="AD608" s="4">
        <v>44</v>
      </c>
      <c r="AE608" s="4">
        <v>46</v>
      </c>
      <c r="AF608" s="4">
        <v>18</v>
      </c>
      <c r="AG608" s="4">
        <v>19</v>
      </c>
      <c r="AH608" s="4">
        <v>9</v>
      </c>
      <c r="AI608" s="4">
        <v>10</v>
      </c>
      <c r="AJ608" s="4">
        <v>23</v>
      </c>
      <c r="AK608" s="4">
        <v>23</v>
      </c>
      <c r="AL608" s="4">
        <v>6</v>
      </c>
      <c r="AM608" s="4">
        <v>6</v>
      </c>
      <c r="AN608" s="4">
        <v>1</v>
      </c>
      <c r="AO608" s="4">
        <v>1</v>
      </c>
      <c r="AP608" s="3" t="s">
        <v>58</v>
      </c>
      <c r="AQ608" s="3" t="s">
        <v>58</v>
      </c>
      <c r="AS608" s="6" t="str">
        <f>HYPERLINK("https://creighton-primo.hosted.exlibrisgroup.com/primo-explore/search?tab=default_tab&amp;search_scope=EVERYTHING&amp;vid=01CRU&amp;lang=en_US&amp;offset=0&amp;query=any,contains,991000289199702656","Catalog Record")</f>
        <v>Catalog Record</v>
      </c>
      <c r="AT608" s="6" t="str">
        <f>HYPERLINK("http://www.worldcat.org/oclc/9946459","WorldCat Record")</f>
        <v>WorldCat Record</v>
      </c>
      <c r="AU608" s="3" t="s">
        <v>7779</v>
      </c>
      <c r="AV608" s="3" t="s">
        <v>7780</v>
      </c>
      <c r="AW608" s="3" t="s">
        <v>7781</v>
      </c>
      <c r="AX608" s="3" t="s">
        <v>7781</v>
      </c>
      <c r="AY608" s="3" t="s">
        <v>7782</v>
      </c>
      <c r="AZ608" s="3" t="s">
        <v>73</v>
      </c>
      <c r="BB608" s="3" t="s">
        <v>7783</v>
      </c>
      <c r="BC608" s="3" t="s">
        <v>7784</v>
      </c>
      <c r="BD608" s="3" t="s">
        <v>7785</v>
      </c>
    </row>
    <row r="609" spans="1:56" ht="51" customHeight="1" x14ac:dyDescent="0.25">
      <c r="A609" s="7" t="s">
        <v>58</v>
      </c>
      <c r="B609" s="2" t="s">
        <v>7786</v>
      </c>
      <c r="C609" s="2" t="s">
        <v>7787</v>
      </c>
      <c r="D609" s="2" t="s">
        <v>7788</v>
      </c>
      <c r="F609" s="3" t="s">
        <v>58</v>
      </c>
      <c r="G609" s="3" t="s">
        <v>59</v>
      </c>
      <c r="H609" s="3" t="s">
        <v>58</v>
      </c>
      <c r="I609" s="3" t="s">
        <v>58</v>
      </c>
      <c r="J609" s="3" t="s">
        <v>60</v>
      </c>
      <c r="K609" s="2" t="s">
        <v>7789</v>
      </c>
      <c r="L609" s="2" t="s">
        <v>7790</v>
      </c>
      <c r="M609" s="3" t="s">
        <v>479</v>
      </c>
      <c r="O609" s="3" t="s">
        <v>63</v>
      </c>
      <c r="P609" s="3" t="s">
        <v>760</v>
      </c>
      <c r="Q609" s="2" t="s">
        <v>7791</v>
      </c>
      <c r="R609" s="3" t="s">
        <v>65</v>
      </c>
      <c r="S609" s="4">
        <v>2</v>
      </c>
      <c r="T609" s="4">
        <v>2</v>
      </c>
      <c r="U609" s="5" t="s">
        <v>7792</v>
      </c>
      <c r="V609" s="5" t="s">
        <v>7792</v>
      </c>
      <c r="W609" s="5" t="s">
        <v>7793</v>
      </c>
      <c r="X609" s="5" t="s">
        <v>7793</v>
      </c>
      <c r="Y609" s="4">
        <v>370</v>
      </c>
      <c r="Z609" s="4">
        <v>293</v>
      </c>
      <c r="AA609" s="4">
        <v>295</v>
      </c>
      <c r="AB609" s="4">
        <v>3</v>
      </c>
      <c r="AC609" s="4">
        <v>3</v>
      </c>
      <c r="AD609" s="4">
        <v>19</v>
      </c>
      <c r="AE609" s="4">
        <v>19</v>
      </c>
      <c r="AF609" s="4">
        <v>5</v>
      </c>
      <c r="AG609" s="4">
        <v>5</v>
      </c>
      <c r="AH609" s="4">
        <v>7</v>
      </c>
      <c r="AI609" s="4">
        <v>7</v>
      </c>
      <c r="AJ609" s="4">
        <v>12</v>
      </c>
      <c r="AK609" s="4">
        <v>12</v>
      </c>
      <c r="AL609" s="4">
        <v>2</v>
      </c>
      <c r="AM609" s="4">
        <v>2</v>
      </c>
      <c r="AN609" s="4">
        <v>0</v>
      </c>
      <c r="AO609" s="4">
        <v>0</v>
      </c>
      <c r="AP609" s="3" t="s">
        <v>58</v>
      </c>
      <c r="AQ609" s="3" t="s">
        <v>68</v>
      </c>
      <c r="AR609" s="6" t="str">
        <f>HYPERLINK("http://catalog.hathitrust.org/Record/002884514","HathiTrust Record")</f>
        <v>HathiTrust Record</v>
      </c>
      <c r="AS609" s="6" t="str">
        <f>HYPERLINK("https://creighton-primo.hosted.exlibrisgroup.com/primo-explore/search?tab=default_tab&amp;search_scope=EVERYTHING&amp;vid=01CRU&amp;lang=en_US&amp;offset=0&amp;query=any,contains,991002252189702656","Catalog Record")</f>
        <v>Catalog Record</v>
      </c>
      <c r="AT609" s="6" t="str">
        <f>HYPERLINK("http://www.worldcat.org/oclc/29182294","WorldCat Record")</f>
        <v>WorldCat Record</v>
      </c>
      <c r="AU609" s="3" t="s">
        <v>7794</v>
      </c>
      <c r="AV609" s="3" t="s">
        <v>7795</v>
      </c>
      <c r="AW609" s="3" t="s">
        <v>7796</v>
      </c>
      <c r="AX609" s="3" t="s">
        <v>7796</v>
      </c>
      <c r="AY609" s="3" t="s">
        <v>7797</v>
      </c>
      <c r="AZ609" s="3" t="s">
        <v>73</v>
      </c>
      <c r="BB609" s="3" t="s">
        <v>7798</v>
      </c>
      <c r="BC609" s="3" t="s">
        <v>7799</v>
      </c>
      <c r="BD609" s="3" t="s">
        <v>7800</v>
      </c>
    </row>
    <row r="610" spans="1:56" ht="51" customHeight="1" x14ac:dyDescent="0.25">
      <c r="A610" s="7" t="s">
        <v>58</v>
      </c>
      <c r="B610" s="2" t="s">
        <v>7801</v>
      </c>
      <c r="C610" s="2" t="s">
        <v>7802</v>
      </c>
      <c r="D610" s="2" t="s">
        <v>7803</v>
      </c>
      <c r="F610" s="3" t="s">
        <v>58</v>
      </c>
      <c r="G610" s="3" t="s">
        <v>59</v>
      </c>
      <c r="H610" s="3" t="s">
        <v>58</v>
      </c>
      <c r="I610" s="3" t="s">
        <v>58</v>
      </c>
      <c r="J610" s="3" t="s">
        <v>60</v>
      </c>
      <c r="K610" s="2" t="s">
        <v>7804</v>
      </c>
      <c r="L610" s="2" t="s">
        <v>7805</v>
      </c>
      <c r="M610" s="3" t="s">
        <v>1091</v>
      </c>
      <c r="O610" s="3" t="s">
        <v>63</v>
      </c>
      <c r="P610" s="3" t="s">
        <v>510</v>
      </c>
      <c r="R610" s="3" t="s">
        <v>65</v>
      </c>
      <c r="S610" s="4">
        <v>3</v>
      </c>
      <c r="T610" s="4">
        <v>3</v>
      </c>
      <c r="U610" s="5" t="s">
        <v>7806</v>
      </c>
      <c r="V610" s="5" t="s">
        <v>7806</v>
      </c>
      <c r="W610" s="5" t="s">
        <v>7807</v>
      </c>
      <c r="X610" s="5" t="s">
        <v>7807</v>
      </c>
      <c r="Y610" s="4">
        <v>338</v>
      </c>
      <c r="Z610" s="4">
        <v>294</v>
      </c>
      <c r="AA610" s="4">
        <v>297</v>
      </c>
      <c r="AB610" s="4">
        <v>5</v>
      </c>
      <c r="AC610" s="4">
        <v>5</v>
      </c>
      <c r="AD610" s="4">
        <v>22</v>
      </c>
      <c r="AE610" s="4">
        <v>22</v>
      </c>
      <c r="AF610" s="4">
        <v>10</v>
      </c>
      <c r="AG610" s="4">
        <v>10</v>
      </c>
      <c r="AH610" s="4">
        <v>5</v>
      </c>
      <c r="AI610" s="4">
        <v>5</v>
      </c>
      <c r="AJ610" s="4">
        <v>10</v>
      </c>
      <c r="AK610" s="4">
        <v>10</v>
      </c>
      <c r="AL610" s="4">
        <v>4</v>
      </c>
      <c r="AM610" s="4">
        <v>4</v>
      </c>
      <c r="AN610" s="4">
        <v>0</v>
      </c>
      <c r="AO610" s="4">
        <v>0</v>
      </c>
      <c r="AP610" s="3" t="s">
        <v>58</v>
      </c>
      <c r="AQ610" s="3" t="s">
        <v>68</v>
      </c>
      <c r="AR610" s="6" t="str">
        <f>HYPERLINK("http://catalog.hathitrust.org/Record/004192870","HathiTrust Record")</f>
        <v>HathiTrust Record</v>
      </c>
      <c r="AS610" s="6" t="str">
        <f>HYPERLINK("https://creighton-primo.hosted.exlibrisgroup.com/primo-explore/search?tab=default_tab&amp;search_scope=EVERYTHING&amp;vid=01CRU&amp;lang=en_US&amp;offset=0&amp;query=any,contains,991003967249702656","Catalog Record")</f>
        <v>Catalog Record</v>
      </c>
      <c r="AT610" s="6" t="str">
        <f>HYPERLINK("http://www.worldcat.org/oclc/45757723","WorldCat Record")</f>
        <v>WorldCat Record</v>
      </c>
      <c r="AU610" s="3" t="s">
        <v>7808</v>
      </c>
      <c r="AV610" s="3" t="s">
        <v>7809</v>
      </c>
      <c r="AW610" s="3" t="s">
        <v>7810</v>
      </c>
      <c r="AX610" s="3" t="s">
        <v>7810</v>
      </c>
      <c r="AY610" s="3" t="s">
        <v>7811</v>
      </c>
      <c r="AZ610" s="3" t="s">
        <v>73</v>
      </c>
      <c r="BB610" s="3" t="s">
        <v>7812</v>
      </c>
      <c r="BC610" s="3" t="s">
        <v>7813</v>
      </c>
      <c r="BD610" s="3" t="s">
        <v>7814</v>
      </c>
    </row>
    <row r="611" spans="1:56" ht="51" customHeight="1" x14ac:dyDescent="0.25">
      <c r="A611" s="7" t="s">
        <v>58</v>
      </c>
      <c r="B611" s="2" t="s">
        <v>7815</v>
      </c>
      <c r="C611" s="2" t="s">
        <v>7816</v>
      </c>
      <c r="D611" s="2" t="s">
        <v>7817</v>
      </c>
      <c r="F611" s="3" t="s">
        <v>58</v>
      </c>
      <c r="G611" s="3" t="s">
        <v>59</v>
      </c>
      <c r="H611" s="3" t="s">
        <v>58</v>
      </c>
      <c r="I611" s="3" t="s">
        <v>58</v>
      </c>
      <c r="J611" s="3" t="s">
        <v>60</v>
      </c>
      <c r="L611" s="2" t="s">
        <v>7818</v>
      </c>
      <c r="M611" s="3" t="s">
        <v>951</v>
      </c>
      <c r="O611" s="3" t="s">
        <v>63</v>
      </c>
      <c r="P611" s="3" t="s">
        <v>214</v>
      </c>
      <c r="R611" s="3" t="s">
        <v>65</v>
      </c>
      <c r="S611" s="4">
        <v>4</v>
      </c>
      <c r="T611" s="4">
        <v>4</v>
      </c>
      <c r="U611" s="5" t="s">
        <v>7432</v>
      </c>
      <c r="V611" s="5" t="s">
        <v>7432</v>
      </c>
      <c r="W611" s="5" t="s">
        <v>7819</v>
      </c>
      <c r="X611" s="5" t="s">
        <v>7819</v>
      </c>
      <c r="Y611" s="4">
        <v>516</v>
      </c>
      <c r="Z611" s="4">
        <v>382</v>
      </c>
      <c r="AA611" s="4">
        <v>384</v>
      </c>
      <c r="AB611" s="4">
        <v>2</v>
      </c>
      <c r="AC611" s="4">
        <v>2</v>
      </c>
      <c r="AD611" s="4">
        <v>23</v>
      </c>
      <c r="AE611" s="4">
        <v>23</v>
      </c>
      <c r="AF611" s="4">
        <v>14</v>
      </c>
      <c r="AG611" s="4">
        <v>14</v>
      </c>
      <c r="AH611" s="4">
        <v>6</v>
      </c>
      <c r="AI611" s="4">
        <v>6</v>
      </c>
      <c r="AJ611" s="4">
        <v>12</v>
      </c>
      <c r="AK611" s="4">
        <v>12</v>
      </c>
      <c r="AL611" s="4">
        <v>1</v>
      </c>
      <c r="AM611" s="4">
        <v>1</v>
      </c>
      <c r="AN611" s="4">
        <v>0</v>
      </c>
      <c r="AO611" s="4">
        <v>0</v>
      </c>
      <c r="AP611" s="3" t="s">
        <v>58</v>
      </c>
      <c r="AQ611" s="3" t="s">
        <v>58</v>
      </c>
      <c r="AS611" s="6" t="str">
        <f>HYPERLINK("https://creighton-primo.hosted.exlibrisgroup.com/primo-explore/search?tab=default_tab&amp;search_scope=EVERYTHING&amp;vid=01CRU&amp;lang=en_US&amp;offset=0&amp;query=any,contains,991003731719702656","Catalog Record")</f>
        <v>Catalog Record</v>
      </c>
      <c r="AT611" s="6" t="str">
        <f>HYPERLINK("http://www.worldcat.org/oclc/42780277","WorldCat Record")</f>
        <v>WorldCat Record</v>
      </c>
      <c r="AU611" s="3" t="s">
        <v>7820</v>
      </c>
      <c r="AV611" s="3" t="s">
        <v>7821</v>
      </c>
      <c r="AW611" s="3" t="s">
        <v>7822</v>
      </c>
      <c r="AX611" s="3" t="s">
        <v>7822</v>
      </c>
      <c r="AY611" s="3" t="s">
        <v>7823</v>
      </c>
      <c r="AZ611" s="3" t="s">
        <v>73</v>
      </c>
      <c r="BB611" s="3" t="s">
        <v>7824</v>
      </c>
      <c r="BC611" s="3" t="s">
        <v>7825</v>
      </c>
      <c r="BD611" s="3" t="s">
        <v>7826</v>
      </c>
    </row>
    <row r="612" spans="1:56" ht="51" customHeight="1" x14ac:dyDescent="0.25">
      <c r="A612" s="7" t="s">
        <v>58</v>
      </c>
      <c r="B612" s="2" t="s">
        <v>7827</v>
      </c>
      <c r="C612" s="2" t="s">
        <v>7828</v>
      </c>
      <c r="D612" s="2" t="s">
        <v>7829</v>
      </c>
      <c r="F612" s="3" t="s">
        <v>58</v>
      </c>
      <c r="G612" s="3" t="s">
        <v>59</v>
      </c>
      <c r="H612" s="3" t="s">
        <v>58</v>
      </c>
      <c r="I612" s="3" t="s">
        <v>58</v>
      </c>
      <c r="J612" s="3" t="s">
        <v>60</v>
      </c>
      <c r="K612" s="2" t="s">
        <v>7830</v>
      </c>
      <c r="L612" s="2" t="s">
        <v>7831</v>
      </c>
      <c r="M612" s="3" t="s">
        <v>337</v>
      </c>
      <c r="N612" s="2" t="s">
        <v>338</v>
      </c>
      <c r="O612" s="3" t="s">
        <v>63</v>
      </c>
      <c r="P612" s="3" t="s">
        <v>214</v>
      </c>
      <c r="R612" s="3" t="s">
        <v>65</v>
      </c>
      <c r="S612" s="4">
        <v>5</v>
      </c>
      <c r="T612" s="4">
        <v>5</v>
      </c>
      <c r="U612" s="5" t="s">
        <v>3055</v>
      </c>
      <c r="V612" s="5" t="s">
        <v>3055</v>
      </c>
      <c r="W612" s="5" t="s">
        <v>5960</v>
      </c>
      <c r="X612" s="5" t="s">
        <v>5960</v>
      </c>
      <c r="Y612" s="4">
        <v>856</v>
      </c>
      <c r="Z612" s="4">
        <v>768</v>
      </c>
      <c r="AA612" s="4">
        <v>818</v>
      </c>
      <c r="AB612" s="4">
        <v>5</v>
      </c>
      <c r="AC612" s="4">
        <v>5</v>
      </c>
      <c r="AD612" s="4">
        <v>34</v>
      </c>
      <c r="AE612" s="4">
        <v>36</v>
      </c>
      <c r="AF612" s="4">
        <v>17</v>
      </c>
      <c r="AG612" s="4">
        <v>17</v>
      </c>
      <c r="AH612" s="4">
        <v>8</v>
      </c>
      <c r="AI612" s="4">
        <v>9</v>
      </c>
      <c r="AJ612" s="4">
        <v>15</v>
      </c>
      <c r="AK612" s="4">
        <v>17</v>
      </c>
      <c r="AL612" s="4">
        <v>4</v>
      </c>
      <c r="AM612" s="4">
        <v>4</v>
      </c>
      <c r="AN612" s="4">
        <v>0</v>
      </c>
      <c r="AO612" s="4">
        <v>0</v>
      </c>
      <c r="AP612" s="3" t="s">
        <v>58</v>
      </c>
      <c r="AQ612" s="3" t="s">
        <v>58</v>
      </c>
      <c r="AS612" s="6" t="str">
        <f>HYPERLINK("https://creighton-primo.hosted.exlibrisgroup.com/primo-explore/search?tab=default_tab&amp;search_scope=EVERYTHING&amp;vid=01CRU&amp;lang=en_US&amp;offset=0&amp;query=any,contains,991003839999702656","Catalog Record")</f>
        <v>Catalog Record</v>
      </c>
      <c r="AT612" s="6" t="str">
        <f>HYPERLINK("http://www.worldcat.org/oclc/49226022","WorldCat Record")</f>
        <v>WorldCat Record</v>
      </c>
      <c r="AU612" s="3" t="s">
        <v>7832</v>
      </c>
      <c r="AV612" s="3" t="s">
        <v>7833</v>
      </c>
      <c r="AW612" s="3" t="s">
        <v>7834</v>
      </c>
      <c r="AX612" s="3" t="s">
        <v>7834</v>
      </c>
      <c r="AY612" s="3" t="s">
        <v>7835</v>
      </c>
      <c r="AZ612" s="3" t="s">
        <v>73</v>
      </c>
      <c r="BB612" s="3" t="s">
        <v>7836</v>
      </c>
      <c r="BC612" s="3" t="s">
        <v>7837</v>
      </c>
      <c r="BD612" s="3" t="s">
        <v>7838</v>
      </c>
    </row>
    <row r="613" spans="1:56" ht="51" customHeight="1" x14ac:dyDescent="0.25">
      <c r="A613" s="7" t="s">
        <v>58</v>
      </c>
      <c r="B613" s="2" t="s">
        <v>7839</v>
      </c>
      <c r="C613" s="2" t="s">
        <v>7840</v>
      </c>
      <c r="D613" s="2" t="s">
        <v>7841</v>
      </c>
      <c r="F613" s="3" t="s">
        <v>58</v>
      </c>
      <c r="G613" s="3" t="s">
        <v>59</v>
      </c>
      <c r="H613" s="3" t="s">
        <v>68</v>
      </c>
      <c r="I613" s="3" t="s">
        <v>58</v>
      </c>
      <c r="J613" s="3" t="s">
        <v>60</v>
      </c>
      <c r="K613" s="2" t="s">
        <v>7710</v>
      </c>
      <c r="L613" s="2" t="s">
        <v>7842</v>
      </c>
      <c r="M613" s="3" t="s">
        <v>196</v>
      </c>
      <c r="O613" s="3" t="s">
        <v>63</v>
      </c>
      <c r="P613" s="3" t="s">
        <v>411</v>
      </c>
      <c r="R613" s="3" t="s">
        <v>65</v>
      </c>
      <c r="S613" s="4">
        <v>0</v>
      </c>
      <c r="T613" s="4">
        <v>2</v>
      </c>
      <c r="V613" s="5" t="s">
        <v>7843</v>
      </c>
      <c r="W613" s="5" t="s">
        <v>7844</v>
      </c>
      <c r="X613" s="5" t="s">
        <v>7844</v>
      </c>
      <c r="Y613" s="4">
        <v>1104</v>
      </c>
      <c r="Z613" s="4">
        <v>978</v>
      </c>
      <c r="AA613" s="4">
        <v>1066</v>
      </c>
      <c r="AB613" s="4">
        <v>8</v>
      </c>
      <c r="AC613" s="4">
        <v>10</v>
      </c>
      <c r="AD613" s="4">
        <v>41</v>
      </c>
      <c r="AE613" s="4">
        <v>43</v>
      </c>
      <c r="AF613" s="4">
        <v>18</v>
      </c>
      <c r="AG613" s="4">
        <v>18</v>
      </c>
      <c r="AH613" s="4">
        <v>10</v>
      </c>
      <c r="AI613" s="4">
        <v>10</v>
      </c>
      <c r="AJ613" s="4">
        <v>19</v>
      </c>
      <c r="AK613" s="4">
        <v>19</v>
      </c>
      <c r="AL613" s="4">
        <v>5</v>
      </c>
      <c r="AM613" s="4">
        <v>7</v>
      </c>
      <c r="AN613" s="4">
        <v>0</v>
      </c>
      <c r="AO613" s="4">
        <v>0</v>
      </c>
      <c r="AP613" s="3" t="s">
        <v>58</v>
      </c>
      <c r="AQ613" s="3" t="s">
        <v>68</v>
      </c>
      <c r="AR613" s="6" t="str">
        <f>HYPERLINK("http://catalog.hathitrust.org/Record/003030625","HathiTrust Record")</f>
        <v>HathiTrust Record</v>
      </c>
      <c r="AS613" s="6" t="str">
        <f>HYPERLINK("https://creighton-primo.hosted.exlibrisgroup.com/primo-explore/search?tab=default_tab&amp;search_scope=EVERYTHING&amp;vid=01CRU&amp;lang=en_US&amp;offset=0&amp;query=any,contains,991001667779702656","Catalog Record")</f>
        <v>Catalog Record</v>
      </c>
      <c r="AT613" s="6" t="str">
        <f>HYPERLINK("http://www.worldcat.org/oclc/32701554","WorldCat Record")</f>
        <v>WorldCat Record</v>
      </c>
      <c r="AU613" s="3" t="s">
        <v>7845</v>
      </c>
      <c r="AV613" s="3" t="s">
        <v>7846</v>
      </c>
      <c r="AW613" s="3" t="s">
        <v>7847</v>
      </c>
      <c r="AX613" s="3" t="s">
        <v>7847</v>
      </c>
      <c r="AY613" s="3" t="s">
        <v>7848</v>
      </c>
      <c r="AZ613" s="3" t="s">
        <v>73</v>
      </c>
      <c r="BB613" s="3" t="s">
        <v>7849</v>
      </c>
      <c r="BC613" s="3" t="s">
        <v>7850</v>
      </c>
      <c r="BD613" s="3" t="s">
        <v>7851</v>
      </c>
    </row>
    <row r="614" spans="1:56" ht="51" customHeight="1" x14ac:dyDescent="0.25">
      <c r="A614" s="7" t="s">
        <v>58</v>
      </c>
      <c r="B614" s="2" t="s">
        <v>7852</v>
      </c>
      <c r="C614" s="2" t="s">
        <v>7853</v>
      </c>
      <c r="D614" s="2" t="s">
        <v>7854</v>
      </c>
      <c r="F614" s="3" t="s">
        <v>58</v>
      </c>
      <c r="G614" s="3" t="s">
        <v>59</v>
      </c>
      <c r="H614" s="3" t="s">
        <v>58</v>
      </c>
      <c r="I614" s="3" t="s">
        <v>58</v>
      </c>
      <c r="J614" s="3" t="s">
        <v>60</v>
      </c>
      <c r="K614" s="2" t="s">
        <v>7855</v>
      </c>
      <c r="L614" s="2" t="s">
        <v>7856</v>
      </c>
      <c r="M614" s="3" t="s">
        <v>898</v>
      </c>
      <c r="N614" s="2" t="s">
        <v>338</v>
      </c>
      <c r="O614" s="3" t="s">
        <v>63</v>
      </c>
      <c r="P614" s="3" t="s">
        <v>214</v>
      </c>
      <c r="R614" s="3" t="s">
        <v>65</v>
      </c>
      <c r="S614" s="4">
        <v>1</v>
      </c>
      <c r="T614" s="4">
        <v>1</v>
      </c>
      <c r="U614" s="5" t="s">
        <v>7857</v>
      </c>
      <c r="V614" s="5" t="s">
        <v>7857</v>
      </c>
      <c r="W614" s="5" t="s">
        <v>7857</v>
      </c>
      <c r="X614" s="5" t="s">
        <v>7857</v>
      </c>
      <c r="Y614" s="4">
        <v>963</v>
      </c>
      <c r="Z614" s="4">
        <v>873</v>
      </c>
      <c r="AA614" s="4">
        <v>978</v>
      </c>
      <c r="AB614" s="4">
        <v>6</v>
      </c>
      <c r="AC614" s="4">
        <v>6</v>
      </c>
      <c r="AD614" s="4">
        <v>38</v>
      </c>
      <c r="AE614" s="4">
        <v>40</v>
      </c>
      <c r="AF614" s="4">
        <v>16</v>
      </c>
      <c r="AG614" s="4">
        <v>17</v>
      </c>
      <c r="AH614" s="4">
        <v>9</v>
      </c>
      <c r="AI614" s="4">
        <v>9</v>
      </c>
      <c r="AJ614" s="4">
        <v>19</v>
      </c>
      <c r="AK614" s="4">
        <v>20</v>
      </c>
      <c r="AL614" s="4">
        <v>5</v>
      </c>
      <c r="AM614" s="4">
        <v>5</v>
      </c>
      <c r="AN614" s="4">
        <v>0</v>
      </c>
      <c r="AO614" s="4">
        <v>0</v>
      </c>
      <c r="AP614" s="3" t="s">
        <v>58</v>
      </c>
      <c r="AQ614" s="3" t="s">
        <v>58</v>
      </c>
      <c r="AS614" s="6" t="str">
        <f>HYPERLINK("https://creighton-primo.hosted.exlibrisgroup.com/primo-explore/search?tab=default_tab&amp;search_scope=EVERYTHING&amp;vid=01CRU&amp;lang=en_US&amp;offset=0&amp;query=any,contains,991004840119702656","Catalog Record")</f>
        <v>Catalog Record</v>
      </c>
      <c r="AT614" s="6" t="str">
        <f>HYPERLINK("http://www.worldcat.org/oclc/61463826","WorldCat Record")</f>
        <v>WorldCat Record</v>
      </c>
      <c r="AU614" s="3" t="s">
        <v>7858</v>
      </c>
      <c r="AV614" s="3" t="s">
        <v>7859</v>
      </c>
      <c r="AW614" s="3" t="s">
        <v>7860</v>
      </c>
      <c r="AX614" s="3" t="s">
        <v>7860</v>
      </c>
      <c r="AY614" s="3" t="s">
        <v>7861</v>
      </c>
      <c r="AZ614" s="3" t="s">
        <v>73</v>
      </c>
      <c r="BB614" s="3" t="s">
        <v>7862</v>
      </c>
      <c r="BC614" s="3" t="s">
        <v>7863</v>
      </c>
      <c r="BD614" s="3" t="s">
        <v>7864</v>
      </c>
    </row>
    <row r="615" spans="1:56" ht="51" customHeight="1" x14ac:dyDescent="0.25">
      <c r="A615" s="7" t="s">
        <v>58</v>
      </c>
      <c r="B615" s="2" t="s">
        <v>7865</v>
      </c>
      <c r="C615" s="2" t="s">
        <v>7866</v>
      </c>
      <c r="D615" s="2" t="s">
        <v>7867</v>
      </c>
      <c r="F615" s="3" t="s">
        <v>58</v>
      </c>
      <c r="G615" s="3" t="s">
        <v>59</v>
      </c>
      <c r="H615" s="3" t="s">
        <v>58</v>
      </c>
      <c r="I615" s="3" t="s">
        <v>58</v>
      </c>
      <c r="J615" s="3" t="s">
        <v>60</v>
      </c>
      <c r="K615" s="2" t="s">
        <v>7868</v>
      </c>
      <c r="L615" s="2" t="s">
        <v>7869</v>
      </c>
      <c r="M615" s="3" t="s">
        <v>653</v>
      </c>
      <c r="O615" s="3" t="s">
        <v>63</v>
      </c>
      <c r="P615" s="3" t="s">
        <v>510</v>
      </c>
      <c r="R615" s="3" t="s">
        <v>65</v>
      </c>
      <c r="S615" s="4">
        <v>1</v>
      </c>
      <c r="T615" s="4">
        <v>1</v>
      </c>
      <c r="U615" s="5" t="s">
        <v>7870</v>
      </c>
      <c r="V615" s="5" t="s">
        <v>7870</v>
      </c>
      <c r="W615" s="5" t="s">
        <v>2134</v>
      </c>
      <c r="X615" s="5" t="s">
        <v>2134</v>
      </c>
      <c r="Y615" s="4">
        <v>544</v>
      </c>
      <c r="Z615" s="4">
        <v>435</v>
      </c>
      <c r="AA615" s="4">
        <v>436</v>
      </c>
      <c r="AB615" s="4">
        <v>3</v>
      </c>
      <c r="AC615" s="4">
        <v>3</v>
      </c>
      <c r="AD615" s="4">
        <v>26</v>
      </c>
      <c r="AE615" s="4">
        <v>26</v>
      </c>
      <c r="AF615" s="4">
        <v>10</v>
      </c>
      <c r="AG615" s="4">
        <v>10</v>
      </c>
      <c r="AH615" s="4">
        <v>9</v>
      </c>
      <c r="AI615" s="4">
        <v>9</v>
      </c>
      <c r="AJ615" s="4">
        <v>14</v>
      </c>
      <c r="AK615" s="4">
        <v>14</v>
      </c>
      <c r="AL615" s="4">
        <v>2</v>
      </c>
      <c r="AM615" s="4">
        <v>2</v>
      </c>
      <c r="AN615" s="4">
        <v>0</v>
      </c>
      <c r="AO615" s="4">
        <v>0</v>
      </c>
      <c r="AP615" s="3" t="s">
        <v>58</v>
      </c>
      <c r="AQ615" s="3" t="s">
        <v>58</v>
      </c>
      <c r="AS615" s="6" t="str">
        <f>HYPERLINK("https://creighton-primo.hosted.exlibrisgroup.com/primo-explore/search?tab=default_tab&amp;search_scope=EVERYTHING&amp;vid=01CRU&amp;lang=en_US&amp;offset=0&amp;query=any,contains,991001823579702656","Catalog Record")</f>
        <v>Catalog Record</v>
      </c>
      <c r="AT615" s="6" t="str">
        <f>HYPERLINK("http://www.worldcat.org/oclc/22908198","WorldCat Record")</f>
        <v>WorldCat Record</v>
      </c>
      <c r="AU615" s="3" t="s">
        <v>7871</v>
      </c>
      <c r="AV615" s="3" t="s">
        <v>7872</v>
      </c>
      <c r="AW615" s="3" t="s">
        <v>7873</v>
      </c>
      <c r="AX615" s="3" t="s">
        <v>7873</v>
      </c>
      <c r="AY615" s="3" t="s">
        <v>7874</v>
      </c>
      <c r="AZ615" s="3" t="s">
        <v>73</v>
      </c>
      <c r="BB615" s="3" t="s">
        <v>7875</v>
      </c>
      <c r="BC615" s="3" t="s">
        <v>7876</v>
      </c>
      <c r="BD615" s="3" t="s">
        <v>7877</v>
      </c>
    </row>
    <row r="616" spans="1:56" ht="51" customHeight="1" x14ac:dyDescent="0.25">
      <c r="A616" s="7" t="s">
        <v>58</v>
      </c>
      <c r="B616" s="2" t="s">
        <v>7878</v>
      </c>
      <c r="C616" s="2" t="s">
        <v>7879</v>
      </c>
      <c r="D616" s="2" t="s">
        <v>7880</v>
      </c>
      <c r="F616" s="3" t="s">
        <v>58</v>
      </c>
      <c r="G616" s="3" t="s">
        <v>59</v>
      </c>
      <c r="H616" s="3" t="s">
        <v>58</v>
      </c>
      <c r="I616" s="3" t="s">
        <v>58</v>
      </c>
      <c r="J616" s="3" t="s">
        <v>60</v>
      </c>
      <c r="K616" s="2" t="s">
        <v>7881</v>
      </c>
      <c r="L616" s="2" t="s">
        <v>7882</v>
      </c>
      <c r="M616" s="3" t="s">
        <v>479</v>
      </c>
      <c r="O616" s="3" t="s">
        <v>63</v>
      </c>
      <c r="P616" s="3" t="s">
        <v>7883</v>
      </c>
      <c r="Q616" s="2" t="s">
        <v>7884</v>
      </c>
      <c r="R616" s="3" t="s">
        <v>65</v>
      </c>
      <c r="S616" s="4">
        <v>4</v>
      </c>
      <c r="T616" s="4">
        <v>4</v>
      </c>
      <c r="U616" s="5" t="s">
        <v>1813</v>
      </c>
      <c r="V616" s="5" t="s">
        <v>1813</v>
      </c>
      <c r="W616" s="5" t="s">
        <v>7885</v>
      </c>
      <c r="X616" s="5" t="s">
        <v>7885</v>
      </c>
      <c r="Y616" s="4">
        <v>316</v>
      </c>
      <c r="Z616" s="4">
        <v>251</v>
      </c>
      <c r="AA616" s="4">
        <v>253</v>
      </c>
      <c r="AB616" s="4">
        <v>2</v>
      </c>
      <c r="AC616" s="4">
        <v>2</v>
      </c>
      <c r="AD616" s="4">
        <v>15</v>
      </c>
      <c r="AE616" s="4">
        <v>15</v>
      </c>
      <c r="AF616" s="4">
        <v>4</v>
      </c>
      <c r="AG616" s="4">
        <v>4</v>
      </c>
      <c r="AH616" s="4">
        <v>5</v>
      </c>
      <c r="AI616" s="4">
        <v>5</v>
      </c>
      <c r="AJ616" s="4">
        <v>10</v>
      </c>
      <c r="AK616" s="4">
        <v>10</v>
      </c>
      <c r="AL616" s="4">
        <v>1</v>
      </c>
      <c r="AM616" s="4">
        <v>1</v>
      </c>
      <c r="AN616" s="4">
        <v>0</v>
      </c>
      <c r="AO616" s="4">
        <v>0</v>
      </c>
      <c r="AP616" s="3" t="s">
        <v>58</v>
      </c>
      <c r="AQ616" s="3" t="s">
        <v>68</v>
      </c>
      <c r="AR616" s="6" t="str">
        <f>HYPERLINK("http://catalog.hathitrust.org/Record/002860442","HathiTrust Record")</f>
        <v>HathiTrust Record</v>
      </c>
      <c r="AS616" s="6" t="str">
        <f>HYPERLINK("https://creighton-primo.hosted.exlibrisgroup.com/primo-explore/search?tab=default_tab&amp;search_scope=EVERYTHING&amp;vid=01CRU&amp;lang=en_US&amp;offset=0&amp;query=any,contains,991002237889702656","Catalog Record")</f>
        <v>Catalog Record</v>
      </c>
      <c r="AT616" s="6" t="str">
        <f>HYPERLINK("http://www.worldcat.org/oclc/28854327","WorldCat Record")</f>
        <v>WorldCat Record</v>
      </c>
      <c r="AU616" s="3" t="s">
        <v>7886</v>
      </c>
      <c r="AV616" s="3" t="s">
        <v>7887</v>
      </c>
      <c r="AW616" s="3" t="s">
        <v>7888</v>
      </c>
      <c r="AX616" s="3" t="s">
        <v>7888</v>
      </c>
      <c r="AY616" s="3" t="s">
        <v>7889</v>
      </c>
      <c r="AZ616" s="3" t="s">
        <v>73</v>
      </c>
      <c r="BB616" s="3" t="s">
        <v>7890</v>
      </c>
      <c r="BC616" s="3" t="s">
        <v>7891</v>
      </c>
      <c r="BD616" s="3" t="s">
        <v>7892</v>
      </c>
    </row>
    <row r="617" spans="1:56" ht="51" customHeight="1" x14ac:dyDescent="0.25">
      <c r="A617" s="7" t="s">
        <v>58</v>
      </c>
      <c r="B617" s="2" t="s">
        <v>7893</v>
      </c>
      <c r="C617" s="2" t="s">
        <v>7894</v>
      </c>
      <c r="D617" s="2" t="s">
        <v>7895</v>
      </c>
      <c r="F617" s="3" t="s">
        <v>58</v>
      </c>
      <c r="G617" s="3" t="s">
        <v>59</v>
      </c>
      <c r="H617" s="3" t="s">
        <v>58</v>
      </c>
      <c r="I617" s="3" t="s">
        <v>58</v>
      </c>
      <c r="J617" s="3" t="s">
        <v>60</v>
      </c>
      <c r="K617" s="2" t="s">
        <v>7896</v>
      </c>
      <c r="L617" s="2" t="s">
        <v>3748</v>
      </c>
      <c r="M617" s="3" t="s">
        <v>479</v>
      </c>
      <c r="O617" s="3" t="s">
        <v>63</v>
      </c>
      <c r="P617" s="3" t="s">
        <v>816</v>
      </c>
      <c r="R617" s="3" t="s">
        <v>65</v>
      </c>
      <c r="S617" s="4">
        <v>7</v>
      </c>
      <c r="T617" s="4">
        <v>7</v>
      </c>
      <c r="U617" s="5" t="s">
        <v>7897</v>
      </c>
      <c r="V617" s="5" t="s">
        <v>7897</v>
      </c>
      <c r="W617" s="5" t="s">
        <v>2244</v>
      </c>
      <c r="X617" s="5" t="s">
        <v>2244</v>
      </c>
      <c r="Y617" s="4">
        <v>618</v>
      </c>
      <c r="Z617" s="4">
        <v>536</v>
      </c>
      <c r="AA617" s="4">
        <v>565</v>
      </c>
      <c r="AB617" s="4">
        <v>3</v>
      </c>
      <c r="AC617" s="4">
        <v>4</v>
      </c>
      <c r="AD617" s="4">
        <v>27</v>
      </c>
      <c r="AE617" s="4">
        <v>31</v>
      </c>
      <c r="AF617" s="4">
        <v>8</v>
      </c>
      <c r="AG617" s="4">
        <v>11</v>
      </c>
      <c r="AH617" s="4">
        <v>8</v>
      </c>
      <c r="AI617" s="4">
        <v>9</v>
      </c>
      <c r="AJ617" s="4">
        <v>16</v>
      </c>
      <c r="AK617" s="4">
        <v>16</v>
      </c>
      <c r="AL617" s="4">
        <v>2</v>
      </c>
      <c r="AM617" s="4">
        <v>3</v>
      </c>
      <c r="AN617" s="4">
        <v>0</v>
      </c>
      <c r="AO617" s="4">
        <v>0</v>
      </c>
      <c r="AP617" s="3" t="s">
        <v>58</v>
      </c>
      <c r="AQ617" s="3" t="s">
        <v>68</v>
      </c>
      <c r="AR617" s="6" t="str">
        <f>HYPERLINK("http://catalog.hathitrust.org/Record/002798157","HathiTrust Record")</f>
        <v>HathiTrust Record</v>
      </c>
      <c r="AS617" s="6" t="str">
        <f>HYPERLINK("https://creighton-primo.hosted.exlibrisgroup.com/primo-explore/search?tab=default_tab&amp;search_scope=EVERYTHING&amp;vid=01CRU&amp;lang=en_US&amp;offset=0&amp;query=any,contains,991002243709702656","Catalog Record")</f>
        <v>Catalog Record</v>
      </c>
      <c r="AT617" s="6" t="str">
        <f>HYPERLINK("http://www.worldcat.org/oclc/28929285","WorldCat Record")</f>
        <v>WorldCat Record</v>
      </c>
      <c r="AU617" s="3" t="s">
        <v>7898</v>
      </c>
      <c r="AV617" s="3" t="s">
        <v>7899</v>
      </c>
      <c r="AW617" s="3" t="s">
        <v>7900</v>
      </c>
      <c r="AX617" s="3" t="s">
        <v>7900</v>
      </c>
      <c r="AY617" s="3" t="s">
        <v>7901</v>
      </c>
      <c r="AZ617" s="3" t="s">
        <v>73</v>
      </c>
      <c r="BB617" s="3" t="s">
        <v>7902</v>
      </c>
      <c r="BC617" s="3" t="s">
        <v>7903</v>
      </c>
      <c r="BD617" s="3" t="s">
        <v>7904</v>
      </c>
    </row>
    <row r="618" spans="1:56" ht="51" customHeight="1" x14ac:dyDescent="0.25">
      <c r="A618" s="7" t="s">
        <v>58</v>
      </c>
      <c r="B618" s="2" t="s">
        <v>7905</v>
      </c>
      <c r="C618" s="2" t="s">
        <v>7906</v>
      </c>
      <c r="D618" s="2" t="s">
        <v>7907</v>
      </c>
      <c r="F618" s="3" t="s">
        <v>58</v>
      </c>
      <c r="G618" s="3" t="s">
        <v>59</v>
      </c>
      <c r="H618" s="3" t="s">
        <v>58</v>
      </c>
      <c r="I618" s="3" t="s">
        <v>58</v>
      </c>
      <c r="J618" s="3" t="s">
        <v>60</v>
      </c>
      <c r="K618" s="2" t="s">
        <v>7908</v>
      </c>
      <c r="L618" s="2" t="s">
        <v>7909</v>
      </c>
      <c r="M618" s="3" t="s">
        <v>2214</v>
      </c>
      <c r="O618" s="3" t="s">
        <v>63</v>
      </c>
      <c r="P618" s="3" t="s">
        <v>3109</v>
      </c>
      <c r="R618" s="3" t="s">
        <v>65</v>
      </c>
      <c r="S618" s="4">
        <v>4</v>
      </c>
      <c r="T618" s="4">
        <v>4</v>
      </c>
      <c r="U618" s="5" t="s">
        <v>4298</v>
      </c>
      <c r="V618" s="5" t="s">
        <v>4298</v>
      </c>
      <c r="W618" s="5" t="s">
        <v>7028</v>
      </c>
      <c r="X618" s="5" t="s">
        <v>7028</v>
      </c>
      <c r="Y618" s="4">
        <v>284</v>
      </c>
      <c r="Z618" s="4">
        <v>247</v>
      </c>
      <c r="AA618" s="4">
        <v>272</v>
      </c>
      <c r="AB618" s="4">
        <v>2</v>
      </c>
      <c r="AC618" s="4">
        <v>2</v>
      </c>
      <c r="AD618" s="4">
        <v>14</v>
      </c>
      <c r="AE618" s="4">
        <v>15</v>
      </c>
      <c r="AF618" s="4">
        <v>4</v>
      </c>
      <c r="AG618" s="4">
        <v>5</v>
      </c>
      <c r="AH618" s="4">
        <v>6</v>
      </c>
      <c r="AI618" s="4">
        <v>7</v>
      </c>
      <c r="AJ618" s="4">
        <v>7</v>
      </c>
      <c r="AK618" s="4">
        <v>7</v>
      </c>
      <c r="AL618" s="4">
        <v>1</v>
      </c>
      <c r="AM618" s="4">
        <v>1</v>
      </c>
      <c r="AN618" s="4">
        <v>0</v>
      </c>
      <c r="AO618" s="4">
        <v>0</v>
      </c>
      <c r="AP618" s="3" t="s">
        <v>58</v>
      </c>
      <c r="AQ618" s="3" t="s">
        <v>68</v>
      </c>
      <c r="AR618" s="6" t="str">
        <f>HYPERLINK("http://catalog.hathitrust.org/Record/005029101","HathiTrust Record")</f>
        <v>HathiTrust Record</v>
      </c>
      <c r="AS618" s="6" t="str">
        <f>HYPERLINK("https://creighton-primo.hosted.exlibrisgroup.com/primo-explore/search?tab=default_tab&amp;search_scope=EVERYTHING&amp;vid=01CRU&amp;lang=en_US&amp;offset=0&amp;query=any,contains,991005063909702656","Catalog Record")</f>
        <v>Catalog Record</v>
      </c>
      <c r="AT618" s="6" t="str">
        <f>HYPERLINK("http://www.worldcat.org/oclc/56752988","WorldCat Record")</f>
        <v>WorldCat Record</v>
      </c>
      <c r="AU618" s="3" t="s">
        <v>7910</v>
      </c>
      <c r="AV618" s="3" t="s">
        <v>7911</v>
      </c>
      <c r="AW618" s="3" t="s">
        <v>7912</v>
      </c>
      <c r="AX618" s="3" t="s">
        <v>7912</v>
      </c>
      <c r="AY618" s="3" t="s">
        <v>7913</v>
      </c>
      <c r="AZ618" s="3" t="s">
        <v>73</v>
      </c>
      <c r="BB618" s="3" t="s">
        <v>7914</v>
      </c>
      <c r="BC618" s="3" t="s">
        <v>7915</v>
      </c>
      <c r="BD618" s="3" t="s">
        <v>7916</v>
      </c>
    </row>
    <row r="619" spans="1:56" ht="51" customHeight="1" x14ac:dyDescent="0.25">
      <c r="A619" s="7" t="s">
        <v>58</v>
      </c>
      <c r="B619" s="2" t="s">
        <v>7917</v>
      </c>
      <c r="C619" s="2" t="s">
        <v>7918</v>
      </c>
      <c r="D619" s="2" t="s">
        <v>7919</v>
      </c>
      <c r="F619" s="3" t="s">
        <v>58</v>
      </c>
      <c r="G619" s="3" t="s">
        <v>59</v>
      </c>
      <c r="H619" s="3" t="s">
        <v>58</v>
      </c>
      <c r="I619" s="3" t="s">
        <v>58</v>
      </c>
      <c r="J619" s="3" t="s">
        <v>60</v>
      </c>
      <c r="K619" s="2" t="s">
        <v>7920</v>
      </c>
      <c r="L619" s="2" t="s">
        <v>7921</v>
      </c>
      <c r="M619" s="3" t="s">
        <v>138</v>
      </c>
      <c r="O619" s="3" t="s">
        <v>63</v>
      </c>
      <c r="P619" s="3" t="s">
        <v>214</v>
      </c>
      <c r="R619" s="3" t="s">
        <v>65</v>
      </c>
      <c r="S619" s="4">
        <v>4</v>
      </c>
      <c r="T619" s="4">
        <v>4</v>
      </c>
      <c r="U619" s="5" t="s">
        <v>1878</v>
      </c>
      <c r="V619" s="5" t="s">
        <v>1878</v>
      </c>
      <c r="W619" s="5" t="s">
        <v>5321</v>
      </c>
      <c r="X619" s="5" t="s">
        <v>5321</v>
      </c>
      <c r="Y619" s="4">
        <v>459</v>
      </c>
      <c r="Z619" s="4">
        <v>419</v>
      </c>
      <c r="AA619" s="4">
        <v>426</v>
      </c>
      <c r="AB619" s="4">
        <v>2</v>
      </c>
      <c r="AC619" s="4">
        <v>2</v>
      </c>
      <c r="AD619" s="4">
        <v>12</v>
      </c>
      <c r="AE619" s="4">
        <v>12</v>
      </c>
      <c r="AF619" s="4">
        <v>5</v>
      </c>
      <c r="AG619" s="4">
        <v>5</v>
      </c>
      <c r="AH619" s="4">
        <v>3</v>
      </c>
      <c r="AI619" s="4">
        <v>3</v>
      </c>
      <c r="AJ619" s="4">
        <v>6</v>
      </c>
      <c r="AK619" s="4">
        <v>6</v>
      </c>
      <c r="AL619" s="4">
        <v>1</v>
      </c>
      <c r="AM619" s="4">
        <v>1</v>
      </c>
      <c r="AN619" s="4">
        <v>0</v>
      </c>
      <c r="AO619" s="4">
        <v>0</v>
      </c>
      <c r="AP619" s="3" t="s">
        <v>58</v>
      </c>
      <c r="AQ619" s="3" t="s">
        <v>68</v>
      </c>
      <c r="AR619" s="6" t="str">
        <f>HYPERLINK("http://catalog.hathitrust.org/Record/000149741","HathiTrust Record")</f>
        <v>HathiTrust Record</v>
      </c>
      <c r="AS619" s="6" t="str">
        <f>HYPERLINK("https://creighton-primo.hosted.exlibrisgroup.com/primo-explore/search?tab=default_tab&amp;search_scope=EVERYTHING&amp;vid=01CRU&amp;lang=en_US&amp;offset=0&amp;query=any,contains,991000058639702656","Catalog Record")</f>
        <v>Catalog Record</v>
      </c>
      <c r="AT619" s="6" t="str">
        <f>HYPERLINK("http://www.worldcat.org/oclc/8720343","WorldCat Record")</f>
        <v>WorldCat Record</v>
      </c>
      <c r="AU619" s="3" t="s">
        <v>7922</v>
      </c>
      <c r="AV619" s="3" t="s">
        <v>7923</v>
      </c>
      <c r="AW619" s="3" t="s">
        <v>7924</v>
      </c>
      <c r="AX619" s="3" t="s">
        <v>7924</v>
      </c>
      <c r="AY619" s="3" t="s">
        <v>7925</v>
      </c>
      <c r="AZ619" s="3" t="s">
        <v>73</v>
      </c>
      <c r="BB619" s="3" t="s">
        <v>7926</v>
      </c>
      <c r="BC619" s="3" t="s">
        <v>7927</v>
      </c>
      <c r="BD619" s="3" t="s">
        <v>7928</v>
      </c>
    </row>
    <row r="620" spans="1:56" ht="51" customHeight="1" x14ac:dyDescent="0.25">
      <c r="A620" s="7" t="s">
        <v>58</v>
      </c>
      <c r="B620" s="2" t="s">
        <v>7929</v>
      </c>
      <c r="C620" s="2" t="s">
        <v>7930</v>
      </c>
      <c r="D620" s="2" t="s">
        <v>7931</v>
      </c>
      <c r="F620" s="3" t="s">
        <v>58</v>
      </c>
      <c r="G620" s="3" t="s">
        <v>59</v>
      </c>
      <c r="H620" s="3" t="s">
        <v>58</v>
      </c>
      <c r="I620" s="3" t="s">
        <v>58</v>
      </c>
      <c r="J620" s="3" t="s">
        <v>60</v>
      </c>
      <c r="K620" s="2" t="s">
        <v>7932</v>
      </c>
      <c r="L620" s="2" t="s">
        <v>7933</v>
      </c>
      <c r="M620" s="3" t="s">
        <v>1784</v>
      </c>
      <c r="O620" s="3" t="s">
        <v>63</v>
      </c>
      <c r="P620" s="3" t="s">
        <v>214</v>
      </c>
      <c r="R620" s="3" t="s">
        <v>65</v>
      </c>
      <c r="S620" s="4">
        <v>4</v>
      </c>
      <c r="T620" s="4">
        <v>4</v>
      </c>
      <c r="U620" s="5" t="s">
        <v>7934</v>
      </c>
      <c r="V620" s="5" t="s">
        <v>7934</v>
      </c>
      <c r="W620" s="5" t="s">
        <v>5321</v>
      </c>
      <c r="X620" s="5" t="s">
        <v>5321</v>
      </c>
      <c r="Y620" s="4">
        <v>925</v>
      </c>
      <c r="Z620" s="4">
        <v>821</v>
      </c>
      <c r="AA620" s="4">
        <v>920</v>
      </c>
      <c r="AB620" s="4">
        <v>4</v>
      </c>
      <c r="AC620" s="4">
        <v>5</v>
      </c>
      <c r="AD620" s="4">
        <v>28</v>
      </c>
      <c r="AE620" s="4">
        <v>31</v>
      </c>
      <c r="AF620" s="4">
        <v>9</v>
      </c>
      <c r="AG620" s="4">
        <v>10</v>
      </c>
      <c r="AH620" s="4">
        <v>7</v>
      </c>
      <c r="AI620" s="4">
        <v>8</v>
      </c>
      <c r="AJ620" s="4">
        <v>15</v>
      </c>
      <c r="AK620" s="4">
        <v>16</v>
      </c>
      <c r="AL620" s="4">
        <v>3</v>
      </c>
      <c r="AM620" s="4">
        <v>4</v>
      </c>
      <c r="AN620" s="4">
        <v>0</v>
      </c>
      <c r="AO620" s="4">
        <v>0</v>
      </c>
      <c r="AP620" s="3" t="s">
        <v>58</v>
      </c>
      <c r="AQ620" s="3" t="s">
        <v>68</v>
      </c>
      <c r="AR620" s="6" t="str">
        <f>HYPERLINK("http://catalog.hathitrust.org/Record/000027115","HathiTrust Record")</f>
        <v>HathiTrust Record</v>
      </c>
      <c r="AS620" s="6" t="str">
        <f>HYPERLINK("https://creighton-primo.hosted.exlibrisgroup.com/primo-explore/search?tab=default_tab&amp;search_scope=EVERYTHING&amp;vid=01CRU&amp;lang=en_US&amp;offset=0&amp;query=any,contains,991004732369702656","Catalog Record")</f>
        <v>Catalog Record</v>
      </c>
      <c r="AT620" s="6" t="str">
        <f>HYPERLINK("http://www.worldcat.org/oclc/4835370","WorldCat Record")</f>
        <v>WorldCat Record</v>
      </c>
      <c r="AU620" s="3" t="s">
        <v>7935</v>
      </c>
      <c r="AV620" s="3" t="s">
        <v>7936</v>
      </c>
      <c r="AW620" s="3" t="s">
        <v>7937</v>
      </c>
      <c r="AX620" s="3" t="s">
        <v>7937</v>
      </c>
      <c r="AY620" s="3" t="s">
        <v>7938</v>
      </c>
      <c r="AZ620" s="3" t="s">
        <v>73</v>
      </c>
      <c r="BB620" s="3" t="s">
        <v>7939</v>
      </c>
      <c r="BC620" s="3" t="s">
        <v>7940</v>
      </c>
      <c r="BD620" s="3" t="s">
        <v>7941</v>
      </c>
    </row>
    <row r="621" spans="1:56" ht="51" customHeight="1" x14ac:dyDescent="0.25">
      <c r="A621" s="7" t="s">
        <v>58</v>
      </c>
      <c r="B621" s="2" t="s">
        <v>7942</v>
      </c>
      <c r="C621" s="2" t="s">
        <v>7943</v>
      </c>
      <c r="D621" s="2" t="s">
        <v>7944</v>
      </c>
      <c r="F621" s="3" t="s">
        <v>58</v>
      </c>
      <c r="G621" s="3" t="s">
        <v>59</v>
      </c>
      <c r="H621" s="3" t="s">
        <v>58</v>
      </c>
      <c r="I621" s="3" t="s">
        <v>58</v>
      </c>
      <c r="J621" s="3" t="s">
        <v>60</v>
      </c>
      <c r="K621" s="2" t="s">
        <v>7945</v>
      </c>
      <c r="L621" s="2" t="s">
        <v>7946</v>
      </c>
      <c r="M621" s="3" t="s">
        <v>538</v>
      </c>
      <c r="N621" s="2" t="s">
        <v>1470</v>
      </c>
      <c r="O621" s="3" t="s">
        <v>63</v>
      </c>
      <c r="P621" s="3" t="s">
        <v>214</v>
      </c>
      <c r="Q621" s="2" t="s">
        <v>7947</v>
      </c>
      <c r="R621" s="3" t="s">
        <v>65</v>
      </c>
      <c r="S621" s="4">
        <v>2</v>
      </c>
      <c r="T621" s="4">
        <v>2</v>
      </c>
      <c r="U621" s="5" t="s">
        <v>7934</v>
      </c>
      <c r="V621" s="5" t="s">
        <v>7934</v>
      </c>
      <c r="W621" s="5" t="s">
        <v>7948</v>
      </c>
      <c r="X621" s="5" t="s">
        <v>7948</v>
      </c>
      <c r="Y621" s="4">
        <v>1028</v>
      </c>
      <c r="Z621" s="4">
        <v>933</v>
      </c>
      <c r="AA621" s="4">
        <v>1022</v>
      </c>
      <c r="AB621" s="4">
        <v>5</v>
      </c>
      <c r="AC621" s="4">
        <v>6</v>
      </c>
      <c r="AD621" s="4">
        <v>41</v>
      </c>
      <c r="AE621" s="4">
        <v>43</v>
      </c>
      <c r="AF621" s="4">
        <v>17</v>
      </c>
      <c r="AG621" s="4">
        <v>18</v>
      </c>
      <c r="AH621" s="4">
        <v>8</v>
      </c>
      <c r="AI621" s="4">
        <v>8</v>
      </c>
      <c r="AJ621" s="4">
        <v>21</v>
      </c>
      <c r="AK621" s="4">
        <v>21</v>
      </c>
      <c r="AL621" s="4">
        <v>4</v>
      </c>
      <c r="AM621" s="4">
        <v>5</v>
      </c>
      <c r="AN621" s="4">
        <v>1</v>
      </c>
      <c r="AO621" s="4">
        <v>1</v>
      </c>
      <c r="AP621" s="3" t="s">
        <v>58</v>
      </c>
      <c r="AQ621" s="3" t="s">
        <v>68</v>
      </c>
      <c r="AR621" s="6" t="str">
        <f>HYPERLINK("http://catalog.hathitrust.org/Record/001247728","HathiTrust Record")</f>
        <v>HathiTrust Record</v>
      </c>
      <c r="AS621" s="6" t="str">
        <f>HYPERLINK("https://creighton-primo.hosted.exlibrisgroup.com/primo-explore/search?tab=default_tab&amp;search_scope=EVERYTHING&amp;vid=01CRU&amp;lang=en_US&amp;offset=0&amp;query=any,contains,991000003759702656","Catalog Record")</f>
        <v>Catalog Record</v>
      </c>
      <c r="AT621" s="6" t="str">
        <f>HYPERLINK("http://www.worldcat.org/oclc/12325","WorldCat Record")</f>
        <v>WorldCat Record</v>
      </c>
      <c r="AU621" s="3" t="s">
        <v>7949</v>
      </c>
      <c r="AV621" s="3" t="s">
        <v>7950</v>
      </c>
      <c r="AW621" s="3" t="s">
        <v>7951</v>
      </c>
      <c r="AX621" s="3" t="s">
        <v>7951</v>
      </c>
      <c r="AY621" s="3" t="s">
        <v>7952</v>
      </c>
      <c r="AZ621" s="3" t="s">
        <v>73</v>
      </c>
      <c r="BC621" s="3" t="s">
        <v>7953</v>
      </c>
      <c r="BD621" s="3" t="s">
        <v>7954</v>
      </c>
    </row>
    <row r="622" spans="1:56" ht="51" customHeight="1" x14ac:dyDescent="0.25">
      <c r="A622" s="7" t="s">
        <v>58</v>
      </c>
      <c r="B622" s="2" t="s">
        <v>7955</v>
      </c>
      <c r="C622" s="2" t="s">
        <v>7956</v>
      </c>
      <c r="D622" s="2" t="s">
        <v>7957</v>
      </c>
      <c r="F622" s="3" t="s">
        <v>58</v>
      </c>
      <c r="G622" s="3" t="s">
        <v>59</v>
      </c>
      <c r="H622" s="3" t="s">
        <v>58</v>
      </c>
      <c r="I622" s="3" t="s">
        <v>58</v>
      </c>
      <c r="J622" s="3" t="s">
        <v>60</v>
      </c>
      <c r="K622" s="2" t="s">
        <v>7958</v>
      </c>
      <c r="L622" s="2" t="s">
        <v>7959</v>
      </c>
      <c r="M622" s="3" t="s">
        <v>138</v>
      </c>
      <c r="O622" s="3" t="s">
        <v>63</v>
      </c>
      <c r="P622" s="3" t="s">
        <v>1837</v>
      </c>
      <c r="R622" s="3" t="s">
        <v>65</v>
      </c>
      <c r="S622" s="4">
        <v>5</v>
      </c>
      <c r="T622" s="4">
        <v>5</v>
      </c>
      <c r="U622" s="5" t="s">
        <v>5280</v>
      </c>
      <c r="V622" s="5" t="s">
        <v>5280</v>
      </c>
      <c r="W622" s="5" t="s">
        <v>5321</v>
      </c>
      <c r="X622" s="5" t="s">
        <v>5321</v>
      </c>
      <c r="Y622" s="4">
        <v>359</v>
      </c>
      <c r="Z622" s="4">
        <v>317</v>
      </c>
      <c r="AA622" s="4">
        <v>324</v>
      </c>
      <c r="AB622" s="4">
        <v>4</v>
      </c>
      <c r="AC622" s="4">
        <v>4</v>
      </c>
      <c r="AD622" s="4">
        <v>20</v>
      </c>
      <c r="AE622" s="4">
        <v>20</v>
      </c>
      <c r="AF622" s="4">
        <v>7</v>
      </c>
      <c r="AG622" s="4">
        <v>7</v>
      </c>
      <c r="AH622" s="4">
        <v>3</v>
      </c>
      <c r="AI622" s="4">
        <v>3</v>
      </c>
      <c r="AJ622" s="4">
        <v>10</v>
      </c>
      <c r="AK622" s="4">
        <v>10</v>
      </c>
      <c r="AL622" s="4">
        <v>3</v>
      </c>
      <c r="AM622" s="4">
        <v>3</v>
      </c>
      <c r="AN622" s="4">
        <v>0</v>
      </c>
      <c r="AO622" s="4">
        <v>0</v>
      </c>
      <c r="AP622" s="3" t="s">
        <v>58</v>
      </c>
      <c r="AQ622" s="3" t="s">
        <v>68</v>
      </c>
      <c r="AR622" s="6" t="str">
        <f>HYPERLINK("http://catalog.hathitrust.org/Record/000878873","HathiTrust Record")</f>
        <v>HathiTrust Record</v>
      </c>
      <c r="AS622" s="6" t="str">
        <f>HYPERLINK("https://creighton-primo.hosted.exlibrisgroup.com/primo-explore/search?tab=default_tab&amp;search_scope=EVERYTHING&amp;vid=01CRU&amp;lang=en_US&amp;offset=0&amp;query=any,contains,991005231919702656","Catalog Record")</f>
        <v>Catalog Record</v>
      </c>
      <c r="AT622" s="6" t="str">
        <f>HYPERLINK("http://www.worldcat.org/oclc/8344690","WorldCat Record")</f>
        <v>WorldCat Record</v>
      </c>
      <c r="AU622" s="3" t="s">
        <v>7960</v>
      </c>
      <c r="AV622" s="3" t="s">
        <v>7961</v>
      </c>
      <c r="AW622" s="3" t="s">
        <v>7962</v>
      </c>
      <c r="AX622" s="3" t="s">
        <v>7962</v>
      </c>
      <c r="AY622" s="3" t="s">
        <v>7963</v>
      </c>
      <c r="AZ622" s="3" t="s">
        <v>73</v>
      </c>
      <c r="BB622" s="3" t="s">
        <v>7964</v>
      </c>
      <c r="BC622" s="3" t="s">
        <v>7965</v>
      </c>
      <c r="BD622" s="3" t="s">
        <v>7966</v>
      </c>
    </row>
    <row r="623" spans="1:56" ht="51" customHeight="1" x14ac:dyDescent="0.25">
      <c r="A623" s="7" t="s">
        <v>58</v>
      </c>
      <c r="B623" s="2" t="s">
        <v>7967</v>
      </c>
      <c r="C623" s="2" t="s">
        <v>7968</v>
      </c>
      <c r="D623" s="2" t="s">
        <v>7969</v>
      </c>
      <c r="F623" s="3" t="s">
        <v>58</v>
      </c>
      <c r="G623" s="3" t="s">
        <v>59</v>
      </c>
      <c r="H623" s="3" t="s">
        <v>58</v>
      </c>
      <c r="I623" s="3" t="s">
        <v>58</v>
      </c>
      <c r="J623" s="3" t="s">
        <v>60</v>
      </c>
      <c r="K623" s="2" t="s">
        <v>7970</v>
      </c>
      <c r="L623" s="2" t="s">
        <v>7971</v>
      </c>
      <c r="M623" s="3" t="s">
        <v>2757</v>
      </c>
      <c r="O623" s="3" t="s">
        <v>63</v>
      </c>
      <c r="P623" s="3" t="s">
        <v>214</v>
      </c>
      <c r="R623" s="3" t="s">
        <v>65</v>
      </c>
      <c r="S623" s="4">
        <v>1</v>
      </c>
      <c r="T623" s="4">
        <v>1</v>
      </c>
      <c r="U623" s="5" t="s">
        <v>4298</v>
      </c>
      <c r="V623" s="5" t="s">
        <v>4298</v>
      </c>
      <c r="W623" s="5" t="s">
        <v>540</v>
      </c>
      <c r="X623" s="5" t="s">
        <v>540</v>
      </c>
      <c r="Y623" s="4">
        <v>986</v>
      </c>
      <c r="Z623" s="4">
        <v>887</v>
      </c>
      <c r="AA623" s="4">
        <v>894</v>
      </c>
      <c r="AB623" s="4">
        <v>9</v>
      </c>
      <c r="AC623" s="4">
        <v>9</v>
      </c>
      <c r="AD623" s="4">
        <v>40</v>
      </c>
      <c r="AE623" s="4">
        <v>40</v>
      </c>
      <c r="AF623" s="4">
        <v>13</v>
      </c>
      <c r="AG623" s="4">
        <v>13</v>
      </c>
      <c r="AH623" s="4">
        <v>11</v>
      </c>
      <c r="AI623" s="4">
        <v>11</v>
      </c>
      <c r="AJ623" s="4">
        <v>17</v>
      </c>
      <c r="AK623" s="4">
        <v>17</v>
      </c>
      <c r="AL623" s="4">
        <v>8</v>
      </c>
      <c r="AM623" s="4">
        <v>8</v>
      </c>
      <c r="AN623" s="4">
        <v>1</v>
      </c>
      <c r="AO623" s="4">
        <v>1</v>
      </c>
      <c r="AP623" s="3" t="s">
        <v>58</v>
      </c>
      <c r="AQ623" s="3" t="s">
        <v>68</v>
      </c>
      <c r="AR623" s="6" t="str">
        <f>HYPERLINK("http://catalog.hathitrust.org/Record/001247729","HathiTrust Record")</f>
        <v>HathiTrust Record</v>
      </c>
      <c r="AS623" s="6" t="str">
        <f>HYPERLINK("https://creighton-primo.hosted.exlibrisgroup.com/primo-explore/search?tab=default_tab&amp;search_scope=EVERYTHING&amp;vid=01CRU&amp;lang=en_US&amp;offset=0&amp;query=any,contains,991002262149702656","Catalog Record")</f>
        <v>Catalog Record</v>
      </c>
      <c r="AT623" s="6" t="str">
        <f>HYPERLINK("http://www.worldcat.org/oclc/304913","WorldCat Record")</f>
        <v>WorldCat Record</v>
      </c>
      <c r="AU623" s="3" t="s">
        <v>7972</v>
      </c>
      <c r="AV623" s="3" t="s">
        <v>7973</v>
      </c>
      <c r="AW623" s="3" t="s">
        <v>7974</v>
      </c>
      <c r="AX623" s="3" t="s">
        <v>7974</v>
      </c>
      <c r="AY623" s="3" t="s">
        <v>7975</v>
      </c>
      <c r="AZ623" s="3" t="s">
        <v>73</v>
      </c>
      <c r="BC623" s="3" t="s">
        <v>7976</v>
      </c>
      <c r="BD623" s="3" t="s">
        <v>7977</v>
      </c>
    </row>
    <row r="624" spans="1:56" ht="51" customHeight="1" x14ac:dyDescent="0.25">
      <c r="A624" s="7" t="s">
        <v>58</v>
      </c>
      <c r="B624" s="2" t="s">
        <v>7978</v>
      </c>
      <c r="C624" s="2" t="s">
        <v>7979</v>
      </c>
      <c r="D624" s="2" t="s">
        <v>7980</v>
      </c>
      <c r="F624" s="3" t="s">
        <v>58</v>
      </c>
      <c r="G624" s="3" t="s">
        <v>59</v>
      </c>
      <c r="H624" s="3" t="s">
        <v>58</v>
      </c>
      <c r="I624" s="3" t="s">
        <v>58</v>
      </c>
      <c r="J624" s="3" t="s">
        <v>60</v>
      </c>
      <c r="K624" s="2" t="s">
        <v>7981</v>
      </c>
      <c r="L624" s="2" t="s">
        <v>7982</v>
      </c>
      <c r="M624" s="3" t="s">
        <v>138</v>
      </c>
      <c r="O624" s="3" t="s">
        <v>63</v>
      </c>
      <c r="P624" s="3" t="s">
        <v>214</v>
      </c>
      <c r="R624" s="3" t="s">
        <v>65</v>
      </c>
      <c r="S624" s="4">
        <v>7</v>
      </c>
      <c r="T624" s="4">
        <v>7</v>
      </c>
      <c r="U624" s="5" t="s">
        <v>7934</v>
      </c>
      <c r="V624" s="5" t="s">
        <v>7934</v>
      </c>
      <c r="W624" s="5" t="s">
        <v>5321</v>
      </c>
      <c r="X624" s="5" t="s">
        <v>5321</v>
      </c>
      <c r="Y624" s="4">
        <v>565</v>
      </c>
      <c r="Z624" s="4">
        <v>515</v>
      </c>
      <c r="AA624" s="4">
        <v>515</v>
      </c>
      <c r="AB624" s="4">
        <v>1</v>
      </c>
      <c r="AC624" s="4">
        <v>1</v>
      </c>
      <c r="AD624" s="4">
        <v>8</v>
      </c>
      <c r="AE624" s="4">
        <v>8</v>
      </c>
      <c r="AF624" s="4">
        <v>4</v>
      </c>
      <c r="AG624" s="4">
        <v>4</v>
      </c>
      <c r="AH624" s="4">
        <v>2</v>
      </c>
      <c r="AI624" s="4">
        <v>2</v>
      </c>
      <c r="AJ624" s="4">
        <v>3</v>
      </c>
      <c r="AK624" s="4">
        <v>3</v>
      </c>
      <c r="AL624" s="4">
        <v>0</v>
      </c>
      <c r="AM624" s="4">
        <v>0</v>
      </c>
      <c r="AN624" s="4">
        <v>0</v>
      </c>
      <c r="AO624" s="4">
        <v>0</v>
      </c>
      <c r="AP624" s="3" t="s">
        <v>58</v>
      </c>
      <c r="AQ624" s="3" t="s">
        <v>58</v>
      </c>
      <c r="AS624" s="6" t="str">
        <f>HYPERLINK("https://creighton-primo.hosted.exlibrisgroup.com/primo-explore/search?tab=default_tab&amp;search_scope=EVERYTHING&amp;vid=01CRU&amp;lang=en_US&amp;offset=0&amp;query=any,contains,991005212099702656","Catalog Record")</f>
        <v>Catalog Record</v>
      </c>
      <c r="AT624" s="6" t="str">
        <f>HYPERLINK("http://www.worldcat.org/oclc/8170089","WorldCat Record")</f>
        <v>WorldCat Record</v>
      </c>
      <c r="AU624" s="3" t="s">
        <v>7983</v>
      </c>
      <c r="AV624" s="3" t="s">
        <v>7984</v>
      </c>
      <c r="AW624" s="3" t="s">
        <v>7985</v>
      </c>
      <c r="AX624" s="3" t="s">
        <v>7985</v>
      </c>
      <c r="AY624" s="3" t="s">
        <v>7986</v>
      </c>
      <c r="AZ624" s="3" t="s">
        <v>73</v>
      </c>
      <c r="BB624" s="3" t="s">
        <v>7987</v>
      </c>
      <c r="BC624" s="3" t="s">
        <v>7988</v>
      </c>
      <c r="BD624" s="3" t="s">
        <v>7989</v>
      </c>
    </row>
    <row r="625" spans="1:56" ht="51" customHeight="1" x14ac:dyDescent="0.25">
      <c r="A625" s="7" t="s">
        <v>58</v>
      </c>
      <c r="B625" s="2" t="s">
        <v>7990</v>
      </c>
      <c r="C625" s="2" t="s">
        <v>7991</v>
      </c>
      <c r="D625" s="2" t="s">
        <v>7992</v>
      </c>
      <c r="F625" s="3" t="s">
        <v>58</v>
      </c>
      <c r="G625" s="3" t="s">
        <v>59</v>
      </c>
      <c r="H625" s="3" t="s">
        <v>58</v>
      </c>
      <c r="I625" s="3" t="s">
        <v>58</v>
      </c>
      <c r="J625" s="3" t="s">
        <v>60</v>
      </c>
      <c r="K625" s="2" t="s">
        <v>7993</v>
      </c>
      <c r="L625" s="2" t="s">
        <v>7994</v>
      </c>
      <c r="M625" s="3" t="s">
        <v>2295</v>
      </c>
      <c r="N625" s="2" t="s">
        <v>338</v>
      </c>
      <c r="O625" s="3" t="s">
        <v>63</v>
      </c>
      <c r="P625" s="3" t="s">
        <v>214</v>
      </c>
      <c r="R625" s="3" t="s">
        <v>65</v>
      </c>
      <c r="S625" s="4">
        <v>2</v>
      </c>
      <c r="T625" s="4">
        <v>2</v>
      </c>
      <c r="U625" s="5" t="s">
        <v>7995</v>
      </c>
      <c r="V625" s="5" t="s">
        <v>7995</v>
      </c>
      <c r="W625" s="5" t="s">
        <v>7995</v>
      </c>
      <c r="X625" s="5" t="s">
        <v>7995</v>
      </c>
      <c r="Y625" s="4">
        <v>853</v>
      </c>
      <c r="Z625" s="4">
        <v>790</v>
      </c>
      <c r="AA625" s="4">
        <v>841</v>
      </c>
      <c r="AB625" s="4">
        <v>5</v>
      </c>
      <c r="AC625" s="4">
        <v>6</v>
      </c>
      <c r="AD625" s="4">
        <v>28</v>
      </c>
      <c r="AE625" s="4">
        <v>29</v>
      </c>
      <c r="AF625" s="4">
        <v>11</v>
      </c>
      <c r="AG625" s="4">
        <v>12</v>
      </c>
      <c r="AH625" s="4">
        <v>7</v>
      </c>
      <c r="AI625" s="4">
        <v>7</v>
      </c>
      <c r="AJ625" s="4">
        <v>13</v>
      </c>
      <c r="AK625" s="4">
        <v>13</v>
      </c>
      <c r="AL625" s="4">
        <v>4</v>
      </c>
      <c r="AM625" s="4">
        <v>4</v>
      </c>
      <c r="AN625" s="4">
        <v>0</v>
      </c>
      <c r="AO625" s="4">
        <v>0</v>
      </c>
      <c r="AP625" s="3" t="s">
        <v>58</v>
      </c>
      <c r="AQ625" s="3" t="s">
        <v>58</v>
      </c>
      <c r="AS625" s="6" t="str">
        <f>HYPERLINK("https://creighton-primo.hosted.exlibrisgroup.com/primo-explore/search?tab=default_tab&amp;search_scope=EVERYTHING&amp;vid=01CRU&amp;lang=en_US&amp;offset=0&amp;query=any,contains,991004359529702656","Catalog Record")</f>
        <v>Catalog Record</v>
      </c>
      <c r="AT625" s="6" t="str">
        <f>HYPERLINK("http://www.worldcat.org/oclc/51454223","WorldCat Record")</f>
        <v>WorldCat Record</v>
      </c>
      <c r="AU625" s="3" t="s">
        <v>7996</v>
      </c>
      <c r="AV625" s="3" t="s">
        <v>7997</v>
      </c>
      <c r="AW625" s="3" t="s">
        <v>7998</v>
      </c>
      <c r="AX625" s="3" t="s">
        <v>7998</v>
      </c>
      <c r="AY625" s="3" t="s">
        <v>7999</v>
      </c>
      <c r="AZ625" s="3" t="s">
        <v>73</v>
      </c>
      <c r="BB625" s="3" t="s">
        <v>8000</v>
      </c>
      <c r="BC625" s="3" t="s">
        <v>8001</v>
      </c>
      <c r="BD625" s="3" t="s">
        <v>8002</v>
      </c>
    </row>
    <row r="626" spans="1:56" ht="51" customHeight="1" x14ac:dyDescent="0.25">
      <c r="A626" s="7" t="s">
        <v>58</v>
      </c>
      <c r="B626" s="2" t="s">
        <v>8003</v>
      </c>
      <c r="C626" s="2" t="s">
        <v>8004</v>
      </c>
      <c r="D626" s="2" t="s">
        <v>8005</v>
      </c>
      <c r="F626" s="3" t="s">
        <v>58</v>
      </c>
      <c r="G626" s="3" t="s">
        <v>59</v>
      </c>
      <c r="H626" s="3" t="s">
        <v>58</v>
      </c>
      <c r="I626" s="3" t="s">
        <v>58</v>
      </c>
      <c r="J626" s="3" t="s">
        <v>60</v>
      </c>
      <c r="K626" s="2" t="s">
        <v>8006</v>
      </c>
      <c r="L626" s="2" t="s">
        <v>8007</v>
      </c>
      <c r="M626" s="3" t="s">
        <v>1153</v>
      </c>
      <c r="O626" s="3" t="s">
        <v>63</v>
      </c>
      <c r="P626" s="3" t="s">
        <v>816</v>
      </c>
      <c r="R626" s="3" t="s">
        <v>65</v>
      </c>
      <c r="S626" s="4">
        <v>0</v>
      </c>
      <c r="T626" s="4">
        <v>0</v>
      </c>
      <c r="U626" s="5" t="s">
        <v>8008</v>
      </c>
      <c r="V626" s="5" t="s">
        <v>8008</v>
      </c>
      <c r="W626" s="5" t="s">
        <v>540</v>
      </c>
      <c r="X626" s="5" t="s">
        <v>540</v>
      </c>
      <c r="Y626" s="4">
        <v>664</v>
      </c>
      <c r="Z626" s="4">
        <v>546</v>
      </c>
      <c r="AA626" s="4">
        <v>1278</v>
      </c>
      <c r="AB626" s="4">
        <v>3</v>
      </c>
      <c r="AC626" s="4">
        <v>5</v>
      </c>
      <c r="AD626" s="4">
        <v>19</v>
      </c>
      <c r="AE626" s="4">
        <v>39</v>
      </c>
      <c r="AF626" s="4">
        <v>7</v>
      </c>
      <c r="AG626" s="4">
        <v>19</v>
      </c>
      <c r="AH626" s="4">
        <v>5</v>
      </c>
      <c r="AI626" s="4">
        <v>10</v>
      </c>
      <c r="AJ626" s="4">
        <v>9</v>
      </c>
      <c r="AK626" s="4">
        <v>17</v>
      </c>
      <c r="AL626" s="4">
        <v>2</v>
      </c>
      <c r="AM626" s="4">
        <v>4</v>
      </c>
      <c r="AN626" s="4">
        <v>0</v>
      </c>
      <c r="AO626" s="4">
        <v>0</v>
      </c>
      <c r="AP626" s="3" t="s">
        <v>58</v>
      </c>
      <c r="AQ626" s="3" t="s">
        <v>68</v>
      </c>
      <c r="AR626" s="6" t="str">
        <f>HYPERLINK("http://catalog.hathitrust.org/Record/001247733","HathiTrust Record")</f>
        <v>HathiTrust Record</v>
      </c>
      <c r="AS626" s="6" t="str">
        <f>HYPERLINK("https://creighton-primo.hosted.exlibrisgroup.com/primo-explore/search?tab=default_tab&amp;search_scope=EVERYTHING&amp;vid=01CRU&amp;lang=en_US&amp;offset=0&amp;query=any,contains,991003032909702656","Catalog Record")</f>
        <v>Catalog Record</v>
      </c>
      <c r="AT626" s="6" t="str">
        <f>HYPERLINK("http://www.worldcat.org/oclc/595415","WorldCat Record")</f>
        <v>WorldCat Record</v>
      </c>
      <c r="AU626" s="3" t="s">
        <v>8009</v>
      </c>
      <c r="AV626" s="3" t="s">
        <v>8010</v>
      </c>
      <c r="AW626" s="3" t="s">
        <v>8011</v>
      </c>
      <c r="AX626" s="3" t="s">
        <v>8011</v>
      </c>
      <c r="AY626" s="3" t="s">
        <v>8012</v>
      </c>
      <c r="AZ626" s="3" t="s">
        <v>73</v>
      </c>
      <c r="BB626" s="3" t="s">
        <v>8013</v>
      </c>
      <c r="BC626" s="3" t="s">
        <v>8014</v>
      </c>
      <c r="BD626" s="3" t="s">
        <v>8015</v>
      </c>
    </row>
    <row r="627" spans="1:56" ht="51" customHeight="1" x14ac:dyDescent="0.25">
      <c r="A627" s="7" t="s">
        <v>58</v>
      </c>
      <c r="B627" s="2" t="s">
        <v>8016</v>
      </c>
      <c r="C627" s="2" t="s">
        <v>8017</v>
      </c>
      <c r="D627" s="2" t="s">
        <v>8018</v>
      </c>
      <c r="F627" s="3" t="s">
        <v>58</v>
      </c>
      <c r="G627" s="3" t="s">
        <v>59</v>
      </c>
      <c r="H627" s="3" t="s">
        <v>58</v>
      </c>
      <c r="I627" s="3" t="s">
        <v>58</v>
      </c>
      <c r="J627" s="3" t="s">
        <v>60</v>
      </c>
      <c r="K627" s="2" t="s">
        <v>6324</v>
      </c>
      <c r="L627" s="2" t="s">
        <v>8019</v>
      </c>
      <c r="M627" s="3" t="s">
        <v>800</v>
      </c>
      <c r="O627" s="3" t="s">
        <v>63</v>
      </c>
      <c r="P627" s="3" t="s">
        <v>6817</v>
      </c>
      <c r="Q627" s="2" t="s">
        <v>8020</v>
      </c>
      <c r="R627" s="3" t="s">
        <v>65</v>
      </c>
      <c r="S627" s="4">
        <v>2</v>
      </c>
      <c r="T627" s="4">
        <v>2</v>
      </c>
      <c r="U627" s="5" t="s">
        <v>8021</v>
      </c>
      <c r="V627" s="5" t="s">
        <v>8021</v>
      </c>
      <c r="W627" s="5" t="s">
        <v>8022</v>
      </c>
      <c r="X627" s="5" t="s">
        <v>8022</v>
      </c>
      <c r="Y627" s="4">
        <v>554</v>
      </c>
      <c r="Z627" s="4">
        <v>470</v>
      </c>
      <c r="AA627" s="4">
        <v>651</v>
      </c>
      <c r="AB627" s="4">
        <v>3</v>
      </c>
      <c r="AC627" s="4">
        <v>5</v>
      </c>
      <c r="AD627" s="4">
        <v>27</v>
      </c>
      <c r="AE627" s="4">
        <v>39</v>
      </c>
      <c r="AF627" s="4">
        <v>15</v>
      </c>
      <c r="AG627" s="4">
        <v>23</v>
      </c>
      <c r="AH627" s="4">
        <v>6</v>
      </c>
      <c r="AI627" s="4">
        <v>9</v>
      </c>
      <c r="AJ627" s="4">
        <v>13</v>
      </c>
      <c r="AK627" s="4">
        <v>17</v>
      </c>
      <c r="AL627" s="4">
        <v>2</v>
      </c>
      <c r="AM627" s="4">
        <v>3</v>
      </c>
      <c r="AN627" s="4">
        <v>0</v>
      </c>
      <c r="AO627" s="4">
        <v>0</v>
      </c>
      <c r="AP627" s="3" t="s">
        <v>58</v>
      </c>
      <c r="AQ627" s="3" t="s">
        <v>58</v>
      </c>
      <c r="AS627" s="6" t="str">
        <f>HYPERLINK("https://creighton-primo.hosted.exlibrisgroup.com/primo-explore/search?tab=default_tab&amp;search_scope=EVERYTHING&amp;vid=01CRU&amp;lang=en_US&amp;offset=0&amp;query=any,contains,991002400829702656","Catalog Record")</f>
        <v>Catalog Record</v>
      </c>
      <c r="AT627" s="6" t="str">
        <f>HYPERLINK("http://www.worldcat.org/oclc/31206701","WorldCat Record")</f>
        <v>WorldCat Record</v>
      </c>
      <c r="AU627" s="3" t="s">
        <v>8023</v>
      </c>
      <c r="AV627" s="3" t="s">
        <v>8024</v>
      </c>
      <c r="AW627" s="3" t="s">
        <v>8025</v>
      </c>
      <c r="AX627" s="3" t="s">
        <v>8025</v>
      </c>
      <c r="AY627" s="3" t="s">
        <v>8026</v>
      </c>
      <c r="AZ627" s="3" t="s">
        <v>73</v>
      </c>
      <c r="BB627" s="3" t="s">
        <v>8027</v>
      </c>
      <c r="BC627" s="3" t="s">
        <v>8028</v>
      </c>
      <c r="BD627" s="3" t="s">
        <v>8029</v>
      </c>
    </row>
    <row r="628" spans="1:56" ht="51" customHeight="1" x14ac:dyDescent="0.25">
      <c r="A628" s="7" t="s">
        <v>58</v>
      </c>
      <c r="B628" s="2" t="s">
        <v>8030</v>
      </c>
      <c r="C628" s="2" t="s">
        <v>8031</v>
      </c>
      <c r="D628" s="2" t="s">
        <v>8032</v>
      </c>
      <c r="F628" s="3" t="s">
        <v>58</v>
      </c>
      <c r="G628" s="3" t="s">
        <v>59</v>
      </c>
      <c r="H628" s="3" t="s">
        <v>68</v>
      </c>
      <c r="I628" s="3" t="s">
        <v>58</v>
      </c>
      <c r="J628" s="3" t="s">
        <v>60</v>
      </c>
      <c r="L628" s="2" t="s">
        <v>8033</v>
      </c>
      <c r="M628" s="3" t="s">
        <v>855</v>
      </c>
      <c r="O628" s="3" t="s">
        <v>63</v>
      </c>
      <c r="P628" s="3" t="s">
        <v>451</v>
      </c>
      <c r="Q628" s="2" t="s">
        <v>8034</v>
      </c>
      <c r="R628" s="3" t="s">
        <v>65</v>
      </c>
      <c r="S628" s="4">
        <v>1</v>
      </c>
      <c r="T628" s="4">
        <v>2</v>
      </c>
      <c r="U628" s="5" t="s">
        <v>7632</v>
      </c>
      <c r="V628" s="5" t="s">
        <v>8035</v>
      </c>
      <c r="W628" s="5" t="s">
        <v>8036</v>
      </c>
      <c r="X628" s="5" t="s">
        <v>8037</v>
      </c>
      <c r="Y628" s="4">
        <v>154</v>
      </c>
      <c r="Z628" s="4">
        <v>136</v>
      </c>
      <c r="AA628" s="4">
        <v>280</v>
      </c>
      <c r="AB628" s="4">
        <v>3</v>
      </c>
      <c r="AC628" s="4">
        <v>5</v>
      </c>
      <c r="AD628" s="4">
        <v>12</v>
      </c>
      <c r="AE628" s="4">
        <v>15</v>
      </c>
      <c r="AF628" s="4">
        <v>1</v>
      </c>
      <c r="AG628" s="4">
        <v>2</v>
      </c>
      <c r="AH628" s="4">
        <v>2</v>
      </c>
      <c r="AI628" s="4">
        <v>2</v>
      </c>
      <c r="AJ628" s="4">
        <v>6</v>
      </c>
      <c r="AK628" s="4">
        <v>6</v>
      </c>
      <c r="AL628" s="4">
        <v>1</v>
      </c>
      <c r="AM628" s="4">
        <v>3</v>
      </c>
      <c r="AN628" s="4">
        <v>4</v>
      </c>
      <c r="AO628" s="4">
        <v>4</v>
      </c>
      <c r="AP628" s="3" t="s">
        <v>58</v>
      </c>
      <c r="AQ628" s="3" t="s">
        <v>68</v>
      </c>
      <c r="AR628" s="6" t="str">
        <f>HYPERLINK("http://catalog.hathitrust.org/Record/002796276","HathiTrust Record")</f>
        <v>HathiTrust Record</v>
      </c>
      <c r="AS628" s="6" t="str">
        <f>HYPERLINK("https://creighton-primo.hosted.exlibrisgroup.com/primo-explore/search?tab=default_tab&amp;search_scope=EVERYTHING&amp;vid=01CRU&amp;lang=en_US&amp;offset=0&amp;query=any,contains,991001689609702656","Catalog Record")</f>
        <v>Catalog Record</v>
      </c>
      <c r="AT628" s="6" t="str">
        <f>HYPERLINK("http://www.worldcat.org/oclc/29926533","WorldCat Record")</f>
        <v>WorldCat Record</v>
      </c>
      <c r="AU628" s="3" t="s">
        <v>8038</v>
      </c>
      <c r="AV628" s="3" t="s">
        <v>8039</v>
      </c>
      <c r="AW628" s="3" t="s">
        <v>8040</v>
      </c>
      <c r="AX628" s="3" t="s">
        <v>8040</v>
      </c>
      <c r="AY628" s="3" t="s">
        <v>8041</v>
      </c>
      <c r="AZ628" s="3" t="s">
        <v>73</v>
      </c>
      <c r="BB628" s="3" t="s">
        <v>8042</v>
      </c>
      <c r="BC628" s="3" t="s">
        <v>8043</v>
      </c>
      <c r="BD628" s="3" t="s">
        <v>8044</v>
      </c>
    </row>
    <row r="629" spans="1:56" ht="51" customHeight="1" x14ac:dyDescent="0.25">
      <c r="A629" s="7" t="s">
        <v>58</v>
      </c>
      <c r="B629" s="2" t="s">
        <v>8030</v>
      </c>
      <c r="C629" s="2" t="s">
        <v>8031</v>
      </c>
      <c r="D629" s="2" t="s">
        <v>8032</v>
      </c>
      <c r="F629" s="3" t="s">
        <v>58</v>
      </c>
      <c r="G629" s="3" t="s">
        <v>59</v>
      </c>
      <c r="H629" s="3" t="s">
        <v>68</v>
      </c>
      <c r="I629" s="3" t="s">
        <v>58</v>
      </c>
      <c r="J629" s="3" t="s">
        <v>60</v>
      </c>
      <c r="L629" s="2" t="s">
        <v>8033</v>
      </c>
      <c r="M629" s="3" t="s">
        <v>855</v>
      </c>
      <c r="O629" s="3" t="s">
        <v>63</v>
      </c>
      <c r="P629" s="3" t="s">
        <v>451</v>
      </c>
      <c r="Q629" s="2" t="s">
        <v>8034</v>
      </c>
      <c r="R629" s="3" t="s">
        <v>65</v>
      </c>
      <c r="S629" s="4">
        <v>0</v>
      </c>
      <c r="T629" s="4">
        <v>2</v>
      </c>
      <c r="V629" s="5" t="s">
        <v>8035</v>
      </c>
      <c r="W629" s="5" t="s">
        <v>1329</v>
      </c>
      <c r="X629" s="5" t="s">
        <v>8037</v>
      </c>
      <c r="Y629" s="4">
        <v>154</v>
      </c>
      <c r="Z629" s="4">
        <v>136</v>
      </c>
      <c r="AA629" s="4">
        <v>280</v>
      </c>
      <c r="AB629" s="4">
        <v>3</v>
      </c>
      <c r="AC629" s="4">
        <v>5</v>
      </c>
      <c r="AD629" s="4">
        <v>12</v>
      </c>
      <c r="AE629" s="4">
        <v>15</v>
      </c>
      <c r="AF629" s="4">
        <v>1</v>
      </c>
      <c r="AG629" s="4">
        <v>2</v>
      </c>
      <c r="AH629" s="4">
        <v>2</v>
      </c>
      <c r="AI629" s="4">
        <v>2</v>
      </c>
      <c r="AJ629" s="4">
        <v>6</v>
      </c>
      <c r="AK629" s="4">
        <v>6</v>
      </c>
      <c r="AL629" s="4">
        <v>1</v>
      </c>
      <c r="AM629" s="4">
        <v>3</v>
      </c>
      <c r="AN629" s="4">
        <v>4</v>
      </c>
      <c r="AO629" s="4">
        <v>4</v>
      </c>
      <c r="AP629" s="3" t="s">
        <v>58</v>
      </c>
      <c r="AQ629" s="3" t="s">
        <v>68</v>
      </c>
      <c r="AR629" s="6" t="str">
        <f>HYPERLINK("http://catalog.hathitrust.org/Record/002796276","HathiTrust Record")</f>
        <v>HathiTrust Record</v>
      </c>
      <c r="AS629" s="6" t="str">
        <f>HYPERLINK("https://creighton-primo.hosted.exlibrisgroup.com/primo-explore/search?tab=default_tab&amp;search_scope=EVERYTHING&amp;vid=01CRU&amp;lang=en_US&amp;offset=0&amp;query=any,contains,991001689609702656","Catalog Record")</f>
        <v>Catalog Record</v>
      </c>
      <c r="AT629" s="6" t="str">
        <f>HYPERLINK("http://www.worldcat.org/oclc/29926533","WorldCat Record")</f>
        <v>WorldCat Record</v>
      </c>
      <c r="AU629" s="3" t="s">
        <v>8038</v>
      </c>
      <c r="AV629" s="3" t="s">
        <v>8039</v>
      </c>
      <c r="AW629" s="3" t="s">
        <v>8040</v>
      </c>
      <c r="AX629" s="3" t="s">
        <v>8040</v>
      </c>
      <c r="AY629" s="3" t="s">
        <v>8041</v>
      </c>
      <c r="AZ629" s="3" t="s">
        <v>73</v>
      </c>
      <c r="BB629" s="3" t="s">
        <v>8042</v>
      </c>
      <c r="BC629" s="3" t="s">
        <v>8045</v>
      </c>
      <c r="BD629" s="3" t="s">
        <v>8046</v>
      </c>
    </row>
    <row r="630" spans="1:56" ht="51" customHeight="1" x14ac:dyDescent="0.25">
      <c r="A630" s="7" t="s">
        <v>58</v>
      </c>
      <c r="B630" s="2" t="s">
        <v>8047</v>
      </c>
      <c r="C630" s="2" t="s">
        <v>8048</v>
      </c>
      <c r="D630" s="2" t="s">
        <v>8049</v>
      </c>
      <c r="F630" s="3" t="s">
        <v>58</v>
      </c>
      <c r="G630" s="3" t="s">
        <v>59</v>
      </c>
      <c r="H630" s="3" t="s">
        <v>58</v>
      </c>
      <c r="I630" s="3" t="s">
        <v>58</v>
      </c>
      <c r="J630" s="3" t="s">
        <v>60</v>
      </c>
      <c r="K630" s="2" t="s">
        <v>8050</v>
      </c>
      <c r="L630" s="2" t="s">
        <v>8051</v>
      </c>
      <c r="M630" s="3" t="s">
        <v>261</v>
      </c>
      <c r="O630" s="3" t="s">
        <v>63</v>
      </c>
      <c r="P630" s="3" t="s">
        <v>584</v>
      </c>
      <c r="R630" s="3" t="s">
        <v>65</v>
      </c>
      <c r="S630" s="4">
        <v>5</v>
      </c>
      <c r="T630" s="4">
        <v>5</v>
      </c>
      <c r="U630" s="5" t="s">
        <v>1559</v>
      </c>
      <c r="V630" s="5" t="s">
        <v>1559</v>
      </c>
      <c r="W630" s="5" t="s">
        <v>540</v>
      </c>
      <c r="X630" s="5" t="s">
        <v>540</v>
      </c>
      <c r="Y630" s="4">
        <v>279</v>
      </c>
      <c r="Z630" s="4">
        <v>147</v>
      </c>
      <c r="AA630" s="4">
        <v>162</v>
      </c>
      <c r="AB630" s="4">
        <v>2</v>
      </c>
      <c r="AC630" s="4">
        <v>2</v>
      </c>
      <c r="AD630" s="4">
        <v>5</v>
      </c>
      <c r="AE630" s="4">
        <v>6</v>
      </c>
      <c r="AF630" s="4">
        <v>2</v>
      </c>
      <c r="AG630" s="4">
        <v>2</v>
      </c>
      <c r="AH630" s="4">
        <v>1</v>
      </c>
      <c r="AI630" s="4">
        <v>1</v>
      </c>
      <c r="AJ630" s="4">
        <v>2</v>
      </c>
      <c r="AK630" s="4">
        <v>3</v>
      </c>
      <c r="AL630" s="4">
        <v>1</v>
      </c>
      <c r="AM630" s="4">
        <v>1</v>
      </c>
      <c r="AN630" s="4">
        <v>0</v>
      </c>
      <c r="AO630" s="4">
        <v>0</v>
      </c>
      <c r="AP630" s="3" t="s">
        <v>58</v>
      </c>
      <c r="AQ630" s="3" t="s">
        <v>68</v>
      </c>
      <c r="AR630" s="6" t="str">
        <f>HYPERLINK("http://catalog.hathitrust.org/Record/006255220","HathiTrust Record")</f>
        <v>HathiTrust Record</v>
      </c>
      <c r="AS630" s="6" t="str">
        <f>HYPERLINK("https://creighton-primo.hosted.exlibrisgroup.com/primo-explore/search?tab=default_tab&amp;search_scope=EVERYTHING&amp;vid=01CRU&amp;lang=en_US&amp;offset=0&amp;query=any,contains,991004119269702656","Catalog Record")</f>
        <v>Catalog Record</v>
      </c>
      <c r="AT630" s="6" t="str">
        <f>HYPERLINK("http://www.worldcat.org/oclc/2423823","WorldCat Record")</f>
        <v>WorldCat Record</v>
      </c>
      <c r="AU630" s="3" t="s">
        <v>8052</v>
      </c>
      <c r="AV630" s="3" t="s">
        <v>8053</v>
      </c>
      <c r="AW630" s="3" t="s">
        <v>8054</v>
      </c>
      <c r="AX630" s="3" t="s">
        <v>8054</v>
      </c>
      <c r="AY630" s="3" t="s">
        <v>8055</v>
      </c>
      <c r="AZ630" s="3" t="s">
        <v>73</v>
      </c>
      <c r="BB630" s="3" t="s">
        <v>8056</v>
      </c>
      <c r="BC630" s="3" t="s">
        <v>8057</v>
      </c>
      <c r="BD630" s="3" t="s">
        <v>8058</v>
      </c>
    </row>
    <row r="631" spans="1:56" ht="51" customHeight="1" x14ac:dyDescent="0.25">
      <c r="A631" s="7" t="s">
        <v>58</v>
      </c>
      <c r="B631" s="2" t="s">
        <v>8059</v>
      </c>
      <c r="C631" s="2" t="s">
        <v>8060</v>
      </c>
      <c r="D631" s="2" t="s">
        <v>8061</v>
      </c>
      <c r="F631" s="3" t="s">
        <v>58</v>
      </c>
      <c r="G631" s="3" t="s">
        <v>59</v>
      </c>
      <c r="H631" s="3" t="s">
        <v>58</v>
      </c>
      <c r="I631" s="3" t="s">
        <v>58</v>
      </c>
      <c r="J631" s="3" t="s">
        <v>60</v>
      </c>
      <c r="L631" s="2" t="s">
        <v>8062</v>
      </c>
      <c r="M631" s="3" t="s">
        <v>1399</v>
      </c>
      <c r="O631" s="3" t="s">
        <v>63</v>
      </c>
      <c r="P631" s="3" t="s">
        <v>981</v>
      </c>
      <c r="R631" s="3" t="s">
        <v>65</v>
      </c>
      <c r="S631" s="4">
        <v>6</v>
      </c>
      <c r="T631" s="4">
        <v>6</v>
      </c>
      <c r="U631" s="5" t="s">
        <v>8063</v>
      </c>
      <c r="V631" s="5" t="s">
        <v>8063</v>
      </c>
      <c r="W631" s="5" t="s">
        <v>7004</v>
      </c>
      <c r="X631" s="5" t="s">
        <v>7004</v>
      </c>
      <c r="Y631" s="4">
        <v>124</v>
      </c>
      <c r="Z631" s="4">
        <v>118</v>
      </c>
      <c r="AA631" s="4">
        <v>352</v>
      </c>
      <c r="AB631" s="4">
        <v>2</v>
      </c>
      <c r="AC631" s="4">
        <v>4</v>
      </c>
      <c r="AD631" s="4">
        <v>5</v>
      </c>
      <c r="AE631" s="4">
        <v>16</v>
      </c>
      <c r="AF631" s="4">
        <v>3</v>
      </c>
      <c r="AG631" s="4">
        <v>6</v>
      </c>
      <c r="AH631" s="4">
        <v>1</v>
      </c>
      <c r="AI631" s="4">
        <v>4</v>
      </c>
      <c r="AJ631" s="4">
        <v>1</v>
      </c>
      <c r="AK631" s="4">
        <v>7</v>
      </c>
      <c r="AL631" s="4">
        <v>1</v>
      </c>
      <c r="AM631" s="4">
        <v>2</v>
      </c>
      <c r="AN631" s="4">
        <v>0</v>
      </c>
      <c r="AO631" s="4">
        <v>0</v>
      </c>
      <c r="AP631" s="3" t="s">
        <v>58</v>
      </c>
      <c r="AQ631" s="3" t="s">
        <v>58</v>
      </c>
      <c r="AS631" s="6" t="str">
        <f>HYPERLINK("https://creighton-primo.hosted.exlibrisgroup.com/primo-explore/search?tab=default_tab&amp;search_scope=EVERYTHING&amp;vid=01CRU&amp;lang=en_US&amp;offset=0&amp;query=any,contains,991001446789702656","Catalog Record")</f>
        <v>Catalog Record</v>
      </c>
      <c r="AT631" s="6" t="str">
        <f>HYPERLINK("http://www.worldcat.org/oclc/19289322","WorldCat Record")</f>
        <v>WorldCat Record</v>
      </c>
      <c r="AU631" s="3" t="s">
        <v>8064</v>
      </c>
      <c r="AV631" s="3" t="s">
        <v>8065</v>
      </c>
      <c r="AW631" s="3" t="s">
        <v>8066</v>
      </c>
      <c r="AX631" s="3" t="s">
        <v>8066</v>
      </c>
      <c r="AY631" s="3" t="s">
        <v>8067</v>
      </c>
      <c r="AZ631" s="3" t="s">
        <v>73</v>
      </c>
      <c r="BB631" s="3" t="s">
        <v>8068</v>
      </c>
      <c r="BC631" s="3" t="s">
        <v>8069</v>
      </c>
      <c r="BD631" s="3" t="s">
        <v>8070</v>
      </c>
    </row>
    <row r="632" spans="1:56" ht="51" customHeight="1" x14ac:dyDescent="0.25">
      <c r="A632" s="7" t="s">
        <v>58</v>
      </c>
      <c r="B632" s="2" t="s">
        <v>8071</v>
      </c>
      <c r="C632" s="2" t="s">
        <v>8072</v>
      </c>
      <c r="D632" s="2" t="s">
        <v>8073</v>
      </c>
      <c r="F632" s="3" t="s">
        <v>58</v>
      </c>
      <c r="G632" s="3" t="s">
        <v>59</v>
      </c>
      <c r="H632" s="3" t="s">
        <v>58</v>
      </c>
      <c r="I632" s="3" t="s">
        <v>58</v>
      </c>
      <c r="J632" s="3" t="s">
        <v>60</v>
      </c>
      <c r="K632" s="2" t="s">
        <v>8074</v>
      </c>
      <c r="L632" s="2" t="s">
        <v>8075</v>
      </c>
      <c r="M632" s="3" t="s">
        <v>397</v>
      </c>
      <c r="N632" s="2" t="s">
        <v>338</v>
      </c>
      <c r="O632" s="3" t="s">
        <v>63</v>
      </c>
      <c r="P632" s="3" t="s">
        <v>214</v>
      </c>
      <c r="R632" s="3" t="s">
        <v>65</v>
      </c>
      <c r="S632" s="4">
        <v>7</v>
      </c>
      <c r="T632" s="4">
        <v>7</v>
      </c>
      <c r="U632" s="5" t="s">
        <v>4578</v>
      </c>
      <c r="V632" s="5" t="s">
        <v>4578</v>
      </c>
      <c r="W632" s="5" t="s">
        <v>5321</v>
      </c>
      <c r="X632" s="5" t="s">
        <v>5321</v>
      </c>
      <c r="Y632" s="4">
        <v>672</v>
      </c>
      <c r="Z632" s="4">
        <v>564</v>
      </c>
      <c r="AA632" s="4">
        <v>593</v>
      </c>
      <c r="AB632" s="4">
        <v>3</v>
      </c>
      <c r="AC632" s="4">
        <v>3</v>
      </c>
      <c r="AD632" s="4">
        <v>22</v>
      </c>
      <c r="AE632" s="4">
        <v>23</v>
      </c>
      <c r="AF632" s="4">
        <v>7</v>
      </c>
      <c r="AG632" s="4">
        <v>8</v>
      </c>
      <c r="AH632" s="4">
        <v>4</v>
      </c>
      <c r="AI632" s="4">
        <v>5</v>
      </c>
      <c r="AJ632" s="4">
        <v>13</v>
      </c>
      <c r="AK632" s="4">
        <v>13</v>
      </c>
      <c r="AL632" s="4">
        <v>2</v>
      </c>
      <c r="AM632" s="4">
        <v>2</v>
      </c>
      <c r="AN632" s="4">
        <v>0</v>
      </c>
      <c r="AO632" s="4">
        <v>0</v>
      </c>
      <c r="AP632" s="3" t="s">
        <v>58</v>
      </c>
      <c r="AQ632" s="3" t="s">
        <v>58</v>
      </c>
      <c r="AS632" s="6" t="str">
        <f>HYPERLINK("https://creighton-primo.hosted.exlibrisgroup.com/primo-explore/search?tab=default_tab&amp;search_scope=EVERYTHING&amp;vid=01CRU&amp;lang=en_US&amp;offset=0&amp;query=any,contains,991000628029702656","Catalog Record")</f>
        <v>Catalog Record</v>
      </c>
      <c r="AT632" s="6" t="str">
        <f>HYPERLINK("http://www.worldcat.org/oclc/12050282","WorldCat Record")</f>
        <v>WorldCat Record</v>
      </c>
      <c r="AU632" s="3" t="s">
        <v>8076</v>
      </c>
      <c r="AV632" s="3" t="s">
        <v>8077</v>
      </c>
      <c r="AW632" s="3" t="s">
        <v>8078</v>
      </c>
      <c r="AX632" s="3" t="s">
        <v>8078</v>
      </c>
      <c r="AY632" s="3" t="s">
        <v>8079</v>
      </c>
      <c r="AZ632" s="3" t="s">
        <v>73</v>
      </c>
      <c r="BB632" s="3" t="s">
        <v>8080</v>
      </c>
      <c r="BC632" s="3" t="s">
        <v>8081</v>
      </c>
      <c r="BD632" s="3" t="s">
        <v>8082</v>
      </c>
    </row>
    <row r="633" spans="1:56" ht="51" customHeight="1" x14ac:dyDescent="0.25">
      <c r="A633" s="7" t="s">
        <v>58</v>
      </c>
      <c r="B633" s="2" t="s">
        <v>8083</v>
      </c>
      <c r="C633" s="2" t="s">
        <v>8084</v>
      </c>
      <c r="D633" s="2" t="s">
        <v>8085</v>
      </c>
      <c r="F633" s="3" t="s">
        <v>58</v>
      </c>
      <c r="G633" s="3" t="s">
        <v>59</v>
      </c>
      <c r="H633" s="3" t="s">
        <v>58</v>
      </c>
      <c r="I633" s="3" t="s">
        <v>58</v>
      </c>
      <c r="J633" s="3" t="s">
        <v>60</v>
      </c>
      <c r="K633" s="2" t="s">
        <v>8086</v>
      </c>
      <c r="L633" s="2" t="s">
        <v>8087</v>
      </c>
      <c r="M633" s="3" t="s">
        <v>855</v>
      </c>
      <c r="N633" s="2" t="s">
        <v>8088</v>
      </c>
      <c r="O633" s="3" t="s">
        <v>63</v>
      </c>
      <c r="P633" s="3" t="s">
        <v>214</v>
      </c>
      <c r="R633" s="3" t="s">
        <v>65</v>
      </c>
      <c r="S633" s="4">
        <v>7</v>
      </c>
      <c r="T633" s="4">
        <v>7</v>
      </c>
      <c r="U633" s="5" t="s">
        <v>6898</v>
      </c>
      <c r="V633" s="5" t="s">
        <v>6898</v>
      </c>
      <c r="W633" s="5" t="s">
        <v>3310</v>
      </c>
      <c r="X633" s="5" t="s">
        <v>3310</v>
      </c>
      <c r="Y633" s="4">
        <v>220</v>
      </c>
      <c r="Z633" s="4">
        <v>190</v>
      </c>
      <c r="AA633" s="4">
        <v>268</v>
      </c>
      <c r="AB633" s="4">
        <v>2</v>
      </c>
      <c r="AC633" s="4">
        <v>2</v>
      </c>
      <c r="AD633" s="4">
        <v>10</v>
      </c>
      <c r="AE633" s="4">
        <v>15</v>
      </c>
      <c r="AF633" s="4">
        <v>3</v>
      </c>
      <c r="AG633" s="4">
        <v>4</v>
      </c>
      <c r="AH633" s="4">
        <v>2</v>
      </c>
      <c r="AI633" s="4">
        <v>3</v>
      </c>
      <c r="AJ633" s="4">
        <v>6</v>
      </c>
      <c r="AK633" s="4">
        <v>11</v>
      </c>
      <c r="AL633" s="4">
        <v>1</v>
      </c>
      <c r="AM633" s="4">
        <v>1</v>
      </c>
      <c r="AN633" s="4">
        <v>0</v>
      </c>
      <c r="AO633" s="4">
        <v>0</v>
      </c>
      <c r="AP633" s="3" t="s">
        <v>58</v>
      </c>
      <c r="AQ633" s="3" t="s">
        <v>58</v>
      </c>
      <c r="AS633" s="6" t="str">
        <f>HYPERLINK("https://creighton-primo.hosted.exlibrisgroup.com/primo-explore/search?tab=default_tab&amp;search_scope=EVERYTHING&amp;vid=01CRU&amp;lang=en_US&amp;offset=0&amp;query=any,contains,991003981979702656","Catalog Record")</f>
        <v>Catalog Record</v>
      </c>
      <c r="AT633" s="6" t="str">
        <f>HYPERLINK("http://www.worldcat.org/oclc/28024537","WorldCat Record")</f>
        <v>WorldCat Record</v>
      </c>
      <c r="AU633" s="3" t="s">
        <v>8089</v>
      </c>
      <c r="AV633" s="3" t="s">
        <v>8090</v>
      </c>
      <c r="AW633" s="3" t="s">
        <v>8091</v>
      </c>
      <c r="AX633" s="3" t="s">
        <v>8091</v>
      </c>
      <c r="AY633" s="3" t="s">
        <v>8092</v>
      </c>
      <c r="AZ633" s="3" t="s">
        <v>73</v>
      </c>
      <c r="BB633" s="3" t="s">
        <v>8093</v>
      </c>
      <c r="BC633" s="3" t="s">
        <v>8094</v>
      </c>
      <c r="BD633" s="3" t="s">
        <v>8095</v>
      </c>
    </row>
    <row r="634" spans="1:56" ht="51" customHeight="1" x14ac:dyDescent="0.25">
      <c r="A634" s="7" t="s">
        <v>58</v>
      </c>
      <c r="B634" s="2" t="s">
        <v>8096</v>
      </c>
      <c r="C634" s="2" t="s">
        <v>8097</v>
      </c>
      <c r="D634" s="2" t="s">
        <v>8098</v>
      </c>
      <c r="F634" s="3" t="s">
        <v>58</v>
      </c>
      <c r="G634" s="3" t="s">
        <v>59</v>
      </c>
      <c r="H634" s="3" t="s">
        <v>58</v>
      </c>
      <c r="I634" s="3" t="s">
        <v>58</v>
      </c>
      <c r="J634" s="3" t="s">
        <v>60</v>
      </c>
      <c r="K634" s="2" t="s">
        <v>8099</v>
      </c>
      <c r="L634" s="2" t="s">
        <v>8100</v>
      </c>
      <c r="M634" s="3" t="s">
        <v>353</v>
      </c>
      <c r="O634" s="3" t="s">
        <v>63</v>
      </c>
      <c r="P634" s="3" t="s">
        <v>584</v>
      </c>
      <c r="R634" s="3" t="s">
        <v>65</v>
      </c>
      <c r="S634" s="4">
        <v>4</v>
      </c>
      <c r="T634" s="4">
        <v>4</v>
      </c>
      <c r="U634" s="5" t="s">
        <v>5527</v>
      </c>
      <c r="V634" s="5" t="s">
        <v>5527</v>
      </c>
      <c r="W634" s="5" t="s">
        <v>5321</v>
      </c>
      <c r="X634" s="5" t="s">
        <v>5321</v>
      </c>
      <c r="Y634" s="4">
        <v>413</v>
      </c>
      <c r="Z634" s="4">
        <v>315</v>
      </c>
      <c r="AA634" s="4">
        <v>391</v>
      </c>
      <c r="AB634" s="4">
        <v>2</v>
      </c>
      <c r="AC634" s="4">
        <v>2</v>
      </c>
      <c r="AD634" s="4">
        <v>13</v>
      </c>
      <c r="AE634" s="4">
        <v>18</v>
      </c>
      <c r="AF634" s="4">
        <v>4</v>
      </c>
      <c r="AG634" s="4">
        <v>7</v>
      </c>
      <c r="AH634" s="4">
        <v>5</v>
      </c>
      <c r="AI634" s="4">
        <v>6</v>
      </c>
      <c r="AJ634" s="4">
        <v>6</v>
      </c>
      <c r="AK634" s="4">
        <v>11</v>
      </c>
      <c r="AL634" s="4">
        <v>1</v>
      </c>
      <c r="AM634" s="4">
        <v>1</v>
      </c>
      <c r="AN634" s="4">
        <v>0</v>
      </c>
      <c r="AO634" s="4">
        <v>0</v>
      </c>
      <c r="AP634" s="3" t="s">
        <v>58</v>
      </c>
      <c r="AQ634" s="3" t="s">
        <v>58</v>
      </c>
      <c r="AS634" s="6" t="str">
        <f>HYPERLINK("https://creighton-primo.hosted.exlibrisgroup.com/primo-explore/search?tab=default_tab&amp;search_scope=EVERYTHING&amp;vid=01CRU&amp;lang=en_US&amp;offset=0&amp;query=any,contains,991000919009702656","Catalog Record")</f>
        <v>Catalog Record</v>
      </c>
      <c r="AT634" s="6" t="str">
        <f>HYPERLINK("http://www.worldcat.org/oclc/14188720","WorldCat Record")</f>
        <v>WorldCat Record</v>
      </c>
      <c r="AU634" s="3" t="s">
        <v>8101</v>
      </c>
      <c r="AV634" s="3" t="s">
        <v>8102</v>
      </c>
      <c r="AW634" s="3" t="s">
        <v>8103</v>
      </c>
      <c r="AX634" s="3" t="s">
        <v>8103</v>
      </c>
      <c r="AY634" s="3" t="s">
        <v>8104</v>
      </c>
      <c r="AZ634" s="3" t="s">
        <v>73</v>
      </c>
      <c r="BB634" s="3" t="s">
        <v>8105</v>
      </c>
      <c r="BC634" s="3" t="s">
        <v>8106</v>
      </c>
      <c r="BD634" s="3" t="s">
        <v>8107</v>
      </c>
    </row>
    <row r="635" spans="1:56" ht="51" customHeight="1" x14ac:dyDescent="0.25">
      <c r="A635" s="7" t="s">
        <v>58</v>
      </c>
      <c r="B635" s="2" t="s">
        <v>8108</v>
      </c>
      <c r="C635" s="2" t="s">
        <v>8109</v>
      </c>
      <c r="D635" s="2" t="s">
        <v>8110</v>
      </c>
      <c r="F635" s="3" t="s">
        <v>58</v>
      </c>
      <c r="G635" s="3" t="s">
        <v>59</v>
      </c>
      <c r="H635" s="3" t="s">
        <v>58</v>
      </c>
      <c r="I635" s="3" t="s">
        <v>58</v>
      </c>
      <c r="J635" s="3" t="s">
        <v>60</v>
      </c>
      <c r="K635" s="2" t="s">
        <v>8111</v>
      </c>
      <c r="L635" s="2" t="s">
        <v>8112</v>
      </c>
      <c r="M635" s="3" t="s">
        <v>183</v>
      </c>
      <c r="O635" s="3" t="s">
        <v>63</v>
      </c>
      <c r="P635" s="3" t="s">
        <v>354</v>
      </c>
      <c r="R635" s="3" t="s">
        <v>65</v>
      </c>
      <c r="S635" s="4">
        <v>4</v>
      </c>
      <c r="T635" s="4">
        <v>4</v>
      </c>
      <c r="U635" s="5" t="s">
        <v>8063</v>
      </c>
      <c r="V635" s="5" t="s">
        <v>8063</v>
      </c>
      <c r="W635" s="5" t="s">
        <v>8113</v>
      </c>
      <c r="X635" s="5" t="s">
        <v>8113</v>
      </c>
      <c r="Y635" s="4">
        <v>402</v>
      </c>
      <c r="Z635" s="4">
        <v>355</v>
      </c>
      <c r="AA635" s="4">
        <v>363</v>
      </c>
      <c r="AB635" s="4">
        <v>2</v>
      </c>
      <c r="AC635" s="4">
        <v>2</v>
      </c>
      <c r="AD635" s="4">
        <v>15</v>
      </c>
      <c r="AE635" s="4">
        <v>15</v>
      </c>
      <c r="AF635" s="4">
        <v>5</v>
      </c>
      <c r="AG635" s="4">
        <v>5</v>
      </c>
      <c r="AH635" s="4">
        <v>4</v>
      </c>
      <c r="AI635" s="4">
        <v>4</v>
      </c>
      <c r="AJ635" s="4">
        <v>7</v>
      </c>
      <c r="AK635" s="4">
        <v>7</v>
      </c>
      <c r="AL635" s="4">
        <v>1</v>
      </c>
      <c r="AM635" s="4">
        <v>1</v>
      </c>
      <c r="AN635" s="4">
        <v>1</v>
      </c>
      <c r="AO635" s="4">
        <v>1</v>
      </c>
      <c r="AP635" s="3" t="s">
        <v>58</v>
      </c>
      <c r="AQ635" s="3" t="s">
        <v>68</v>
      </c>
      <c r="AR635" s="6" t="str">
        <f>HYPERLINK("http://catalog.hathitrust.org/Record/000294716","HathiTrust Record")</f>
        <v>HathiTrust Record</v>
      </c>
      <c r="AS635" s="6" t="str">
        <f>HYPERLINK("https://creighton-primo.hosted.exlibrisgroup.com/primo-explore/search?tab=default_tab&amp;search_scope=EVERYTHING&amp;vid=01CRU&amp;lang=en_US&amp;offset=0&amp;query=any,contains,991004373859702656","Catalog Record")</f>
        <v>Catalog Record</v>
      </c>
      <c r="AT635" s="6" t="str">
        <f>HYPERLINK("http://www.worldcat.org/oclc/3203297","WorldCat Record")</f>
        <v>WorldCat Record</v>
      </c>
      <c r="AU635" s="3" t="s">
        <v>8114</v>
      </c>
      <c r="AV635" s="3" t="s">
        <v>8115</v>
      </c>
      <c r="AW635" s="3" t="s">
        <v>8116</v>
      </c>
      <c r="AX635" s="3" t="s">
        <v>8116</v>
      </c>
      <c r="AY635" s="3" t="s">
        <v>8117</v>
      </c>
      <c r="AZ635" s="3" t="s">
        <v>73</v>
      </c>
      <c r="BB635" s="3" t="s">
        <v>8118</v>
      </c>
      <c r="BC635" s="3" t="s">
        <v>8119</v>
      </c>
      <c r="BD635" s="3" t="s">
        <v>8120</v>
      </c>
    </row>
    <row r="636" spans="1:56" ht="51" customHeight="1" x14ac:dyDescent="0.25">
      <c r="A636" s="7" t="s">
        <v>58</v>
      </c>
      <c r="B636" s="2" t="s">
        <v>8121</v>
      </c>
      <c r="C636" s="2" t="s">
        <v>8122</v>
      </c>
      <c r="D636" s="2" t="s">
        <v>8123</v>
      </c>
      <c r="F636" s="3" t="s">
        <v>58</v>
      </c>
      <c r="G636" s="3" t="s">
        <v>59</v>
      </c>
      <c r="H636" s="3" t="s">
        <v>58</v>
      </c>
      <c r="I636" s="3" t="s">
        <v>58</v>
      </c>
      <c r="J636" s="3" t="s">
        <v>60</v>
      </c>
      <c r="K636" s="2" t="s">
        <v>8124</v>
      </c>
      <c r="L636" s="2" t="s">
        <v>8125</v>
      </c>
      <c r="M636" s="3" t="s">
        <v>183</v>
      </c>
      <c r="O636" s="3" t="s">
        <v>63</v>
      </c>
      <c r="P636" s="3" t="s">
        <v>584</v>
      </c>
      <c r="R636" s="3" t="s">
        <v>65</v>
      </c>
      <c r="S636" s="4">
        <v>5</v>
      </c>
      <c r="T636" s="4">
        <v>5</v>
      </c>
      <c r="U636" s="5" t="s">
        <v>8126</v>
      </c>
      <c r="V636" s="5" t="s">
        <v>8126</v>
      </c>
      <c r="W636" s="5" t="s">
        <v>8127</v>
      </c>
      <c r="X636" s="5" t="s">
        <v>8127</v>
      </c>
      <c r="Y636" s="4">
        <v>562</v>
      </c>
      <c r="Z636" s="4">
        <v>396</v>
      </c>
      <c r="AA636" s="4">
        <v>414</v>
      </c>
      <c r="AB636" s="4">
        <v>3</v>
      </c>
      <c r="AC636" s="4">
        <v>3</v>
      </c>
      <c r="AD636" s="4">
        <v>18</v>
      </c>
      <c r="AE636" s="4">
        <v>18</v>
      </c>
      <c r="AF636" s="4">
        <v>5</v>
      </c>
      <c r="AG636" s="4">
        <v>5</v>
      </c>
      <c r="AH636" s="4">
        <v>7</v>
      </c>
      <c r="AI636" s="4">
        <v>7</v>
      </c>
      <c r="AJ636" s="4">
        <v>10</v>
      </c>
      <c r="AK636" s="4">
        <v>10</v>
      </c>
      <c r="AL636" s="4">
        <v>2</v>
      </c>
      <c r="AM636" s="4">
        <v>2</v>
      </c>
      <c r="AN636" s="4">
        <v>0</v>
      </c>
      <c r="AO636" s="4">
        <v>0</v>
      </c>
      <c r="AP636" s="3" t="s">
        <v>58</v>
      </c>
      <c r="AQ636" s="3" t="s">
        <v>68</v>
      </c>
      <c r="AR636" s="6" t="str">
        <f>HYPERLINK("http://catalog.hathitrust.org/Record/000738016","HathiTrust Record")</f>
        <v>HathiTrust Record</v>
      </c>
      <c r="AS636" s="6" t="str">
        <f>HYPERLINK("https://creighton-primo.hosted.exlibrisgroup.com/primo-explore/search?tab=default_tab&amp;search_scope=EVERYTHING&amp;vid=01CRU&amp;lang=en_US&amp;offset=0&amp;query=any,contains,991004280909702656","Catalog Record")</f>
        <v>Catalog Record</v>
      </c>
      <c r="AT636" s="6" t="str">
        <f>HYPERLINK("http://www.worldcat.org/oclc/2910884","WorldCat Record")</f>
        <v>WorldCat Record</v>
      </c>
      <c r="AU636" s="3" t="s">
        <v>8128</v>
      </c>
      <c r="AV636" s="3" t="s">
        <v>8129</v>
      </c>
      <c r="AW636" s="3" t="s">
        <v>8130</v>
      </c>
      <c r="AX636" s="3" t="s">
        <v>8130</v>
      </c>
      <c r="AY636" s="3" t="s">
        <v>8131</v>
      </c>
      <c r="AZ636" s="3" t="s">
        <v>73</v>
      </c>
      <c r="BB636" s="3" t="s">
        <v>8132</v>
      </c>
      <c r="BC636" s="3" t="s">
        <v>8133</v>
      </c>
      <c r="BD636" s="3" t="s">
        <v>8134</v>
      </c>
    </row>
    <row r="637" spans="1:56" ht="51" customHeight="1" x14ac:dyDescent="0.25">
      <c r="A637" s="7" t="s">
        <v>58</v>
      </c>
      <c r="B637" s="2" t="s">
        <v>8135</v>
      </c>
      <c r="C637" s="2" t="s">
        <v>8136</v>
      </c>
      <c r="D637" s="2" t="s">
        <v>8137</v>
      </c>
      <c r="F637" s="3" t="s">
        <v>58</v>
      </c>
      <c r="G637" s="3" t="s">
        <v>59</v>
      </c>
      <c r="H637" s="3" t="s">
        <v>58</v>
      </c>
      <c r="I637" s="3" t="s">
        <v>58</v>
      </c>
      <c r="J637" s="3" t="s">
        <v>60</v>
      </c>
      <c r="K637" s="2" t="s">
        <v>8138</v>
      </c>
      <c r="L637" s="2" t="s">
        <v>8139</v>
      </c>
      <c r="M637" s="3" t="s">
        <v>1784</v>
      </c>
      <c r="O637" s="3" t="s">
        <v>63</v>
      </c>
      <c r="P637" s="3" t="s">
        <v>214</v>
      </c>
      <c r="R637" s="3" t="s">
        <v>65</v>
      </c>
      <c r="S637" s="4">
        <v>2</v>
      </c>
      <c r="T637" s="4">
        <v>2</v>
      </c>
      <c r="U637" s="5" t="s">
        <v>8140</v>
      </c>
      <c r="V637" s="5" t="s">
        <v>8140</v>
      </c>
      <c r="W637" s="5" t="s">
        <v>8127</v>
      </c>
      <c r="X637" s="5" t="s">
        <v>8127</v>
      </c>
      <c r="Y637" s="4">
        <v>607</v>
      </c>
      <c r="Z637" s="4">
        <v>513</v>
      </c>
      <c r="AA637" s="4">
        <v>515</v>
      </c>
      <c r="AB637" s="4">
        <v>4</v>
      </c>
      <c r="AC637" s="4">
        <v>4</v>
      </c>
      <c r="AD637" s="4">
        <v>28</v>
      </c>
      <c r="AE637" s="4">
        <v>28</v>
      </c>
      <c r="AF637" s="4">
        <v>11</v>
      </c>
      <c r="AG637" s="4">
        <v>11</v>
      </c>
      <c r="AH637" s="4">
        <v>6</v>
      </c>
      <c r="AI637" s="4">
        <v>6</v>
      </c>
      <c r="AJ637" s="4">
        <v>17</v>
      </c>
      <c r="AK637" s="4">
        <v>17</v>
      </c>
      <c r="AL637" s="4">
        <v>3</v>
      </c>
      <c r="AM637" s="4">
        <v>3</v>
      </c>
      <c r="AN637" s="4">
        <v>0</v>
      </c>
      <c r="AO637" s="4">
        <v>0</v>
      </c>
      <c r="AP637" s="3" t="s">
        <v>58</v>
      </c>
      <c r="AQ637" s="3" t="s">
        <v>68</v>
      </c>
      <c r="AR637" s="6" t="str">
        <f>HYPERLINK("http://catalog.hathitrust.org/Record/000256491","HathiTrust Record")</f>
        <v>HathiTrust Record</v>
      </c>
      <c r="AS637" s="6" t="str">
        <f>HYPERLINK("https://creighton-primo.hosted.exlibrisgroup.com/primo-explore/search?tab=default_tab&amp;search_scope=EVERYTHING&amp;vid=01CRU&amp;lang=en_US&amp;offset=0&amp;query=any,contains,991004660189702656","Catalog Record")</f>
        <v>Catalog Record</v>
      </c>
      <c r="AT637" s="6" t="str">
        <f>HYPERLINK("http://www.worldcat.org/oclc/4496542","WorldCat Record")</f>
        <v>WorldCat Record</v>
      </c>
      <c r="AU637" s="3" t="s">
        <v>8141</v>
      </c>
      <c r="AV637" s="3" t="s">
        <v>8142</v>
      </c>
      <c r="AW637" s="3" t="s">
        <v>8143</v>
      </c>
      <c r="AX637" s="3" t="s">
        <v>8143</v>
      </c>
      <c r="AY637" s="3" t="s">
        <v>8144</v>
      </c>
      <c r="AZ637" s="3" t="s">
        <v>73</v>
      </c>
      <c r="BB637" s="3" t="s">
        <v>8145</v>
      </c>
      <c r="BC637" s="3" t="s">
        <v>8146</v>
      </c>
      <c r="BD637" s="3" t="s">
        <v>8147</v>
      </c>
    </row>
    <row r="638" spans="1:56" ht="51" customHeight="1" x14ac:dyDescent="0.25">
      <c r="A638" s="7" t="s">
        <v>58</v>
      </c>
      <c r="B638" s="2" t="s">
        <v>8148</v>
      </c>
      <c r="C638" s="2" t="s">
        <v>8149</v>
      </c>
      <c r="D638" s="2" t="s">
        <v>8150</v>
      </c>
      <c r="F638" s="3" t="s">
        <v>58</v>
      </c>
      <c r="G638" s="3" t="s">
        <v>59</v>
      </c>
      <c r="H638" s="3" t="s">
        <v>58</v>
      </c>
      <c r="I638" s="3" t="s">
        <v>58</v>
      </c>
      <c r="J638" s="3" t="s">
        <v>60</v>
      </c>
      <c r="K638" s="2" t="s">
        <v>2741</v>
      </c>
      <c r="L638" s="2" t="s">
        <v>8151</v>
      </c>
      <c r="M638" s="3" t="s">
        <v>83</v>
      </c>
      <c r="O638" s="3" t="s">
        <v>63</v>
      </c>
      <c r="P638" s="3" t="s">
        <v>495</v>
      </c>
      <c r="R638" s="3" t="s">
        <v>65</v>
      </c>
      <c r="S638" s="4">
        <v>2</v>
      </c>
      <c r="T638" s="4">
        <v>2</v>
      </c>
      <c r="U638" s="5" t="s">
        <v>8152</v>
      </c>
      <c r="V638" s="5" t="s">
        <v>8152</v>
      </c>
      <c r="W638" s="5" t="s">
        <v>8127</v>
      </c>
      <c r="X638" s="5" t="s">
        <v>8127</v>
      </c>
      <c r="Y638" s="4">
        <v>539</v>
      </c>
      <c r="Z638" s="4">
        <v>502</v>
      </c>
      <c r="AA638" s="4">
        <v>509</v>
      </c>
      <c r="AB638" s="4">
        <v>5</v>
      </c>
      <c r="AC638" s="4">
        <v>5</v>
      </c>
      <c r="AD638" s="4">
        <v>21</v>
      </c>
      <c r="AE638" s="4">
        <v>21</v>
      </c>
      <c r="AF638" s="4">
        <v>8</v>
      </c>
      <c r="AG638" s="4">
        <v>8</v>
      </c>
      <c r="AH638" s="4">
        <v>7</v>
      </c>
      <c r="AI638" s="4">
        <v>7</v>
      </c>
      <c r="AJ638" s="4">
        <v>8</v>
      </c>
      <c r="AK638" s="4">
        <v>8</v>
      </c>
      <c r="AL638" s="4">
        <v>3</v>
      </c>
      <c r="AM638" s="4">
        <v>3</v>
      </c>
      <c r="AN638" s="4">
        <v>0</v>
      </c>
      <c r="AO638" s="4">
        <v>0</v>
      </c>
      <c r="AP638" s="3" t="s">
        <v>58</v>
      </c>
      <c r="AQ638" s="3" t="s">
        <v>68</v>
      </c>
      <c r="AR638" s="6" t="str">
        <f>HYPERLINK("http://catalog.hathitrust.org/Record/000023744","HathiTrust Record")</f>
        <v>HathiTrust Record</v>
      </c>
      <c r="AS638" s="6" t="str">
        <f>HYPERLINK("https://creighton-primo.hosted.exlibrisgroup.com/primo-explore/search?tab=default_tab&amp;search_scope=EVERYTHING&amp;vid=01CRU&amp;lang=en_US&amp;offset=0&amp;query=any,contains,991004544139702656","Catalog Record")</f>
        <v>Catalog Record</v>
      </c>
      <c r="AT638" s="6" t="str">
        <f>HYPERLINK("http://www.worldcat.org/oclc/3912551","WorldCat Record")</f>
        <v>WorldCat Record</v>
      </c>
      <c r="AU638" s="3" t="s">
        <v>8153</v>
      </c>
      <c r="AV638" s="3" t="s">
        <v>8154</v>
      </c>
      <c r="AW638" s="3" t="s">
        <v>8155</v>
      </c>
      <c r="AX638" s="3" t="s">
        <v>8155</v>
      </c>
      <c r="AY638" s="3" t="s">
        <v>8156</v>
      </c>
      <c r="AZ638" s="3" t="s">
        <v>73</v>
      </c>
      <c r="BB638" s="3" t="s">
        <v>8157</v>
      </c>
      <c r="BC638" s="3" t="s">
        <v>8158</v>
      </c>
      <c r="BD638" s="3" t="s">
        <v>8159</v>
      </c>
    </row>
    <row r="639" spans="1:56" ht="51" customHeight="1" x14ac:dyDescent="0.25">
      <c r="A639" s="7" t="s">
        <v>58</v>
      </c>
      <c r="B639" s="2" t="s">
        <v>8160</v>
      </c>
      <c r="C639" s="2" t="s">
        <v>8161</v>
      </c>
      <c r="D639" s="2" t="s">
        <v>8162</v>
      </c>
      <c r="F639" s="3" t="s">
        <v>58</v>
      </c>
      <c r="G639" s="3" t="s">
        <v>59</v>
      </c>
      <c r="H639" s="3" t="s">
        <v>58</v>
      </c>
      <c r="I639" s="3" t="s">
        <v>58</v>
      </c>
      <c r="J639" s="3" t="s">
        <v>60</v>
      </c>
      <c r="K639" s="2" t="s">
        <v>8163</v>
      </c>
      <c r="L639" s="2" t="s">
        <v>8164</v>
      </c>
      <c r="M639" s="3" t="s">
        <v>138</v>
      </c>
      <c r="O639" s="3" t="s">
        <v>63</v>
      </c>
      <c r="P639" s="3" t="s">
        <v>584</v>
      </c>
      <c r="R639" s="3" t="s">
        <v>65</v>
      </c>
      <c r="S639" s="4">
        <v>1</v>
      </c>
      <c r="T639" s="4">
        <v>1</v>
      </c>
      <c r="U639" s="5" t="s">
        <v>8165</v>
      </c>
      <c r="V639" s="5" t="s">
        <v>8165</v>
      </c>
      <c r="W639" s="5" t="s">
        <v>8127</v>
      </c>
      <c r="X639" s="5" t="s">
        <v>8127</v>
      </c>
      <c r="Y639" s="4">
        <v>432</v>
      </c>
      <c r="Z639" s="4">
        <v>315</v>
      </c>
      <c r="AA639" s="4">
        <v>339</v>
      </c>
      <c r="AB639" s="4">
        <v>3</v>
      </c>
      <c r="AC639" s="4">
        <v>3</v>
      </c>
      <c r="AD639" s="4">
        <v>10</v>
      </c>
      <c r="AE639" s="4">
        <v>10</v>
      </c>
      <c r="AF639" s="4">
        <v>2</v>
      </c>
      <c r="AG639" s="4">
        <v>2</v>
      </c>
      <c r="AH639" s="4">
        <v>5</v>
      </c>
      <c r="AI639" s="4">
        <v>5</v>
      </c>
      <c r="AJ639" s="4">
        <v>4</v>
      </c>
      <c r="AK639" s="4">
        <v>4</v>
      </c>
      <c r="AL639" s="4">
        <v>2</v>
      </c>
      <c r="AM639" s="4">
        <v>2</v>
      </c>
      <c r="AN639" s="4">
        <v>0</v>
      </c>
      <c r="AO639" s="4">
        <v>0</v>
      </c>
      <c r="AP639" s="3" t="s">
        <v>58</v>
      </c>
      <c r="AQ639" s="3" t="s">
        <v>58</v>
      </c>
      <c r="AS639" s="6" t="str">
        <f>HYPERLINK("https://creighton-primo.hosted.exlibrisgroup.com/primo-explore/search?tab=default_tab&amp;search_scope=EVERYTHING&amp;vid=01CRU&amp;lang=en_US&amp;offset=0&amp;query=any,contains,991005237959702656","Catalog Record")</f>
        <v>Catalog Record</v>
      </c>
      <c r="AT639" s="6" t="str">
        <f>HYPERLINK("http://www.worldcat.org/oclc/8389473","WorldCat Record")</f>
        <v>WorldCat Record</v>
      </c>
      <c r="AU639" s="3" t="s">
        <v>8166</v>
      </c>
      <c r="AV639" s="3" t="s">
        <v>8167</v>
      </c>
      <c r="AW639" s="3" t="s">
        <v>8168</v>
      </c>
      <c r="AX639" s="3" t="s">
        <v>8168</v>
      </c>
      <c r="AY639" s="3" t="s">
        <v>8169</v>
      </c>
      <c r="AZ639" s="3" t="s">
        <v>73</v>
      </c>
      <c r="BB639" s="3" t="s">
        <v>8170</v>
      </c>
      <c r="BC639" s="3" t="s">
        <v>8171</v>
      </c>
      <c r="BD639" s="3" t="s">
        <v>8172</v>
      </c>
    </row>
    <row r="640" spans="1:56" ht="51" customHeight="1" x14ac:dyDescent="0.25">
      <c r="A640" s="7" t="s">
        <v>58</v>
      </c>
      <c r="B640" s="2" t="s">
        <v>8173</v>
      </c>
      <c r="C640" s="2" t="s">
        <v>8174</v>
      </c>
      <c r="D640" s="2" t="s">
        <v>8175</v>
      </c>
      <c r="F640" s="3" t="s">
        <v>58</v>
      </c>
      <c r="G640" s="3" t="s">
        <v>59</v>
      </c>
      <c r="H640" s="3" t="s">
        <v>58</v>
      </c>
      <c r="I640" s="3" t="s">
        <v>58</v>
      </c>
      <c r="J640" s="3" t="s">
        <v>60</v>
      </c>
      <c r="K640" s="2" t="s">
        <v>8176</v>
      </c>
      <c r="L640" s="2" t="s">
        <v>8177</v>
      </c>
      <c r="M640" s="3" t="s">
        <v>4851</v>
      </c>
      <c r="O640" s="3" t="s">
        <v>63</v>
      </c>
      <c r="P640" s="3" t="s">
        <v>816</v>
      </c>
      <c r="Q640" s="2" t="s">
        <v>8178</v>
      </c>
      <c r="R640" s="3" t="s">
        <v>65</v>
      </c>
      <c r="S640" s="4">
        <v>2</v>
      </c>
      <c r="T640" s="4">
        <v>2</v>
      </c>
      <c r="U640" s="5" t="s">
        <v>3737</v>
      </c>
      <c r="V640" s="5" t="s">
        <v>3737</v>
      </c>
      <c r="W640" s="5" t="s">
        <v>540</v>
      </c>
      <c r="X640" s="5" t="s">
        <v>540</v>
      </c>
      <c r="Y640" s="4">
        <v>571</v>
      </c>
      <c r="Z640" s="4">
        <v>469</v>
      </c>
      <c r="AA640" s="4">
        <v>890</v>
      </c>
      <c r="AB640" s="4">
        <v>3</v>
      </c>
      <c r="AC640" s="4">
        <v>8</v>
      </c>
      <c r="AD640" s="4">
        <v>19</v>
      </c>
      <c r="AE640" s="4">
        <v>43</v>
      </c>
      <c r="AF640" s="4">
        <v>5</v>
      </c>
      <c r="AG640" s="4">
        <v>15</v>
      </c>
      <c r="AH640" s="4">
        <v>7</v>
      </c>
      <c r="AI640" s="4">
        <v>10</v>
      </c>
      <c r="AJ640" s="4">
        <v>9</v>
      </c>
      <c r="AK640" s="4">
        <v>20</v>
      </c>
      <c r="AL640" s="4">
        <v>2</v>
      </c>
      <c r="AM640" s="4">
        <v>7</v>
      </c>
      <c r="AN640" s="4">
        <v>0</v>
      </c>
      <c r="AO640" s="4">
        <v>0</v>
      </c>
      <c r="AP640" s="3" t="s">
        <v>58</v>
      </c>
      <c r="AQ640" s="3" t="s">
        <v>68</v>
      </c>
      <c r="AR640" s="6" t="str">
        <f>HYPERLINK("http://catalog.hathitrust.org/Record/001247793","HathiTrust Record")</f>
        <v>HathiTrust Record</v>
      </c>
      <c r="AS640" s="6" t="str">
        <f>HYPERLINK("https://creighton-primo.hosted.exlibrisgroup.com/primo-explore/search?tab=default_tab&amp;search_scope=EVERYTHING&amp;vid=01CRU&amp;lang=en_US&amp;offset=0&amp;query=any,contains,991002713639702656","Catalog Record")</f>
        <v>Catalog Record</v>
      </c>
      <c r="AT640" s="6" t="str">
        <f>HYPERLINK("http://www.worldcat.org/oclc/410688","WorldCat Record")</f>
        <v>WorldCat Record</v>
      </c>
      <c r="AU640" s="3" t="s">
        <v>8179</v>
      </c>
      <c r="AV640" s="3" t="s">
        <v>8180</v>
      </c>
      <c r="AW640" s="3" t="s">
        <v>8181</v>
      </c>
      <c r="AX640" s="3" t="s">
        <v>8181</v>
      </c>
      <c r="AY640" s="3" t="s">
        <v>8182</v>
      </c>
      <c r="AZ640" s="3" t="s">
        <v>73</v>
      </c>
      <c r="BC640" s="3" t="s">
        <v>8183</v>
      </c>
      <c r="BD640" s="3" t="s">
        <v>8184</v>
      </c>
    </row>
    <row r="641" spans="1:56" ht="51" customHeight="1" x14ac:dyDescent="0.25">
      <c r="A641" s="7" t="s">
        <v>58</v>
      </c>
      <c r="B641" s="2" t="s">
        <v>8185</v>
      </c>
      <c r="C641" s="2" t="s">
        <v>8186</v>
      </c>
      <c r="D641" s="2" t="s">
        <v>8187</v>
      </c>
      <c r="F641" s="3" t="s">
        <v>58</v>
      </c>
      <c r="G641" s="3" t="s">
        <v>59</v>
      </c>
      <c r="H641" s="3" t="s">
        <v>58</v>
      </c>
      <c r="I641" s="3" t="s">
        <v>58</v>
      </c>
      <c r="J641" s="3" t="s">
        <v>60</v>
      </c>
      <c r="K641" s="2" t="s">
        <v>8188</v>
      </c>
      <c r="L641" s="2" t="s">
        <v>8189</v>
      </c>
      <c r="M641" s="3" t="s">
        <v>612</v>
      </c>
      <c r="O641" s="3" t="s">
        <v>63</v>
      </c>
      <c r="P641" s="3" t="s">
        <v>571</v>
      </c>
      <c r="R641" s="3" t="s">
        <v>65</v>
      </c>
      <c r="S641" s="4">
        <v>5</v>
      </c>
      <c r="T641" s="4">
        <v>5</v>
      </c>
      <c r="U641" s="5" t="s">
        <v>8190</v>
      </c>
      <c r="V641" s="5" t="s">
        <v>8190</v>
      </c>
      <c r="W641" s="5" t="s">
        <v>8191</v>
      </c>
      <c r="X641" s="5" t="s">
        <v>8191</v>
      </c>
      <c r="Y641" s="4">
        <v>254</v>
      </c>
      <c r="Z641" s="4">
        <v>221</v>
      </c>
      <c r="AA641" s="4">
        <v>233</v>
      </c>
      <c r="AB641" s="4">
        <v>1</v>
      </c>
      <c r="AC641" s="4">
        <v>1</v>
      </c>
      <c r="AD641" s="4">
        <v>5</v>
      </c>
      <c r="AE641" s="4">
        <v>6</v>
      </c>
      <c r="AF641" s="4">
        <v>1</v>
      </c>
      <c r="AG641" s="4">
        <v>1</v>
      </c>
      <c r="AH641" s="4">
        <v>4</v>
      </c>
      <c r="AI641" s="4">
        <v>4</v>
      </c>
      <c r="AJ641" s="4">
        <v>2</v>
      </c>
      <c r="AK641" s="4">
        <v>3</v>
      </c>
      <c r="AL641" s="4">
        <v>0</v>
      </c>
      <c r="AM641" s="4">
        <v>0</v>
      </c>
      <c r="AN641" s="4">
        <v>0</v>
      </c>
      <c r="AO641" s="4">
        <v>0</v>
      </c>
      <c r="AP641" s="3" t="s">
        <v>58</v>
      </c>
      <c r="AQ641" s="3" t="s">
        <v>58</v>
      </c>
      <c r="AR641" s="6" t="str">
        <f>HYPERLINK("http://catalog.hathitrust.org/Record/001247797","HathiTrust Record")</f>
        <v>HathiTrust Record</v>
      </c>
      <c r="AS641" s="6" t="str">
        <f>HYPERLINK("https://creighton-primo.hosted.exlibrisgroup.com/primo-explore/search?tab=default_tab&amp;search_scope=EVERYTHING&amp;vid=01CRU&amp;lang=en_US&amp;offset=0&amp;query=any,contains,991002709869702656","Catalog Record")</f>
        <v>Catalog Record</v>
      </c>
      <c r="AT641" s="6" t="str">
        <f>HYPERLINK("http://www.worldcat.org/oclc/408823","WorldCat Record")</f>
        <v>WorldCat Record</v>
      </c>
      <c r="AU641" s="3" t="s">
        <v>8192</v>
      </c>
      <c r="AV641" s="3" t="s">
        <v>8193</v>
      </c>
      <c r="AW641" s="3" t="s">
        <v>8194</v>
      </c>
      <c r="AX641" s="3" t="s">
        <v>8194</v>
      </c>
      <c r="AY641" s="3" t="s">
        <v>8195</v>
      </c>
      <c r="AZ641" s="3" t="s">
        <v>73</v>
      </c>
      <c r="BC641" s="3" t="s">
        <v>8196</v>
      </c>
      <c r="BD641" s="3" t="s">
        <v>8197</v>
      </c>
    </row>
    <row r="642" spans="1:56" ht="51" customHeight="1" x14ac:dyDescent="0.25">
      <c r="A642" s="7" t="s">
        <v>58</v>
      </c>
      <c r="B642" s="2" t="s">
        <v>8198</v>
      </c>
      <c r="C642" s="2" t="s">
        <v>8199</v>
      </c>
      <c r="D642" s="2" t="s">
        <v>8200</v>
      </c>
      <c r="F642" s="3" t="s">
        <v>58</v>
      </c>
      <c r="G642" s="3" t="s">
        <v>59</v>
      </c>
      <c r="H642" s="3" t="s">
        <v>58</v>
      </c>
      <c r="I642" s="3" t="s">
        <v>58</v>
      </c>
      <c r="J642" s="3" t="s">
        <v>60</v>
      </c>
      <c r="K642" s="2" t="s">
        <v>8201</v>
      </c>
      <c r="L642" s="2" t="s">
        <v>8202</v>
      </c>
      <c r="M642" s="3" t="s">
        <v>2295</v>
      </c>
      <c r="N642" s="2" t="s">
        <v>338</v>
      </c>
      <c r="O642" s="3" t="s">
        <v>63</v>
      </c>
      <c r="P642" s="3" t="s">
        <v>2061</v>
      </c>
      <c r="R642" s="3" t="s">
        <v>65</v>
      </c>
      <c r="S642" s="4">
        <v>3</v>
      </c>
      <c r="T642" s="4">
        <v>3</v>
      </c>
      <c r="U642" s="5" t="s">
        <v>2945</v>
      </c>
      <c r="V642" s="5" t="s">
        <v>2945</v>
      </c>
      <c r="W642" s="5" t="s">
        <v>4115</v>
      </c>
      <c r="X642" s="5" t="s">
        <v>4115</v>
      </c>
      <c r="Y642" s="4">
        <v>403</v>
      </c>
      <c r="Z642" s="4">
        <v>355</v>
      </c>
      <c r="AA642" s="4">
        <v>361</v>
      </c>
      <c r="AB642" s="4">
        <v>4</v>
      </c>
      <c r="AC642" s="4">
        <v>4</v>
      </c>
      <c r="AD642" s="4">
        <v>18</v>
      </c>
      <c r="AE642" s="4">
        <v>18</v>
      </c>
      <c r="AF642" s="4">
        <v>6</v>
      </c>
      <c r="AG642" s="4">
        <v>6</v>
      </c>
      <c r="AH642" s="4">
        <v>6</v>
      </c>
      <c r="AI642" s="4">
        <v>6</v>
      </c>
      <c r="AJ642" s="4">
        <v>8</v>
      </c>
      <c r="AK642" s="4">
        <v>8</v>
      </c>
      <c r="AL642" s="4">
        <v>3</v>
      </c>
      <c r="AM642" s="4">
        <v>3</v>
      </c>
      <c r="AN642" s="4">
        <v>0</v>
      </c>
      <c r="AO642" s="4">
        <v>0</v>
      </c>
      <c r="AP642" s="3" t="s">
        <v>58</v>
      </c>
      <c r="AQ642" s="3" t="s">
        <v>58</v>
      </c>
      <c r="AS642" s="6" t="str">
        <f>HYPERLINK("https://creighton-primo.hosted.exlibrisgroup.com/primo-explore/search?tab=default_tab&amp;search_scope=EVERYTHING&amp;vid=01CRU&amp;lang=en_US&amp;offset=0&amp;query=any,contains,991004196479702656","Catalog Record")</f>
        <v>Catalog Record</v>
      </c>
      <c r="AT642" s="6" t="str">
        <f>HYPERLINK("http://www.worldcat.org/oclc/53247921","WorldCat Record")</f>
        <v>WorldCat Record</v>
      </c>
      <c r="AU642" s="3" t="s">
        <v>8203</v>
      </c>
      <c r="AV642" s="3" t="s">
        <v>8204</v>
      </c>
      <c r="AW642" s="3" t="s">
        <v>8205</v>
      </c>
      <c r="AX642" s="3" t="s">
        <v>8205</v>
      </c>
      <c r="AY642" s="3" t="s">
        <v>8206</v>
      </c>
      <c r="AZ642" s="3" t="s">
        <v>73</v>
      </c>
      <c r="BB642" s="3" t="s">
        <v>8207</v>
      </c>
      <c r="BC642" s="3" t="s">
        <v>8208</v>
      </c>
      <c r="BD642" s="3" t="s">
        <v>8209</v>
      </c>
    </row>
    <row r="643" spans="1:56" ht="51" customHeight="1" x14ac:dyDescent="0.25">
      <c r="A643" s="7" t="s">
        <v>58</v>
      </c>
      <c r="B643" s="2" t="s">
        <v>8210</v>
      </c>
      <c r="C643" s="2" t="s">
        <v>8211</v>
      </c>
      <c r="D643" s="2" t="s">
        <v>8212</v>
      </c>
      <c r="F643" s="3" t="s">
        <v>58</v>
      </c>
      <c r="G643" s="3" t="s">
        <v>59</v>
      </c>
      <c r="H643" s="3" t="s">
        <v>58</v>
      </c>
      <c r="I643" s="3" t="s">
        <v>58</v>
      </c>
      <c r="J643" s="3" t="s">
        <v>60</v>
      </c>
      <c r="K643" s="2" t="s">
        <v>8213</v>
      </c>
      <c r="L643" s="2" t="s">
        <v>8214</v>
      </c>
      <c r="M643" s="3" t="s">
        <v>62</v>
      </c>
      <c r="O643" s="3" t="s">
        <v>63</v>
      </c>
      <c r="P643" s="3" t="s">
        <v>2784</v>
      </c>
      <c r="Q643" s="2" t="s">
        <v>8215</v>
      </c>
      <c r="R643" s="3" t="s">
        <v>65</v>
      </c>
      <c r="S643" s="4">
        <v>2</v>
      </c>
      <c r="T643" s="4">
        <v>2</v>
      </c>
      <c r="U643" s="5" t="s">
        <v>8216</v>
      </c>
      <c r="V643" s="5" t="s">
        <v>8216</v>
      </c>
      <c r="W643" s="5" t="s">
        <v>8217</v>
      </c>
      <c r="X643" s="5" t="s">
        <v>8217</v>
      </c>
      <c r="Y643" s="4">
        <v>198</v>
      </c>
      <c r="Z643" s="4">
        <v>133</v>
      </c>
      <c r="AA643" s="4">
        <v>135</v>
      </c>
      <c r="AB643" s="4">
        <v>2</v>
      </c>
      <c r="AC643" s="4">
        <v>2</v>
      </c>
      <c r="AD643" s="4">
        <v>7</v>
      </c>
      <c r="AE643" s="4">
        <v>7</v>
      </c>
      <c r="AF643" s="4">
        <v>0</v>
      </c>
      <c r="AG643" s="4">
        <v>0</v>
      </c>
      <c r="AH643" s="4">
        <v>4</v>
      </c>
      <c r="AI643" s="4">
        <v>4</v>
      </c>
      <c r="AJ643" s="4">
        <v>4</v>
      </c>
      <c r="AK643" s="4">
        <v>4</v>
      </c>
      <c r="AL643" s="4">
        <v>1</v>
      </c>
      <c r="AM643" s="4">
        <v>1</v>
      </c>
      <c r="AN643" s="4">
        <v>0</v>
      </c>
      <c r="AO643" s="4">
        <v>0</v>
      </c>
      <c r="AP643" s="3" t="s">
        <v>58</v>
      </c>
      <c r="AQ643" s="3" t="s">
        <v>68</v>
      </c>
      <c r="AR643" s="6" t="str">
        <f>HYPERLINK("http://catalog.hathitrust.org/Record/000004954","HathiTrust Record")</f>
        <v>HathiTrust Record</v>
      </c>
      <c r="AS643" s="6" t="str">
        <f>HYPERLINK("https://creighton-primo.hosted.exlibrisgroup.com/primo-explore/search?tab=default_tab&amp;search_scope=EVERYTHING&amp;vid=01CRU&amp;lang=en_US&amp;offset=0&amp;query=any,contains,991002424609702656","Catalog Record")</f>
        <v>Catalog Record</v>
      </c>
      <c r="AT643" s="6" t="str">
        <f>HYPERLINK("http://www.worldcat.org/oclc/344182","WorldCat Record")</f>
        <v>WorldCat Record</v>
      </c>
      <c r="AU643" s="3" t="s">
        <v>8218</v>
      </c>
      <c r="AV643" s="3" t="s">
        <v>8219</v>
      </c>
      <c r="AW643" s="3" t="s">
        <v>8220</v>
      </c>
      <c r="AX643" s="3" t="s">
        <v>8220</v>
      </c>
      <c r="AY643" s="3" t="s">
        <v>8221</v>
      </c>
      <c r="AZ643" s="3" t="s">
        <v>73</v>
      </c>
      <c r="BC643" s="3" t="s">
        <v>8222</v>
      </c>
      <c r="BD643" s="3" t="s">
        <v>8223</v>
      </c>
    </row>
    <row r="644" spans="1:56" ht="51" customHeight="1" x14ac:dyDescent="0.25">
      <c r="A644" s="7" t="s">
        <v>58</v>
      </c>
      <c r="B644" s="2" t="s">
        <v>8224</v>
      </c>
      <c r="C644" s="2" t="s">
        <v>8225</v>
      </c>
      <c r="D644" s="2" t="s">
        <v>8226</v>
      </c>
      <c r="F644" s="3" t="s">
        <v>58</v>
      </c>
      <c r="G644" s="3" t="s">
        <v>59</v>
      </c>
      <c r="H644" s="3" t="s">
        <v>58</v>
      </c>
      <c r="I644" s="3" t="s">
        <v>58</v>
      </c>
      <c r="J644" s="3" t="s">
        <v>60</v>
      </c>
      <c r="K644" s="2" t="s">
        <v>8227</v>
      </c>
      <c r="L644" s="2" t="s">
        <v>8228</v>
      </c>
      <c r="M644" s="3" t="s">
        <v>996</v>
      </c>
      <c r="O644" s="3" t="s">
        <v>63</v>
      </c>
      <c r="P644" s="3" t="s">
        <v>214</v>
      </c>
      <c r="R644" s="3" t="s">
        <v>65</v>
      </c>
      <c r="S644" s="4">
        <v>5</v>
      </c>
      <c r="T644" s="4">
        <v>5</v>
      </c>
      <c r="U644" s="5" t="s">
        <v>3472</v>
      </c>
      <c r="V644" s="5" t="s">
        <v>3472</v>
      </c>
      <c r="W644" s="5" t="s">
        <v>7383</v>
      </c>
      <c r="X644" s="5" t="s">
        <v>7383</v>
      </c>
      <c r="Y644" s="4">
        <v>1208</v>
      </c>
      <c r="Z644" s="4">
        <v>1115</v>
      </c>
      <c r="AA644" s="4">
        <v>1655</v>
      </c>
      <c r="AB644" s="4">
        <v>6</v>
      </c>
      <c r="AC644" s="4">
        <v>9</v>
      </c>
      <c r="AD644" s="4">
        <v>33</v>
      </c>
      <c r="AE644" s="4">
        <v>53</v>
      </c>
      <c r="AF644" s="4">
        <v>14</v>
      </c>
      <c r="AG644" s="4">
        <v>22</v>
      </c>
      <c r="AH644" s="4">
        <v>7</v>
      </c>
      <c r="AI644" s="4">
        <v>11</v>
      </c>
      <c r="AJ644" s="4">
        <v>16</v>
      </c>
      <c r="AK644" s="4">
        <v>25</v>
      </c>
      <c r="AL644" s="4">
        <v>5</v>
      </c>
      <c r="AM644" s="4">
        <v>8</v>
      </c>
      <c r="AN644" s="4">
        <v>0</v>
      </c>
      <c r="AO644" s="4">
        <v>0</v>
      </c>
      <c r="AP644" s="3" t="s">
        <v>58</v>
      </c>
      <c r="AQ644" s="3" t="s">
        <v>58</v>
      </c>
      <c r="AS644" s="6" t="str">
        <f>HYPERLINK("https://creighton-primo.hosted.exlibrisgroup.com/primo-explore/search?tab=default_tab&amp;search_scope=EVERYTHING&amp;vid=01CRU&amp;lang=en_US&amp;offset=0&amp;query=any,contains,991002851019702656","Catalog Record")</f>
        <v>Catalog Record</v>
      </c>
      <c r="AT644" s="6" t="str">
        <f>HYPERLINK("http://www.worldcat.org/oclc/487000","WorldCat Record")</f>
        <v>WorldCat Record</v>
      </c>
      <c r="AU644" s="3" t="s">
        <v>8229</v>
      </c>
      <c r="AV644" s="3" t="s">
        <v>8230</v>
      </c>
      <c r="AW644" s="3" t="s">
        <v>8231</v>
      </c>
      <c r="AX644" s="3" t="s">
        <v>8231</v>
      </c>
      <c r="AY644" s="3" t="s">
        <v>8232</v>
      </c>
      <c r="AZ644" s="3" t="s">
        <v>73</v>
      </c>
      <c r="BB644" s="3" t="s">
        <v>8233</v>
      </c>
      <c r="BC644" s="3" t="s">
        <v>8234</v>
      </c>
      <c r="BD644" s="3" t="s">
        <v>8235</v>
      </c>
    </row>
    <row r="645" spans="1:56" ht="51" customHeight="1" x14ac:dyDescent="0.25">
      <c r="A645" s="7" t="s">
        <v>58</v>
      </c>
      <c r="B645" s="2" t="s">
        <v>8236</v>
      </c>
      <c r="C645" s="2" t="s">
        <v>8237</v>
      </c>
      <c r="D645" s="2" t="s">
        <v>8238</v>
      </c>
      <c r="F645" s="3" t="s">
        <v>58</v>
      </c>
      <c r="G645" s="3" t="s">
        <v>59</v>
      </c>
      <c r="H645" s="3" t="s">
        <v>58</v>
      </c>
      <c r="I645" s="3" t="s">
        <v>58</v>
      </c>
      <c r="J645" s="3" t="s">
        <v>60</v>
      </c>
      <c r="K645" s="2" t="s">
        <v>8239</v>
      </c>
      <c r="L645" s="2" t="s">
        <v>8240</v>
      </c>
      <c r="M645" s="3" t="s">
        <v>196</v>
      </c>
      <c r="O645" s="3" t="s">
        <v>63</v>
      </c>
      <c r="P645" s="3" t="s">
        <v>411</v>
      </c>
      <c r="Q645" s="2" t="s">
        <v>8241</v>
      </c>
      <c r="R645" s="3" t="s">
        <v>65</v>
      </c>
      <c r="S645" s="4">
        <v>3</v>
      </c>
      <c r="T645" s="4">
        <v>3</v>
      </c>
      <c r="U645" s="5" t="s">
        <v>6391</v>
      </c>
      <c r="V645" s="5" t="s">
        <v>6391</v>
      </c>
      <c r="W645" s="5" t="s">
        <v>1078</v>
      </c>
      <c r="X645" s="5" t="s">
        <v>1078</v>
      </c>
      <c r="Y645" s="4">
        <v>389</v>
      </c>
      <c r="Z645" s="4">
        <v>301</v>
      </c>
      <c r="AA645" s="4">
        <v>301</v>
      </c>
      <c r="AB645" s="4">
        <v>2</v>
      </c>
      <c r="AC645" s="4">
        <v>2</v>
      </c>
      <c r="AD645" s="4">
        <v>23</v>
      </c>
      <c r="AE645" s="4">
        <v>23</v>
      </c>
      <c r="AF645" s="4">
        <v>9</v>
      </c>
      <c r="AG645" s="4">
        <v>9</v>
      </c>
      <c r="AH645" s="4">
        <v>5</v>
      </c>
      <c r="AI645" s="4">
        <v>5</v>
      </c>
      <c r="AJ645" s="4">
        <v>13</v>
      </c>
      <c r="AK645" s="4">
        <v>13</v>
      </c>
      <c r="AL645" s="4">
        <v>1</v>
      </c>
      <c r="AM645" s="4">
        <v>1</v>
      </c>
      <c r="AN645" s="4">
        <v>1</v>
      </c>
      <c r="AO645" s="4">
        <v>1</v>
      </c>
      <c r="AP645" s="3" t="s">
        <v>58</v>
      </c>
      <c r="AQ645" s="3" t="s">
        <v>58</v>
      </c>
      <c r="AS645" s="6" t="str">
        <f>HYPERLINK("https://creighton-primo.hosted.exlibrisgroup.com/primo-explore/search?tab=default_tab&amp;search_scope=EVERYTHING&amp;vid=01CRU&amp;lang=en_US&amp;offset=0&amp;query=any,contains,991002606569702656","Catalog Record")</f>
        <v>Catalog Record</v>
      </c>
      <c r="AT645" s="6" t="str">
        <f>HYPERLINK("http://www.worldcat.org/oclc/34149879","WorldCat Record")</f>
        <v>WorldCat Record</v>
      </c>
      <c r="AU645" s="3" t="s">
        <v>8242</v>
      </c>
      <c r="AV645" s="3" t="s">
        <v>8243</v>
      </c>
      <c r="AW645" s="3" t="s">
        <v>8244</v>
      </c>
      <c r="AX645" s="3" t="s">
        <v>8244</v>
      </c>
      <c r="AY645" s="3" t="s">
        <v>8245</v>
      </c>
      <c r="AZ645" s="3" t="s">
        <v>73</v>
      </c>
      <c r="BB645" s="3" t="s">
        <v>8246</v>
      </c>
      <c r="BC645" s="3" t="s">
        <v>8247</v>
      </c>
      <c r="BD645" s="3" t="s">
        <v>8248</v>
      </c>
    </row>
    <row r="646" spans="1:56" ht="51" customHeight="1" x14ac:dyDescent="0.25">
      <c r="A646" s="7" t="s">
        <v>58</v>
      </c>
      <c r="B646" s="2" t="s">
        <v>8249</v>
      </c>
      <c r="C646" s="2" t="s">
        <v>8250</v>
      </c>
      <c r="D646" s="2" t="s">
        <v>8251</v>
      </c>
      <c r="F646" s="3" t="s">
        <v>58</v>
      </c>
      <c r="G646" s="3" t="s">
        <v>59</v>
      </c>
      <c r="H646" s="3" t="s">
        <v>58</v>
      </c>
      <c r="I646" s="3" t="s">
        <v>58</v>
      </c>
      <c r="J646" s="3" t="s">
        <v>60</v>
      </c>
      <c r="K646" s="2" t="s">
        <v>8252</v>
      </c>
      <c r="L646" s="2" t="s">
        <v>8253</v>
      </c>
      <c r="M646" s="3" t="s">
        <v>1153</v>
      </c>
      <c r="N646" s="2" t="s">
        <v>8254</v>
      </c>
      <c r="O646" s="3" t="s">
        <v>63</v>
      </c>
      <c r="P646" s="3" t="s">
        <v>214</v>
      </c>
      <c r="R646" s="3" t="s">
        <v>65</v>
      </c>
      <c r="S646" s="4">
        <v>1</v>
      </c>
      <c r="T646" s="4">
        <v>1</v>
      </c>
      <c r="U646" s="5" t="s">
        <v>8255</v>
      </c>
      <c r="V646" s="5" t="s">
        <v>8255</v>
      </c>
      <c r="W646" s="5" t="s">
        <v>8256</v>
      </c>
      <c r="X646" s="5" t="s">
        <v>8256</v>
      </c>
      <c r="Y646" s="4">
        <v>544</v>
      </c>
      <c r="Z646" s="4">
        <v>449</v>
      </c>
      <c r="AA646" s="4">
        <v>494</v>
      </c>
      <c r="AB646" s="4">
        <v>3</v>
      </c>
      <c r="AC646" s="4">
        <v>3</v>
      </c>
      <c r="AD646" s="4">
        <v>17</v>
      </c>
      <c r="AE646" s="4">
        <v>18</v>
      </c>
      <c r="AF646" s="4">
        <v>7</v>
      </c>
      <c r="AG646" s="4">
        <v>8</v>
      </c>
      <c r="AH646" s="4">
        <v>4</v>
      </c>
      <c r="AI646" s="4">
        <v>4</v>
      </c>
      <c r="AJ646" s="4">
        <v>9</v>
      </c>
      <c r="AK646" s="4">
        <v>10</v>
      </c>
      <c r="AL646" s="4">
        <v>2</v>
      </c>
      <c r="AM646" s="4">
        <v>2</v>
      </c>
      <c r="AN646" s="4">
        <v>0</v>
      </c>
      <c r="AO646" s="4">
        <v>0</v>
      </c>
      <c r="AP646" s="3" t="s">
        <v>58</v>
      </c>
      <c r="AQ646" s="3" t="s">
        <v>68</v>
      </c>
      <c r="AR646" s="6" t="str">
        <f>HYPERLINK("http://catalog.hathitrust.org/Record/001247839","HathiTrust Record")</f>
        <v>HathiTrust Record</v>
      </c>
      <c r="AS646" s="6" t="str">
        <f>HYPERLINK("https://creighton-primo.hosted.exlibrisgroup.com/primo-explore/search?tab=default_tab&amp;search_scope=EVERYTHING&amp;vid=01CRU&amp;lang=en_US&amp;offset=0&amp;query=any,contains,991003130879702656","Catalog Record")</f>
        <v>Catalog Record</v>
      </c>
      <c r="AT646" s="6" t="str">
        <f>HYPERLINK("http://www.worldcat.org/oclc/673646","WorldCat Record")</f>
        <v>WorldCat Record</v>
      </c>
      <c r="AU646" s="3" t="s">
        <v>8257</v>
      </c>
      <c r="AV646" s="3" t="s">
        <v>8258</v>
      </c>
      <c r="AW646" s="3" t="s">
        <v>8259</v>
      </c>
      <c r="AX646" s="3" t="s">
        <v>8259</v>
      </c>
      <c r="AY646" s="3" t="s">
        <v>8260</v>
      </c>
      <c r="AZ646" s="3" t="s">
        <v>73</v>
      </c>
      <c r="BC646" s="3" t="s">
        <v>8261</v>
      </c>
      <c r="BD646" s="3" t="s">
        <v>8262</v>
      </c>
    </row>
    <row r="647" spans="1:56" ht="51" customHeight="1" x14ac:dyDescent="0.25">
      <c r="A647" s="7" t="s">
        <v>58</v>
      </c>
      <c r="B647" s="2" t="s">
        <v>8263</v>
      </c>
      <c r="C647" s="2" t="s">
        <v>8264</v>
      </c>
      <c r="D647" s="2" t="s">
        <v>8265</v>
      </c>
      <c r="F647" s="3" t="s">
        <v>58</v>
      </c>
      <c r="G647" s="3" t="s">
        <v>59</v>
      </c>
      <c r="H647" s="3" t="s">
        <v>58</v>
      </c>
      <c r="I647" s="3" t="s">
        <v>58</v>
      </c>
      <c r="J647" s="3" t="s">
        <v>60</v>
      </c>
      <c r="K647" s="2" t="s">
        <v>8266</v>
      </c>
      <c r="L647" s="2" t="s">
        <v>8267</v>
      </c>
      <c r="M647" s="3" t="s">
        <v>2757</v>
      </c>
      <c r="N647" s="2" t="s">
        <v>1470</v>
      </c>
      <c r="O647" s="3" t="s">
        <v>63</v>
      </c>
      <c r="P647" s="3" t="s">
        <v>214</v>
      </c>
      <c r="R647" s="3" t="s">
        <v>65</v>
      </c>
      <c r="S647" s="4">
        <v>3</v>
      </c>
      <c r="T647" s="4">
        <v>3</v>
      </c>
      <c r="U647" s="5" t="s">
        <v>2945</v>
      </c>
      <c r="V647" s="5" t="s">
        <v>2945</v>
      </c>
      <c r="W647" s="5" t="s">
        <v>540</v>
      </c>
      <c r="X647" s="5" t="s">
        <v>540</v>
      </c>
      <c r="Y647" s="4">
        <v>451</v>
      </c>
      <c r="Z647" s="4">
        <v>420</v>
      </c>
      <c r="AA647" s="4">
        <v>429</v>
      </c>
      <c r="AB647" s="4">
        <v>3</v>
      </c>
      <c r="AC647" s="4">
        <v>3</v>
      </c>
      <c r="AD647" s="4">
        <v>14</v>
      </c>
      <c r="AE647" s="4">
        <v>14</v>
      </c>
      <c r="AF647" s="4">
        <v>4</v>
      </c>
      <c r="AG647" s="4">
        <v>4</v>
      </c>
      <c r="AH647" s="4">
        <v>3</v>
      </c>
      <c r="AI647" s="4">
        <v>3</v>
      </c>
      <c r="AJ647" s="4">
        <v>7</v>
      </c>
      <c r="AK647" s="4">
        <v>7</v>
      </c>
      <c r="AL647" s="4">
        <v>2</v>
      </c>
      <c r="AM647" s="4">
        <v>2</v>
      </c>
      <c r="AN647" s="4">
        <v>0</v>
      </c>
      <c r="AO647" s="4">
        <v>0</v>
      </c>
      <c r="AP647" s="3" t="s">
        <v>58</v>
      </c>
      <c r="AQ647" s="3" t="s">
        <v>68</v>
      </c>
      <c r="AR647" s="6" t="str">
        <f>HYPERLINK("http://catalog.hathitrust.org/Record/001247843","HathiTrust Record")</f>
        <v>HathiTrust Record</v>
      </c>
      <c r="AS647" s="6" t="str">
        <f>HYPERLINK("https://creighton-primo.hosted.exlibrisgroup.com/primo-explore/search?tab=default_tab&amp;search_scope=EVERYTHING&amp;vid=01CRU&amp;lang=en_US&amp;offset=0&amp;query=any,contains,991003182589702656","Catalog Record")</f>
        <v>Catalog Record</v>
      </c>
      <c r="AT647" s="6" t="str">
        <f>HYPERLINK("http://www.worldcat.org/oclc/712097","WorldCat Record")</f>
        <v>WorldCat Record</v>
      </c>
      <c r="AU647" s="3" t="s">
        <v>8268</v>
      </c>
      <c r="AV647" s="3" t="s">
        <v>8269</v>
      </c>
      <c r="AW647" s="3" t="s">
        <v>8270</v>
      </c>
      <c r="AX647" s="3" t="s">
        <v>8270</v>
      </c>
      <c r="AY647" s="3" t="s">
        <v>8271</v>
      </c>
      <c r="AZ647" s="3" t="s">
        <v>73</v>
      </c>
      <c r="BC647" s="3" t="s">
        <v>8272</v>
      </c>
      <c r="BD647" s="3" t="s">
        <v>8273</v>
      </c>
    </row>
    <row r="648" spans="1:56" ht="51" customHeight="1" x14ac:dyDescent="0.25">
      <c r="A648" s="7" t="s">
        <v>58</v>
      </c>
      <c r="B648" s="2" t="s">
        <v>8274</v>
      </c>
      <c r="C648" s="2" t="s">
        <v>8275</v>
      </c>
      <c r="D648" s="2" t="s">
        <v>8276</v>
      </c>
      <c r="F648" s="3" t="s">
        <v>58</v>
      </c>
      <c r="G648" s="3" t="s">
        <v>59</v>
      </c>
      <c r="H648" s="3" t="s">
        <v>58</v>
      </c>
      <c r="I648" s="3" t="s">
        <v>58</v>
      </c>
      <c r="J648" s="3" t="s">
        <v>60</v>
      </c>
      <c r="K648" s="2" t="s">
        <v>8277</v>
      </c>
      <c r="L648" s="2" t="s">
        <v>8278</v>
      </c>
      <c r="M648" s="3" t="s">
        <v>1784</v>
      </c>
      <c r="N648" s="2" t="s">
        <v>338</v>
      </c>
      <c r="O648" s="3" t="s">
        <v>63</v>
      </c>
      <c r="P648" s="3" t="s">
        <v>214</v>
      </c>
      <c r="R648" s="3" t="s">
        <v>65</v>
      </c>
      <c r="S648" s="4">
        <v>2</v>
      </c>
      <c r="T648" s="4">
        <v>2</v>
      </c>
      <c r="U648" s="5" t="s">
        <v>8152</v>
      </c>
      <c r="V648" s="5" t="s">
        <v>8152</v>
      </c>
      <c r="W648" s="5" t="s">
        <v>8279</v>
      </c>
      <c r="X648" s="5" t="s">
        <v>8279</v>
      </c>
      <c r="Y648" s="4">
        <v>287</v>
      </c>
      <c r="Z648" s="4">
        <v>263</v>
      </c>
      <c r="AA648" s="4">
        <v>269</v>
      </c>
      <c r="AB648" s="4">
        <v>2</v>
      </c>
      <c r="AC648" s="4">
        <v>2</v>
      </c>
      <c r="AD648" s="4">
        <v>5</v>
      </c>
      <c r="AE648" s="4">
        <v>5</v>
      </c>
      <c r="AF648" s="4">
        <v>2</v>
      </c>
      <c r="AG648" s="4">
        <v>2</v>
      </c>
      <c r="AH648" s="4">
        <v>1</v>
      </c>
      <c r="AI648" s="4">
        <v>1</v>
      </c>
      <c r="AJ648" s="4">
        <v>2</v>
      </c>
      <c r="AK648" s="4">
        <v>2</v>
      </c>
      <c r="AL648" s="4">
        <v>1</v>
      </c>
      <c r="AM648" s="4">
        <v>1</v>
      </c>
      <c r="AN648" s="4">
        <v>0</v>
      </c>
      <c r="AO648" s="4">
        <v>0</v>
      </c>
      <c r="AP648" s="3" t="s">
        <v>58</v>
      </c>
      <c r="AQ648" s="3" t="s">
        <v>68</v>
      </c>
      <c r="AR648" s="6" t="str">
        <f>HYPERLINK("http://catalog.hathitrust.org/Record/005900559","HathiTrust Record")</f>
        <v>HathiTrust Record</v>
      </c>
      <c r="AS648" s="6" t="str">
        <f>HYPERLINK("https://creighton-primo.hosted.exlibrisgroup.com/primo-explore/search?tab=default_tab&amp;search_scope=EVERYTHING&amp;vid=01CRU&amp;lang=en_US&amp;offset=0&amp;query=any,contains,991004657899702656","Catalog Record")</f>
        <v>Catalog Record</v>
      </c>
      <c r="AT648" s="6" t="str">
        <f>HYPERLINK("http://www.worldcat.org/oclc/4495811","WorldCat Record")</f>
        <v>WorldCat Record</v>
      </c>
      <c r="AU648" s="3" t="s">
        <v>8280</v>
      </c>
      <c r="AV648" s="3" t="s">
        <v>8281</v>
      </c>
      <c r="AW648" s="3" t="s">
        <v>8282</v>
      </c>
      <c r="AX648" s="3" t="s">
        <v>8282</v>
      </c>
      <c r="AY648" s="3" t="s">
        <v>8283</v>
      </c>
      <c r="AZ648" s="3" t="s">
        <v>73</v>
      </c>
      <c r="BB648" s="3" t="s">
        <v>8284</v>
      </c>
      <c r="BC648" s="3" t="s">
        <v>8285</v>
      </c>
      <c r="BD648" s="3" t="s">
        <v>8286</v>
      </c>
    </row>
    <row r="649" spans="1:56" ht="51" customHeight="1" x14ac:dyDescent="0.25">
      <c r="A649" s="7" t="s">
        <v>58</v>
      </c>
      <c r="B649" s="2" t="s">
        <v>8287</v>
      </c>
      <c r="C649" s="2" t="s">
        <v>8288</v>
      </c>
      <c r="D649" s="2" t="s">
        <v>8289</v>
      </c>
      <c r="F649" s="3" t="s">
        <v>58</v>
      </c>
      <c r="G649" s="3" t="s">
        <v>59</v>
      </c>
      <c r="H649" s="3" t="s">
        <v>58</v>
      </c>
      <c r="I649" s="3" t="s">
        <v>58</v>
      </c>
      <c r="J649" s="3" t="s">
        <v>60</v>
      </c>
      <c r="K649" s="2" t="s">
        <v>8290</v>
      </c>
      <c r="L649" s="2" t="s">
        <v>8291</v>
      </c>
      <c r="M649" s="3" t="s">
        <v>1385</v>
      </c>
      <c r="O649" s="3" t="s">
        <v>63</v>
      </c>
      <c r="P649" s="3" t="s">
        <v>584</v>
      </c>
      <c r="R649" s="3" t="s">
        <v>65</v>
      </c>
      <c r="S649" s="4">
        <v>2</v>
      </c>
      <c r="T649" s="4">
        <v>2</v>
      </c>
      <c r="U649" s="5" t="s">
        <v>7738</v>
      </c>
      <c r="V649" s="5" t="s">
        <v>7738</v>
      </c>
      <c r="W649" s="5" t="s">
        <v>540</v>
      </c>
      <c r="X649" s="5" t="s">
        <v>540</v>
      </c>
      <c r="Y649" s="4">
        <v>470</v>
      </c>
      <c r="Z649" s="4">
        <v>373</v>
      </c>
      <c r="AA649" s="4">
        <v>384</v>
      </c>
      <c r="AB649" s="4">
        <v>2</v>
      </c>
      <c r="AC649" s="4">
        <v>2</v>
      </c>
      <c r="AD649" s="4">
        <v>15</v>
      </c>
      <c r="AE649" s="4">
        <v>15</v>
      </c>
      <c r="AF649" s="4">
        <v>4</v>
      </c>
      <c r="AG649" s="4">
        <v>4</v>
      </c>
      <c r="AH649" s="4">
        <v>3</v>
      </c>
      <c r="AI649" s="4">
        <v>3</v>
      </c>
      <c r="AJ649" s="4">
        <v>8</v>
      </c>
      <c r="AK649" s="4">
        <v>8</v>
      </c>
      <c r="AL649" s="4">
        <v>1</v>
      </c>
      <c r="AM649" s="4">
        <v>1</v>
      </c>
      <c r="AN649" s="4">
        <v>0</v>
      </c>
      <c r="AO649" s="4">
        <v>0</v>
      </c>
      <c r="AP649" s="3" t="s">
        <v>58</v>
      </c>
      <c r="AQ649" s="3" t="s">
        <v>68</v>
      </c>
      <c r="AR649" s="6" t="str">
        <f>HYPERLINK("http://catalog.hathitrust.org/Record/000041142","HathiTrust Record")</f>
        <v>HathiTrust Record</v>
      </c>
      <c r="AS649" s="6" t="str">
        <f>HYPERLINK("https://creighton-primo.hosted.exlibrisgroup.com/primo-explore/search?tab=default_tab&amp;search_scope=EVERYTHING&amp;vid=01CRU&amp;lang=en_US&amp;offset=0&amp;query=any,contains,991004378079702656","Catalog Record")</f>
        <v>Catalog Record</v>
      </c>
      <c r="AT649" s="6" t="str">
        <f>HYPERLINK("http://www.worldcat.org/oclc/3207273","WorldCat Record")</f>
        <v>WorldCat Record</v>
      </c>
      <c r="AU649" s="3" t="s">
        <v>8292</v>
      </c>
      <c r="AV649" s="3" t="s">
        <v>8293</v>
      </c>
      <c r="AW649" s="3" t="s">
        <v>8294</v>
      </c>
      <c r="AX649" s="3" t="s">
        <v>8294</v>
      </c>
      <c r="AY649" s="3" t="s">
        <v>8295</v>
      </c>
      <c r="AZ649" s="3" t="s">
        <v>73</v>
      </c>
      <c r="BB649" s="3" t="s">
        <v>8296</v>
      </c>
      <c r="BC649" s="3" t="s">
        <v>8297</v>
      </c>
      <c r="BD649" s="3" t="s">
        <v>8298</v>
      </c>
    </row>
    <row r="650" spans="1:56" ht="51" customHeight="1" x14ac:dyDescent="0.25">
      <c r="A650" s="7" t="s">
        <v>58</v>
      </c>
      <c r="B650" s="2" t="s">
        <v>8299</v>
      </c>
      <c r="C650" s="2" t="s">
        <v>8300</v>
      </c>
      <c r="D650" s="2" t="s">
        <v>8301</v>
      </c>
      <c r="F650" s="3" t="s">
        <v>58</v>
      </c>
      <c r="G650" s="3" t="s">
        <v>59</v>
      </c>
      <c r="H650" s="3" t="s">
        <v>58</v>
      </c>
      <c r="I650" s="3" t="s">
        <v>58</v>
      </c>
      <c r="J650" s="3" t="s">
        <v>60</v>
      </c>
      <c r="K650" s="2" t="s">
        <v>8302</v>
      </c>
      <c r="L650" s="2" t="s">
        <v>8303</v>
      </c>
      <c r="M650" s="3" t="s">
        <v>261</v>
      </c>
      <c r="O650" s="3" t="s">
        <v>63</v>
      </c>
      <c r="P650" s="3" t="s">
        <v>584</v>
      </c>
      <c r="R650" s="3" t="s">
        <v>65</v>
      </c>
      <c r="S650" s="4">
        <v>5</v>
      </c>
      <c r="T650" s="4">
        <v>5</v>
      </c>
      <c r="U650" s="5" t="s">
        <v>5226</v>
      </c>
      <c r="V650" s="5" t="s">
        <v>5226</v>
      </c>
      <c r="W650" s="5" t="s">
        <v>8304</v>
      </c>
      <c r="X650" s="5" t="s">
        <v>8304</v>
      </c>
      <c r="Y650" s="4">
        <v>593</v>
      </c>
      <c r="Z650" s="4">
        <v>425</v>
      </c>
      <c r="AA650" s="4">
        <v>684</v>
      </c>
      <c r="AB650" s="4">
        <v>2</v>
      </c>
      <c r="AC650" s="4">
        <v>3</v>
      </c>
      <c r="AD650" s="4">
        <v>24</v>
      </c>
      <c r="AE650" s="4">
        <v>27</v>
      </c>
      <c r="AF650" s="4">
        <v>8</v>
      </c>
      <c r="AG650" s="4">
        <v>9</v>
      </c>
      <c r="AH650" s="4">
        <v>7</v>
      </c>
      <c r="AI650" s="4">
        <v>7</v>
      </c>
      <c r="AJ650" s="4">
        <v>15</v>
      </c>
      <c r="AK650" s="4">
        <v>16</v>
      </c>
      <c r="AL650" s="4">
        <v>1</v>
      </c>
      <c r="AM650" s="4">
        <v>2</v>
      </c>
      <c r="AN650" s="4">
        <v>1</v>
      </c>
      <c r="AO650" s="4">
        <v>1</v>
      </c>
      <c r="AP650" s="3" t="s">
        <v>58</v>
      </c>
      <c r="AQ650" s="3" t="s">
        <v>68</v>
      </c>
      <c r="AR650" s="6" t="str">
        <f>HYPERLINK("http://catalog.hathitrust.org/Record/000690300","HathiTrust Record")</f>
        <v>HathiTrust Record</v>
      </c>
      <c r="AS650" s="6" t="str">
        <f>HYPERLINK("https://creighton-primo.hosted.exlibrisgroup.com/primo-explore/search?tab=default_tab&amp;search_scope=EVERYTHING&amp;vid=01CRU&amp;lang=en_US&amp;offset=0&amp;query=any,contains,991004287809702656","Catalog Record")</f>
        <v>Catalog Record</v>
      </c>
      <c r="AT650" s="6" t="str">
        <f>HYPERLINK("http://www.worldcat.org/oclc/2931318","WorldCat Record")</f>
        <v>WorldCat Record</v>
      </c>
      <c r="AU650" s="3" t="s">
        <v>8305</v>
      </c>
      <c r="AV650" s="3" t="s">
        <v>8306</v>
      </c>
      <c r="AW650" s="3" t="s">
        <v>8307</v>
      </c>
      <c r="AX650" s="3" t="s">
        <v>8307</v>
      </c>
      <c r="AY650" s="3" t="s">
        <v>8308</v>
      </c>
      <c r="AZ650" s="3" t="s">
        <v>73</v>
      </c>
      <c r="BB650" s="3" t="s">
        <v>8309</v>
      </c>
      <c r="BC650" s="3" t="s">
        <v>8310</v>
      </c>
      <c r="BD650" s="3" t="s">
        <v>8311</v>
      </c>
    </row>
    <row r="651" spans="1:56" ht="51" customHeight="1" x14ac:dyDescent="0.25">
      <c r="A651" s="7" t="s">
        <v>58</v>
      </c>
      <c r="B651" s="2" t="s">
        <v>8312</v>
      </c>
      <c r="C651" s="2" t="s">
        <v>8313</v>
      </c>
      <c r="D651" s="2" t="s">
        <v>8314</v>
      </c>
      <c r="F651" s="3" t="s">
        <v>58</v>
      </c>
      <c r="G651" s="3" t="s">
        <v>59</v>
      </c>
      <c r="H651" s="3" t="s">
        <v>58</v>
      </c>
      <c r="I651" s="3" t="s">
        <v>58</v>
      </c>
      <c r="J651" s="3" t="s">
        <v>60</v>
      </c>
      <c r="K651" s="2" t="s">
        <v>8302</v>
      </c>
      <c r="L651" s="2" t="s">
        <v>3240</v>
      </c>
      <c r="M651" s="3" t="s">
        <v>353</v>
      </c>
      <c r="O651" s="3" t="s">
        <v>63</v>
      </c>
      <c r="P651" s="3" t="s">
        <v>584</v>
      </c>
      <c r="R651" s="3" t="s">
        <v>65</v>
      </c>
      <c r="S651" s="4">
        <v>2</v>
      </c>
      <c r="T651" s="4">
        <v>2</v>
      </c>
      <c r="U651" s="5" t="s">
        <v>3241</v>
      </c>
      <c r="V651" s="5" t="s">
        <v>3241</v>
      </c>
      <c r="W651" s="5" t="s">
        <v>8127</v>
      </c>
      <c r="X651" s="5" t="s">
        <v>8127</v>
      </c>
      <c r="Y651" s="4">
        <v>473</v>
      </c>
      <c r="Z651" s="4">
        <v>351</v>
      </c>
      <c r="AA651" s="4">
        <v>356</v>
      </c>
      <c r="AB651" s="4">
        <v>3</v>
      </c>
      <c r="AC651" s="4">
        <v>3</v>
      </c>
      <c r="AD651" s="4">
        <v>21</v>
      </c>
      <c r="AE651" s="4">
        <v>21</v>
      </c>
      <c r="AF651" s="4">
        <v>7</v>
      </c>
      <c r="AG651" s="4">
        <v>7</v>
      </c>
      <c r="AH651" s="4">
        <v>7</v>
      </c>
      <c r="AI651" s="4">
        <v>7</v>
      </c>
      <c r="AJ651" s="4">
        <v>12</v>
      </c>
      <c r="AK651" s="4">
        <v>12</v>
      </c>
      <c r="AL651" s="4">
        <v>2</v>
      </c>
      <c r="AM651" s="4">
        <v>2</v>
      </c>
      <c r="AN651" s="4">
        <v>0</v>
      </c>
      <c r="AO651" s="4">
        <v>0</v>
      </c>
      <c r="AP651" s="3" t="s">
        <v>58</v>
      </c>
      <c r="AQ651" s="3" t="s">
        <v>58</v>
      </c>
      <c r="AS651" s="6" t="str">
        <f>HYPERLINK("https://creighton-primo.hosted.exlibrisgroup.com/primo-explore/search?tab=default_tab&amp;search_scope=EVERYTHING&amp;vid=01CRU&amp;lang=en_US&amp;offset=0&amp;query=any,contains,991001048389702656","Catalog Record")</f>
        <v>Catalog Record</v>
      </c>
      <c r="AT651" s="6" t="str">
        <f>HYPERLINK("http://www.worldcat.org/oclc/15630688","WorldCat Record")</f>
        <v>WorldCat Record</v>
      </c>
      <c r="AU651" s="3" t="s">
        <v>8315</v>
      </c>
      <c r="AV651" s="3" t="s">
        <v>8316</v>
      </c>
      <c r="AW651" s="3" t="s">
        <v>8317</v>
      </c>
      <c r="AX651" s="3" t="s">
        <v>8317</v>
      </c>
      <c r="AY651" s="3" t="s">
        <v>8318</v>
      </c>
      <c r="AZ651" s="3" t="s">
        <v>73</v>
      </c>
      <c r="BB651" s="3" t="s">
        <v>8319</v>
      </c>
      <c r="BC651" s="3" t="s">
        <v>8320</v>
      </c>
      <c r="BD651" s="3" t="s">
        <v>8321</v>
      </c>
    </row>
    <row r="652" spans="1:56" ht="51" customHeight="1" x14ac:dyDescent="0.25">
      <c r="A652" s="7" t="s">
        <v>58</v>
      </c>
      <c r="B652" s="2" t="s">
        <v>8322</v>
      </c>
      <c r="C652" s="2" t="s">
        <v>8323</v>
      </c>
      <c r="D652" s="2" t="s">
        <v>8324</v>
      </c>
      <c r="F652" s="3" t="s">
        <v>58</v>
      </c>
      <c r="G652" s="3" t="s">
        <v>59</v>
      </c>
      <c r="H652" s="3" t="s">
        <v>58</v>
      </c>
      <c r="I652" s="3" t="s">
        <v>58</v>
      </c>
      <c r="J652" s="3" t="s">
        <v>60</v>
      </c>
      <c r="K652" s="2" t="s">
        <v>8302</v>
      </c>
      <c r="L652" s="2" t="s">
        <v>8325</v>
      </c>
      <c r="M652" s="3" t="s">
        <v>138</v>
      </c>
      <c r="O652" s="3" t="s">
        <v>63</v>
      </c>
      <c r="P652" s="3" t="s">
        <v>584</v>
      </c>
      <c r="R652" s="3" t="s">
        <v>65</v>
      </c>
      <c r="S652" s="4">
        <v>2</v>
      </c>
      <c r="T652" s="4">
        <v>2</v>
      </c>
      <c r="U652" s="5" t="s">
        <v>3241</v>
      </c>
      <c r="V652" s="5" t="s">
        <v>3241</v>
      </c>
      <c r="W652" s="5" t="s">
        <v>8127</v>
      </c>
      <c r="X652" s="5" t="s">
        <v>8127</v>
      </c>
      <c r="Y652" s="4">
        <v>711</v>
      </c>
      <c r="Z652" s="4">
        <v>541</v>
      </c>
      <c r="AA652" s="4">
        <v>576</v>
      </c>
      <c r="AB652" s="4">
        <v>3</v>
      </c>
      <c r="AC652" s="4">
        <v>3</v>
      </c>
      <c r="AD652" s="4">
        <v>23</v>
      </c>
      <c r="AE652" s="4">
        <v>24</v>
      </c>
      <c r="AF652" s="4">
        <v>8</v>
      </c>
      <c r="AG652" s="4">
        <v>9</v>
      </c>
      <c r="AH652" s="4">
        <v>8</v>
      </c>
      <c r="AI652" s="4">
        <v>8</v>
      </c>
      <c r="AJ652" s="4">
        <v>12</v>
      </c>
      <c r="AK652" s="4">
        <v>12</v>
      </c>
      <c r="AL652" s="4">
        <v>2</v>
      </c>
      <c r="AM652" s="4">
        <v>2</v>
      </c>
      <c r="AN652" s="4">
        <v>0</v>
      </c>
      <c r="AO652" s="4">
        <v>0</v>
      </c>
      <c r="AP652" s="3" t="s">
        <v>58</v>
      </c>
      <c r="AQ652" s="3" t="s">
        <v>68</v>
      </c>
      <c r="AR652" s="6" t="str">
        <f>HYPERLINK("http://catalog.hathitrust.org/Record/000243661","HathiTrust Record")</f>
        <v>HathiTrust Record</v>
      </c>
      <c r="AS652" s="6" t="str">
        <f>HYPERLINK("https://creighton-primo.hosted.exlibrisgroup.com/primo-explore/search?tab=default_tab&amp;search_scope=EVERYTHING&amp;vid=01CRU&amp;lang=en_US&amp;offset=0&amp;query=any,contains,991000014499702656","Catalog Record")</f>
        <v>Catalog Record</v>
      </c>
      <c r="AT652" s="6" t="str">
        <f>HYPERLINK("http://www.worldcat.org/oclc/8552112","WorldCat Record")</f>
        <v>WorldCat Record</v>
      </c>
      <c r="AU652" s="3" t="s">
        <v>8326</v>
      </c>
      <c r="AV652" s="3" t="s">
        <v>8327</v>
      </c>
      <c r="AW652" s="3" t="s">
        <v>8328</v>
      </c>
      <c r="AX652" s="3" t="s">
        <v>8328</v>
      </c>
      <c r="AY652" s="3" t="s">
        <v>8329</v>
      </c>
      <c r="AZ652" s="3" t="s">
        <v>73</v>
      </c>
      <c r="BB652" s="3" t="s">
        <v>8330</v>
      </c>
      <c r="BC652" s="3" t="s">
        <v>8331</v>
      </c>
      <c r="BD652" s="3" t="s">
        <v>8332</v>
      </c>
    </row>
    <row r="653" spans="1:56" ht="51" customHeight="1" x14ac:dyDescent="0.25">
      <c r="A653" s="7" t="s">
        <v>58</v>
      </c>
      <c r="B653" s="2" t="s">
        <v>8333</v>
      </c>
      <c r="C653" s="2" t="s">
        <v>8334</v>
      </c>
      <c r="D653" s="2" t="s">
        <v>8335</v>
      </c>
      <c r="F653" s="3" t="s">
        <v>58</v>
      </c>
      <c r="G653" s="3" t="s">
        <v>59</v>
      </c>
      <c r="H653" s="3" t="s">
        <v>58</v>
      </c>
      <c r="I653" s="3" t="s">
        <v>58</v>
      </c>
      <c r="J653" s="3" t="s">
        <v>60</v>
      </c>
      <c r="K653" s="2" t="s">
        <v>8336</v>
      </c>
      <c r="L653" s="2" t="s">
        <v>8337</v>
      </c>
      <c r="M653" s="3" t="s">
        <v>1061</v>
      </c>
      <c r="O653" s="3" t="s">
        <v>63</v>
      </c>
      <c r="P653" s="3" t="s">
        <v>584</v>
      </c>
      <c r="R653" s="3" t="s">
        <v>65</v>
      </c>
      <c r="S653" s="4">
        <v>1</v>
      </c>
      <c r="T653" s="4">
        <v>1</v>
      </c>
      <c r="U653" s="5" t="s">
        <v>3241</v>
      </c>
      <c r="V653" s="5" t="s">
        <v>3241</v>
      </c>
      <c r="W653" s="5" t="s">
        <v>5998</v>
      </c>
      <c r="X653" s="5" t="s">
        <v>5998</v>
      </c>
      <c r="Y653" s="4">
        <v>316</v>
      </c>
      <c r="Z653" s="4">
        <v>242</v>
      </c>
      <c r="AA653" s="4">
        <v>245</v>
      </c>
      <c r="AB653" s="4">
        <v>3</v>
      </c>
      <c r="AC653" s="4">
        <v>3</v>
      </c>
      <c r="AD653" s="4">
        <v>15</v>
      </c>
      <c r="AE653" s="4">
        <v>15</v>
      </c>
      <c r="AF653" s="4">
        <v>3</v>
      </c>
      <c r="AG653" s="4">
        <v>3</v>
      </c>
      <c r="AH653" s="4">
        <v>5</v>
      </c>
      <c r="AI653" s="4">
        <v>5</v>
      </c>
      <c r="AJ653" s="4">
        <v>10</v>
      </c>
      <c r="AK653" s="4">
        <v>10</v>
      </c>
      <c r="AL653" s="4">
        <v>2</v>
      </c>
      <c r="AM653" s="4">
        <v>2</v>
      </c>
      <c r="AN653" s="4">
        <v>0</v>
      </c>
      <c r="AO653" s="4">
        <v>0</v>
      </c>
      <c r="AP653" s="3" t="s">
        <v>58</v>
      </c>
      <c r="AQ653" s="3" t="s">
        <v>58</v>
      </c>
      <c r="AS653" s="6" t="str">
        <f>HYPERLINK("https://creighton-primo.hosted.exlibrisgroup.com/primo-explore/search?tab=default_tab&amp;search_scope=EVERYTHING&amp;vid=01CRU&amp;lang=en_US&amp;offset=0&amp;query=any,contains,991002628229702656","Catalog Record")</f>
        <v>Catalog Record</v>
      </c>
      <c r="AT653" s="6" t="str">
        <f>HYPERLINK("http://www.worldcat.org/oclc/34471701","WorldCat Record")</f>
        <v>WorldCat Record</v>
      </c>
      <c r="AU653" s="3" t="s">
        <v>8338</v>
      </c>
      <c r="AV653" s="3" t="s">
        <v>8339</v>
      </c>
      <c r="AW653" s="3" t="s">
        <v>8340</v>
      </c>
      <c r="AX653" s="3" t="s">
        <v>8340</v>
      </c>
      <c r="AY653" s="3" t="s">
        <v>8341</v>
      </c>
      <c r="AZ653" s="3" t="s">
        <v>73</v>
      </c>
      <c r="BB653" s="3" t="s">
        <v>8342</v>
      </c>
      <c r="BC653" s="3" t="s">
        <v>8343</v>
      </c>
      <c r="BD653" s="3" t="s">
        <v>8344</v>
      </c>
    </row>
    <row r="654" spans="1:56" ht="51" customHeight="1" x14ac:dyDescent="0.25">
      <c r="A654" s="7" t="s">
        <v>58</v>
      </c>
      <c r="B654" s="2" t="s">
        <v>8345</v>
      </c>
      <c r="C654" s="2" t="s">
        <v>8346</v>
      </c>
      <c r="D654" s="2" t="s">
        <v>8347</v>
      </c>
      <c r="F654" s="3" t="s">
        <v>58</v>
      </c>
      <c r="G654" s="3" t="s">
        <v>59</v>
      </c>
      <c r="H654" s="3" t="s">
        <v>58</v>
      </c>
      <c r="I654" s="3" t="s">
        <v>58</v>
      </c>
      <c r="J654" s="3" t="s">
        <v>60</v>
      </c>
      <c r="L654" s="2" t="s">
        <v>8348</v>
      </c>
      <c r="M654" s="3" t="s">
        <v>2295</v>
      </c>
      <c r="O654" s="3" t="s">
        <v>63</v>
      </c>
      <c r="P654" s="3" t="s">
        <v>495</v>
      </c>
      <c r="Q654" s="2" t="s">
        <v>8349</v>
      </c>
      <c r="R654" s="3" t="s">
        <v>65</v>
      </c>
      <c r="S654" s="4">
        <v>1</v>
      </c>
      <c r="T654" s="4">
        <v>1</v>
      </c>
      <c r="U654" s="5" t="s">
        <v>2243</v>
      </c>
      <c r="V654" s="5" t="s">
        <v>2243</v>
      </c>
      <c r="W654" s="5" t="s">
        <v>2243</v>
      </c>
      <c r="X654" s="5" t="s">
        <v>2243</v>
      </c>
      <c r="Y654" s="4">
        <v>265</v>
      </c>
      <c r="Z654" s="4">
        <v>197</v>
      </c>
      <c r="AA654" s="4">
        <v>428</v>
      </c>
      <c r="AB654" s="4">
        <v>2</v>
      </c>
      <c r="AC654" s="4">
        <v>3</v>
      </c>
      <c r="AD654" s="4">
        <v>12</v>
      </c>
      <c r="AE654" s="4">
        <v>25</v>
      </c>
      <c r="AF654" s="4">
        <v>5</v>
      </c>
      <c r="AG654" s="4">
        <v>13</v>
      </c>
      <c r="AH654" s="4">
        <v>6</v>
      </c>
      <c r="AI654" s="4">
        <v>7</v>
      </c>
      <c r="AJ654" s="4">
        <v>5</v>
      </c>
      <c r="AK654" s="4">
        <v>11</v>
      </c>
      <c r="AL654" s="4">
        <v>1</v>
      </c>
      <c r="AM654" s="4">
        <v>2</v>
      </c>
      <c r="AN654" s="4">
        <v>0</v>
      </c>
      <c r="AO654" s="4">
        <v>0</v>
      </c>
      <c r="AP654" s="3" t="s">
        <v>58</v>
      </c>
      <c r="AQ654" s="3" t="s">
        <v>68</v>
      </c>
      <c r="AR654" s="6" t="str">
        <f>HYPERLINK("http://catalog.hathitrust.org/Record/003831653","HathiTrust Record")</f>
        <v>HathiTrust Record</v>
      </c>
      <c r="AS654" s="6" t="str">
        <f>HYPERLINK("https://creighton-primo.hosted.exlibrisgroup.com/primo-explore/search?tab=default_tab&amp;search_scope=EVERYTHING&amp;vid=01CRU&amp;lang=en_US&amp;offset=0&amp;query=any,contains,991004159119702656","Catalog Record")</f>
        <v>Catalog Record</v>
      </c>
      <c r="AT654" s="6" t="str">
        <f>HYPERLINK("http://www.worldcat.org/oclc/50204117","WorldCat Record")</f>
        <v>WorldCat Record</v>
      </c>
      <c r="AU654" s="3" t="s">
        <v>8350</v>
      </c>
      <c r="AV654" s="3" t="s">
        <v>8351</v>
      </c>
      <c r="AW654" s="3" t="s">
        <v>8352</v>
      </c>
      <c r="AX654" s="3" t="s">
        <v>8352</v>
      </c>
      <c r="AY654" s="3" t="s">
        <v>8353</v>
      </c>
      <c r="AZ654" s="3" t="s">
        <v>73</v>
      </c>
      <c r="BB654" s="3" t="s">
        <v>8354</v>
      </c>
      <c r="BC654" s="3" t="s">
        <v>8355</v>
      </c>
      <c r="BD654" s="3" t="s">
        <v>8356</v>
      </c>
    </row>
    <row r="655" spans="1:56" ht="51" customHeight="1" x14ac:dyDescent="0.25">
      <c r="A655" s="7" t="s">
        <v>58</v>
      </c>
      <c r="B655" s="2" t="s">
        <v>8357</v>
      </c>
      <c r="C655" s="2" t="s">
        <v>8358</v>
      </c>
      <c r="D655" s="2" t="s">
        <v>8359</v>
      </c>
      <c r="F655" s="3" t="s">
        <v>58</v>
      </c>
      <c r="G655" s="3" t="s">
        <v>59</v>
      </c>
      <c r="H655" s="3" t="s">
        <v>58</v>
      </c>
      <c r="I655" s="3" t="s">
        <v>58</v>
      </c>
      <c r="J655" s="3" t="s">
        <v>60</v>
      </c>
      <c r="K655" s="2" t="s">
        <v>8360</v>
      </c>
      <c r="L655" s="2" t="s">
        <v>8361</v>
      </c>
      <c r="M655" s="3" t="s">
        <v>337</v>
      </c>
      <c r="N655" s="2" t="s">
        <v>1009</v>
      </c>
      <c r="O655" s="3" t="s">
        <v>63</v>
      </c>
      <c r="P655" s="3" t="s">
        <v>214</v>
      </c>
      <c r="R655" s="3" t="s">
        <v>65</v>
      </c>
      <c r="S655" s="4">
        <v>4</v>
      </c>
      <c r="T655" s="4">
        <v>4</v>
      </c>
      <c r="U655" s="5" t="s">
        <v>8362</v>
      </c>
      <c r="V655" s="5" t="s">
        <v>8362</v>
      </c>
      <c r="W655" s="5" t="s">
        <v>8363</v>
      </c>
      <c r="X655" s="5" t="s">
        <v>8363</v>
      </c>
      <c r="Y655" s="4">
        <v>462</v>
      </c>
      <c r="Z655" s="4">
        <v>408</v>
      </c>
      <c r="AA655" s="4">
        <v>420</v>
      </c>
      <c r="AB655" s="4">
        <v>1</v>
      </c>
      <c r="AC655" s="4">
        <v>1</v>
      </c>
      <c r="AD655" s="4">
        <v>16</v>
      </c>
      <c r="AE655" s="4">
        <v>16</v>
      </c>
      <c r="AF655" s="4">
        <v>6</v>
      </c>
      <c r="AG655" s="4">
        <v>6</v>
      </c>
      <c r="AH655" s="4">
        <v>4</v>
      </c>
      <c r="AI655" s="4">
        <v>4</v>
      </c>
      <c r="AJ655" s="4">
        <v>11</v>
      </c>
      <c r="AK655" s="4">
        <v>11</v>
      </c>
      <c r="AL655" s="4">
        <v>0</v>
      </c>
      <c r="AM655" s="4">
        <v>0</v>
      </c>
      <c r="AN655" s="4">
        <v>0</v>
      </c>
      <c r="AO655" s="4">
        <v>0</v>
      </c>
      <c r="AP655" s="3" t="s">
        <v>58</v>
      </c>
      <c r="AQ655" s="3" t="s">
        <v>58</v>
      </c>
      <c r="AS655" s="6" t="str">
        <f>HYPERLINK("https://creighton-primo.hosted.exlibrisgroup.com/primo-explore/search?tab=default_tab&amp;search_scope=EVERYTHING&amp;vid=01CRU&amp;lang=en_US&amp;offset=0&amp;query=any,contains,991003821299702656","Catalog Record")</f>
        <v>Catalog Record</v>
      </c>
      <c r="AT655" s="6" t="str">
        <f>HYPERLINK("http://www.worldcat.org/oclc/48965165","WorldCat Record")</f>
        <v>WorldCat Record</v>
      </c>
      <c r="AU655" s="3" t="s">
        <v>8364</v>
      </c>
      <c r="AV655" s="3" t="s">
        <v>8365</v>
      </c>
      <c r="AW655" s="3" t="s">
        <v>8366</v>
      </c>
      <c r="AX655" s="3" t="s">
        <v>8366</v>
      </c>
      <c r="AY655" s="3" t="s">
        <v>8367</v>
      </c>
      <c r="AZ655" s="3" t="s">
        <v>73</v>
      </c>
      <c r="BB655" s="3" t="s">
        <v>8368</v>
      </c>
      <c r="BC655" s="3" t="s">
        <v>8369</v>
      </c>
      <c r="BD655" s="3" t="s">
        <v>8370</v>
      </c>
    </row>
    <row r="656" spans="1:56" ht="51" customHeight="1" x14ac:dyDescent="0.25">
      <c r="A656" s="7" t="s">
        <v>58</v>
      </c>
      <c r="B656" s="2" t="s">
        <v>8371</v>
      </c>
      <c r="C656" s="2" t="s">
        <v>8372</v>
      </c>
      <c r="D656" s="2" t="s">
        <v>8373</v>
      </c>
      <c r="F656" s="3" t="s">
        <v>58</v>
      </c>
      <c r="G656" s="3" t="s">
        <v>59</v>
      </c>
      <c r="H656" s="3" t="s">
        <v>58</v>
      </c>
      <c r="I656" s="3" t="s">
        <v>58</v>
      </c>
      <c r="J656" s="3" t="s">
        <v>60</v>
      </c>
      <c r="K656" s="2" t="s">
        <v>8374</v>
      </c>
      <c r="L656" s="2" t="s">
        <v>8375</v>
      </c>
      <c r="M656" s="3" t="s">
        <v>552</v>
      </c>
      <c r="O656" s="3" t="s">
        <v>63</v>
      </c>
      <c r="P656" s="3" t="s">
        <v>495</v>
      </c>
      <c r="R656" s="3" t="s">
        <v>65</v>
      </c>
      <c r="S656" s="4">
        <v>6</v>
      </c>
      <c r="T656" s="4">
        <v>6</v>
      </c>
      <c r="U656" s="5" t="s">
        <v>6391</v>
      </c>
      <c r="V656" s="5" t="s">
        <v>6391</v>
      </c>
      <c r="W656" s="5" t="s">
        <v>8376</v>
      </c>
      <c r="X656" s="5" t="s">
        <v>8376</v>
      </c>
      <c r="Y656" s="4">
        <v>400</v>
      </c>
      <c r="Z656" s="4">
        <v>349</v>
      </c>
      <c r="AA656" s="4">
        <v>565</v>
      </c>
      <c r="AB656" s="4">
        <v>3</v>
      </c>
      <c r="AC656" s="4">
        <v>3</v>
      </c>
      <c r="AD656" s="4">
        <v>21</v>
      </c>
      <c r="AE656" s="4">
        <v>28</v>
      </c>
      <c r="AF656" s="4">
        <v>7</v>
      </c>
      <c r="AG656" s="4">
        <v>12</v>
      </c>
      <c r="AH656" s="4">
        <v>4</v>
      </c>
      <c r="AI656" s="4">
        <v>7</v>
      </c>
      <c r="AJ656" s="4">
        <v>13</v>
      </c>
      <c r="AK656" s="4">
        <v>15</v>
      </c>
      <c r="AL656" s="4">
        <v>2</v>
      </c>
      <c r="AM656" s="4">
        <v>2</v>
      </c>
      <c r="AN656" s="4">
        <v>0</v>
      </c>
      <c r="AO656" s="4">
        <v>0</v>
      </c>
      <c r="AP656" s="3" t="s">
        <v>58</v>
      </c>
      <c r="AQ656" s="3" t="s">
        <v>58</v>
      </c>
      <c r="AS656" s="6" t="str">
        <f>HYPERLINK("https://creighton-primo.hosted.exlibrisgroup.com/primo-explore/search?tab=default_tab&amp;search_scope=EVERYTHING&amp;vid=01CRU&amp;lang=en_US&amp;offset=0&amp;query=any,contains,991001581649702656","Catalog Record")</f>
        <v>Catalog Record</v>
      </c>
      <c r="AT656" s="6" t="str">
        <f>HYPERLINK("http://www.worldcat.org/oclc/20490845","WorldCat Record")</f>
        <v>WorldCat Record</v>
      </c>
      <c r="AU656" s="3" t="s">
        <v>8377</v>
      </c>
      <c r="AV656" s="3" t="s">
        <v>8378</v>
      </c>
      <c r="AW656" s="3" t="s">
        <v>8379</v>
      </c>
      <c r="AX656" s="3" t="s">
        <v>8379</v>
      </c>
      <c r="AY656" s="3" t="s">
        <v>8380</v>
      </c>
      <c r="AZ656" s="3" t="s">
        <v>73</v>
      </c>
      <c r="BB656" s="3" t="s">
        <v>8381</v>
      </c>
      <c r="BC656" s="3" t="s">
        <v>8382</v>
      </c>
      <c r="BD656" s="3" t="s">
        <v>8383</v>
      </c>
    </row>
    <row r="657" spans="1:56" ht="51" customHeight="1" x14ac:dyDescent="0.25">
      <c r="A657" s="7" t="s">
        <v>58</v>
      </c>
      <c r="B657" s="2" t="s">
        <v>8384</v>
      </c>
      <c r="C657" s="2" t="s">
        <v>8385</v>
      </c>
      <c r="D657" s="2" t="s">
        <v>8386</v>
      </c>
      <c r="F657" s="3" t="s">
        <v>58</v>
      </c>
      <c r="G657" s="3" t="s">
        <v>59</v>
      </c>
      <c r="H657" s="3" t="s">
        <v>58</v>
      </c>
      <c r="I657" s="3" t="s">
        <v>58</v>
      </c>
      <c r="J657" s="3" t="s">
        <v>60</v>
      </c>
      <c r="K657" s="2" t="s">
        <v>8387</v>
      </c>
      <c r="L657" s="2" t="s">
        <v>8388</v>
      </c>
      <c r="M657" s="3" t="s">
        <v>62</v>
      </c>
      <c r="O657" s="3" t="s">
        <v>63</v>
      </c>
      <c r="P657" s="3" t="s">
        <v>411</v>
      </c>
      <c r="R657" s="3" t="s">
        <v>65</v>
      </c>
      <c r="S657" s="4">
        <v>2</v>
      </c>
      <c r="T657" s="4">
        <v>2</v>
      </c>
      <c r="U657" s="5" t="s">
        <v>8389</v>
      </c>
      <c r="V657" s="5" t="s">
        <v>8389</v>
      </c>
      <c r="W657" s="5" t="s">
        <v>8390</v>
      </c>
      <c r="X657" s="5" t="s">
        <v>8390</v>
      </c>
      <c r="Y657" s="4">
        <v>421</v>
      </c>
      <c r="Z657" s="4">
        <v>357</v>
      </c>
      <c r="AA657" s="4">
        <v>363</v>
      </c>
      <c r="AB657" s="4">
        <v>3</v>
      </c>
      <c r="AC657" s="4">
        <v>3</v>
      </c>
      <c r="AD657" s="4">
        <v>20</v>
      </c>
      <c r="AE657" s="4">
        <v>20</v>
      </c>
      <c r="AF657" s="4">
        <v>4</v>
      </c>
      <c r="AG657" s="4">
        <v>4</v>
      </c>
      <c r="AH657" s="4">
        <v>7</v>
      </c>
      <c r="AI657" s="4">
        <v>7</v>
      </c>
      <c r="AJ657" s="4">
        <v>11</v>
      </c>
      <c r="AK657" s="4">
        <v>11</v>
      </c>
      <c r="AL657" s="4">
        <v>2</v>
      </c>
      <c r="AM657" s="4">
        <v>2</v>
      </c>
      <c r="AN657" s="4">
        <v>0</v>
      </c>
      <c r="AO657" s="4">
        <v>0</v>
      </c>
      <c r="AP657" s="3" t="s">
        <v>58</v>
      </c>
      <c r="AQ657" s="3" t="s">
        <v>68</v>
      </c>
      <c r="AR657" s="6" t="str">
        <f>HYPERLINK("http://catalog.hathitrust.org/Record/001247739","HathiTrust Record")</f>
        <v>HathiTrust Record</v>
      </c>
      <c r="AS657" s="6" t="str">
        <f>HYPERLINK("https://creighton-primo.hosted.exlibrisgroup.com/primo-explore/search?tab=default_tab&amp;search_scope=EVERYTHING&amp;vid=01CRU&amp;lang=en_US&amp;offset=0&amp;query=any,contains,991000832139702656","Catalog Record")</f>
        <v>Catalog Record</v>
      </c>
      <c r="AT657" s="6" t="str">
        <f>HYPERLINK("http://www.worldcat.org/oclc/148182","WorldCat Record")</f>
        <v>WorldCat Record</v>
      </c>
      <c r="AU657" s="3" t="s">
        <v>8391</v>
      </c>
      <c r="AV657" s="3" t="s">
        <v>8392</v>
      </c>
      <c r="AW657" s="3" t="s">
        <v>8393</v>
      </c>
      <c r="AX657" s="3" t="s">
        <v>8393</v>
      </c>
      <c r="AY657" s="3" t="s">
        <v>8394</v>
      </c>
      <c r="AZ657" s="3" t="s">
        <v>73</v>
      </c>
      <c r="BB657" s="3" t="s">
        <v>8395</v>
      </c>
      <c r="BC657" s="3" t="s">
        <v>8396</v>
      </c>
      <c r="BD657" s="3" t="s">
        <v>8397</v>
      </c>
    </row>
    <row r="658" spans="1:56" ht="51" customHeight="1" x14ac:dyDescent="0.25">
      <c r="A658" s="7" t="s">
        <v>58</v>
      </c>
      <c r="B658" s="2" t="s">
        <v>8398</v>
      </c>
      <c r="C658" s="2" t="s">
        <v>8399</v>
      </c>
      <c r="D658" s="2" t="s">
        <v>8400</v>
      </c>
      <c r="F658" s="3" t="s">
        <v>58</v>
      </c>
      <c r="G658" s="3" t="s">
        <v>59</v>
      </c>
      <c r="H658" s="3" t="s">
        <v>58</v>
      </c>
      <c r="I658" s="3" t="s">
        <v>58</v>
      </c>
      <c r="J658" s="3" t="s">
        <v>60</v>
      </c>
      <c r="K658" s="2" t="s">
        <v>8401</v>
      </c>
      <c r="L658" s="2" t="s">
        <v>8402</v>
      </c>
      <c r="M658" s="3" t="s">
        <v>183</v>
      </c>
      <c r="O658" s="3" t="s">
        <v>63</v>
      </c>
      <c r="P658" s="3" t="s">
        <v>8403</v>
      </c>
      <c r="R658" s="3" t="s">
        <v>65</v>
      </c>
      <c r="S658" s="4">
        <v>13</v>
      </c>
      <c r="T658" s="4">
        <v>13</v>
      </c>
      <c r="U658" s="5" t="s">
        <v>8063</v>
      </c>
      <c r="V658" s="5" t="s">
        <v>8063</v>
      </c>
      <c r="W658" s="5" t="s">
        <v>8404</v>
      </c>
      <c r="X658" s="5" t="s">
        <v>8404</v>
      </c>
      <c r="Y658" s="4">
        <v>453</v>
      </c>
      <c r="Z658" s="4">
        <v>453</v>
      </c>
      <c r="AA658" s="4">
        <v>608</v>
      </c>
      <c r="AB658" s="4">
        <v>6</v>
      </c>
      <c r="AC658" s="4">
        <v>7</v>
      </c>
      <c r="AD658" s="4">
        <v>27</v>
      </c>
      <c r="AE658" s="4">
        <v>35</v>
      </c>
      <c r="AF658" s="4">
        <v>8</v>
      </c>
      <c r="AG658" s="4">
        <v>13</v>
      </c>
      <c r="AH658" s="4">
        <v>6</v>
      </c>
      <c r="AI658" s="4">
        <v>7</v>
      </c>
      <c r="AJ658" s="4">
        <v>13</v>
      </c>
      <c r="AK658" s="4">
        <v>18</v>
      </c>
      <c r="AL658" s="4">
        <v>5</v>
      </c>
      <c r="AM658" s="4">
        <v>6</v>
      </c>
      <c r="AN658" s="4">
        <v>0</v>
      </c>
      <c r="AO658" s="4">
        <v>0</v>
      </c>
      <c r="AP658" s="3" t="s">
        <v>58</v>
      </c>
      <c r="AQ658" s="3" t="s">
        <v>68</v>
      </c>
      <c r="AR658" s="6" t="str">
        <f>HYPERLINK("http://catalog.hathitrust.org/Record/006783226","HathiTrust Record")</f>
        <v>HathiTrust Record</v>
      </c>
      <c r="AS658" s="6" t="str">
        <f>HYPERLINK("https://creighton-primo.hosted.exlibrisgroup.com/primo-explore/search?tab=default_tab&amp;search_scope=EVERYTHING&amp;vid=01CRU&amp;lang=en_US&amp;offset=0&amp;query=any,contains,991004478899702656","Catalog Record")</f>
        <v>Catalog Record</v>
      </c>
      <c r="AT658" s="6" t="str">
        <f>HYPERLINK("http://www.worldcat.org/oclc/3620706","WorldCat Record")</f>
        <v>WorldCat Record</v>
      </c>
      <c r="AU658" s="3" t="s">
        <v>8405</v>
      </c>
      <c r="AV658" s="3" t="s">
        <v>8406</v>
      </c>
      <c r="AW658" s="3" t="s">
        <v>8407</v>
      </c>
      <c r="AX658" s="3" t="s">
        <v>8407</v>
      </c>
      <c r="AY658" s="3" t="s">
        <v>8408</v>
      </c>
      <c r="AZ658" s="3" t="s">
        <v>73</v>
      </c>
      <c r="BC658" s="3" t="s">
        <v>8409</v>
      </c>
      <c r="BD658" s="3" t="s">
        <v>8410</v>
      </c>
    </row>
    <row r="659" spans="1:56" ht="51" customHeight="1" x14ac:dyDescent="0.25">
      <c r="A659" s="7" t="s">
        <v>58</v>
      </c>
      <c r="B659" s="2" t="s">
        <v>8411</v>
      </c>
      <c r="C659" s="2" t="s">
        <v>8412</v>
      </c>
      <c r="D659" s="2" t="s">
        <v>8413</v>
      </c>
      <c r="F659" s="3" t="s">
        <v>58</v>
      </c>
      <c r="G659" s="3" t="s">
        <v>59</v>
      </c>
      <c r="H659" s="3" t="s">
        <v>58</v>
      </c>
      <c r="I659" s="3" t="s">
        <v>58</v>
      </c>
      <c r="J659" s="3" t="s">
        <v>60</v>
      </c>
      <c r="K659" s="2" t="s">
        <v>8414</v>
      </c>
      <c r="L659" s="2" t="s">
        <v>8415</v>
      </c>
      <c r="M659" s="3" t="s">
        <v>1399</v>
      </c>
      <c r="O659" s="3" t="s">
        <v>63</v>
      </c>
      <c r="P659" s="3" t="s">
        <v>584</v>
      </c>
      <c r="R659" s="3" t="s">
        <v>65</v>
      </c>
      <c r="S659" s="4">
        <v>4</v>
      </c>
      <c r="T659" s="4">
        <v>4</v>
      </c>
      <c r="U659" s="5" t="s">
        <v>8416</v>
      </c>
      <c r="V659" s="5" t="s">
        <v>8416</v>
      </c>
      <c r="W659" s="5" t="s">
        <v>8417</v>
      </c>
      <c r="X659" s="5" t="s">
        <v>8417</v>
      </c>
      <c r="Y659" s="4">
        <v>269</v>
      </c>
      <c r="Z659" s="4">
        <v>208</v>
      </c>
      <c r="AA659" s="4">
        <v>231</v>
      </c>
      <c r="AB659" s="4">
        <v>3</v>
      </c>
      <c r="AC659" s="4">
        <v>3</v>
      </c>
      <c r="AD659" s="4">
        <v>11</v>
      </c>
      <c r="AE659" s="4">
        <v>11</v>
      </c>
      <c r="AF659" s="4">
        <v>4</v>
      </c>
      <c r="AG659" s="4">
        <v>4</v>
      </c>
      <c r="AH659" s="4">
        <v>4</v>
      </c>
      <c r="AI659" s="4">
        <v>4</v>
      </c>
      <c r="AJ659" s="4">
        <v>6</v>
      </c>
      <c r="AK659" s="4">
        <v>6</v>
      </c>
      <c r="AL659" s="4">
        <v>2</v>
      </c>
      <c r="AM659" s="4">
        <v>2</v>
      </c>
      <c r="AN659" s="4">
        <v>0</v>
      </c>
      <c r="AO659" s="4">
        <v>0</v>
      </c>
      <c r="AP659" s="3" t="s">
        <v>58</v>
      </c>
      <c r="AQ659" s="3" t="s">
        <v>58</v>
      </c>
      <c r="AS659" s="6" t="str">
        <f>HYPERLINK("https://creighton-primo.hosted.exlibrisgroup.com/primo-explore/search?tab=default_tab&amp;search_scope=EVERYTHING&amp;vid=01CRU&amp;lang=en_US&amp;offset=0&amp;query=any,contains,991001242389702656","Catalog Record")</f>
        <v>Catalog Record</v>
      </c>
      <c r="AT659" s="6" t="str">
        <f>HYPERLINK("http://www.worldcat.org/oclc/17621428","WorldCat Record")</f>
        <v>WorldCat Record</v>
      </c>
      <c r="AU659" s="3" t="s">
        <v>8418</v>
      </c>
      <c r="AV659" s="3" t="s">
        <v>8419</v>
      </c>
      <c r="AW659" s="3" t="s">
        <v>8420</v>
      </c>
      <c r="AX659" s="3" t="s">
        <v>8420</v>
      </c>
      <c r="AY659" s="3" t="s">
        <v>8421</v>
      </c>
      <c r="AZ659" s="3" t="s">
        <v>73</v>
      </c>
      <c r="BB659" s="3" t="s">
        <v>8422</v>
      </c>
      <c r="BC659" s="3" t="s">
        <v>8423</v>
      </c>
      <c r="BD659" s="3" t="s">
        <v>8424</v>
      </c>
    </row>
    <row r="660" spans="1:56" ht="51" customHeight="1" x14ac:dyDescent="0.25">
      <c r="A660" s="7" t="s">
        <v>58</v>
      </c>
      <c r="B660" s="2" t="s">
        <v>8425</v>
      </c>
      <c r="C660" s="2" t="s">
        <v>8426</v>
      </c>
      <c r="D660" s="2" t="s">
        <v>8427</v>
      </c>
      <c r="F660" s="3" t="s">
        <v>58</v>
      </c>
      <c r="G660" s="3" t="s">
        <v>59</v>
      </c>
      <c r="H660" s="3" t="s">
        <v>58</v>
      </c>
      <c r="I660" s="3" t="s">
        <v>58</v>
      </c>
      <c r="J660" s="3" t="s">
        <v>60</v>
      </c>
      <c r="K660" s="2" t="s">
        <v>8428</v>
      </c>
      <c r="L660" s="2" t="s">
        <v>8429</v>
      </c>
      <c r="M660" s="3" t="s">
        <v>800</v>
      </c>
      <c r="O660" s="3" t="s">
        <v>63</v>
      </c>
      <c r="P660" s="3" t="s">
        <v>584</v>
      </c>
      <c r="R660" s="3" t="s">
        <v>65</v>
      </c>
      <c r="S660" s="4">
        <v>2</v>
      </c>
      <c r="T660" s="4">
        <v>2</v>
      </c>
      <c r="U660" s="5" t="s">
        <v>8416</v>
      </c>
      <c r="V660" s="5" t="s">
        <v>8416</v>
      </c>
      <c r="W660" s="5" t="s">
        <v>8430</v>
      </c>
      <c r="X660" s="5" t="s">
        <v>8430</v>
      </c>
      <c r="Y660" s="4">
        <v>349</v>
      </c>
      <c r="Z660" s="4">
        <v>265</v>
      </c>
      <c r="AA660" s="4">
        <v>288</v>
      </c>
      <c r="AB660" s="4">
        <v>1</v>
      </c>
      <c r="AC660" s="4">
        <v>1</v>
      </c>
      <c r="AD660" s="4">
        <v>16</v>
      </c>
      <c r="AE660" s="4">
        <v>16</v>
      </c>
      <c r="AF660" s="4">
        <v>4</v>
      </c>
      <c r="AG660" s="4">
        <v>4</v>
      </c>
      <c r="AH660" s="4">
        <v>7</v>
      </c>
      <c r="AI660" s="4">
        <v>7</v>
      </c>
      <c r="AJ660" s="4">
        <v>11</v>
      </c>
      <c r="AK660" s="4">
        <v>11</v>
      </c>
      <c r="AL660" s="4">
        <v>0</v>
      </c>
      <c r="AM660" s="4">
        <v>0</v>
      </c>
      <c r="AN660" s="4">
        <v>0</v>
      </c>
      <c r="AO660" s="4">
        <v>0</v>
      </c>
      <c r="AP660" s="3" t="s">
        <v>58</v>
      </c>
      <c r="AQ660" s="3" t="s">
        <v>58</v>
      </c>
      <c r="AS660" s="6" t="str">
        <f>HYPERLINK("https://creighton-primo.hosted.exlibrisgroup.com/primo-explore/search?tab=default_tab&amp;search_scope=EVERYTHING&amp;vid=01CRU&amp;lang=en_US&amp;offset=0&amp;query=any,contains,991002345629702656","Catalog Record")</f>
        <v>Catalog Record</v>
      </c>
      <c r="AT660" s="6" t="str">
        <f>HYPERLINK("http://www.worldcat.org/oclc/30544067","WorldCat Record")</f>
        <v>WorldCat Record</v>
      </c>
      <c r="AU660" s="3" t="s">
        <v>8431</v>
      </c>
      <c r="AV660" s="3" t="s">
        <v>8432</v>
      </c>
      <c r="AW660" s="3" t="s">
        <v>8433</v>
      </c>
      <c r="AX660" s="3" t="s">
        <v>8433</v>
      </c>
      <c r="AY660" s="3" t="s">
        <v>8434</v>
      </c>
      <c r="AZ660" s="3" t="s">
        <v>73</v>
      </c>
      <c r="BB660" s="3" t="s">
        <v>8435</v>
      </c>
      <c r="BC660" s="3" t="s">
        <v>8436</v>
      </c>
      <c r="BD660" s="3" t="s">
        <v>8437</v>
      </c>
    </row>
    <row r="661" spans="1:56" ht="51" customHeight="1" x14ac:dyDescent="0.25">
      <c r="A661" s="7" t="s">
        <v>58</v>
      </c>
      <c r="B661" s="2" t="s">
        <v>8438</v>
      </c>
      <c r="C661" s="2" t="s">
        <v>8439</v>
      </c>
      <c r="D661" s="2" t="s">
        <v>8440</v>
      </c>
      <c r="F661" s="3" t="s">
        <v>58</v>
      </c>
      <c r="G661" s="3" t="s">
        <v>59</v>
      </c>
      <c r="H661" s="3" t="s">
        <v>58</v>
      </c>
      <c r="I661" s="3" t="s">
        <v>58</v>
      </c>
      <c r="J661" s="3" t="s">
        <v>60</v>
      </c>
      <c r="K661" s="2" t="s">
        <v>8441</v>
      </c>
      <c r="L661" s="2" t="s">
        <v>8442</v>
      </c>
      <c r="M661" s="3" t="s">
        <v>261</v>
      </c>
      <c r="O661" s="3" t="s">
        <v>63</v>
      </c>
      <c r="P661" s="3" t="s">
        <v>214</v>
      </c>
      <c r="Q661" s="2" t="s">
        <v>7144</v>
      </c>
      <c r="R661" s="3" t="s">
        <v>65</v>
      </c>
      <c r="S661" s="4">
        <v>1</v>
      </c>
      <c r="T661" s="4">
        <v>1</v>
      </c>
      <c r="U661" s="5" t="s">
        <v>8443</v>
      </c>
      <c r="V661" s="5" t="s">
        <v>8443</v>
      </c>
      <c r="W661" s="5" t="s">
        <v>540</v>
      </c>
      <c r="X661" s="5" t="s">
        <v>540</v>
      </c>
      <c r="Y661" s="4">
        <v>61</v>
      </c>
      <c r="Z661" s="4">
        <v>52</v>
      </c>
      <c r="AA661" s="4">
        <v>179</v>
      </c>
      <c r="AB661" s="4">
        <v>1</v>
      </c>
      <c r="AC661" s="4">
        <v>1</v>
      </c>
      <c r="AD661" s="4">
        <v>3</v>
      </c>
      <c r="AE661" s="4">
        <v>4</v>
      </c>
      <c r="AF661" s="4">
        <v>2</v>
      </c>
      <c r="AG661" s="4">
        <v>2</v>
      </c>
      <c r="AH661" s="4">
        <v>0</v>
      </c>
      <c r="AI661" s="4">
        <v>1</v>
      </c>
      <c r="AJ661" s="4">
        <v>2</v>
      </c>
      <c r="AK661" s="4">
        <v>3</v>
      </c>
      <c r="AL661" s="4">
        <v>0</v>
      </c>
      <c r="AM661" s="4">
        <v>0</v>
      </c>
      <c r="AN661" s="4">
        <v>0</v>
      </c>
      <c r="AO661" s="4">
        <v>0</v>
      </c>
      <c r="AP661" s="3" t="s">
        <v>58</v>
      </c>
      <c r="AQ661" s="3" t="s">
        <v>58</v>
      </c>
      <c r="AS661" s="6" t="str">
        <f>HYPERLINK("https://creighton-primo.hosted.exlibrisgroup.com/primo-explore/search?tab=default_tab&amp;search_scope=EVERYTHING&amp;vid=01CRU&amp;lang=en_US&amp;offset=0&amp;query=any,contains,991003936329702656","Catalog Record")</f>
        <v>Catalog Record</v>
      </c>
      <c r="AT661" s="6" t="str">
        <f>HYPERLINK("http://www.worldcat.org/oclc/1914796","WorldCat Record")</f>
        <v>WorldCat Record</v>
      </c>
      <c r="AU661" s="3" t="s">
        <v>8444</v>
      </c>
      <c r="AV661" s="3" t="s">
        <v>8445</v>
      </c>
      <c r="AW661" s="3" t="s">
        <v>8446</v>
      </c>
      <c r="AX661" s="3" t="s">
        <v>8446</v>
      </c>
      <c r="AY661" s="3" t="s">
        <v>8447</v>
      </c>
      <c r="AZ661" s="3" t="s">
        <v>73</v>
      </c>
      <c r="BB661" s="3" t="s">
        <v>8448</v>
      </c>
      <c r="BC661" s="3" t="s">
        <v>8449</v>
      </c>
      <c r="BD661" s="3" t="s">
        <v>8450</v>
      </c>
    </row>
    <row r="662" spans="1:56" ht="51" customHeight="1" x14ac:dyDescent="0.25">
      <c r="A662" s="7" t="s">
        <v>58</v>
      </c>
      <c r="B662" s="2" t="s">
        <v>8451</v>
      </c>
      <c r="C662" s="2" t="s">
        <v>8452</v>
      </c>
      <c r="D662" s="2" t="s">
        <v>8453</v>
      </c>
      <c r="F662" s="3" t="s">
        <v>58</v>
      </c>
      <c r="G662" s="3" t="s">
        <v>59</v>
      </c>
      <c r="H662" s="3" t="s">
        <v>58</v>
      </c>
      <c r="I662" s="3" t="s">
        <v>58</v>
      </c>
      <c r="J662" s="3" t="s">
        <v>60</v>
      </c>
      <c r="K662" s="2" t="s">
        <v>8454</v>
      </c>
      <c r="L662" s="2" t="s">
        <v>8455</v>
      </c>
      <c r="M662" s="3" t="s">
        <v>83</v>
      </c>
      <c r="N662" s="2" t="s">
        <v>1009</v>
      </c>
      <c r="O662" s="3" t="s">
        <v>63</v>
      </c>
      <c r="P662" s="3" t="s">
        <v>214</v>
      </c>
      <c r="R662" s="3" t="s">
        <v>65</v>
      </c>
      <c r="S662" s="4">
        <v>1</v>
      </c>
      <c r="T662" s="4">
        <v>1</v>
      </c>
      <c r="U662" s="5" t="s">
        <v>8456</v>
      </c>
      <c r="V662" s="5" t="s">
        <v>8456</v>
      </c>
      <c r="W662" s="5" t="s">
        <v>8127</v>
      </c>
      <c r="X662" s="5" t="s">
        <v>8127</v>
      </c>
      <c r="Y662" s="4">
        <v>460</v>
      </c>
      <c r="Z662" s="4">
        <v>423</v>
      </c>
      <c r="AA662" s="4">
        <v>461</v>
      </c>
      <c r="AB662" s="4">
        <v>2</v>
      </c>
      <c r="AC662" s="4">
        <v>4</v>
      </c>
      <c r="AD662" s="4">
        <v>12</v>
      </c>
      <c r="AE662" s="4">
        <v>14</v>
      </c>
      <c r="AF662" s="4">
        <v>3</v>
      </c>
      <c r="AG662" s="4">
        <v>3</v>
      </c>
      <c r="AH662" s="4">
        <v>6</v>
      </c>
      <c r="AI662" s="4">
        <v>6</v>
      </c>
      <c r="AJ662" s="4">
        <v>5</v>
      </c>
      <c r="AK662" s="4">
        <v>5</v>
      </c>
      <c r="AL662" s="4">
        <v>0</v>
      </c>
      <c r="AM662" s="4">
        <v>2</v>
      </c>
      <c r="AN662" s="4">
        <v>1</v>
      </c>
      <c r="AO662" s="4">
        <v>1</v>
      </c>
      <c r="AP662" s="3" t="s">
        <v>58</v>
      </c>
      <c r="AQ662" s="3" t="s">
        <v>68</v>
      </c>
      <c r="AR662" s="6" t="str">
        <f>HYPERLINK("http://catalog.hathitrust.org/Record/000257347","HathiTrust Record")</f>
        <v>HathiTrust Record</v>
      </c>
      <c r="AS662" s="6" t="str">
        <f>HYPERLINK("https://creighton-primo.hosted.exlibrisgroup.com/primo-explore/search?tab=default_tab&amp;search_scope=EVERYTHING&amp;vid=01CRU&amp;lang=en_US&amp;offset=0&amp;query=any,contains,991004668379702656","Catalog Record")</f>
        <v>Catalog Record</v>
      </c>
      <c r="AT662" s="6" t="str">
        <f>HYPERLINK("http://www.worldcat.org/oclc/4512790","WorldCat Record")</f>
        <v>WorldCat Record</v>
      </c>
      <c r="AU662" s="3" t="s">
        <v>8457</v>
      </c>
      <c r="AV662" s="3" t="s">
        <v>8458</v>
      </c>
      <c r="AW662" s="3" t="s">
        <v>8459</v>
      </c>
      <c r="AX662" s="3" t="s">
        <v>8459</v>
      </c>
      <c r="AY662" s="3" t="s">
        <v>8460</v>
      </c>
      <c r="AZ662" s="3" t="s">
        <v>73</v>
      </c>
      <c r="BB662" s="3" t="s">
        <v>8461</v>
      </c>
      <c r="BC662" s="3" t="s">
        <v>8462</v>
      </c>
      <c r="BD662" s="3" t="s">
        <v>8463</v>
      </c>
    </row>
    <row r="663" spans="1:56" ht="51" customHeight="1" x14ac:dyDescent="0.25">
      <c r="A663" s="7" t="s">
        <v>58</v>
      </c>
      <c r="B663" s="2" t="s">
        <v>8464</v>
      </c>
      <c r="C663" s="2" t="s">
        <v>8465</v>
      </c>
      <c r="D663" s="2" t="s">
        <v>8466</v>
      </c>
      <c r="F663" s="3" t="s">
        <v>58</v>
      </c>
      <c r="G663" s="3" t="s">
        <v>59</v>
      </c>
      <c r="H663" s="3" t="s">
        <v>58</v>
      </c>
      <c r="I663" s="3" t="s">
        <v>58</v>
      </c>
      <c r="J663" s="3" t="s">
        <v>60</v>
      </c>
      <c r="L663" s="2" t="s">
        <v>8467</v>
      </c>
      <c r="M663" s="3" t="s">
        <v>1544</v>
      </c>
      <c r="O663" s="3" t="s">
        <v>63</v>
      </c>
      <c r="P663" s="3" t="s">
        <v>584</v>
      </c>
      <c r="Q663" s="2" t="s">
        <v>8468</v>
      </c>
      <c r="R663" s="3" t="s">
        <v>65</v>
      </c>
      <c r="S663" s="4">
        <v>0</v>
      </c>
      <c r="T663" s="4">
        <v>0</v>
      </c>
      <c r="U663" s="5" t="s">
        <v>8469</v>
      </c>
      <c r="V663" s="5" t="s">
        <v>8469</v>
      </c>
      <c r="W663" s="5" t="s">
        <v>8470</v>
      </c>
      <c r="X663" s="5" t="s">
        <v>8470</v>
      </c>
      <c r="Y663" s="4">
        <v>183</v>
      </c>
      <c r="Z663" s="4">
        <v>104</v>
      </c>
      <c r="AA663" s="4">
        <v>105</v>
      </c>
      <c r="AB663" s="4">
        <v>1</v>
      </c>
      <c r="AC663" s="4">
        <v>1</v>
      </c>
      <c r="AD663" s="4">
        <v>9</v>
      </c>
      <c r="AE663" s="4">
        <v>9</v>
      </c>
      <c r="AF663" s="4">
        <v>5</v>
      </c>
      <c r="AG663" s="4">
        <v>5</v>
      </c>
      <c r="AH663" s="4">
        <v>2</v>
      </c>
      <c r="AI663" s="4">
        <v>2</v>
      </c>
      <c r="AJ663" s="4">
        <v>2</v>
      </c>
      <c r="AK663" s="4">
        <v>2</v>
      </c>
      <c r="AL663" s="4">
        <v>0</v>
      </c>
      <c r="AM663" s="4">
        <v>0</v>
      </c>
      <c r="AN663" s="4">
        <v>0</v>
      </c>
      <c r="AO663" s="4">
        <v>0</v>
      </c>
      <c r="AP663" s="3" t="s">
        <v>58</v>
      </c>
      <c r="AQ663" s="3" t="s">
        <v>58</v>
      </c>
      <c r="AS663" s="6" t="str">
        <f>HYPERLINK("https://creighton-primo.hosted.exlibrisgroup.com/primo-explore/search?tab=default_tab&amp;search_scope=EVERYTHING&amp;vid=01CRU&amp;lang=en_US&amp;offset=0&amp;query=any,contains,991002146199702656","Catalog Record")</f>
        <v>Catalog Record</v>
      </c>
      <c r="AT663" s="6" t="str">
        <f>HYPERLINK("http://www.worldcat.org/oclc/27649232","WorldCat Record")</f>
        <v>WorldCat Record</v>
      </c>
      <c r="AU663" s="3" t="s">
        <v>8471</v>
      </c>
      <c r="AV663" s="3" t="s">
        <v>8472</v>
      </c>
      <c r="AW663" s="3" t="s">
        <v>8473</v>
      </c>
      <c r="AX663" s="3" t="s">
        <v>8473</v>
      </c>
      <c r="AY663" s="3" t="s">
        <v>8474</v>
      </c>
      <c r="AZ663" s="3" t="s">
        <v>73</v>
      </c>
      <c r="BB663" s="3" t="s">
        <v>8475</v>
      </c>
      <c r="BC663" s="3" t="s">
        <v>8476</v>
      </c>
      <c r="BD663" s="3" t="s">
        <v>8477</v>
      </c>
    </row>
    <row r="664" spans="1:56" ht="51" customHeight="1" x14ac:dyDescent="0.25">
      <c r="A664" s="7" t="s">
        <v>58</v>
      </c>
      <c r="B664" s="2" t="s">
        <v>8478</v>
      </c>
      <c r="C664" s="2" t="s">
        <v>8479</v>
      </c>
      <c r="D664" s="2" t="s">
        <v>8480</v>
      </c>
      <c r="F664" s="3" t="s">
        <v>58</v>
      </c>
      <c r="G664" s="3" t="s">
        <v>59</v>
      </c>
      <c r="H664" s="3" t="s">
        <v>58</v>
      </c>
      <c r="I664" s="3" t="s">
        <v>58</v>
      </c>
      <c r="J664" s="3" t="s">
        <v>60</v>
      </c>
      <c r="K664" s="2" t="s">
        <v>8481</v>
      </c>
      <c r="L664" s="2" t="s">
        <v>8482</v>
      </c>
      <c r="M664" s="3" t="s">
        <v>83</v>
      </c>
      <c r="O664" s="3" t="s">
        <v>63</v>
      </c>
      <c r="P664" s="3" t="s">
        <v>510</v>
      </c>
      <c r="R664" s="3" t="s">
        <v>65</v>
      </c>
      <c r="S664" s="4">
        <v>2</v>
      </c>
      <c r="T664" s="4">
        <v>2</v>
      </c>
      <c r="U664" s="5" t="s">
        <v>66</v>
      </c>
      <c r="V664" s="5" t="s">
        <v>66</v>
      </c>
      <c r="W664" s="5" t="s">
        <v>8483</v>
      </c>
      <c r="X664" s="5" t="s">
        <v>8483</v>
      </c>
      <c r="Y664" s="4">
        <v>605</v>
      </c>
      <c r="Z664" s="4">
        <v>494</v>
      </c>
      <c r="AA664" s="4">
        <v>495</v>
      </c>
      <c r="AB664" s="4">
        <v>4</v>
      </c>
      <c r="AC664" s="4">
        <v>4</v>
      </c>
      <c r="AD664" s="4">
        <v>22</v>
      </c>
      <c r="AE664" s="4">
        <v>22</v>
      </c>
      <c r="AF664" s="4">
        <v>9</v>
      </c>
      <c r="AG664" s="4">
        <v>9</v>
      </c>
      <c r="AH664" s="4">
        <v>6</v>
      </c>
      <c r="AI664" s="4">
        <v>6</v>
      </c>
      <c r="AJ664" s="4">
        <v>9</v>
      </c>
      <c r="AK664" s="4">
        <v>9</v>
      </c>
      <c r="AL664" s="4">
        <v>3</v>
      </c>
      <c r="AM664" s="4">
        <v>3</v>
      </c>
      <c r="AN664" s="4">
        <v>0</v>
      </c>
      <c r="AO664" s="4">
        <v>0</v>
      </c>
      <c r="AP664" s="3" t="s">
        <v>58</v>
      </c>
      <c r="AQ664" s="3" t="s">
        <v>58</v>
      </c>
      <c r="AS664" s="6" t="str">
        <f>HYPERLINK("https://creighton-primo.hosted.exlibrisgroup.com/primo-explore/search?tab=default_tab&amp;search_scope=EVERYTHING&amp;vid=01CRU&amp;lang=en_US&amp;offset=0&amp;query=any,contains,991004419679702656","Catalog Record")</f>
        <v>Catalog Record</v>
      </c>
      <c r="AT664" s="6" t="str">
        <f>HYPERLINK("http://www.worldcat.org/oclc/3380009","WorldCat Record")</f>
        <v>WorldCat Record</v>
      </c>
      <c r="AU664" s="3" t="s">
        <v>8484</v>
      </c>
      <c r="AV664" s="3" t="s">
        <v>8485</v>
      </c>
      <c r="AW664" s="3" t="s">
        <v>8486</v>
      </c>
      <c r="AX664" s="3" t="s">
        <v>8486</v>
      </c>
      <c r="AY664" s="3" t="s">
        <v>8487</v>
      </c>
      <c r="AZ664" s="3" t="s">
        <v>73</v>
      </c>
      <c r="BB664" s="3" t="s">
        <v>8488</v>
      </c>
      <c r="BC664" s="3" t="s">
        <v>8489</v>
      </c>
      <c r="BD664" s="3" t="s">
        <v>8490</v>
      </c>
    </row>
    <row r="665" spans="1:56" ht="51" customHeight="1" x14ac:dyDescent="0.25">
      <c r="A665" s="7" t="s">
        <v>58</v>
      </c>
      <c r="B665" s="2" t="s">
        <v>8491</v>
      </c>
      <c r="C665" s="2" t="s">
        <v>8492</v>
      </c>
      <c r="D665" s="2" t="s">
        <v>8493</v>
      </c>
      <c r="F665" s="3" t="s">
        <v>58</v>
      </c>
      <c r="G665" s="3" t="s">
        <v>59</v>
      </c>
      <c r="H665" s="3" t="s">
        <v>58</v>
      </c>
      <c r="I665" s="3" t="s">
        <v>58</v>
      </c>
      <c r="J665" s="3" t="s">
        <v>60</v>
      </c>
      <c r="K665" s="2" t="s">
        <v>8494</v>
      </c>
      <c r="L665" s="2" t="s">
        <v>8495</v>
      </c>
      <c r="M665" s="3" t="s">
        <v>842</v>
      </c>
      <c r="O665" s="3" t="s">
        <v>63</v>
      </c>
      <c r="P665" s="3" t="s">
        <v>584</v>
      </c>
      <c r="R665" s="3" t="s">
        <v>65</v>
      </c>
      <c r="S665" s="4">
        <v>3</v>
      </c>
      <c r="T665" s="4">
        <v>3</v>
      </c>
      <c r="U665" s="5" t="s">
        <v>8496</v>
      </c>
      <c r="V665" s="5" t="s">
        <v>8496</v>
      </c>
      <c r="W665" s="5" t="s">
        <v>8483</v>
      </c>
      <c r="X665" s="5" t="s">
        <v>8483</v>
      </c>
      <c r="Y665" s="4">
        <v>461</v>
      </c>
      <c r="Z665" s="4">
        <v>367</v>
      </c>
      <c r="AA665" s="4">
        <v>386</v>
      </c>
      <c r="AB665" s="4">
        <v>2</v>
      </c>
      <c r="AC665" s="4">
        <v>2</v>
      </c>
      <c r="AD665" s="4">
        <v>14</v>
      </c>
      <c r="AE665" s="4">
        <v>14</v>
      </c>
      <c r="AF665" s="4">
        <v>5</v>
      </c>
      <c r="AG665" s="4">
        <v>5</v>
      </c>
      <c r="AH665" s="4">
        <v>2</v>
      </c>
      <c r="AI665" s="4">
        <v>2</v>
      </c>
      <c r="AJ665" s="4">
        <v>11</v>
      </c>
      <c r="AK665" s="4">
        <v>11</v>
      </c>
      <c r="AL665" s="4">
        <v>1</v>
      </c>
      <c r="AM665" s="4">
        <v>1</v>
      </c>
      <c r="AN665" s="4">
        <v>0</v>
      </c>
      <c r="AO665" s="4">
        <v>0</v>
      </c>
      <c r="AP665" s="3" t="s">
        <v>58</v>
      </c>
      <c r="AQ665" s="3" t="s">
        <v>58</v>
      </c>
      <c r="AS665" s="6" t="str">
        <f>HYPERLINK("https://creighton-primo.hosted.exlibrisgroup.com/primo-explore/search?tab=default_tab&amp;search_scope=EVERYTHING&amp;vid=01CRU&amp;lang=en_US&amp;offset=0&amp;query=any,contains,991005142299702656","Catalog Record")</f>
        <v>Catalog Record</v>
      </c>
      <c r="AT665" s="6" t="str">
        <f>HYPERLINK("http://www.worldcat.org/oclc/7625031","WorldCat Record")</f>
        <v>WorldCat Record</v>
      </c>
      <c r="AU665" s="3" t="s">
        <v>8497</v>
      </c>
      <c r="AV665" s="3" t="s">
        <v>8498</v>
      </c>
      <c r="AW665" s="3" t="s">
        <v>8499</v>
      </c>
      <c r="AX665" s="3" t="s">
        <v>8499</v>
      </c>
      <c r="AY665" s="3" t="s">
        <v>8500</v>
      </c>
      <c r="AZ665" s="3" t="s">
        <v>73</v>
      </c>
      <c r="BB665" s="3" t="s">
        <v>8501</v>
      </c>
      <c r="BC665" s="3" t="s">
        <v>8502</v>
      </c>
      <c r="BD665" s="3" t="s">
        <v>8503</v>
      </c>
    </row>
    <row r="666" spans="1:56" ht="51" customHeight="1" x14ac:dyDescent="0.25">
      <c r="A666" s="7" t="s">
        <v>58</v>
      </c>
      <c r="B666" s="2" t="s">
        <v>8504</v>
      </c>
      <c r="C666" s="2" t="s">
        <v>8505</v>
      </c>
      <c r="D666" s="2" t="s">
        <v>8506</v>
      </c>
      <c r="F666" s="3" t="s">
        <v>58</v>
      </c>
      <c r="G666" s="3" t="s">
        <v>59</v>
      </c>
      <c r="H666" s="3" t="s">
        <v>58</v>
      </c>
      <c r="I666" s="3" t="s">
        <v>58</v>
      </c>
      <c r="J666" s="3" t="s">
        <v>60</v>
      </c>
      <c r="K666" s="2" t="s">
        <v>8507</v>
      </c>
      <c r="L666" s="2" t="s">
        <v>8508</v>
      </c>
      <c r="M666" s="3" t="s">
        <v>1399</v>
      </c>
      <c r="O666" s="3" t="s">
        <v>63</v>
      </c>
      <c r="P666" s="3" t="s">
        <v>584</v>
      </c>
      <c r="Q666" s="2" t="s">
        <v>8509</v>
      </c>
      <c r="R666" s="3" t="s">
        <v>65</v>
      </c>
      <c r="S666" s="4">
        <v>1</v>
      </c>
      <c r="T666" s="4">
        <v>1</v>
      </c>
      <c r="U666" s="5" t="s">
        <v>8510</v>
      </c>
      <c r="V666" s="5" t="s">
        <v>8510</v>
      </c>
      <c r="W666" s="5" t="s">
        <v>6065</v>
      </c>
      <c r="X666" s="5" t="s">
        <v>6065</v>
      </c>
      <c r="Y666" s="4">
        <v>273</v>
      </c>
      <c r="Z666" s="4">
        <v>184</v>
      </c>
      <c r="AA666" s="4">
        <v>189</v>
      </c>
      <c r="AB666" s="4">
        <v>1</v>
      </c>
      <c r="AC666" s="4">
        <v>1</v>
      </c>
      <c r="AD666" s="4">
        <v>14</v>
      </c>
      <c r="AE666" s="4">
        <v>14</v>
      </c>
      <c r="AF666" s="4">
        <v>7</v>
      </c>
      <c r="AG666" s="4">
        <v>7</v>
      </c>
      <c r="AH666" s="4">
        <v>3</v>
      </c>
      <c r="AI666" s="4">
        <v>3</v>
      </c>
      <c r="AJ666" s="4">
        <v>7</v>
      </c>
      <c r="AK666" s="4">
        <v>7</v>
      </c>
      <c r="AL666" s="4">
        <v>0</v>
      </c>
      <c r="AM666" s="4">
        <v>0</v>
      </c>
      <c r="AN666" s="4">
        <v>0</v>
      </c>
      <c r="AO666" s="4">
        <v>0</v>
      </c>
      <c r="AP666" s="3" t="s">
        <v>58</v>
      </c>
      <c r="AQ666" s="3" t="s">
        <v>68</v>
      </c>
      <c r="AR666" s="6" t="str">
        <f>HYPERLINK("http://catalog.hathitrust.org/Record/000930300","HathiTrust Record")</f>
        <v>HathiTrust Record</v>
      </c>
      <c r="AS666" s="6" t="str">
        <f>HYPERLINK("https://creighton-primo.hosted.exlibrisgroup.com/primo-explore/search?tab=default_tab&amp;search_scope=EVERYTHING&amp;vid=01CRU&amp;lang=en_US&amp;offset=0&amp;query=any,contains,991001192909702656","Catalog Record")</f>
        <v>Catalog Record</v>
      </c>
      <c r="AT666" s="6" t="str">
        <f>HYPERLINK("http://www.worldcat.org/oclc/17262214","WorldCat Record")</f>
        <v>WorldCat Record</v>
      </c>
      <c r="AU666" s="3" t="s">
        <v>8511</v>
      </c>
      <c r="AV666" s="3" t="s">
        <v>8512</v>
      </c>
      <c r="AW666" s="3" t="s">
        <v>8513</v>
      </c>
      <c r="AX666" s="3" t="s">
        <v>8513</v>
      </c>
      <c r="AY666" s="3" t="s">
        <v>8514</v>
      </c>
      <c r="AZ666" s="3" t="s">
        <v>73</v>
      </c>
      <c r="BB666" s="3" t="s">
        <v>8515</v>
      </c>
      <c r="BC666" s="3" t="s">
        <v>8516</v>
      </c>
      <c r="BD666" s="3" t="s">
        <v>8517</v>
      </c>
    </row>
    <row r="667" spans="1:56" ht="51" customHeight="1" x14ac:dyDescent="0.25">
      <c r="A667" s="7" t="s">
        <v>58</v>
      </c>
      <c r="B667" s="2" t="s">
        <v>8518</v>
      </c>
      <c r="C667" s="2" t="s">
        <v>8519</v>
      </c>
      <c r="D667" s="2" t="s">
        <v>8520</v>
      </c>
      <c r="F667" s="3" t="s">
        <v>58</v>
      </c>
      <c r="G667" s="3" t="s">
        <v>59</v>
      </c>
      <c r="H667" s="3" t="s">
        <v>58</v>
      </c>
      <c r="I667" s="3" t="s">
        <v>58</v>
      </c>
      <c r="J667" s="3" t="s">
        <v>60</v>
      </c>
      <c r="K667" s="2" t="s">
        <v>8521</v>
      </c>
      <c r="L667" s="2" t="s">
        <v>8522</v>
      </c>
      <c r="M667" s="3" t="s">
        <v>1385</v>
      </c>
      <c r="O667" s="3" t="s">
        <v>63</v>
      </c>
      <c r="P667" s="3" t="s">
        <v>760</v>
      </c>
      <c r="Q667" s="2" t="s">
        <v>8523</v>
      </c>
      <c r="R667" s="3" t="s">
        <v>65</v>
      </c>
      <c r="S667" s="4">
        <v>1</v>
      </c>
      <c r="T667" s="4">
        <v>1</v>
      </c>
      <c r="U667" s="5" t="s">
        <v>8524</v>
      </c>
      <c r="V667" s="5" t="s">
        <v>8524</v>
      </c>
      <c r="W667" s="5" t="s">
        <v>2616</v>
      </c>
      <c r="X667" s="5" t="s">
        <v>2616</v>
      </c>
      <c r="Y667" s="4">
        <v>324</v>
      </c>
      <c r="Z667" s="4">
        <v>265</v>
      </c>
      <c r="AA667" s="4">
        <v>266</v>
      </c>
      <c r="AB667" s="4">
        <v>2</v>
      </c>
      <c r="AC667" s="4">
        <v>2</v>
      </c>
      <c r="AD667" s="4">
        <v>7</v>
      </c>
      <c r="AE667" s="4">
        <v>7</v>
      </c>
      <c r="AF667" s="4">
        <v>2</v>
      </c>
      <c r="AG667" s="4">
        <v>2</v>
      </c>
      <c r="AH667" s="4">
        <v>2</v>
      </c>
      <c r="AI667" s="4">
        <v>2</v>
      </c>
      <c r="AJ667" s="4">
        <v>4</v>
      </c>
      <c r="AK667" s="4">
        <v>4</v>
      </c>
      <c r="AL667" s="4">
        <v>0</v>
      </c>
      <c r="AM667" s="4">
        <v>0</v>
      </c>
      <c r="AN667" s="4">
        <v>0</v>
      </c>
      <c r="AO667" s="4">
        <v>0</v>
      </c>
      <c r="AP667" s="3" t="s">
        <v>58</v>
      </c>
      <c r="AQ667" s="3" t="s">
        <v>58</v>
      </c>
      <c r="AS667" s="6" t="str">
        <f>HYPERLINK("https://creighton-primo.hosted.exlibrisgroup.com/primo-explore/search?tab=default_tab&amp;search_scope=EVERYTHING&amp;vid=01CRU&amp;lang=en_US&amp;offset=0&amp;query=any,contains,991003312669702656","Catalog Record")</f>
        <v>Catalog Record</v>
      </c>
      <c r="AT667" s="6" t="str">
        <f>HYPERLINK("http://www.worldcat.org/oclc/836296","WorldCat Record")</f>
        <v>WorldCat Record</v>
      </c>
      <c r="AU667" s="3" t="s">
        <v>8525</v>
      </c>
      <c r="AV667" s="3" t="s">
        <v>8526</v>
      </c>
      <c r="AW667" s="3" t="s">
        <v>8527</v>
      </c>
      <c r="AX667" s="3" t="s">
        <v>8527</v>
      </c>
      <c r="AY667" s="3" t="s">
        <v>8528</v>
      </c>
      <c r="AZ667" s="3" t="s">
        <v>73</v>
      </c>
      <c r="BB667" s="3" t="s">
        <v>8529</v>
      </c>
      <c r="BC667" s="3" t="s">
        <v>8530</v>
      </c>
      <c r="BD667" s="3" t="s">
        <v>8531</v>
      </c>
    </row>
    <row r="668" spans="1:56" ht="51" customHeight="1" x14ac:dyDescent="0.25">
      <c r="A668" s="7" t="s">
        <v>58</v>
      </c>
      <c r="B668" s="2" t="s">
        <v>8532</v>
      </c>
      <c r="C668" s="2" t="s">
        <v>8533</v>
      </c>
      <c r="D668" s="2" t="s">
        <v>8534</v>
      </c>
      <c r="F668" s="3" t="s">
        <v>58</v>
      </c>
      <c r="G668" s="3" t="s">
        <v>59</v>
      </c>
      <c r="H668" s="3" t="s">
        <v>58</v>
      </c>
      <c r="I668" s="3" t="s">
        <v>58</v>
      </c>
      <c r="J668" s="3" t="s">
        <v>60</v>
      </c>
      <c r="K668" s="2" t="s">
        <v>8535</v>
      </c>
      <c r="L668" s="2" t="s">
        <v>8536</v>
      </c>
      <c r="M668" s="3" t="s">
        <v>479</v>
      </c>
      <c r="O668" s="3" t="s">
        <v>63</v>
      </c>
      <c r="P668" s="3" t="s">
        <v>8537</v>
      </c>
      <c r="R668" s="3" t="s">
        <v>65</v>
      </c>
      <c r="S668" s="4">
        <v>0</v>
      </c>
      <c r="T668" s="4">
        <v>0</v>
      </c>
      <c r="U668" s="5" t="s">
        <v>4298</v>
      </c>
      <c r="V668" s="5" t="s">
        <v>4298</v>
      </c>
      <c r="W668" s="5" t="s">
        <v>8538</v>
      </c>
      <c r="X668" s="5" t="s">
        <v>8538</v>
      </c>
      <c r="Y668" s="4">
        <v>47</v>
      </c>
      <c r="Z668" s="4">
        <v>27</v>
      </c>
      <c r="AA668" s="4">
        <v>27</v>
      </c>
      <c r="AB668" s="4">
        <v>1</v>
      </c>
      <c r="AC668" s="4">
        <v>1</v>
      </c>
      <c r="AD668" s="4">
        <v>0</v>
      </c>
      <c r="AE668" s="4">
        <v>0</v>
      </c>
      <c r="AF668" s="4">
        <v>0</v>
      </c>
      <c r="AG668" s="4">
        <v>0</v>
      </c>
      <c r="AH668" s="4">
        <v>0</v>
      </c>
      <c r="AI668" s="4">
        <v>0</v>
      </c>
      <c r="AJ668" s="4">
        <v>0</v>
      </c>
      <c r="AK668" s="4">
        <v>0</v>
      </c>
      <c r="AL668" s="4">
        <v>0</v>
      </c>
      <c r="AM668" s="4">
        <v>0</v>
      </c>
      <c r="AN668" s="4">
        <v>0</v>
      </c>
      <c r="AO668" s="4">
        <v>0</v>
      </c>
      <c r="AP668" s="3" t="s">
        <v>58</v>
      </c>
      <c r="AQ668" s="3" t="s">
        <v>58</v>
      </c>
      <c r="AS668" s="6" t="str">
        <f>HYPERLINK("https://creighton-primo.hosted.exlibrisgroup.com/primo-explore/search?tab=default_tab&amp;search_scope=EVERYTHING&amp;vid=01CRU&amp;lang=en_US&amp;offset=0&amp;query=any,contains,991002492199702656","Catalog Record")</f>
        <v>Catalog Record</v>
      </c>
      <c r="AT668" s="6" t="str">
        <f>HYPERLINK("http://www.worldcat.org/oclc/32430317","WorldCat Record")</f>
        <v>WorldCat Record</v>
      </c>
      <c r="AU668" s="3" t="s">
        <v>8539</v>
      </c>
      <c r="AV668" s="3" t="s">
        <v>8540</v>
      </c>
      <c r="AW668" s="3" t="s">
        <v>8541</v>
      </c>
      <c r="AX668" s="3" t="s">
        <v>8541</v>
      </c>
      <c r="AY668" s="3" t="s">
        <v>8542</v>
      </c>
      <c r="AZ668" s="3" t="s">
        <v>73</v>
      </c>
      <c r="BC668" s="3" t="s">
        <v>8543</v>
      </c>
      <c r="BD668" s="3" t="s">
        <v>8544</v>
      </c>
    </row>
    <row r="669" spans="1:56" ht="51" customHeight="1" x14ac:dyDescent="0.25">
      <c r="A669" s="7" t="s">
        <v>58</v>
      </c>
      <c r="B669" s="2" t="s">
        <v>8545</v>
      </c>
      <c r="C669" s="2" t="s">
        <v>8546</v>
      </c>
      <c r="D669" s="2" t="s">
        <v>8547</v>
      </c>
      <c r="F669" s="3" t="s">
        <v>58</v>
      </c>
      <c r="G669" s="3" t="s">
        <v>59</v>
      </c>
      <c r="H669" s="3" t="s">
        <v>58</v>
      </c>
      <c r="I669" s="3" t="s">
        <v>58</v>
      </c>
      <c r="J669" s="3" t="s">
        <v>60</v>
      </c>
      <c r="K669" s="2" t="s">
        <v>8548</v>
      </c>
      <c r="L669" s="2" t="s">
        <v>8549</v>
      </c>
      <c r="M669" s="3" t="s">
        <v>626</v>
      </c>
      <c r="O669" s="3" t="s">
        <v>63</v>
      </c>
      <c r="P669" s="3" t="s">
        <v>816</v>
      </c>
      <c r="R669" s="3" t="s">
        <v>65</v>
      </c>
      <c r="S669" s="4">
        <v>1</v>
      </c>
      <c r="T669" s="4">
        <v>1</v>
      </c>
      <c r="U669" s="5" t="s">
        <v>1733</v>
      </c>
      <c r="V669" s="5" t="s">
        <v>1733</v>
      </c>
      <c r="W669" s="5" t="s">
        <v>8127</v>
      </c>
      <c r="X669" s="5" t="s">
        <v>8127</v>
      </c>
      <c r="Y669" s="4">
        <v>759</v>
      </c>
      <c r="Z669" s="4">
        <v>576</v>
      </c>
      <c r="AA669" s="4">
        <v>640</v>
      </c>
      <c r="AB669" s="4">
        <v>4</v>
      </c>
      <c r="AC669" s="4">
        <v>4</v>
      </c>
      <c r="AD669" s="4">
        <v>31</v>
      </c>
      <c r="AE669" s="4">
        <v>32</v>
      </c>
      <c r="AF669" s="4">
        <v>13</v>
      </c>
      <c r="AG669" s="4">
        <v>13</v>
      </c>
      <c r="AH669" s="4">
        <v>7</v>
      </c>
      <c r="AI669" s="4">
        <v>7</v>
      </c>
      <c r="AJ669" s="4">
        <v>18</v>
      </c>
      <c r="AK669" s="4">
        <v>19</v>
      </c>
      <c r="AL669" s="4">
        <v>3</v>
      </c>
      <c r="AM669" s="4">
        <v>3</v>
      </c>
      <c r="AN669" s="4">
        <v>0</v>
      </c>
      <c r="AO669" s="4">
        <v>0</v>
      </c>
      <c r="AP669" s="3" t="s">
        <v>58</v>
      </c>
      <c r="AQ669" s="3" t="s">
        <v>68</v>
      </c>
      <c r="AR669" s="6" t="str">
        <f>HYPERLINK("http://catalog.hathitrust.org/Record/000276984","HathiTrust Record")</f>
        <v>HathiTrust Record</v>
      </c>
      <c r="AS669" s="6" t="str">
        <f>HYPERLINK("https://creighton-primo.hosted.exlibrisgroup.com/primo-explore/search?tab=default_tab&amp;search_scope=EVERYTHING&amp;vid=01CRU&amp;lang=en_US&amp;offset=0&amp;query=any,contains,991000122479702656","Catalog Record")</f>
        <v>Catalog Record</v>
      </c>
      <c r="AT669" s="6" t="str">
        <f>HYPERLINK("http://www.worldcat.org/oclc/9080742","WorldCat Record")</f>
        <v>WorldCat Record</v>
      </c>
      <c r="AU669" s="3" t="s">
        <v>8550</v>
      </c>
      <c r="AV669" s="3" t="s">
        <v>8551</v>
      </c>
      <c r="AW669" s="3" t="s">
        <v>8552</v>
      </c>
      <c r="AX669" s="3" t="s">
        <v>8552</v>
      </c>
      <c r="AY669" s="3" t="s">
        <v>8553</v>
      </c>
      <c r="AZ669" s="3" t="s">
        <v>73</v>
      </c>
      <c r="BB669" s="3" t="s">
        <v>8554</v>
      </c>
      <c r="BC669" s="3" t="s">
        <v>8555</v>
      </c>
      <c r="BD669" s="3" t="s">
        <v>8556</v>
      </c>
    </row>
    <row r="670" spans="1:56" ht="51" customHeight="1" x14ac:dyDescent="0.25">
      <c r="A670" s="7" t="s">
        <v>58</v>
      </c>
      <c r="B670" s="2" t="s">
        <v>8557</v>
      </c>
      <c r="C670" s="2" t="s">
        <v>8558</v>
      </c>
      <c r="D670" s="2" t="s">
        <v>8559</v>
      </c>
      <c r="F670" s="3" t="s">
        <v>58</v>
      </c>
      <c r="G670" s="3" t="s">
        <v>59</v>
      </c>
      <c r="H670" s="3" t="s">
        <v>58</v>
      </c>
      <c r="I670" s="3" t="s">
        <v>58</v>
      </c>
      <c r="J670" s="3" t="s">
        <v>60</v>
      </c>
      <c r="K670" s="2" t="s">
        <v>8560</v>
      </c>
      <c r="L670" s="2" t="s">
        <v>8561</v>
      </c>
      <c r="M670" s="3" t="s">
        <v>4023</v>
      </c>
      <c r="O670" s="3" t="s">
        <v>63</v>
      </c>
      <c r="P670" s="3" t="s">
        <v>584</v>
      </c>
      <c r="R670" s="3" t="s">
        <v>65</v>
      </c>
      <c r="S670" s="4">
        <v>3</v>
      </c>
      <c r="T670" s="4">
        <v>3</v>
      </c>
      <c r="U670" s="5" t="s">
        <v>8496</v>
      </c>
      <c r="V670" s="5" t="s">
        <v>8496</v>
      </c>
      <c r="W670" s="5" t="s">
        <v>8562</v>
      </c>
      <c r="X670" s="5" t="s">
        <v>8562</v>
      </c>
      <c r="Y670" s="4">
        <v>672</v>
      </c>
      <c r="Z670" s="4">
        <v>494</v>
      </c>
      <c r="AA670" s="4">
        <v>552</v>
      </c>
      <c r="AB670" s="4">
        <v>5</v>
      </c>
      <c r="AC670" s="4">
        <v>5</v>
      </c>
      <c r="AD670" s="4">
        <v>23</v>
      </c>
      <c r="AE670" s="4">
        <v>26</v>
      </c>
      <c r="AF670" s="4">
        <v>8</v>
      </c>
      <c r="AG670" s="4">
        <v>9</v>
      </c>
      <c r="AH670" s="4">
        <v>7</v>
      </c>
      <c r="AI670" s="4">
        <v>7</v>
      </c>
      <c r="AJ670" s="4">
        <v>9</v>
      </c>
      <c r="AK670" s="4">
        <v>12</v>
      </c>
      <c r="AL670" s="4">
        <v>4</v>
      </c>
      <c r="AM670" s="4">
        <v>4</v>
      </c>
      <c r="AN670" s="4">
        <v>0</v>
      </c>
      <c r="AO670" s="4">
        <v>0</v>
      </c>
      <c r="AP670" s="3" t="s">
        <v>58</v>
      </c>
      <c r="AQ670" s="3" t="s">
        <v>58</v>
      </c>
      <c r="AS670" s="6" t="str">
        <f>HYPERLINK("https://creighton-primo.hosted.exlibrisgroup.com/primo-explore/search?tab=default_tab&amp;search_scope=EVERYTHING&amp;vid=01CRU&amp;lang=en_US&amp;offset=0&amp;query=any,contains,991004293939702656","Catalog Record")</f>
        <v>Catalog Record</v>
      </c>
      <c r="AT670" s="6" t="str">
        <f>HYPERLINK("http://www.worldcat.org/oclc/54079507","WorldCat Record")</f>
        <v>WorldCat Record</v>
      </c>
      <c r="AU670" s="3" t="s">
        <v>8563</v>
      </c>
      <c r="AV670" s="3" t="s">
        <v>8564</v>
      </c>
      <c r="AW670" s="3" t="s">
        <v>8565</v>
      </c>
      <c r="AX670" s="3" t="s">
        <v>8565</v>
      </c>
      <c r="AY670" s="3" t="s">
        <v>8566</v>
      </c>
      <c r="AZ670" s="3" t="s">
        <v>73</v>
      </c>
      <c r="BB670" s="3" t="s">
        <v>8567</v>
      </c>
      <c r="BC670" s="3" t="s">
        <v>8568</v>
      </c>
      <c r="BD670" s="3" t="s">
        <v>8569</v>
      </c>
    </row>
    <row r="671" spans="1:56" ht="51" customHeight="1" x14ac:dyDescent="0.25">
      <c r="A671" s="7" t="s">
        <v>58</v>
      </c>
      <c r="B671" s="2" t="s">
        <v>8570</v>
      </c>
      <c r="C671" s="2" t="s">
        <v>8571</v>
      </c>
      <c r="D671" s="2" t="s">
        <v>8572</v>
      </c>
      <c r="F671" s="3" t="s">
        <v>58</v>
      </c>
      <c r="G671" s="3" t="s">
        <v>59</v>
      </c>
      <c r="H671" s="3" t="s">
        <v>58</v>
      </c>
      <c r="I671" s="3" t="s">
        <v>58</v>
      </c>
      <c r="J671" s="3" t="s">
        <v>60</v>
      </c>
      <c r="K671" s="2" t="s">
        <v>8573</v>
      </c>
      <c r="L671" s="2" t="s">
        <v>8574</v>
      </c>
      <c r="M671" s="3" t="s">
        <v>2295</v>
      </c>
      <c r="N671" s="2" t="s">
        <v>338</v>
      </c>
      <c r="O671" s="3" t="s">
        <v>63</v>
      </c>
      <c r="P671" s="3" t="s">
        <v>214</v>
      </c>
      <c r="R671" s="3" t="s">
        <v>65</v>
      </c>
      <c r="S671" s="4">
        <v>7</v>
      </c>
      <c r="T671" s="4">
        <v>7</v>
      </c>
      <c r="U671" s="5" t="s">
        <v>8575</v>
      </c>
      <c r="V671" s="5" t="s">
        <v>8575</v>
      </c>
      <c r="W671" s="5" t="s">
        <v>8576</v>
      </c>
      <c r="X671" s="5" t="s">
        <v>8576</v>
      </c>
      <c r="Y671" s="4">
        <v>2348</v>
      </c>
      <c r="Z671" s="4">
        <v>2254</v>
      </c>
      <c r="AA671" s="4">
        <v>2553</v>
      </c>
      <c r="AB671" s="4">
        <v>28</v>
      </c>
      <c r="AC671" s="4">
        <v>29</v>
      </c>
      <c r="AD671" s="4">
        <v>29</v>
      </c>
      <c r="AE671" s="4">
        <v>31</v>
      </c>
      <c r="AF671" s="4">
        <v>15</v>
      </c>
      <c r="AG671" s="4">
        <v>15</v>
      </c>
      <c r="AH671" s="4">
        <v>5</v>
      </c>
      <c r="AI671" s="4">
        <v>5</v>
      </c>
      <c r="AJ671" s="4">
        <v>12</v>
      </c>
      <c r="AK671" s="4">
        <v>13</v>
      </c>
      <c r="AL671" s="4">
        <v>3</v>
      </c>
      <c r="AM671" s="4">
        <v>4</v>
      </c>
      <c r="AN671" s="4">
        <v>1</v>
      </c>
      <c r="AO671" s="4">
        <v>1</v>
      </c>
      <c r="AP671" s="3" t="s">
        <v>58</v>
      </c>
      <c r="AQ671" s="3" t="s">
        <v>68</v>
      </c>
      <c r="AR671" s="6" t="str">
        <f>HYPERLINK("http://catalog.hathitrust.org/Record/004314460","HathiTrust Record")</f>
        <v>HathiTrust Record</v>
      </c>
      <c r="AS671" s="6" t="str">
        <f>HYPERLINK("https://creighton-primo.hosted.exlibrisgroup.com/primo-explore/search?tab=default_tab&amp;search_scope=EVERYTHING&amp;vid=01CRU&amp;lang=en_US&amp;offset=0&amp;query=any,contains,991004058699702656","Catalog Record")</f>
        <v>Catalog Record</v>
      </c>
      <c r="AT671" s="6" t="str">
        <f>HYPERLINK("http://www.worldcat.org/oclc/51830518","WorldCat Record")</f>
        <v>WorldCat Record</v>
      </c>
      <c r="AU671" s="3" t="s">
        <v>8577</v>
      </c>
      <c r="AV671" s="3" t="s">
        <v>8578</v>
      </c>
      <c r="AW671" s="3" t="s">
        <v>8579</v>
      </c>
      <c r="AX671" s="3" t="s">
        <v>8579</v>
      </c>
      <c r="AY671" s="3" t="s">
        <v>8580</v>
      </c>
      <c r="AZ671" s="3" t="s">
        <v>73</v>
      </c>
      <c r="BB671" s="3" t="s">
        <v>8581</v>
      </c>
      <c r="BC671" s="3" t="s">
        <v>8582</v>
      </c>
      <c r="BD671" s="3" t="s">
        <v>8583</v>
      </c>
    </row>
    <row r="672" spans="1:56" ht="51" customHeight="1" x14ac:dyDescent="0.25">
      <c r="A672" s="7" t="s">
        <v>58</v>
      </c>
      <c r="B672" s="2" t="s">
        <v>8584</v>
      </c>
      <c r="C672" s="2" t="s">
        <v>8585</v>
      </c>
      <c r="D672" s="2" t="s">
        <v>8586</v>
      </c>
      <c r="F672" s="3" t="s">
        <v>58</v>
      </c>
      <c r="G672" s="3" t="s">
        <v>59</v>
      </c>
      <c r="H672" s="3" t="s">
        <v>58</v>
      </c>
      <c r="I672" s="3" t="s">
        <v>58</v>
      </c>
      <c r="J672" s="3" t="s">
        <v>60</v>
      </c>
      <c r="K672" s="2" t="s">
        <v>8587</v>
      </c>
      <c r="L672" s="2" t="s">
        <v>8588</v>
      </c>
      <c r="M672" s="3" t="s">
        <v>337</v>
      </c>
      <c r="O672" s="3" t="s">
        <v>63</v>
      </c>
      <c r="P672" s="3" t="s">
        <v>584</v>
      </c>
      <c r="R672" s="3" t="s">
        <v>65</v>
      </c>
      <c r="S672" s="4">
        <v>1</v>
      </c>
      <c r="T672" s="4">
        <v>1</v>
      </c>
      <c r="U672" s="5" t="s">
        <v>8589</v>
      </c>
      <c r="V672" s="5" t="s">
        <v>8589</v>
      </c>
      <c r="W672" s="5" t="s">
        <v>8589</v>
      </c>
      <c r="X672" s="5" t="s">
        <v>8589</v>
      </c>
      <c r="Y672" s="4">
        <v>200</v>
      </c>
      <c r="Z672" s="4">
        <v>161</v>
      </c>
      <c r="AA672" s="4">
        <v>169</v>
      </c>
      <c r="AB672" s="4">
        <v>2</v>
      </c>
      <c r="AC672" s="4">
        <v>2</v>
      </c>
      <c r="AD672" s="4">
        <v>12</v>
      </c>
      <c r="AE672" s="4">
        <v>12</v>
      </c>
      <c r="AF672" s="4">
        <v>3</v>
      </c>
      <c r="AG672" s="4">
        <v>3</v>
      </c>
      <c r="AH672" s="4">
        <v>6</v>
      </c>
      <c r="AI672" s="4">
        <v>6</v>
      </c>
      <c r="AJ672" s="4">
        <v>6</v>
      </c>
      <c r="AK672" s="4">
        <v>6</v>
      </c>
      <c r="AL672" s="4">
        <v>1</v>
      </c>
      <c r="AM672" s="4">
        <v>1</v>
      </c>
      <c r="AN672" s="4">
        <v>1</v>
      </c>
      <c r="AO672" s="4">
        <v>1</v>
      </c>
      <c r="AP672" s="3" t="s">
        <v>58</v>
      </c>
      <c r="AQ672" s="3" t="s">
        <v>68</v>
      </c>
      <c r="AR672" s="6" t="str">
        <f>HYPERLINK("http://catalog.hathitrust.org/Record/004276822","HathiTrust Record")</f>
        <v>HathiTrust Record</v>
      </c>
      <c r="AS672" s="6" t="str">
        <f>HYPERLINK("https://creighton-primo.hosted.exlibrisgroup.com/primo-explore/search?tab=default_tab&amp;search_scope=EVERYTHING&amp;vid=01CRU&amp;lang=en_US&amp;offset=0&amp;query=any,contains,991004368879702656","Catalog Record")</f>
        <v>Catalog Record</v>
      </c>
      <c r="AT672" s="6" t="str">
        <f>HYPERLINK("http://www.worldcat.org/oclc/48871030","WorldCat Record")</f>
        <v>WorldCat Record</v>
      </c>
      <c r="AU672" s="3" t="s">
        <v>8590</v>
      </c>
      <c r="AV672" s="3" t="s">
        <v>8591</v>
      </c>
      <c r="AW672" s="3" t="s">
        <v>8592</v>
      </c>
      <c r="AX672" s="3" t="s">
        <v>8592</v>
      </c>
      <c r="AY672" s="3" t="s">
        <v>8593</v>
      </c>
      <c r="AZ672" s="3" t="s">
        <v>73</v>
      </c>
      <c r="BB672" s="3" t="s">
        <v>8594</v>
      </c>
      <c r="BC672" s="3" t="s">
        <v>8595</v>
      </c>
      <c r="BD672" s="3" t="s">
        <v>8596</v>
      </c>
    </row>
    <row r="673" spans="1:56" ht="51" customHeight="1" x14ac:dyDescent="0.25">
      <c r="A673" s="7" t="s">
        <v>58</v>
      </c>
      <c r="B673" s="2" t="s">
        <v>8597</v>
      </c>
      <c r="C673" s="2" t="s">
        <v>8598</v>
      </c>
      <c r="D673" s="2" t="s">
        <v>8599</v>
      </c>
      <c r="F673" s="3" t="s">
        <v>58</v>
      </c>
      <c r="G673" s="3" t="s">
        <v>59</v>
      </c>
      <c r="H673" s="3" t="s">
        <v>58</v>
      </c>
      <c r="I673" s="3" t="s">
        <v>58</v>
      </c>
      <c r="J673" s="3" t="s">
        <v>60</v>
      </c>
      <c r="K673" s="2" t="s">
        <v>8600</v>
      </c>
      <c r="L673" s="2" t="s">
        <v>8601</v>
      </c>
      <c r="M673" s="3" t="s">
        <v>382</v>
      </c>
      <c r="N673" s="2" t="s">
        <v>8602</v>
      </c>
      <c r="O673" s="3" t="s">
        <v>63</v>
      </c>
      <c r="P673" s="3" t="s">
        <v>214</v>
      </c>
      <c r="R673" s="3" t="s">
        <v>65</v>
      </c>
      <c r="S673" s="4">
        <v>2</v>
      </c>
      <c r="T673" s="4">
        <v>2</v>
      </c>
      <c r="U673" s="5" t="s">
        <v>8603</v>
      </c>
      <c r="V673" s="5" t="s">
        <v>8603</v>
      </c>
      <c r="W673" s="5" t="s">
        <v>8603</v>
      </c>
      <c r="X673" s="5" t="s">
        <v>8603</v>
      </c>
      <c r="Y673" s="4">
        <v>793</v>
      </c>
      <c r="Z673" s="4">
        <v>753</v>
      </c>
      <c r="AA673" s="4">
        <v>777</v>
      </c>
      <c r="AB673" s="4">
        <v>7</v>
      </c>
      <c r="AC673" s="4">
        <v>7</v>
      </c>
      <c r="AD673" s="4">
        <v>24</v>
      </c>
      <c r="AE673" s="4">
        <v>25</v>
      </c>
      <c r="AF673" s="4">
        <v>9</v>
      </c>
      <c r="AG673" s="4">
        <v>9</v>
      </c>
      <c r="AH673" s="4">
        <v>6</v>
      </c>
      <c r="AI673" s="4">
        <v>6</v>
      </c>
      <c r="AJ673" s="4">
        <v>12</v>
      </c>
      <c r="AK673" s="4">
        <v>13</v>
      </c>
      <c r="AL673" s="4">
        <v>4</v>
      </c>
      <c r="AM673" s="4">
        <v>4</v>
      </c>
      <c r="AN673" s="4">
        <v>0</v>
      </c>
      <c r="AO673" s="4">
        <v>0</v>
      </c>
      <c r="AP673" s="3" t="s">
        <v>58</v>
      </c>
      <c r="AQ673" s="3" t="s">
        <v>68</v>
      </c>
      <c r="AR673" s="6" t="str">
        <f>HYPERLINK("http://catalog.hathitrust.org/Record/004052523","HathiTrust Record")</f>
        <v>HathiTrust Record</v>
      </c>
      <c r="AS673" s="6" t="str">
        <f>HYPERLINK("https://creighton-primo.hosted.exlibrisgroup.com/primo-explore/search?tab=default_tab&amp;search_scope=EVERYTHING&amp;vid=01CRU&amp;lang=en_US&amp;offset=0&amp;query=any,contains,991003884829702656","Catalog Record")</f>
        <v>Catalog Record</v>
      </c>
      <c r="AT673" s="6" t="str">
        <f>HYPERLINK("http://www.worldcat.org/oclc/41712141","WorldCat Record")</f>
        <v>WorldCat Record</v>
      </c>
      <c r="AU673" s="3" t="s">
        <v>8604</v>
      </c>
      <c r="AV673" s="3" t="s">
        <v>8605</v>
      </c>
      <c r="AW673" s="3" t="s">
        <v>8606</v>
      </c>
      <c r="AX673" s="3" t="s">
        <v>8606</v>
      </c>
      <c r="AY673" s="3" t="s">
        <v>8607</v>
      </c>
      <c r="AZ673" s="3" t="s">
        <v>73</v>
      </c>
      <c r="BB673" s="3" t="s">
        <v>8608</v>
      </c>
      <c r="BC673" s="3" t="s">
        <v>8609</v>
      </c>
      <c r="BD673" s="3" t="s">
        <v>8610</v>
      </c>
    </row>
    <row r="674" spans="1:56" ht="51" customHeight="1" x14ac:dyDescent="0.25">
      <c r="A674" s="7" t="s">
        <v>58</v>
      </c>
      <c r="B674" s="2" t="s">
        <v>8611</v>
      </c>
      <c r="C674" s="2" t="s">
        <v>8612</v>
      </c>
      <c r="D674" s="2" t="s">
        <v>8613</v>
      </c>
      <c r="F674" s="3" t="s">
        <v>58</v>
      </c>
      <c r="G674" s="3" t="s">
        <v>59</v>
      </c>
      <c r="H674" s="3" t="s">
        <v>58</v>
      </c>
      <c r="I674" s="3" t="s">
        <v>58</v>
      </c>
      <c r="J674" s="3" t="s">
        <v>60</v>
      </c>
      <c r="K674" s="2" t="s">
        <v>8614</v>
      </c>
      <c r="L674" s="2" t="s">
        <v>8615</v>
      </c>
      <c r="M674" s="3" t="s">
        <v>524</v>
      </c>
      <c r="O674" s="3" t="s">
        <v>63</v>
      </c>
      <c r="P674" s="3" t="s">
        <v>214</v>
      </c>
      <c r="R674" s="3" t="s">
        <v>65</v>
      </c>
      <c r="S674" s="4">
        <v>3</v>
      </c>
      <c r="T674" s="4">
        <v>3</v>
      </c>
      <c r="U674" s="5" t="s">
        <v>66</v>
      </c>
      <c r="V674" s="5" t="s">
        <v>66</v>
      </c>
      <c r="W674" s="5" t="s">
        <v>8483</v>
      </c>
      <c r="X674" s="5" t="s">
        <v>8483</v>
      </c>
      <c r="Y674" s="4">
        <v>632</v>
      </c>
      <c r="Z674" s="4">
        <v>560</v>
      </c>
      <c r="AA674" s="4">
        <v>574</v>
      </c>
      <c r="AB674" s="4">
        <v>5</v>
      </c>
      <c r="AC674" s="4">
        <v>5</v>
      </c>
      <c r="AD674" s="4">
        <v>23</v>
      </c>
      <c r="AE674" s="4">
        <v>25</v>
      </c>
      <c r="AF674" s="4">
        <v>8</v>
      </c>
      <c r="AG674" s="4">
        <v>8</v>
      </c>
      <c r="AH674" s="4">
        <v>5</v>
      </c>
      <c r="AI674" s="4">
        <v>5</v>
      </c>
      <c r="AJ674" s="4">
        <v>10</v>
      </c>
      <c r="AK674" s="4">
        <v>10</v>
      </c>
      <c r="AL674" s="4">
        <v>4</v>
      </c>
      <c r="AM674" s="4">
        <v>4</v>
      </c>
      <c r="AN674" s="4">
        <v>0</v>
      </c>
      <c r="AO674" s="4">
        <v>2</v>
      </c>
      <c r="AP674" s="3" t="s">
        <v>58</v>
      </c>
      <c r="AQ674" s="3" t="s">
        <v>68</v>
      </c>
      <c r="AR674" s="6" t="str">
        <f>HYPERLINK("http://catalog.hathitrust.org/Record/000391263","HathiTrust Record")</f>
        <v>HathiTrust Record</v>
      </c>
      <c r="AS674" s="6" t="str">
        <f>HYPERLINK("https://creighton-primo.hosted.exlibrisgroup.com/primo-explore/search?tab=default_tab&amp;search_scope=EVERYTHING&amp;vid=01CRU&amp;lang=en_US&amp;offset=0&amp;query=any,contains,991000828749702656","Catalog Record")</f>
        <v>Catalog Record</v>
      </c>
      <c r="AT674" s="6" t="str">
        <f>HYPERLINK("http://www.worldcat.org/oclc/13426324","WorldCat Record")</f>
        <v>WorldCat Record</v>
      </c>
      <c r="AU674" s="3" t="s">
        <v>8616</v>
      </c>
      <c r="AV674" s="3" t="s">
        <v>8617</v>
      </c>
      <c r="AW674" s="3" t="s">
        <v>8618</v>
      </c>
      <c r="AX674" s="3" t="s">
        <v>8618</v>
      </c>
      <c r="AY674" s="3" t="s">
        <v>8619</v>
      </c>
      <c r="AZ674" s="3" t="s">
        <v>73</v>
      </c>
      <c r="BB674" s="3" t="s">
        <v>8620</v>
      </c>
      <c r="BC674" s="3" t="s">
        <v>8621</v>
      </c>
      <c r="BD674" s="3" t="s">
        <v>8622</v>
      </c>
    </row>
    <row r="675" spans="1:56" ht="51" customHeight="1" x14ac:dyDescent="0.25">
      <c r="A675" s="7" t="s">
        <v>58</v>
      </c>
      <c r="B675" s="2" t="s">
        <v>8623</v>
      </c>
      <c r="C675" s="2" t="s">
        <v>8624</v>
      </c>
      <c r="D675" s="2" t="s">
        <v>8625</v>
      </c>
      <c r="F675" s="3" t="s">
        <v>58</v>
      </c>
      <c r="G675" s="3" t="s">
        <v>59</v>
      </c>
      <c r="H675" s="3" t="s">
        <v>58</v>
      </c>
      <c r="I675" s="3" t="s">
        <v>58</v>
      </c>
      <c r="J675" s="3" t="s">
        <v>60</v>
      </c>
      <c r="K675" s="2" t="s">
        <v>8626</v>
      </c>
      <c r="L675" s="2" t="s">
        <v>8627</v>
      </c>
      <c r="M675" s="3" t="s">
        <v>154</v>
      </c>
      <c r="N675" s="2" t="s">
        <v>870</v>
      </c>
      <c r="O675" s="3" t="s">
        <v>63</v>
      </c>
      <c r="P675" s="3" t="s">
        <v>214</v>
      </c>
      <c r="R675" s="3" t="s">
        <v>65</v>
      </c>
      <c r="S675" s="4">
        <v>2</v>
      </c>
      <c r="T675" s="4">
        <v>2</v>
      </c>
      <c r="U675" s="5" t="s">
        <v>8628</v>
      </c>
      <c r="V675" s="5" t="s">
        <v>8628</v>
      </c>
      <c r="W675" s="5" t="s">
        <v>8629</v>
      </c>
      <c r="X675" s="5" t="s">
        <v>8629</v>
      </c>
      <c r="Y675" s="4">
        <v>447</v>
      </c>
      <c r="Z675" s="4">
        <v>403</v>
      </c>
      <c r="AA675" s="4">
        <v>403</v>
      </c>
      <c r="AB675" s="4">
        <v>2</v>
      </c>
      <c r="AC675" s="4">
        <v>2</v>
      </c>
      <c r="AD675" s="4">
        <v>9</v>
      </c>
      <c r="AE675" s="4">
        <v>9</v>
      </c>
      <c r="AF675" s="4">
        <v>2</v>
      </c>
      <c r="AG675" s="4">
        <v>2</v>
      </c>
      <c r="AH675" s="4">
        <v>3</v>
      </c>
      <c r="AI675" s="4">
        <v>3</v>
      </c>
      <c r="AJ675" s="4">
        <v>4</v>
      </c>
      <c r="AK675" s="4">
        <v>4</v>
      </c>
      <c r="AL675" s="4">
        <v>1</v>
      </c>
      <c r="AM675" s="4">
        <v>1</v>
      </c>
      <c r="AN675" s="4">
        <v>0</v>
      </c>
      <c r="AO675" s="4">
        <v>0</v>
      </c>
      <c r="AP675" s="3" t="s">
        <v>58</v>
      </c>
      <c r="AQ675" s="3" t="s">
        <v>58</v>
      </c>
      <c r="AS675" s="6" t="str">
        <f>HYPERLINK("https://creighton-primo.hosted.exlibrisgroup.com/primo-explore/search?tab=default_tab&amp;search_scope=EVERYTHING&amp;vid=01CRU&amp;lang=en_US&amp;offset=0&amp;query=any,contains,991001535809702656","Catalog Record")</f>
        <v>Catalog Record</v>
      </c>
      <c r="AT675" s="6" t="str">
        <f>HYPERLINK("http://www.worldcat.org/oclc/20072505","WorldCat Record")</f>
        <v>WorldCat Record</v>
      </c>
      <c r="AU675" s="3" t="s">
        <v>8630</v>
      </c>
      <c r="AV675" s="3" t="s">
        <v>8631</v>
      </c>
      <c r="AW675" s="3" t="s">
        <v>8632</v>
      </c>
      <c r="AX675" s="3" t="s">
        <v>8632</v>
      </c>
      <c r="AY675" s="3" t="s">
        <v>8633</v>
      </c>
      <c r="AZ675" s="3" t="s">
        <v>73</v>
      </c>
      <c r="BB675" s="3" t="s">
        <v>8634</v>
      </c>
      <c r="BC675" s="3" t="s">
        <v>8635</v>
      </c>
      <c r="BD675" s="3" t="s">
        <v>8636</v>
      </c>
    </row>
    <row r="676" spans="1:56" ht="51" customHeight="1" x14ac:dyDescent="0.25">
      <c r="A676" s="7" t="s">
        <v>58</v>
      </c>
      <c r="B676" s="2" t="s">
        <v>8637</v>
      </c>
      <c r="C676" s="2" t="s">
        <v>8638</v>
      </c>
      <c r="D676" s="2" t="s">
        <v>8639</v>
      </c>
      <c r="F676" s="3" t="s">
        <v>58</v>
      </c>
      <c r="G676" s="3" t="s">
        <v>59</v>
      </c>
      <c r="H676" s="3" t="s">
        <v>58</v>
      </c>
      <c r="I676" s="3" t="s">
        <v>58</v>
      </c>
      <c r="J676" s="3" t="s">
        <v>60</v>
      </c>
      <c r="K676" s="2" t="s">
        <v>8640</v>
      </c>
      <c r="L676" s="2" t="s">
        <v>8641</v>
      </c>
      <c r="M676" s="3" t="s">
        <v>1091</v>
      </c>
      <c r="O676" s="3" t="s">
        <v>63</v>
      </c>
      <c r="P676" s="3" t="s">
        <v>584</v>
      </c>
      <c r="Q676" s="2" t="s">
        <v>8642</v>
      </c>
      <c r="R676" s="3" t="s">
        <v>65</v>
      </c>
      <c r="S676" s="4">
        <v>1</v>
      </c>
      <c r="T676" s="4">
        <v>1</v>
      </c>
      <c r="U676" s="5" t="s">
        <v>8643</v>
      </c>
      <c r="V676" s="5" t="s">
        <v>8643</v>
      </c>
      <c r="W676" s="5" t="s">
        <v>8643</v>
      </c>
      <c r="X676" s="5" t="s">
        <v>8643</v>
      </c>
      <c r="Y676" s="4">
        <v>90</v>
      </c>
      <c r="Z676" s="4">
        <v>60</v>
      </c>
      <c r="AA676" s="4">
        <v>63</v>
      </c>
      <c r="AB676" s="4">
        <v>1</v>
      </c>
      <c r="AC676" s="4">
        <v>1</v>
      </c>
      <c r="AD676" s="4">
        <v>1</v>
      </c>
      <c r="AE676" s="4">
        <v>1</v>
      </c>
      <c r="AF676" s="4">
        <v>0</v>
      </c>
      <c r="AG676" s="4">
        <v>0</v>
      </c>
      <c r="AH676" s="4">
        <v>0</v>
      </c>
      <c r="AI676" s="4">
        <v>0</v>
      </c>
      <c r="AJ676" s="4">
        <v>1</v>
      </c>
      <c r="AK676" s="4">
        <v>1</v>
      </c>
      <c r="AL676" s="4">
        <v>0</v>
      </c>
      <c r="AM676" s="4">
        <v>0</v>
      </c>
      <c r="AN676" s="4">
        <v>0</v>
      </c>
      <c r="AO676" s="4">
        <v>0</v>
      </c>
      <c r="AP676" s="3" t="s">
        <v>58</v>
      </c>
      <c r="AQ676" s="3" t="s">
        <v>68</v>
      </c>
      <c r="AR676" s="6" t="str">
        <f>HYPERLINK("http://catalog.hathitrust.org/Record/003589441","HathiTrust Record")</f>
        <v>HathiTrust Record</v>
      </c>
      <c r="AS676" s="6" t="str">
        <f>HYPERLINK("https://creighton-primo.hosted.exlibrisgroup.com/primo-explore/search?tab=default_tab&amp;search_scope=EVERYTHING&amp;vid=01CRU&amp;lang=en_US&amp;offset=0&amp;query=any,contains,991004219459702656","Catalog Record")</f>
        <v>Catalog Record</v>
      </c>
      <c r="AT676" s="6" t="str">
        <f>HYPERLINK("http://www.worldcat.org/oclc/49727128","WorldCat Record")</f>
        <v>WorldCat Record</v>
      </c>
      <c r="AU676" s="3" t="s">
        <v>8644</v>
      </c>
      <c r="AV676" s="3" t="s">
        <v>8645</v>
      </c>
      <c r="AW676" s="3" t="s">
        <v>8646</v>
      </c>
      <c r="AX676" s="3" t="s">
        <v>8646</v>
      </c>
      <c r="AY676" s="3" t="s">
        <v>8647</v>
      </c>
      <c r="AZ676" s="3" t="s">
        <v>73</v>
      </c>
      <c r="BB676" s="3" t="s">
        <v>8648</v>
      </c>
      <c r="BC676" s="3" t="s">
        <v>8649</v>
      </c>
      <c r="BD676" s="3" t="s">
        <v>8650</v>
      </c>
    </row>
    <row r="677" spans="1:56" ht="51" customHeight="1" x14ac:dyDescent="0.25">
      <c r="A677" s="7" t="s">
        <v>58</v>
      </c>
      <c r="B677" s="2" t="s">
        <v>8651</v>
      </c>
      <c r="C677" s="2" t="s">
        <v>8652</v>
      </c>
      <c r="D677" s="2" t="s">
        <v>8653</v>
      </c>
      <c r="F677" s="3" t="s">
        <v>58</v>
      </c>
      <c r="G677" s="3" t="s">
        <v>59</v>
      </c>
      <c r="H677" s="3" t="s">
        <v>58</v>
      </c>
      <c r="I677" s="3" t="s">
        <v>58</v>
      </c>
      <c r="J677" s="3" t="s">
        <v>60</v>
      </c>
      <c r="K677" s="2" t="s">
        <v>8654</v>
      </c>
      <c r="L677" s="2" t="s">
        <v>8655</v>
      </c>
      <c r="M677" s="3" t="s">
        <v>524</v>
      </c>
      <c r="O677" s="3" t="s">
        <v>63</v>
      </c>
      <c r="P677" s="3" t="s">
        <v>495</v>
      </c>
      <c r="Q677" s="2" t="s">
        <v>8656</v>
      </c>
      <c r="R677" s="3" t="s">
        <v>65</v>
      </c>
      <c r="S677" s="4">
        <v>6</v>
      </c>
      <c r="T677" s="4">
        <v>6</v>
      </c>
      <c r="U677" s="5" t="s">
        <v>1799</v>
      </c>
      <c r="V677" s="5" t="s">
        <v>1799</v>
      </c>
      <c r="W677" s="5" t="s">
        <v>8657</v>
      </c>
      <c r="X677" s="5" t="s">
        <v>8657</v>
      </c>
      <c r="Y677" s="4">
        <v>149</v>
      </c>
      <c r="Z677" s="4">
        <v>111</v>
      </c>
      <c r="AA677" s="4">
        <v>111</v>
      </c>
      <c r="AB677" s="4">
        <v>2</v>
      </c>
      <c r="AC677" s="4">
        <v>2</v>
      </c>
      <c r="AD677" s="4">
        <v>6</v>
      </c>
      <c r="AE677" s="4">
        <v>6</v>
      </c>
      <c r="AF677" s="4">
        <v>1</v>
      </c>
      <c r="AG677" s="4">
        <v>1</v>
      </c>
      <c r="AH677" s="4">
        <v>1</v>
      </c>
      <c r="AI677" s="4">
        <v>1</v>
      </c>
      <c r="AJ677" s="4">
        <v>3</v>
      </c>
      <c r="AK677" s="4">
        <v>3</v>
      </c>
      <c r="AL677" s="4">
        <v>1</v>
      </c>
      <c r="AM677" s="4">
        <v>1</v>
      </c>
      <c r="AN677" s="4">
        <v>0</v>
      </c>
      <c r="AO677" s="4">
        <v>0</v>
      </c>
      <c r="AP677" s="3" t="s">
        <v>58</v>
      </c>
      <c r="AQ677" s="3" t="s">
        <v>58</v>
      </c>
      <c r="AS677" s="6" t="str">
        <f>HYPERLINK("https://creighton-primo.hosted.exlibrisgroup.com/primo-explore/search?tab=default_tab&amp;search_scope=EVERYTHING&amp;vid=01CRU&amp;lang=en_US&amp;offset=0&amp;query=any,contains,991001052129702656","Catalog Record")</f>
        <v>Catalog Record</v>
      </c>
      <c r="AT677" s="6" t="str">
        <f>HYPERLINK("http://www.worldcat.org/oclc/15657067","WorldCat Record")</f>
        <v>WorldCat Record</v>
      </c>
      <c r="AU677" s="3" t="s">
        <v>8658</v>
      </c>
      <c r="AV677" s="3" t="s">
        <v>8659</v>
      </c>
      <c r="AW677" s="3" t="s">
        <v>8660</v>
      </c>
      <c r="AX677" s="3" t="s">
        <v>8660</v>
      </c>
      <c r="AY677" s="3" t="s">
        <v>8661</v>
      </c>
      <c r="AZ677" s="3" t="s">
        <v>73</v>
      </c>
      <c r="BB677" s="3" t="s">
        <v>8662</v>
      </c>
      <c r="BC677" s="3" t="s">
        <v>8663</v>
      </c>
      <c r="BD677" s="3" t="s">
        <v>8664</v>
      </c>
    </row>
    <row r="678" spans="1:56" ht="51" customHeight="1" x14ac:dyDescent="0.25">
      <c r="A678" s="7" t="s">
        <v>58</v>
      </c>
      <c r="B678" s="2" t="s">
        <v>8665</v>
      </c>
      <c r="C678" s="2" t="s">
        <v>8666</v>
      </c>
      <c r="D678" s="2" t="s">
        <v>8667</v>
      </c>
      <c r="F678" s="3" t="s">
        <v>58</v>
      </c>
      <c r="G678" s="3" t="s">
        <v>59</v>
      </c>
      <c r="H678" s="3" t="s">
        <v>58</v>
      </c>
      <c r="I678" s="3" t="s">
        <v>58</v>
      </c>
      <c r="J678" s="3" t="s">
        <v>60</v>
      </c>
      <c r="K678" s="2" t="s">
        <v>8668</v>
      </c>
      <c r="L678" s="2" t="s">
        <v>8669</v>
      </c>
      <c r="M678" s="3" t="s">
        <v>855</v>
      </c>
      <c r="O678" s="3" t="s">
        <v>63</v>
      </c>
      <c r="P678" s="3" t="s">
        <v>437</v>
      </c>
      <c r="Q678" s="2" t="s">
        <v>8670</v>
      </c>
      <c r="R678" s="3" t="s">
        <v>65</v>
      </c>
      <c r="S678" s="4">
        <v>3</v>
      </c>
      <c r="T678" s="4">
        <v>3</v>
      </c>
      <c r="U678" s="5" t="s">
        <v>8671</v>
      </c>
      <c r="V678" s="5" t="s">
        <v>8671</v>
      </c>
      <c r="W678" s="5" t="s">
        <v>8672</v>
      </c>
      <c r="X678" s="5" t="s">
        <v>8672</v>
      </c>
      <c r="Y678" s="4">
        <v>158</v>
      </c>
      <c r="Z678" s="4">
        <v>119</v>
      </c>
      <c r="AA678" s="4">
        <v>163</v>
      </c>
      <c r="AB678" s="4">
        <v>2</v>
      </c>
      <c r="AC678" s="4">
        <v>2</v>
      </c>
      <c r="AD678" s="4">
        <v>4</v>
      </c>
      <c r="AE678" s="4">
        <v>9</v>
      </c>
      <c r="AF678" s="4">
        <v>2</v>
      </c>
      <c r="AG678" s="4">
        <v>6</v>
      </c>
      <c r="AH678" s="4">
        <v>0</v>
      </c>
      <c r="AI678" s="4">
        <v>1</v>
      </c>
      <c r="AJ678" s="4">
        <v>2</v>
      </c>
      <c r="AK678" s="4">
        <v>3</v>
      </c>
      <c r="AL678" s="4">
        <v>1</v>
      </c>
      <c r="AM678" s="4">
        <v>1</v>
      </c>
      <c r="AN678" s="4">
        <v>0</v>
      </c>
      <c r="AO678" s="4">
        <v>0</v>
      </c>
      <c r="AP678" s="3" t="s">
        <v>58</v>
      </c>
      <c r="AQ678" s="3" t="s">
        <v>68</v>
      </c>
      <c r="AR678" s="6" t="str">
        <f>HYPERLINK("http://catalog.hathitrust.org/Record/003835035","HathiTrust Record")</f>
        <v>HathiTrust Record</v>
      </c>
      <c r="AS678" s="6" t="str">
        <f>HYPERLINK("https://creighton-primo.hosted.exlibrisgroup.com/primo-explore/search?tab=default_tab&amp;search_scope=EVERYTHING&amp;vid=01CRU&amp;lang=en_US&amp;offset=0&amp;query=any,contains,991002195849702656","Catalog Record")</f>
        <v>Catalog Record</v>
      </c>
      <c r="AT678" s="6" t="str">
        <f>HYPERLINK("http://www.worldcat.org/oclc/28222294","WorldCat Record")</f>
        <v>WorldCat Record</v>
      </c>
      <c r="AU678" s="3" t="s">
        <v>8673</v>
      </c>
      <c r="AV678" s="3" t="s">
        <v>8674</v>
      </c>
      <c r="AW678" s="3" t="s">
        <v>8675</v>
      </c>
      <c r="AX678" s="3" t="s">
        <v>8675</v>
      </c>
      <c r="AY678" s="3" t="s">
        <v>8676</v>
      </c>
      <c r="AZ678" s="3" t="s">
        <v>73</v>
      </c>
      <c r="BC678" s="3" t="s">
        <v>8677</v>
      </c>
      <c r="BD678" s="3" t="s">
        <v>8678</v>
      </c>
    </row>
    <row r="679" spans="1:56" ht="51" customHeight="1" x14ac:dyDescent="0.25">
      <c r="A679" s="7" t="s">
        <v>58</v>
      </c>
      <c r="B679" s="2" t="s">
        <v>8679</v>
      </c>
      <c r="C679" s="2" t="s">
        <v>8680</v>
      </c>
      <c r="D679" s="2" t="s">
        <v>8681</v>
      </c>
      <c r="F679" s="3" t="s">
        <v>58</v>
      </c>
      <c r="G679" s="3" t="s">
        <v>59</v>
      </c>
      <c r="H679" s="3" t="s">
        <v>58</v>
      </c>
      <c r="I679" s="3" t="s">
        <v>58</v>
      </c>
      <c r="J679" s="3" t="s">
        <v>60</v>
      </c>
      <c r="K679" s="2" t="s">
        <v>8682</v>
      </c>
      <c r="L679" s="2" t="s">
        <v>8683</v>
      </c>
      <c r="M679" s="3" t="s">
        <v>397</v>
      </c>
      <c r="O679" s="3" t="s">
        <v>63</v>
      </c>
      <c r="P679" s="3" t="s">
        <v>495</v>
      </c>
      <c r="Q679" s="2" t="s">
        <v>8684</v>
      </c>
      <c r="R679" s="3" t="s">
        <v>65</v>
      </c>
      <c r="S679" s="4">
        <v>0</v>
      </c>
      <c r="T679" s="4">
        <v>0</v>
      </c>
      <c r="U679" s="5" t="s">
        <v>7317</v>
      </c>
      <c r="V679" s="5" t="s">
        <v>7317</v>
      </c>
      <c r="W679" s="5" t="s">
        <v>8657</v>
      </c>
      <c r="X679" s="5" t="s">
        <v>8657</v>
      </c>
      <c r="Y679" s="4">
        <v>143</v>
      </c>
      <c r="Z679" s="4">
        <v>98</v>
      </c>
      <c r="AA679" s="4">
        <v>98</v>
      </c>
      <c r="AB679" s="4">
        <v>2</v>
      </c>
      <c r="AC679" s="4">
        <v>2</v>
      </c>
      <c r="AD679" s="4">
        <v>3</v>
      </c>
      <c r="AE679" s="4">
        <v>3</v>
      </c>
      <c r="AF679" s="4">
        <v>1</v>
      </c>
      <c r="AG679" s="4">
        <v>1</v>
      </c>
      <c r="AH679" s="4">
        <v>1</v>
      </c>
      <c r="AI679" s="4">
        <v>1</v>
      </c>
      <c r="AJ679" s="4">
        <v>0</v>
      </c>
      <c r="AK679" s="4">
        <v>0</v>
      </c>
      <c r="AL679" s="4">
        <v>1</v>
      </c>
      <c r="AM679" s="4">
        <v>1</v>
      </c>
      <c r="AN679" s="4">
        <v>0</v>
      </c>
      <c r="AO679" s="4">
        <v>0</v>
      </c>
      <c r="AP679" s="3" t="s">
        <v>58</v>
      </c>
      <c r="AQ679" s="3" t="s">
        <v>58</v>
      </c>
      <c r="AS679" s="6" t="str">
        <f>HYPERLINK("https://creighton-primo.hosted.exlibrisgroup.com/primo-explore/search?tab=default_tab&amp;search_scope=EVERYTHING&amp;vid=01CRU&amp;lang=en_US&amp;offset=0&amp;query=any,contains,991000553659702656","Catalog Record")</f>
        <v>Catalog Record</v>
      </c>
      <c r="AT679" s="6" t="str">
        <f>HYPERLINK("http://www.worldcat.org/oclc/11549075","WorldCat Record")</f>
        <v>WorldCat Record</v>
      </c>
      <c r="AU679" s="3" t="s">
        <v>8685</v>
      </c>
      <c r="AV679" s="3" t="s">
        <v>8686</v>
      </c>
      <c r="AW679" s="3" t="s">
        <v>8687</v>
      </c>
      <c r="AX679" s="3" t="s">
        <v>8687</v>
      </c>
      <c r="AY679" s="3" t="s">
        <v>8688</v>
      </c>
      <c r="AZ679" s="3" t="s">
        <v>73</v>
      </c>
      <c r="BB679" s="3" t="s">
        <v>8689</v>
      </c>
      <c r="BC679" s="3" t="s">
        <v>8690</v>
      </c>
      <c r="BD679" s="3" t="s">
        <v>8691</v>
      </c>
    </row>
    <row r="680" spans="1:56" ht="51" customHeight="1" x14ac:dyDescent="0.25">
      <c r="A680" s="7" t="s">
        <v>58</v>
      </c>
      <c r="B680" s="2" t="s">
        <v>8692</v>
      </c>
      <c r="C680" s="2" t="s">
        <v>8693</v>
      </c>
      <c r="D680" s="2" t="s">
        <v>8694</v>
      </c>
      <c r="E680" s="3" t="s">
        <v>223</v>
      </c>
      <c r="F680" s="3" t="s">
        <v>58</v>
      </c>
      <c r="G680" s="3" t="s">
        <v>59</v>
      </c>
      <c r="H680" s="3" t="s">
        <v>58</v>
      </c>
      <c r="I680" s="3" t="s">
        <v>58</v>
      </c>
      <c r="J680" s="3" t="s">
        <v>60</v>
      </c>
      <c r="L680" s="2" t="s">
        <v>8695</v>
      </c>
      <c r="M680" s="3" t="s">
        <v>423</v>
      </c>
      <c r="O680" s="3" t="s">
        <v>63</v>
      </c>
      <c r="P680" s="3" t="s">
        <v>8696</v>
      </c>
      <c r="Q680" s="2" t="s">
        <v>8697</v>
      </c>
      <c r="R680" s="3" t="s">
        <v>65</v>
      </c>
      <c r="S680" s="4">
        <v>1</v>
      </c>
      <c r="T680" s="4">
        <v>1</v>
      </c>
      <c r="U680" s="5" t="s">
        <v>8698</v>
      </c>
      <c r="V680" s="5" t="s">
        <v>8698</v>
      </c>
      <c r="W680" s="5" t="s">
        <v>8699</v>
      </c>
      <c r="X680" s="5" t="s">
        <v>8699</v>
      </c>
      <c r="Y680" s="4">
        <v>158</v>
      </c>
      <c r="Z680" s="4">
        <v>108</v>
      </c>
      <c r="AA680" s="4">
        <v>110</v>
      </c>
      <c r="AB680" s="4">
        <v>1</v>
      </c>
      <c r="AC680" s="4">
        <v>1</v>
      </c>
      <c r="AD680" s="4">
        <v>4</v>
      </c>
      <c r="AE680" s="4">
        <v>4</v>
      </c>
      <c r="AF680" s="4">
        <v>0</v>
      </c>
      <c r="AG680" s="4">
        <v>0</v>
      </c>
      <c r="AH680" s="4">
        <v>2</v>
      </c>
      <c r="AI680" s="4">
        <v>2</v>
      </c>
      <c r="AJ680" s="4">
        <v>4</v>
      </c>
      <c r="AK680" s="4">
        <v>4</v>
      </c>
      <c r="AL680" s="4">
        <v>0</v>
      </c>
      <c r="AM680" s="4">
        <v>0</v>
      </c>
      <c r="AN680" s="4">
        <v>0</v>
      </c>
      <c r="AO680" s="4">
        <v>0</v>
      </c>
      <c r="AP680" s="3" t="s">
        <v>58</v>
      </c>
      <c r="AQ680" s="3" t="s">
        <v>68</v>
      </c>
      <c r="AR680" s="6" t="str">
        <f>HYPERLINK("http://catalog.hathitrust.org/Record/003259755","HathiTrust Record")</f>
        <v>HathiTrust Record</v>
      </c>
      <c r="AS680" s="6" t="str">
        <f>HYPERLINK("https://creighton-primo.hosted.exlibrisgroup.com/primo-explore/search?tab=default_tab&amp;search_scope=EVERYTHING&amp;vid=01CRU&amp;lang=en_US&amp;offset=0&amp;query=any,contains,991002935669702656","Catalog Record")</f>
        <v>Catalog Record</v>
      </c>
      <c r="AT680" s="6" t="str">
        <f>HYPERLINK("http://www.worldcat.org/oclc/39049661","WorldCat Record")</f>
        <v>WorldCat Record</v>
      </c>
      <c r="AU680" s="3" t="s">
        <v>8700</v>
      </c>
      <c r="AV680" s="3" t="s">
        <v>8701</v>
      </c>
      <c r="AW680" s="3" t="s">
        <v>8702</v>
      </c>
      <c r="AX680" s="3" t="s">
        <v>8702</v>
      </c>
      <c r="AY680" s="3" t="s">
        <v>8703</v>
      </c>
      <c r="AZ680" s="3" t="s">
        <v>73</v>
      </c>
      <c r="BB680" s="3" t="s">
        <v>8704</v>
      </c>
      <c r="BC680" s="3" t="s">
        <v>8705</v>
      </c>
      <c r="BD680" s="3" t="s">
        <v>8706</v>
      </c>
    </row>
    <row r="681" spans="1:56" ht="51" customHeight="1" x14ac:dyDescent="0.25">
      <c r="A681" s="7" t="s">
        <v>58</v>
      </c>
      <c r="B681" s="2" t="s">
        <v>8707</v>
      </c>
      <c r="C681" s="2" t="s">
        <v>8708</v>
      </c>
      <c r="D681" s="2" t="s">
        <v>8709</v>
      </c>
      <c r="E681" s="3" t="s">
        <v>223</v>
      </c>
      <c r="F681" s="3" t="s">
        <v>68</v>
      </c>
      <c r="G681" s="3" t="s">
        <v>59</v>
      </c>
      <c r="H681" s="3" t="s">
        <v>58</v>
      </c>
      <c r="I681" s="3" t="s">
        <v>58</v>
      </c>
      <c r="J681" s="3" t="s">
        <v>60</v>
      </c>
      <c r="K681" s="2" t="s">
        <v>8710</v>
      </c>
      <c r="L681" s="2" t="s">
        <v>8711</v>
      </c>
      <c r="M681" s="3" t="s">
        <v>509</v>
      </c>
      <c r="O681" s="3" t="s">
        <v>63</v>
      </c>
      <c r="P681" s="3" t="s">
        <v>354</v>
      </c>
      <c r="R681" s="3" t="s">
        <v>65</v>
      </c>
      <c r="S681" s="4">
        <v>1</v>
      </c>
      <c r="T681" s="4">
        <v>2</v>
      </c>
      <c r="U681" s="5" t="s">
        <v>8712</v>
      </c>
      <c r="V681" s="5" t="s">
        <v>8712</v>
      </c>
      <c r="W681" s="5" t="s">
        <v>3904</v>
      </c>
      <c r="X681" s="5" t="s">
        <v>3904</v>
      </c>
      <c r="Y681" s="4">
        <v>613</v>
      </c>
      <c r="Z681" s="4">
        <v>507</v>
      </c>
      <c r="AA681" s="4">
        <v>1045</v>
      </c>
      <c r="AB681" s="4">
        <v>3</v>
      </c>
      <c r="AC681" s="4">
        <v>13</v>
      </c>
      <c r="AD681" s="4">
        <v>29</v>
      </c>
      <c r="AE681" s="4">
        <v>51</v>
      </c>
      <c r="AF681" s="4">
        <v>11</v>
      </c>
      <c r="AG681" s="4">
        <v>20</v>
      </c>
      <c r="AH681" s="4">
        <v>7</v>
      </c>
      <c r="AI681" s="4">
        <v>10</v>
      </c>
      <c r="AJ681" s="4">
        <v>16</v>
      </c>
      <c r="AK681" s="4">
        <v>21</v>
      </c>
      <c r="AL681" s="4">
        <v>2</v>
      </c>
      <c r="AM681" s="4">
        <v>11</v>
      </c>
      <c r="AN681" s="4">
        <v>0</v>
      </c>
      <c r="AO681" s="4">
        <v>1</v>
      </c>
      <c r="AP681" s="3" t="s">
        <v>58</v>
      </c>
      <c r="AQ681" s="3" t="s">
        <v>68</v>
      </c>
      <c r="AR681" s="6" t="str">
        <f>HYPERLINK("http://catalog.hathitrust.org/Record/001248045","HathiTrust Record")</f>
        <v>HathiTrust Record</v>
      </c>
      <c r="AS681" s="6" t="str">
        <f>HYPERLINK("https://creighton-primo.hosted.exlibrisgroup.com/primo-explore/search?tab=default_tab&amp;search_scope=EVERYTHING&amp;vid=01CRU&amp;lang=en_US&amp;offset=0&amp;query=any,contains,991003056909702656","Catalog Record")</f>
        <v>Catalog Record</v>
      </c>
      <c r="AT681" s="6" t="str">
        <f>HYPERLINK("http://www.worldcat.org/oclc/615012","WorldCat Record")</f>
        <v>WorldCat Record</v>
      </c>
      <c r="AU681" s="3" t="s">
        <v>8713</v>
      </c>
      <c r="AV681" s="3" t="s">
        <v>8714</v>
      </c>
      <c r="AW681" s="3" t="s">
        <v>8715</v>
      </c>
      <c r="AX681" s="3" t="s">
        <v>8715</v>
      </c>
      <c r="AY681" s="3" t="s">
        <v>8716</v>
      </c>
      <c r="AZ681" s="3" t="s">
        <v>73</v>
      </c>
      <c r="BC681" s="3" t="s">
        <v>8717</v>
      </c>
      <c r="BD681" s="3" t="s">
        <v>8718</v>
      </c>
    </row>
    <row r="682" spans="1:56" ht="51" customHeight="1" x14ac:dyDescent="0.25">
      <c r="A682" s="7" t="s">
        <v>58</v>
      </c>
      <c r="B682" s="2" t="s">
        <v>8707</v>
      </c>
      <c r="C682" s="2" t="s">
        <v>8708</v>
      </c>
      <c r="D682" s="2" t="s">
        <v>8709</v>
      </c>
      <c r="E682" s="3" t="s">
        <v>210</v>
      </c>
      <c r="F682" s="3" t="s">
        <v>68</v>
      </c>
      <c r="G682" s="3" t="s">
        <v>59</v>
      </c>
      <c r="H682" s="3" t="s">
        <v>58</v>
      </c>
      <c r="I682" s="3" t="s">
        <v>58</v>
      </c>
      <c r="J682" s="3" t="s">
        <v>60</v>
      </c>
      <c r="K682" s="2" t="s">
        <v>8710</v>
      </c>
      <c r="L682" s="2" t="s">
        <v>8711</v>
      </c>
      <c r="M682" s="3" t="s">
        <v>509</v>
      </c>
      <c r="O682" s="3" t="s">
        <v>63</v>
      </c>
      <c r="P682" s="3" t="s">
        <v>354</v>
      </c>
      <c r="R682" s="3" t="s">
        <v>65</v>
      </c>
      <c r="S682" s="4">
        <v>1</v>
      </c>
      <c r="T682" s="4">
        <v>2</v>
      </c>
      <c r="U682" s="5" t="s">
        <v>8712</v>
      </c>
      <c r="V682" s="5" t="s">
        <v>8712</v>
      </c>
      <c r="W682" s="5" t="s">
        <v>3904</v>
      </c>
      <c r="X682" s="5" t="s">
        <v>3904</v>
      </c>
      <c r="Y682" s="4">
        <v>613</v>
      </c>
      <c r="Z682" s="4">
        <v>507</v>
      </c>
      <c r="AA682" s="4">
        <v>1045</v>
      </c>
      <c r="AB682" s="4">
        <v>3</v>
      </c>
      <c r="AC682" s="4">
        <v>13</v>
      </c>
      <c r="AD682" s="4">
        <v>29</v>
      </c>
      <c r="AE682" s="4">
        <v>51</v>
      </c>
      <c r="AF682" s="4">
        <v>11</v>
      </c>
      <c r="AG682" s="4">
        <v>20</v>
      </c>
      <c r="AH682" s="4">
        <v>7</v>
      </c>
      <c r="AI682" s="4">
        <v>10</v>
      </c>
      <c r="AJ682" s="4">
        <v>16</v>
      </c>
      <c r="AK682" s="4">
        <v>21</v>
      </c>
      <c r="AL682" s="4">
        <v>2</v>
      </c>
      <c r="AM682" s="4">
        <v>11</v>
      </c>
      <c r="AN682" s="4">
        <v>0</v>
      </c>
      <c r="AO682" s="4">
        <v>1</v>
      </c>
      <c r="AP682" s="3" t="s">
        <v>58</v>
      </c>
      <c r="AQ682" s="3" t="s">
        <v>68</v>
      </c>
      <c r="AR682" s="6" t="str">
        <f>HYPERLINK("http://catalog.hathitrust.org/Record/001248045","HathiTrust Record")</f>
        <v>HathiTrust Record</v>
      </c>
      <c r="AS682" s="6" t="str">
        <f>HYPERLINK("https://creighton-primo.hosted.exlibrisgroup.com/primo-explore/search?tab=default_tab&amp;search_scope=EVERYTHING&amp;vid=01CRU&amp;lang=en_US&amp;offset=0&amp;query=any,contains,991003056909702656","Catalog Record")</f>
        <v>Catalog Record</v>
      </c>
      <c r="AT682" s="6" t="str">
        <f>HYPERLINK("http://www.worldcat.org/oclc/615012","WorldCat Record")</f>
        <v>WorldCat Record</v>
      </c>
      <c r="AU682" s="3" t="s">
        <v>8713</v>
      </c>
      <c r="AV682" s="3" t="s">
        <v>8714</v>
      </c>
      <c r="AW682" s="3" t="s">
        <v>8715</v>
      </c>
      <c r="AX682" s="3" t="s">
        <v>8715</v>
      </c>
      <c r="AY682" s="3" t="s">
        <v>8716</v>
      </c>
      <c r="AZ682" s="3" t="s">
        <v>73</v>
      </c>
      <c r="BC682" s="3" t="s">
        <v>8719</v>
      </c>
      <c r="BD682" s="3" t="s">
        <v>8720</v>
      </c>
    </row>
    <row r="683" spans="1:56" ht="51" customHeight="1" x14ac:dyDescent="0.25">
      <c r="A683" s="7" t="s">
        <v>58</v>
      </c>
      <c r="B683" s="2" t="s">
        <v>8721</v>
      </c>
      <c r="C683" s="2" t="s">
        <v>8722</v>
      </c>
      <c r="D683" s="2" t="s">
        <v>8723</v>
      </c>
      <c r="F683" s="3" t="s">
        <v>58</v>
      </c>
      <c r="G683" s="3" t="s">
        <v>59</v>
      </c>
      <c r="H683" s="3" t="s">
        <v>58</v>
      </c>
      <c r="I683" s="3" t="s">
        <v>58</v>
      </c>
      <c r="J683" s="3" t="s">
        <v>60</v>
      </c>
      <c r="L683" s="2" t="s">
        <v>8724</v>
      </c>
      <c r="M683" s="3" t="s">
        <v>1091</v>
      </c>
      <c r="O683" s="3" t="s">
        <v>63</v>
      </c>
      <c r="P683" s="3" t="s">
        <v>8696</v>
      </c>
      <c r="Q683" s="2" t="s">
        <v>8725</v>
      </c>
      <c r="R683" s="3" t="s">
        <v>65</v>
      </c>
      <c r="S683" s="4">
        <v>4</v>
      </c>
      <c r="T683" s="4">
        <v>4</v>
      </c>
      <c r="U683" s="5" t="s">
        <v>8726</v>
      </c>
      <c r="V683" s="5" t="s">
        <v>8726</v>
      </c>
      <c r="W683" s="5" t="s">
        <v>3998</v>
      </c>
      <c r="X683" s="5" t="s">
        <v>3998</v>
      </c>
      <c r="Y683" s="4">
        <v>212</v>
      </c>
      <c r="Z683" s="4">
        <v>130</v>
      </c>
      <c r="AA683" s="4">
        <v>131</v>
      </c>
      <c r="AB683" s="4">
        <v>2</v>
      </c>
      <c r="AC683" s="4">
        <v>2</v>
      </c>
      <c r="AD683" s="4">
        <v>8</v>
      </c>
      <c r="AE683" s="4">
        <v>8</v>
      </c>
      <c r="AF683" s="4">
        <v>1</v>
      </c>
      <c r="AG683" s="4">
        <v>1</v>
      </c>
      <c r="AH683" s="4">
        <v>4</v>
      </c>
      <c r="AI683" s="4">
        <v>4</v>
      </c>
      <c r="AJ683" s="4">
        <v>4</v>
      </c>
      <c r="AK683" s="4">
        <v>4</v>
      </c>
      <c r="AL683" s="4">
        <v>1</v>
      </c>
      <c r="AM683" s="4">
        <v>1</v>
      </c>
      <c r="AN683" s="4">
        <v>0</v>
      </c>
      <c r="AO683" s="4">
        <v>0</v>
      </c>
      <c r="AP683" s="3" t="s">
        <v>58</v>
      </c>
      <c r="AQ683" s="3" t="s">
        <v>68</v>
      </c>
      <c r="AR683" s="6" t="str">
        <f>HYPERLINK("http://catalog.hathitrust.org/Record/003592471","HathiTrust Record")</f>
        <v>HathiTrust Record</v>
      </c>
      <c r="AS683" s="6" t="str">
        <f>HYPERLINK("https://creighton-primo.hosted.exlibrisgroup.com/primo-explore/search?tab=default_tab&amp;search_scope=EVERYTHING&amp;vid=01CRU&amp;lang=en_US&amp;offset=0&amp;query=any,contains,991004691129702656","Catalog Record")</f>
        <v>Catalog Record</v>
      </c>
      <c r="AT683" s="6" t="str">
        <f>HYPERLINK("http://www.worldcat.org/oclc/48954179","WorldCat Record")</f>
        <v>WorldCat Record</v>
      </c>
      <c r="AU683" s="3" t="s">
        <v>8727</v>
      </c>
      <c r="AV683" s="3" t="s">
        <v>8728</v>
      </c>
      <c r="AW683" s="3" t="s">
        <v>8729</v>
      </c>
      <c r="AX683" s="3" t="s">
        <v>8729</v>
      </c>
      <c r="AY683" s="3" t="s">
        <v>8730</v>
      </c>
      <c r="AZ683" s="3" t="s">
        <v>73</v>
      </c>
      <c r="BB683" s="3" t="s">
        <v>8731</v>
      </c>
      <c r="BC683" s="3" t="s">
        <v>8732</v>
      </c>
      <c r="BD683" s="3" t="s">
        <v>8733</v>
      </c>
    </row>
    <row r="684" spans="1:56" ht="51" customHeight="1" x14ac:dyDescent="0.25">
      <c r="A684" s="7" t="s">
        <v>58</v>
      </c>
      <c r="B684" s="2" t="s">
        <v>8734</v>
      </c>
      <c r="C684" s="2" t="s">
        <v>8735</v>
      </c>
      <c r="D684" s="2" t="s">
        <v>8736</v>
      </c>
      <c r="F684" s="3" t="s">
        <v>58</v>
      </c>
      <c r="G684" s="3" t="s">
        <v>59</v>
      </c>
      <c r="H684" s="3" t="s">
        <v>58</v>
      </c>
      <c r="I684" s="3" t="s">
        <v>58</v>
      </c>
      <c r="J684" s="3" t="s">
        <v>60</v>
      </c>
      <c r="K684" s="2" t="s">
        <v>8737</v>
      </c>
      <c r="L684" s="2" t="s">
        <v>8738</v>
      </c>
      <c r="M684" s="3" t="s">
        <v>2295</v>
      </c>
      <c r="O684" s="3" t="s">
        <v>63</v>
      </c>
      <c r="P684" s="3" t="s">
        <v>495</v>
      </c>
      <c r="R684" s="3" t="s">
        <v>65</v>
      </c>
      <c r="S684" s="4">
        <v>2</v>
      </c>
      <c r="T684" s="4">
        <v>2</v>
      </c>
      <c r="U684" s="5" t="s">
        <v>8739</v>
      </c>
      <c r="V684" s="5" t="s">
        <v>8739</v>
      </c>
      <c r="W684" s="5" t="s">
        <v>8740</v>
      </c>
      <c r="X684" s="5" t="s">
        <v>8740</v>
      </c>
      <c r="Y684" s="4">
        <v>321</v>
      </c>
      <c r="Z684" s="4">
        <v>250</v>
      </c>
      <c r="AA684" s="4">
        <v>251</v>
      </c>
      <c r="AB684" s="4">
        <v>3</v>
      </c>
      <c r="AC684" s="4">
        <v>3</v>
      </c>
      <c r="AD684" s="4">
        <v>20</v>
      </c>
      <c r="AE684" s="4">
        <v>20</v>
      </c>
      <c r="AF684" s="4">
        <v>6</v>
      </c>
      <c r="AG684" s="4">
        <v>6</v>
      </c>
      <c r="AH684" s="4">
        <v>6</v>
      </c>
      <c r="AI684" s="4">
        <v>6</v>
      </c>
      <c r="AJ684" s="4">
        <v>12</v>
      </c>
      <c r="AK684" s="4">
        <v>12</v>
      </c>
      <c r="AL684" s="4">
        <v>2</v>
      </c>
      <c r="AM684" s="4">
        <v>2</v>
      </c>
      <c r="AN684" s="4">
        <v>0</v>
      </c>
      <c r="AO684" s="4">
        <v>0</v>
      </c>
      <c r="AP684" s="3" t="s">
        <v>58</v>
      </c>
      <c r="AQ684" s="3" t="s">
        <v>58</v>
      </c>
      <c r="AS684" s="6" t="str">
        <f>HYPERLINK("https://creighton-primo.hosted.exlibrisgroup.com/primo-explore/search?tab=default_tab&amp;search_scope=EVERYTHING&amp;vid=01CRU&amp;lang=en_US&amp;offset=0&amp;query=any,contains,991005165289702656","Catalog Record")</f>
        <v>Catalog Record</v>
      </c>
      <c r="AT684" s="6" t="str">
        <f>HYPERLINK("http://www.worldcat.org/oclc/50866851","WorldCat Record")</f>
        <v>WorldCat Record</v>
      </c>
      <c r="AU684" s="3" t="s">
        <v>8741</v>
      </c>
      <c r="AV684" s="3" t="s">
        <v>8742</v>
      </c>
      <c r="AW684" s="3" t="s">
        <v>8743</v>
      </c>
      <c r="AX684" s="3" t="s">
        <v>8743</v>
      </c>
      <c r="AY684" s="3" t="s">
        <v>8744</v>
      </c>
      <c r="AZ684" s="3" t="s">
        <v>73</v>
      </c>
      <c r="BB684" s="3" t="s">
        <v>8745</v>
      </c>
      <c r="BC684" s="3" t="s">
        <v>8746</v>
      </c>
      <c r="BD684" s="3" t="s">
        <v>8747</v>
      </c>
    </row>
    <row r="685" spans="1:56" ht="51" customHeight="1" x14ac:dyDescent="0.25">
      <c r="A685" s="7" t="s">
        <v>58</v>
      </c>
      <c r="B685" s="2" t="s">
        <v>8748</v>
      </c>
      <c r="C685" s="2" t="s">
        <v>8749</v>
      </c>
      <c r="D685" s="2" t="s">
        <v>8750</v>
      </c>
      <c r="F685" s="3" t="s">
        <v>58</v>
      </c>
      <c r="G685" s="3" t="s">
        <v>59</v>
      </c>
      <c r="H685" s="3" t="s">
        <v>58</v>
      </c>
      <c r="I685" s="3" t="s">
        <v>58</v>
      </c>
      <c r="J685" s="3" t="s">
        <v>60</v>
      </c>
      <c r="K685" s="2" t="s">
        <v>8751</v>
      </c>
      <c r="L685" s="2" t="s">
        <v>8752</v>
      </c>
      <c r="M685" s="3" t="s">
        <v>1544</v>
      </c>
      <c r="O685" s="3" t="s">
        <v>63</v>
      </c>
      <c r="P685" s="3" t="s">
        <v>8753</v>
      </c>
      <c r="Q685" s="2" t="s">
        <v>8754</v>
      </c>
      <c r="R685" s="3" t="s">
        <v>65</v>
      </c>
      <c r="S685" s="4">
        <v>3</v>
      </c>
      <c r="T685" s="4">
        <v>3</v>
      </c>
      <c r="U685" s="5" t="s">
        <v>8755</v>
      </c>
      <c r="V685" s="5" t="s">
        <v>8755</v>
      </c>
      <c r="W685" s="5" t="s">
        <v>8756</v>
      </c>
      <c r="X685" s="5" t="s">
        <v>8756</v>
      </c>
      <c r="Y685" s="4">
        <v>231</v>
      </c>
      <c r="Z685" s="4">
        <v>184</v>
      </c>
      <c r="AA685" s="4">
        <v>549</v>
      </c>
      <c r="AB685" s="4">
        <v>3</v>
      </c>
      <c r="AC685" s="4">
        <v>4</v>
      </c>
      <c r="AD685" s="4">
        <v>13</v>
      </c>
      <c r="AE685" s="4">
        <v>17</v>
      </c>
      <c r="AF685" s="4">
        <v>4</v>
      </c>
      <c r="AG685" s="4">
        <v>7</v>
      </c>
      <c r="AH685" s="4">
        <v>5</v>
      </c>
      <c r="AI685" s="4">
        <v>5</v>
      </c>
      <c r="AJ685" s="4">
        <v>8</v>
      </c>
      <c r="AK685" s="4">
        <v>8</v>
      </c>
      <c r="AL685" s="4">
        <v>2</v>
      </c>
      <c r="AM685" s="4">
        <v>3</v>
      </c>
      <c r="AN685" s="4">
        <v>0</v>
      </c>
      <c r="AO685" s="4">
        <v>0</v>
      </c>
      <c r="AP685" s="3" t="s">
        <v>58</v>
      </c>
      <c r="AQ685" s="3" t="s">
        <v>58</v>
      </c>
      <c r="AS685" s="6" t="str">
        <f>HYPERLINK("https://creighton-primo.hosted.exlibrisgroup.com/primo-explore/search?tab=default_tab&amp;search_scope=EVERYTHING&amp;vid=01CRU&amp;lang=en_US&amp;offset=0&amp;query=any,contains,991002027129702656","Catalog Record")</f>
        <v>Catalog Record</v>
      </c>
      <c r="AT685" s="6" t="str">
        <f>HYPERLINK("http://www.worldcat.org/oclc/25788421","WorldCat Record")</f>
        <v>WorldCat Record</v>
      </c>
      <c r="AU685" s="3" t="s">
        <v>8757</v>
      </c>
      <c r="AV685" s="3" t="s">
        <v>8758</v>
      </c>
      <c r="AW685" s="3" t="s">
        <v>8759</v>
      </c>
      <c r="AX685" s="3" t="s">
        <v>8759</v>
      </c>
      <c r="AY685" s="3" t="s">
        <v>8760</v>
      </c>
      <c r="AZ685" s="3" t="s">
        <v>73</v>
      </c>
      <c r="BB685" s="3" t="s">
        <v>8761</v>
      </c>
      <c r="BC685" s="3" t="s">
        <v>8762</v>
      </c>
      <c r="BD685" s="3" t="s">
        <v>8763</v>
      </c>
    </row>
    <row r="686" spans="1:56" ht="51" customHeight="1" x14ac:dyDescent="0.25">
      <c r="A686" s="7" t="s">
        <v>58</v>
      </c>
      <c r="B686" s="2" t="s">
        <v>8764</v>
      </c>
      <c r="C686" s="2" t="s">
        <v>8765</v>
      </c>
      <c r="D686" s="2" t="s">
        <v>8766</v>
      </c>
      <c r="F686" s="3" t="s">
        <v>58</v>
      </c>
      <c r="G686" s="3" t="s">
        <v>59</v>
      </c>
      <c r="H686" s="3" t="s">
        <v>58</v>
      </c>
      <c r="I686" s="3" t="s">
        <v>58</v>
      </c>
      <c r="J686" s="3" t="s">
        <v>60</v>
      </c>
      <c r="K686" s="2" t="s">
        <v>8767</v>
      </c>
      <c r="L686" s="2" t="s">
        <v>8768</v>
      </c>
      <c r="M686" s="3" t="s">
        <v>1544</v>
      </c>
      <c r="N686" s="2" t="s">
        <v>424</v>
      </c>
      <c r="O686" s="3" t="s">
        <v>63</v>
      </c>
      <c r="P686" s="3" t="s">
        <v>8769</v>
      </c>
      <c r="R686" s="3" t="s">
        <v>65</v>
      </c>
      <c r="S686" s="4">
        <v>1</v>
      </c>
      <c r="T686" s="4">
        <v>1</v>
      </c>
      <c r="U686" s="5" t="s">
        <v>2382</v>
      </c>
      <c r="V686" s="5" t="s">
        <v>2382</v>
      </c>
      <c r="W686" s="5" t="s">
        <v>8770</v>
      </c>
      <c r="X686" s="5" t="s">
        <v>8770</v>
      </c>
      <c r="Y686" s="4">
        <v>30</v>
      </c>
      <c r="Z686" s="4">
        <v>28</v>
      </c>
      <c r="AA686" s="4">
        <v>44</v>
      </c>
      <c r="AB686" s="4">
        <v>1</v>
      </c>
      <c r="AC686" s="4">
        <v>1</v>
      </c>
      <c r="AD686" s="4">
        <v>0</v>
      </c>
      <c r="AE686" s="4">
        <v>0</v>
      </c>
      <c r="AF686" s="4">
        <v>0</v>
      </c>
      <c r="AG686" s="4">
        <v>0</v>
      </c>
      <c r="AH686" s="4">
        <v>0</v>
      </c>
      <c r="AI686" s="4">
        <v>0</v>
      </c>
      <c r="AJ686" s="4">
        <v>0</v>
      </c>
      <c r="AK686" s="4">
        <v>0</v>
      </c>
      <c r="AL686" s="4">
        <v>0</v>
      </c>
      <c r="AM686" s="4">
        <v>0</v>
      </c>
      <c r="AN686" s="4">
        <v>0</v>
      </c>
      <c r="AO686" s="4">
        <v>0</v>
      </c>
      <c r="AP686" s="3" t="s">
        <v>58</v>
      </c>
      <c r="AQ686" s="3" t="s">
        <v>68</v>
      </c>
      <c r="AR686" s="6" t="str">
        <f>HYPERLINK("http://catalog.hathitrust.org/Record/002516077","HathiTrust Record")</f>
        <v>HathiTrust Record</v>
      </c>
      <c r="AS686" s="6" t="str">
        <f>HYPERLINK("https://creighton-primo.hosted.exlibrisgroup.com/primo-explore/search?tab=default_tab&amp;search_scope=EVERYTHING&amp;vid=01CRU&amp;lang=en_US&amp;offset=0&amp;query=any,contains,991001839889702656","Catalog Record")</f>
        <v>Catalog Record</v>
      </c>
      <c r="AT686" s="6" t="str">
        <f>HYPERLINK("http://www.worldcat.org/oclc/23136693","WorldCat Record")</f>
        <v>WorldCat Record</v>
      </c>
      <c r="AU686" s="3" t="s">
        <v>8771</v>
      </c>
      <c r="AV686" s="3" t="s">
        <v>8772</v>
      </c>
      <c r="AW686" s="3" t="s">
        <v>8773</v>
      </c>
      <c r="AX686" s="3" t="s">
        <v>8773</v>
      </c>
      <c r="AY686" s="3" t="s">
        <v>8774</v>
      </c>
      <c r="AZ686" s="3" t="s">
        <v>73</v>
      </c>
      <c r="BB686" s="3" t="s">
        <v>8775</v>
      </c>
      <c r="BC686" s="3" t="s">
        <v>8776</v>
      </c>
      <c r="BD686" s="3" t="s">
        <v>8777</v>
      </c>
    </row>
    <row r="687" spans="1:56" ht="51" customHeight="1" x14ac:dyDescent="0.25">
      <c r="A687" s="7" t="s">
        <v>58</v>
      </c>
      <c r="B687" s="2" t="s">
        <v>8778</v>
      </c>
      <c r="C687" s="2" t="s">
        <v>8779</v>
      </c>
      <c r="D687" s="2" t="s">
        <v>8780</v>
      </c>
      <c r="F687" s="3" t="s">
        <v>58</v>
      </c>
      <c r="G687" s="3" t="s">
        <v>59</v>
      </c>
      <c r="H687" s="3" t="s">
        <v>58</v>
      </c>
      <c r="I687" s="3" t="s">
        <v>58</v>
      </c>
      <c r="J687" s="3" t="s">
        <v>60</v>
      </c>
      <c r="K687" s="2" t="s">
        <v>8781</v>
      </c>
      <c r="L687" s="2" t="s">
        <v>8782</v>
      </c>
      <c r="M687" s="3" t="s">
        <v>1544</v>
      </c>
      <c r="N687" s="2" t="s">
        <v>8783</v>
      </c>
      <c r="O687" s="3" t="s">
        <v>63</v>
      </c>
      <c r="P687" s="3" t="s">
        <v>8769</v>
      </c>
      <c r="R687" s="3" t="s">
        <v>65</v>
      </c>
      <c r="S687" s="4">
        <v>4</v>
      </c>
      <c r="T687" s="4">
        <v>4</v>
      </c>
      <c r="U687" s="5" t="s">
        <v>8784</v>
      </c>
      <c r="V687" s="5" t="s">
        <v>8784</v>
      </c>
      <c r="W687" s="5" t="s">
        <v>8770</v>
      </c>
      <c r="X687" s="5" t="s">
        <v>8770</v>
      </c>
      <c r="Y687" s="4">
        <v>25</v>
      </c>
      <c r="Z687" s="4">
        <v>19</v>
      </c>
      <c r="AA687" s="4">
        <v>88</v>
      </c>
      <c r="AB687" s="4">
        <v>1</v>
      </c>
      <c r="AC687" s="4">
        <v>1</v>
      </c>
      <c r="AD687" s="4">
        <v>2</v>
      </c>
      <c r="AE687" s="4">
        <v>3</v>
      </c>
      <c r="AF687" s="4">
        <v>2</v>
      </c>
      <c r="AG687" s="4">
        <v>3</v>
      </c>
      <c r="AH687" s="4">
        <v>0</v>
      </c>
      <c r="AI687" s="4">
        <v>1</v>
      </c>
      <c r="AJ687" s="4">
        <v>1</v>
      </c>
      <c r="AK687" s="4">
        <v>1</v>
      </c>
      <c r="AL687" s="4">
        <v>0</v>
      </c>
      <c r="AM687" s="4">
        <v>0</v>
      </c>
      <c r="AN687" s="4">
        <v>0</v>
      </c>
      <c r="AO687" s="4">
        <v>0</v>
      </c>
      <c r="AP687" s="3" t="s">
        <v>58</v>
      </c>
      <c r="AQ687" s="3" t="s">
        <v>58</v>
      </c>
      <c r="AS687" s="6" t="str">
        <f>HYPERLINK("https://creighton-primo.hosted.exlibrisgroup.com/primo-explore/search?tab=default_tab&amp;search_scope=EVERYTHING&amp;vid=01CRU&amp;lang=en_US&amp;offset=0&amp;query=any,contains,991002107479702656","Catalog Record")</f>
        <v>Catalog Record</v>
      </c>
      <c r="AT687" s="6" t="str">
        <f>HYPERLINK("http://www.worldcat.org/oclc/27030061","WorldCat Record")</f>
        <v>WorldCat Record</v>
      </c>
      <c r="AU687" s="3" t="s">
        <v>8785</v>
      </c>
      <c r="AV687" s="3" t="s">
        <v>8786</v>
      </c>
      <c r="AW687" s="3" t="s">
        <v>8787</v>
      </c>
      <c r="AX687" s="3" t="s">
        <v>8787</v>
      </c>
      <c r="AY687" s="3" t="s">
        <v>8788</v>
      </c>
      <c r="AZ687" s="3" t="s">
        <v>73</v>
      </c>
      <c r="BB687" s="3" t="s">
        <v>8789</v>
      </c>
      <c r="BC687" s="3" t="s">
        <v>8790</v>
      </c>
      <c r="BD687" s="3" t="s">
        <v>8791</v>
      </c>
    </row>
    <row r="688" spans="1:56" ht="51" customHeight="1" x14ac:dyDescent="0.25">
      <c r="A688" s="7" t="s">
        <v>58</v>
      </c>
      <c r="B688" s="2" t="s">
        <v>8792</v>
      </c>
      <c r="C688" s="2" t="s">
        <v>8793</v>
      </c>
      <c r="D688" s="2" t="s">
        <v>8794</v>
      </c>
      <c r="F688" s="3" t="s">
        <v>58</v>
      </c>
      <c r="G688" s="3" t="s">
        <v>59</v>
      </c>
      <c r="H688" s="3" t="s">
        <v>58</v>
      </c>
      <c r="I688" s="3" t="s">
        <v>58</v>
      </c>
      <c r="J688" s="3" t="s">
        <v>60</v>
      </c>
      <c r="L688" s="2" t="s">
        <v>8795</v>
      </c>
      <c r="M688" s="3" t="s">
        <v>423</v>
      </c>
      <c r="O688" s="3" t="s">
        <v>63</v>
      </c>
      <c r="P688" s="3" t="s">
        <v>495</v>
      </c>
      <c r="Q688" s="2" t="s">
        <v>8796</v>
      </c>
      <c r="R688" s="3" t="s">
        <v>65</v>
      </c>
      <c r="S688" s="4">
        <v>15</v>
      </c>
      <c r="T688" s="4">
        <v>15</v>
      </c>
      <c r="U688" s="5" t="s">
        <v>8726</v>
      </c>
      <c r="V688" s="5" t="s">
        <v>8726</v>
      </c>
      <c r="W688" s="5" t="s">
        <v>8797</v>
      </c>
      <c r="X688" s="5" t="s">
        <v>8797</v>
      </c>
      <c r="Y688" s="4">
        <v>313</v>
      </c>
      <c r="Z688" s="4">
        <v>245</v>
      </c>
      <c r="AA688" s="4">
        <v>248</v>
      </c>
      <c r="AB688" s="4">
        <v>2</v>
      </c>
      <c r="AC688" s="4">
        <v>2</v>
      </c>
      <c r="AD688" s="4">
        <v>17</v>
      </c>
      <c r="AE688" s="4">
        <v>17</v>
      </c>
      <c r="AF688" s="4">
        <v>6</v>
      </c>
      <c r="AG688" s="4">
        <v>6</v>
      </c>
      <c r="AH688" s="4">
        <v>7</v>
      </c>
      <c r="AI688" s="4">
        <v>7</v>
      </c>
      <c r="AJ688" s="4">
        <v>8</v>
      </c>
      <c r="AK688" s="4">
        <v>8</v>
      </c>
      <c r="AL688" s="4">
        <v>1</v>
      </c>
      <c r="AM688" s="4">
        <v>1</v>
      </c>
      <c r="AN688" s="4">
        <v>0</v>
      </c>
      <c r="AO688" s="4">
        <v>0</v>
      </c>
      <c r="AP688" s="3" t="s">
        <v>58</v>
      </c>
      <c r="AQ688" s="3" t="s">
        <v>68</v>
      </c>
      <c r="AR688" s="6" t="str">
        <f>HYPERLINK("http://catalog.hathitrust.org/Record/003318875","HathiTrust Record")</f>
        <v>HathiTrust Record</v>
      </c>
      <c r="AS688" s="6" t="str">
        <f>HYPERLINK("https://creighton-primo.hosted.exlibrisgroup.com/primo-explore/search?tab=default_tab&amp;search_scope=EVERYTHING&amp;vid=01CRU&amp;lang=en_US&amp;offset=0&amp;query=any,contains,991003229069702656","Catalog Record")</f>
        <v>Catalog Record</v>
      </c>
      <c r="AT688" s="6" t="str">
        <f>HYPERLINK("http://www.worldcat.org/oclc/39786706","WorldCat Record")</f>
        <v>WorldCat Record</v>
      </c>
      <c r="AU688" s="3" t="s">
        <v>8798</v>
      </c>
      <c r="AV688" s="3" t="s">
        <v>8799</v>
      </c>
      <c r="AW688" s="3" t="s">
        <v>8800</v>
      </c>
      <c r="AX688" s="3" t="s">
        <v>8800</v>
      </c>
      <c r="AY688" s="3" t="s">
        <v>8801</v>
      </c>
      <c r="AZ688" s="3" t="s">
        <v>73</v>
      </c>
      <c r="BB688" s="3" t="s">
        <v>8802</v>
      </c>
      <c r="BC688" s="3" t="s">
        <v>8803</v>
      </c>
      <c r="BD688" s="3" t="s">
        <v>8804</v>
      </c>
    </row>
    <row r="689" spans="1:56" ht="51" customHeight="1" x14ac:dyDescent="0.25">
      <c r="A689" s="7" t="s">
        <v>58</v>
      </c>
      <c r="B689" s="2" t="s">
        <v>8805</v>
      </c>
      <c r="C689" s="2" t="s">
        <v>8806</v>
      </c>
      <c r="D689" s="2" t="s">
        <v>8807</v>
      </c>
      <c r="F689" s="3" t="s">
        <v>58</v>
      </c>
      <c r="G689" s="3" t="s">
        <v>59</v>
      </c>
      <c r="H689" s="3" t="s">
        <v>58</v>
      </c>
      <c r="I689" s="3" t="s">
        <v>58</v>
      </c>
      <c r="J689" s="3" t="s">
        <v>60</v>
      </c>
      <c r="K689" s="2" t="s">
        <v>8808</v>
      </c>
      <c r="L689" s="2" t="s">
        <v>8549</v>
      </c>
      <c r="M689" s="3" t="s">
        <v>626</v>
      </c>
      <c r="O689" s="3" t="s">
        <v>63</v>
      </c>
      <c r="P689" s="3" t="s">
        <v>816</v>
      </c>
      <c r="R689" s="3" t="s">
        <v>65</v>
      </c>
      <c r="S689" s="4">
        <v>12</v>
      </c>
      <c r="T689" s="4">
        <v>12</v>
      </c>
      <c r="U689" s="5" t="s">
        <v>8809</v>
      </c>
      <c r="V689" s="5" t="s">
        <v>8809</v>
      </c>
      <c r="W689" s="5" t="s">
        <v>8127</v>
      </c>
      <c r="X689" s="5" t="s">
        <v>8127</v>
      </c>
      <c r="Y689" s="4">
        <v>397</v>
      </c>
      <c r="Z689" s="4">
        <v>320</v>
      </c>
      <c r="AA689" s="4">
        <v>327</v>
      </c>
      <c r="AB689" s="4">
        <v>2</v>
      </c>
      <c r="AC689" s="4">
        <v>2</v>
      </c>
      <c r="AD689" s="4">
        <v>15</v>
      </c>
      <c r="AE689" s="4">
        <v>15</v>
      </c>
      <c r="AF689" s="4">
        <v>2</v>
      </c>
      <c r="AG689" s="4">
        <v>2</v>
      </c>
      <c r="AH689" s="4">
        <v>5</v>
      </c>
      <c r="AI689" s="4">
        <v>5</v>
      </c>
      <c r="AJ689" s="4">
        <v>10</v>
      </c>
      <c r="AK689" s="4">
        <v>10</v>
      </c>
      <c r="AL689" s="4">
        <v>1</v>
      </c>
      <c r="AM689" s="4">
        <v>1</v>
      </c>
      <c r="AN689" s="4">
        <v>0</v>
      </c>
      <c r="AO689" s="4">
        <v>0</v>
      </c>
      <c r="AP689" s="3" t="s">
        <v>58</v>
      </c>
      <c r="AQ689" s="3" t="s">
        <v>68</v>
      </c>
      <c r="AR689" s="6" t="str">
        <f>HYPERLINK("http://catalog.hathitrust.org/Record/000239591","HathiTrust Record")</f>
        <v>HathiTrust Record</v>
      </c>
      <c r="AS689" s="6" t="str">
        <f>HYPERLINK("https://creighton-primo.hosted.exlibrisgroup.com/primo-explore/search?tab=default_tab&amp;search_scope=EVERYTHING&amp;vid=01CRU&amp;lang=en_US&amp;offset=0&amp;query=any,contains,991005252679702656","Catalog Record")</f>
        <v>Catalog Record</v>
      </c>
      <c r="AT689" s="6" t="str">
        <f>HYPERLINK("http://www.worldcat.org/oclc/8495228","WorldCat Record")</f>
        <v>WorldCat Record</v>
      </c>
      <c r="AU689" s="3" t="s">
        <v>8810</v>
      </c>
      <c r="AV689" s="3" t="s">
        <v>8811</v>
      </c>
      <c r="AW689" s="3" t="s">
        <v>8812</v>
      </c>
      <c r="AX689" s="3" t="s">
        <v>8812</v>
      </c>
      <c r="AY689" s="3" t="s">
        <v>8813</v>
      </c>
      <c r="AZ689" s="3" t="s">
        <v>73</v>
      </c>
      <c r="BB689" s="3" t="s">
        <v>8814</v>
      </c>
      <c r="BC689" s="3" t="s">
        <v>8815</v>
      </c>
      <c r="BD689" s="3" t="s">
        <v>8816</v>
      </c>
    </row>
    <row r="690" spans="1:56" ht="51" customHeight="1" x14ac:dyDescent="0.25">
      <c r="A690" s="7" t="s">
        <v>58</v>
      </c>
      <c r="B690" s="2" t="s">
        <v>8817</v>
      </c>
      <c r="C690" s="2" t="s">
        <v>8818</v>
      </c>
      <c r="D690" s="2" t="s">
        <v>8819</v>
      </c>
      <c r="F690" s="3" t="s">
        <v>58</v>
      </c>
      <c r="G690" s="3" t="s">
        <v>59</v>
      </c>
      <c r="H690" s="3" t="s">
        <v>58</v>
      </c>
      <c r="I690" s="3" t="s">
        <v>58</v>
      </c>
      <c r="J690" s="3" t="s">
        <v>60</v>
      </c>
      <c r="K690" s="2" t="s">
        <v>8820</v>
      </c>
      <c r="L690" s="2" t="s">
        <v>8821</v>
      </c>
      <c r="M690" s="3" t="s">
        <v>2295</v>
      </c>
      <c r="O690" s="3" t="s">
        <v>63</v>
      </c>
      <c r="P690" s="3" t="s">
        <v>584</v>
      </c>
      <c r="R690" s="3" t="s">
        <v>65</v>
      </c>
      <c r="S690" s="4">
        <v>1</v>
      </c>
      <c r="T690" s="4">
        <v>1</v>
      </c>
      <c r="U690" s="5" t="s">
        <v>8822</v>
      </c>
      <c r="V690" s="5" t="s">
        <v>8822</v>
      </c>
      <c r="W690" s="5" t="s">
        <v>8822</v>
      </c>
      <c r="X690" s="5" t="s">
        <v>8822</v>
      </c>
      <c r="Y690" s="4">
        <v>240</v>
      </c>
      <c r="Z690" s="4">
        <v>154</v>
      </c>
      <c r="AA690" s="4">
        <v>157</v>
      </c>
      <c r="AB690" s="4">
        <v>1</v>
      </c>
      <c r="AC690" s="4">
        <v>1</v>
      </c>
      <c r="AD690" s="4">
        <v>6</v>
      </c>
      <c r="AE690" s="4">
        <v>6</v>
      </c>
      <c r="AF690" s="4">
        <v>3</v>
      </c>
      <c r="AG690" s="4">
        <v>3</v>
      </c>
      <c r="AH690" s="4">
        <v>2</v>
      </c>
      <c r="AI690" s="4">
        <v>2</v>
      </c>
      <c r="AJ690" s="4">
        <v>5</v>
      </c>
      <c r="AK690" s="4">
        <v>5</v>
      </c>
      <c r="AL690" s="4">
        <v>0</v>
      </c>
      <c r="AM690" s="4">
        <v>0</v>
      </c>
      <c r="AN690" s="4">
        <v>0</v>
      </c>
      <c r="AO690" s="4">
        <v>0</v>
      </c>
      <c r="AP690" s="3" t="s">
        <v>58</v>
      </c>
      <c r="AQ690" s="3" t="s">
        <v>58</v>
      </c>
      <c r="AS690" s="6" t="str">
        <f>HYPERLINK("https://creighton-primo.hosted.exlibrisgroup.com/primo-explore/search?tab=default_tab&amp;search_scope=EVERYTHING&amp;vid=01CRU&amp;lang=en_US&amp;offset=0&amp;query=any,contains,991004683329702656","Catalog Record")</f>
        <v>Catalog Record</v>
      </c>
      <c r="AT690" s="6" t="str">
        <f>HYPERLINK("http://www.worldcat.org/oclc/49942305","WorldCat Record")</f>
        <v>WorldCat Record</v>
      </c>
      <c r="AU690" s="3" t="s">
        <v>8823</v>
      </c>
      <c r="AV690" s="3" t="s">
        <v>8824</v>
      </c>
      <c r="AW690" s="3" t="s">
        <v>8825</v>
      </c>
      <c r="AX690" s="3" t="s">
        <v>8825</v>
      </c>
      <c r="AY690" s="3" t="s">
        <v>8826</v>
      </c>
      <c r="AZ690" s="3" t="s">
        <v>73</v>
      </c>
      <c r="BB690" s="3" t="s">
        <v>8827</v>
      </c>
      <c r="BC690" s="3" t="s">
        <v>8828</v>
      </c>
      <c r="BD690" s="3" t="s">
        <v>8829</v>
      </c>
    </row>
    <row r="691" spans="1:56" ht="51" customHeight="1" x14ac:dyDescent="0.25">
      <c r="A691" s="7" t="s">
        <v>58</v>
      </c>
      <c r="B691" s="2" t="s">
        <v>8830</v>
      </c>
      <c r="C691" s="2" t="s">
        <v>8831</v>
      </c>
      <c r="D691" s="2" t="s">
        <v>8832</v>
      </c>
      <c r="F691" s="3" t="s">
        <v>58</v>
      </c>
      <c r="G691" s="3" t="s">
        <v>59</v>
      </c>
      <c r="H691" s="3" t="s">
        <v>58</v>
      </c>
      <c r="I691" s="3" t="s">
        <v>58</v>
      </c>
      <c r="J691" s="3" t="s">
        <v>60</v>
      </c>
      <c r="K691" s="2" t="s">
        <v>8833</v>
      </c>
      <c r="L691" s="2" t="s">
        <v>2615</v>
      </c>
      <c r="M691" s="3" t="s">
        <v>368</v>
      </c>
      <c r="O691" s="3" t="s">
        <v>63</v>
      </c>
      <c r="P691" s="3" t="s">
        <v>816</v>
      </c>
      <c r="Q691" s="2" t="s">
        <v>8834</v>
      </c>
      <c r="R691" s="3" t="s">
        <v>65</v>
      </c>
      <c r="S691" s="4">
        <v>11</v>
      </c>
      <c r="T691" s="4">
        <v>11</v>
      </c>
      <c r="U691" s="5" t="s">
        <v>8809</v>
      </c>
      <c r="V691" s="5" t="s">
        <v>8809</v>
      </c>
      <c r="W691" s="5" t="s">
        <v>8127</v>
      </c>
      <c r="X691" s="5" t="s">
        <v>8127</v>
      </c>
      <c r="Y691" s="4">
        <v>328</v>
      </c>
      <c r="Z691" s="4">
        <v>237</v>
      </c>
      <c r="AA691" s="4">
        <v>411</v>
      </c>
      <c r="AB691" s="4">
        <v>4</v>
      </c>
      <c r="AC691" s="4">
        <v>5</v>
      </c>
      <c r="AD691" s="4">
        <v>11</v>
      </c>
      <c r="AE691" s="4">
        <v>22</v>
      </c>
      <c r="AF691" s="4">
        <v>2</v>
      </c>
      <c r="AG691" s="4">
        <v>6</v>
      </c>
      <c r="AH691" s="4">
        <v>3</v>
      </c>
      <c r="AI691" s="4">
        <v>7</v>
      </c>
      <c r="AJ691" s="4">
        <v>6</v>
      </c>
      <c r="AK691" s="4">
        <v>10</v>
      </c>
      <c r="AL691" s="4">
        <v>3</v>
      </c>
      <c r="AM691" s="4">
        <v>4</v>
      </c>
      <c r="AN691" s="4">
        <v>0</v>
      </c>
      <c r="AO691" s="4">
        <v>0</v>
      </c>
      <c r="AP691" s="3" t="s">
        <v>58</v>
      </c>
      <c r="AQ691" s="3" t="s">
        <v>68</v>
      </c>
      <c r="AR691" s="6" t="str">
        <f>HYPERLINK("http://catalog.hathitrust.org/Record/000039986","HathiTrust Record")</f>
        <v>HathiTrust Record</v>
      </c>
      <c r="AS691" s="6" t="str">
        <f>HYPERLINK("https://creighton-primo.hosted.exlibrisgroup.com/primo-explore/search?tab=default_tab&amp;search_scope=EVERYTHING&amp;vid=01CRU&amp;lang=en_US&amp;offset=0&amp;query=any,contains,991003704839702656","Catalog Record")</f>
        <v>Catalog Record</v>
      </c>
      <c r="AT691" s="6" t="str">
        <f>HYPERLINK("http://www.worldcat.org/oclc/1341510","WorldCat Record")</f>
        <v>WorldCat Record</v>
      </c>
      <c r="AU691" s="3" t="s">
        <v>8835</v>
      </c>
      <c r="AV691" s="3" t="s">
        <v>8836</v>
      </c>
      <c r="AW691" s="3" t="s">
        <v>8837</v>
      </c>
      <c r="AX691" s="3" t="s">
        <v>8837</v>
      </c>
      <c r="AY691" s="3" t="s">
        <v>8838</v>
      </c>
      <c r="AZ691" s="3" t="s">
        <v>73</v>
      </c>
      <c r="BB691" s="3" t="s">
        <v>8839</v>
      </c>
      <c r="BC691" s="3" t="s">
        <v>8840</v>
      </c>
      <c r="BD691" s="3" t="s">
        <v>8841</v>
      </c>
    </row>
    <row r="692" spans="1:56" ht="51" customHeight="1" x14ac:dyDescent="0.25">
      <c r="A692" s="7" t="s">
        <v>58</v>
      </c>
      <c r="B692" s="2" t="s">
        <v>8842</v>
      </c>
      <c r="C692" s="2" t="s">
        <v>8843</v>
      </c>
      <c r="D692" s="2" t="s">
        <v>8844</v>
      </c>
      <c r="F692" s="3" t="s">
        <v>58</v>
      </c>
      <c r="G692" s="3" t="s">
        <v>59</v>
      </c>
      <c r="H692" s="3" t="s">
        <v>58</v>
      </c>
      <c r="I692" s="3" t="s">
        <v>58</v>
      </c>
      <c r="J692" s="3" t="s">
        <v>60</v>
      </c>
      <c r="K692" s="2" t="s">
        <v>8845</v>
      </c>
      <c r="L692" s="2" t="s">
        <v>8846</v>
      </c>
      <c r="M692" s="3" t="s">
        <v>1499</v>
      </c>
      <c r="N692" s="2" t="s">
        <v>1470</v>
      </c>
      <c r="O692" s="3" t="s">
        <v>63</v>
      </c>
      <c r="P692" s="3" t="s">
        <v>8753</v>
      </c>
      <c r="Q692" s="2" t="s">
        <v>8847</v>
      </c>
      <c r="R692" s="3" t="s">
        <v>65</v>
      </c>
      <c r="S692" s="4">
        <v>1</v>
      </c>
      <c r="T692" s="4">
        <v>1</v>
      </c>
      <c r="U692" s="5" t="s">
        <v>8848</v>
      </c>
      <c r="V692" s="5" t="s">
        <v>8848</v>
      </c>
      <c r="W692" s="5" t="s">
        <v>2616</v>
      </c>
      <c r="X692" s="5" t="s">
        <v>2616</v>
      </c>
      <c r="Y692" s="4">
        <v>621</v>
      </c>
      <c r="Z692" s="4">
        <v>556</v>
      </c>
      <c r="AA692" s="4">
        <v>557</v>
      </c>
      <c r="AB692" s="4">
        <v>3</v>
      </c>
      <c r="AC692" s="4">
        <v>3</v>
      </c>
      <c r="AD692" s="4">
        <v>29</v>
      </c>
      <c r="AE692" s="4">
        <v>29</v>
      </c>
      <c r="AF692" s="4">
        <v>10</v>
      </c>
      <c r="AG692" s="4">
        <v>10</v>
      </c>
      <c r="AH692" s="4">
        <v>9</v>
      </c>
      <c r="AI692" s="4">
        <v>9</v>
      </c>
      <c r="AJ692" s="4">
        <v>15</v>
      </c>
      <c r="AK692" s="4">
        <v>15</v>
      </c>
      <c r="AL692" s="4">
        <v>2</v>
      </c>
      <c r="AM692" s="4">
        <v>2</v>
      </c>
      <c r="AN692" s="4">
        <v>1</v>
      </c>
      <c r="AO692" s="4">
        <v>1</v>
      </c>
      <c r="AP692" s="3" t="s">
        <v>58</v>
      </c>
      <c r="AQ692" s="3" t="s">
        <v>58</v>
      </c>
      <c r="AS692" s="6" t="str">
        <f>HYPERLINK("https://creighton-primo.hosted.exlibrisgroup.com/primo-explore/search?tab=default_tab&amp;search_scope=EVERYTHING&amp;vid=01CRU&amp;lang=en_US&amp;offset=0&amp;query=any,contains,991002718899702656","Catalog Record")</f>
        <v>Catalog Record</v>
      </c>
      <c r="AT692" s="6" t="str">
        <f>HYPERLINK("http://www.worldcat.org/oclc/411993","WorldCat Record")</f>
        <v>WorldCat Record</v>
      </c>
      <c r="AU692" s="3" t="s">
        <v>8849</v>
      </c>
      <c r="AV692" s="3" t="s">
        <v>8850</v>
      </c>
      <c r="AW692" s="3" t="s">
        <v>8851</v>
      </c>
      <c r="AX692" s="3" t="s">
        <v>8851</v>
      </c>
      <c r="AY692" s="3" t="s">
        <v>8852</v>
      </c>
      <c r="AZ692" s="3" t="s">
        <v>73</v>
      </c>
      <c r="BC692" s="3" t="s">
        <v>8853</v>
      </c>
      <c r="BD692" s="3" t="s">
        <v>8854</v>
      </c>
    </row>
    <row r="693" spans="1:56" ht="51" customHeight="1" x14ac:dyDescent="0.25">
      <c r="A693" s="7" t="s">
        <v>58</v>
      </c>
      <c r="B693" s="2" t="s">
        <v>8855</v>
      </c>
      <c r="C693" s="2" t="s">
        <v>8856</v>
      </c>
      <c r="D693" s="2" t="s">
        <v>8857</v>
      </c>
      <c r="F693" s="3" t="s">
        <v>58</v>
      </c>
      <c r="G693" s="3" t="s">
        <v>59</v>
      </c>
      <c r="H693" s="3" t="s">
        <v>58</v>
      </c>
      <c r="I693" s="3" t="s">
        <v>58</v>
      </c>
      <c r="J693" s="3" t="s">
        <v>60</v>
      </c>
      <c r="K693" s="2" t="s">
        <v>8858</v>
      </c>
      <c r="L693" s="2" t="s">
        <v>8859</v>
      </c>
      <c r="M693" s="3" t="s">
        <v>83</v>
      </c>
      <c r="N693" s="2" t="s">
        <v>8860</v>
      </c>
      <c r="O693" s="3" t="s">
        <v>63</v>
      </c>
      <c r="P693" s="3" t="s">
        <v>584</v>
      </c>
      <c r="R693" s="3" t="s">
        <v>65</v>
      </c>
      <c r="S693" s="4">
        <v>0</v>
      </c>
      <c r="T693" s="4">
        <v>0</v>
      </c>
      <c r="U693" s="5" t="s">
        <v>8861</v>
      </c>
      <c r="V693" s="5" t="s">
        <v>8861</v>
      </c>
      <c r="W693" s="5" t="s">
        <v>8127</v>
      </c>
      <c r="X693" s="5" t="s">
        <v>8127</v>
      </c>
      <c r="Y693" s="4">
        <v>373</v>
      </c>
      <c r="Z693" s="4">
        <v>306</v>
      </c>
      <c r="AA693" s="4">
        <v>547</v>
      </c>
      <c r="AB693" s="4">
        <v>1</v>
      </c>
      <c r="AC693" s="4">
        <v>3</v>
      </c>
      <c r="AD693" s="4">
        <v>13</v>
      </c>
      <c r="AE693" s="4">
        <v>20</v>
      </c>
      <c r="AF693" s="4">
        <v>3</v>
      </c>
      <c r="AG693" s="4">
        <v>4</v>
      </c>
      <c r="AH693" s="4">
        <v>7</v>
      </c>
      <c r="AI693" s="4">
        <v>9</v>
      </c>
      <c r="AJ693" s="4">
        <v>10</v>
      </c>
      <c r="AK693" s="4">
        <v>14</v>
      </c>
      <c r="AL693" s="4">
        <v>0</v>
      </c>
      <c r="AM693" s="4">
        <v>1</v>
      </c>
      <c r="AN693" s="4">
        <v>0</v>
      </c>
      <c r="AO693" s="4">
        <v>0</v>
      </c>
      <c r="AP693" s="3" t="s">
        <v>58</v>
      </c>
      <c r="AQ693" s="3" t="s">
        <v>58</v>
      </c>
      <c r="AS693" s="6" t="str">
        <f>HYPERLINK("https://creighton-primo.hosted.exlibrisgroup.com/primo-explore/search?tab=default_tab&amp;search_scope=EVERYTHING&amp;vid=01CRU&amp;lang=en_US&amp;offset=0&amp;query=any,contains,991004598379702656","Catalog Record")</f>
        <v>Catalog Record</v>
      </c>
      <c r="AT693" s="6" t="str">
        <f>HYPERLINK("http://www.worldcat.org/oclc/4158025","WorldCat Record")</f>
        <v>WorldCat Record</v>
      </c>
      <c r="AU693" s="3" t="s">
        <v>8862</v>
      </c>
      <c r="AV693" s="3" t="s">
        <v>8863</v>
      </c>
      <c r="AW693" s="3" t="s">
        <v>8864</v>
      </c>
      <c r="AX693" s="3" t="s">
        <v>8864</v>
      </c>
      <c r="AY693" s="3" t="s">
        <v>8865</v>
      </c>
      <c r="AZ693" s="3" t="s">
        <v>73</v>
      </c>
      <c r="BB693" s="3" t="s">
        <v>8866</v>
      </c>
      <c r="BC693" s="3" t="s">
        <v>8867</v>
      </c>
      <c r="BD693" s="3" t="s">
        <v>8868</v>
      </c>
    </row>
    <row r="694" spans="1:56" ht="51" customHeight="1" x14ac:dyDescent="0.25">
      <c r="A694" s="7" t="s">
        <v>58</v>
      </c>
      <c r="B694" s="2" t="s">
        <v>8869</v>
      </c>
      <c r="C694" s="2" t="s">
        <v>8870</v>
      </c>
      <c r="D694" s="2" t="s">
        <v>8871</v>
      </c>
      <c r="F694" s="3" t="s">
        <v>58</v>
      </c>
      <c r="G694" s="3" t="s">
        <v>59</v>
      </c>
      <c r="H694" s="3" t="s">
        <v>58</v>
      </c>
      <c r="I694" s="3" t="s">
        <v>58</v>
      </c>
      <c r="J694" s="3" t="s">
        <v>60</v>
      </c>
      <c r="K694" s="2" t="s">
        <v>8872</v>
      </c>
      <c r="L694" s="2" t="s">
        <v>8873</v>
      </c>
      <c r="M694" s="3" t="s">
        <v>183</v>
      </c>
      <c r="O694" s="3" t="s">
        <v>8874</v>
      </c>
      <c r="P694" s="3" t="s">
        <v>8875</v>
      </c>
      <c r="Q694" s="2" t="s">
        <v>8876</v>
      </c>
      <c r="R694" s="3" t="s">
        <v>65</v>
      </c>
      <c r="S694" s="4">
        <v>3</v>
      </c>
      <c r="T694" s="4">
        <v>3</v>
      </c>
      <c r="U694" s="5" t="s">
        <v>8877</v>
      </c>
      <c r="V694" s="5" t="s">
        <v>8877</v>
      </c>
      <c r="W694" s="5" t="s">
        <v>8127</v>
      </c>
      <c r="X694" s="5" t="s">
        <v>8127</v>
      </c>
      <c r="Y694" s="4">
        <v>39</v>
      </c>
      <c r="Z694" s="4">
        <v>26</v>
      </c>
      <c r="AA694" s="4">
        <v>28</v>
      </c>
      <c r="AB694" s="4">
        <v>1</v>
      </c>
      <c r="AC694" s="4">
        <v>1</v>
      </c>
      <c r="AD694" s="4">
        <v>0</v>
      </c>
      <c r="AE694" s="4">
        <v>0</v>
      </c>
      <c r="AF694" s="4">
        <v>0</v>
      </c>
      <c r="AG694" s="4">
        <v>0</v>
      </c>
      <c r="AH694" s="4">
        <v>0</v>
      </c>
      <c r="AI694" s="4">
        <v>0</v>
      </c>
      <c r="AJ694" s="4">
        <v>0</v>
      </c>
      <c r="AK694" s="4">
        <v>0</v>
      </c>
      <c r="AL694" s="4">
        <v>0</v>
      </c>
      <c r="AM694" s="4">
        <v>0</v>
      </c>
      <c r="AN694" s="4">
        <v>0</v>
      </c>
      <c r="AO694" s="4">
        <v>0</v>
      </c>
      <c r="AP694" s="3" t="s">
        <v>58</v>
      </c>
      <c r="AQ694" s="3" t="s">
        <v>68</v>
      </c>
      <c r="AR694" s="6" t="str">
        <f>HYPERLINK("http://catalog.hathitrust.org/Record/006119703","HathiTrust Record")</f>
        <v>HathiTrust Record</v>
      </c>
      <c r="AS694" s="6" t="str">
        <f>HYPERLINK("https://creighton-primo.hosted.exlibrisgroup.com/primo-explore/search?tab=default_tab&amp;search_scope=EVERYTHING&amp;vid=01CRU&amp;lang=en_US&amp;offset=0&amp;query=any,contains,991004623339702656","Catalog Record")</f>
        <v>Catalog Record</v>
      </c>
      <c r="AT694" s="6" t="str">
        <f>HYPERLINK("http://www.worldcat.org/oclc/5709873","WorldCat Record")</f>
        <v>WorldCat Record</v>
      </c>
      <c r="AU694" s="3" t="s">
        <v>8878</v>
      </c>
      <c r="AV694" s="3" t="s">
        <v>8879</v>
      </c>
      <c r="AW694" s="3" t="s">
        <v>8880</v>
      </c>
      <c r="AX694" s="3" t="s">
        <v>8880</v>
      </c>
      <c r="AY694" s="3" t="s">
        <v>8881</v>
      </c>
      <c r="AZ694" s="3" t="s">
        <v>73</v>
      </c>
      <c r="BC694" s="3" t="s">
        <v>8882</v>
      </c>
      <c r="BD694" s="3" t="s">
        <v>8883</v>
      </c>
    </row>
    <row r="695" spans="1:56" ht="51" customHeight="1" x14ac:dyDescent="0.25">
      <c r="A695" s="7" t="s">
        <v>58</v>
      </c>
      <c r="B695" s="2" t="s">
        <v>8884</v>
      </c>
      <c r="C695" s="2" t="s">
        <v>8885</v>
      </c>
      <c r="D695" s="2" t="s">
        <v>8886</v>
      </c>
      <c r="F695" s="3" t="s">
        <v>58</v>
      </c>
      <c r="G695" s="3" t="s">
        <v>59</v>
      </c>
      <c r="H695" s="3" t="s">
        <v>58</v>
      </c>
      <c r="I695" s="3" t="s">
        <v>58</v>
      </c>
      <c r="J695" s="3" t="s">
        <v>60</v>
      </c>
      <c r="K695" s="2" t="s">
        <v>8887</v>
      </c>
      <c r="L695" s="2" t="s">
        <v>8888</v>
      </c>
      <c r="M695" s="3" t="s">
        <v>154</v>
      </c>
      <c r="O695" s="3" t="s">
        <v>63</v>
      </c>
      <c r="P695" s="3" t="s">
        <v>816</v>
      </c>
      <c r="Q695" s="2" t="s">
        <v>8889</v>
      </c>
      <c r="R695" s="3" t="s">
        <v>65</v>
      </c>
      <c r="S695" s="4">
        <v>5</v>
      </c>
      <c r="T695" s="4">
        <v>5</v>
      </c>
      <c r="U695" s="5" t="s">
        <v>8890</v>
      </c>
      <c r="V695" s="5" t="s">
        <v>8890</v>
      </c>
      <c r="W695" s="5" t="s">
        <v>8891</v>
      </c>
      <c r="X695" s="5" t="s">
        <v>8891</v>
      </c>
      <c r="Y695" s="4">
        <v>158</v>
      </c>
      <c r="Z695" s="4">
        <v>122</v>
      </c>
      <c r="AA695" s="4">
        <v>129</v>
      </c>
      <c r="AB695" s="4">
        <v>1</v>
      </c>
      <c r="AC695" s="4">
        <v>1</v>
      </c>
      <c r="AD695" s="4">
        <v>7</v>
      </c>
      <c r="AE695" s="4">
        <v>7</v>
      </c>
      <c r="AF695" s="4">
        <v>1</v>
      </c>
      <c r="AG695" s="4">
        <v>1</v>
      </c>
      <c r="AH695" s="4">
        <v>4</v>
      </c>
      <c r="AI695" s="4">
        <v>4</v>
      </c>
      <c r="AJ695" s="4">
        <v>5</v>
      </c>
      <c r="AK695" s="4">
        <v>5</v>
      </c>
      <c r="AL695" s="4">
        <v>0</v>
      </c>
      <c r="AM695" s="4">
        <v>0</v>
      </c>
      <c r="AN695" s="4">
        <v>0</v>
      </c>
      <c r="AO695" s="4">
        <v>0</v>
      </c>
      <c r="AP695" s="3" t="s">
        <v>58</v>
      </c>
      <c r="AQ695" s="3" t="s">
        <v>68</v>
      </c>
      <c r="AR695" s="6" t="str">
        <f>HYPERLINK("http://catalog.hathitrust.org/Record/002169407","HathiTrust Record")</f>
        <v>HathiTrust Record</v>
      </c>
      <c r="AS695" s="6" t="str">
        <f>HYPERLINK("https://creighton-primo.hosted.exlibrisgroup.com/primo-explore/search?tab=default_tab&amp;search_scope=EVERYTHING&amp;vid=01CRU&amp;lang=en_US&amp;offset=0&amp;query=any,contains,991001791799702656","Catalog Record")</f>
        <v>Catalog Record</v>
      </c>
      <c r="AT695" s="6" t="str">
        <f>HYPERLINK("http://www.worldcat.org/oclc/22544415","WorldCat Record")</f>
        <v>WorldCat Record</v>
      </c>
      <c r="AU695" s="3" t="s">
        <v>8892</v>
      </c>
      <c r="AV695" s="3" t="s">
        <v>8893</v>
      </c>
      <c r="AW695" s="3" t="s">
        <v>8894</v>
      </c>
      <c r="AX695" s="3" t="s">
        <v>8894</v>
      </c>
      <c r="AY695" s="3" t="s">
        <v>8895</v>
      </c>
      <c r="AZ695" s="3" t="s">
        <v>73</v>
      </c>
      <c r="BB695" s="3" t="s">
        <v>8896</v>
      </c>
      <c r="BC695" s="3" t="s">
        <v>8897</v>
      </c>
      <c r="BD695" s="3" t="s">
        <v>8898</v>
      </c>
    </row>
    <row r="696" spans="1:56" ht="51" customHeight="1" x14ac:dyDescent="0.25">
      <c r="A696" s="7" t="s">
        <v>58</v>
      </c>
      <c r="B696" s="2" t="s">
        <v>8899</v>
      </c>
      <c r="C696" s="2" t="s">
        <v>8900</v>
      </c>
      <c r="D696" s="2" t="s">
        <v>8901</v>
      </c>
      <c r="F696" s="3" t="s">
        <v>58</v>
      </c>
      <c r="G696" s="3" t="s">
        <v>59</v>
      </c>
      <c r="H696" s="3" t="s">
        <v>58</v>
      </c>
      <c r="I696" s="3" t="s">
        <v>58</v>
      </c>
      <c r="J696" s="3" t="s">
        <v>60</v>
      </c>
      <c r="K696" s="2" t="s">
        <v>8902</v>
      </c>
      <c r="L696" s="2" t="s">
        <v>8903</v>
      </c>
      <c r="M696" s="3" t="s">
        <v>1732</v>
      </c>
      <c r="O696" s="3" t="s">
        <v>63</v>
      </c>
      <c r="P696" s="3" t="s">
        <v>214</v>
      </c>
      <c r="R696" s="3" t="s">
        <v>65</v>
      </c>
      <c r="S696" s="4">
        <v>5</v>
      </c>
      <c r="T696" s="4">
        <v>5</v>
      </c>
      <c r="U696" s="5" t="s">
        <v>8904</v>
      </c>
      <c r="V696" s="5" t="s">
        <v>8904</v>
      </c>
      <c r="W696" s="5" t="s">
        <v>8905</v>
      </c>
      <c r="X696" s="5" t="s">
        <v>8905</v>
      </c>
      <c r="Y696" s="4">
        <v>400</v>
      </c>
      <c r="Z696" s="4">
        <v>382</v>
      </c>
      <c r="AA696" s="4">
        <v>799</v>
      </c>
      <c r="AB696" s="4">
        <v>2</v>
      </c>
      <c r="AC696" s="4">
        <v>7</v>
      </c>
      <c r="AD696" s="4">
        <v>14</v>
      </c>
      <c r="AE696" s="4">
        <v>27</v>
      </c>
      <c r="AF696" s="4">
        <v>5</v>
      </c>
      <c r="AG696" s="4">
        <v>11</v>
      </c>
      <c r="AH696" s="4">
        <v>5</v>
      </c>
      <c r="AI696" s="4">
        <v>5</v>
      </c>
      <c r="AJ696" s="4">
        <v>7</v>
      </c>
      <c r="AK696" s="4">
        <v>12</v>
      </c>
      <c r="AL696" s="4">
        <v>1</v>
      </c>
      <c r="AM696" s="4">
        <v>4</v>
      </c>
      <c r="AN696" s="4">
        <v>0</v>
      </c>
      <c r="AO696" s="4">
        <v>0</v>
      </c>
      <c r="AP696" s="3" t="s">
        <v>58</v>
      </c>
      <c r="AQ696" s="3" t="s">
        <v>68</v>
      </c>
      <c r="AR696" s="6" t="str">
        <f>HYPERLINK("http://catalog.hathitrust.org/Record/001240103","HathiTrust Record")</f>
        <v>HathiTrust Record</v>
      </c>
      <c r="AS696" s="6" t="str">
        <f>HYPERLINK("https://creighton-primo.hosted.exlibrisgroup.com/primo-explore/search?tab=default_tab&amp;search_scope=EVERYTHING&amp;vid=01CRU&amp;lang=en_US&amp;offset=0&amp;query=any,contains,991001928509702656","Catalog Record")</f>
        <v>Catalog Record</v>
      </c>
      <c r="AT696" s="6" t="str">
        <f>HYPERLINK("http://www.worldcat.org/oclc/247956","WorldCat Record")</f>
        <v>WorldCat Record</v>
      </c>
      <c r="AU696" s="3" t="s">
        <v>8906</v>
      </c>
      <c r="AV696" s="3" t="s">
        <v>8907</v>
      </c>
      <c r="AW696" s="3" t="s">
        <v>8908</v>
      </c>
      <c r="AX696" s="3" t="s">
        <v>8908</v>
      </c>
      <c r="AY696" s="3" t="s">
        <v>8909</v>
      </c>
      <c r="AZ696" s="3" t="s">
        <v>73</v>
      </c>
      <c r="BC696" s="3" t="s">
        <v>8910</v>
      </c>
      <c r="BD696" s="3" t="s">
        <v>8911</v>
      </c>
    </row>
    <row r="697" spans="1:56" ht="51" customHeight="1" x14ac:dyDescent="0.25">
      <c r="A697" s="7" t="s">
        <v>58</v>
      </c>
      <c r="B697" s="2" t="s">
        <v>8912</v>
      </c>
      <c r="C697" s="2" t="s">
        <v>8913</v>
      </c>
      <c r="D697" s="2" t="s">
        <v>8914</v>
      </c>
      <c r="F697" s="3" t="s">
        <v>58</v>
      </c>
      <c r="G697" s="3" t="s">
        <v>59</v>
      </c>
      <c r="H697" s="3" t="s">
        <v>58</v>
      </c>
      <c r="I697" s="3" t="s">
        <v>58</v>
      </c>
      <c r="J697" s="3" t="s">
        <v>60</v>
      </c>
      <c r="K697" s="2" t="s">
        <v>8915</v>
      </c>
      <c r="L697" s="2" t="s">
        <v>8916</v>
      </c>
      <c r="M697" s="3" t="s">
        <v>62</v>
      </c>
      <c r="O697" s="3" t="s">
        <v>63</v>
      </c>
      <c r="P697" s="3" t="s">
        <v>584</v>
      </c>
      <c r="R697" s="3" t="s">
        <v>65</v>
      </c>
      <c r="S697" s="4">
        <v>8</v>
      </c>
      <c r="T697" s="4">
        <v>8</v>
      </c>
      <c r="U697" s="5" t="s">
        <v>6937</v>
      </c>
      <c r="V697" s="5" t="s">
        <v>6937</v>
      </c>
      <c r="W697" s="5" t="s">
        <v>4368</v>
      </c>
      <c r="X697" s="5" t="s">
        <v>4368</v>
      </c>
      <c r="Y697" s="4">
        <v>441</v>
      </c>
      <c r="Z697" s="4">
        <v>260</v>
      </c>
      <c r="AA697" s="4">
        <v>778</v>
      </c>
      <c r="AB697" s="4">
        <v>2</v>
      </c>
      <c r="AC697" s="4">
        <v>5</v>
      </c>
      <c r="AD697" s="4">
        <v>12</v>
      </c>
      <c r="AE697" s="4">
        <v>30</v>
      </c>
      <c r="AF697" s="4">
        <v>2</v>
      </c>
      <c r="AG697" s="4">
        <v>12</v>
      </c>
      <c r="AH697" s="4">
        <v>5</v>
      </c>
      <c r="AI697" s="4">
        <v>9</v>
      </c>
      <c r="AJ697" s="4">
        <v>9</v>
      </c>
      <c r="AK697" s="4">
        <v>17</v>
      </c>
      <c r="AL697" s="4">
        <v>1</v>
      </c>
      <c r="AM697" s="4">
        <v>4</v>
      </c>
      <c r="AN697" s="4">
        <v>0</v>
      </c>
      <c r="AO697" s="4">
        <v>0</v>
      </c>
      <c r="AP697" s="3" t="s">
        <v>58</v>
      </c>
      <c r="AQ697" s="3" t="s">
        <v>68</v>
      </c>
      <c r="AR697" s="6" t="str">
        <f>HYPERLINK("http://catalog.hathitrust.org/Record/001240108","HathiTrust Record")</f>
        <v>HathiTrust Record</v>
      </c>
      <c r="AS697" s="6" t="str">
        <f>HYPERLINK("https://creighton-primo.hosted.exlibrisgroup.com/primo-explore/search?tab=default_tab&amp;search_scope=EVERYTHING&amp;vid=01CRU&amp;lang=en_US&amp;offset=0&amp;query=any,contains,991001926809702656","Catalog Record")</f>
        <v>Catalog Record</v>
      </c>
      <c r="AT697" s="6" t="str">
        <f>HYPERLINK("http://www.worldcat.org/oclc/246988","WorldCat Record")</f>
        <v>WorldCat Record</v>
      </c>
      <c r="AU697" s="3" t="s">
        <v>8917</v>
      </c>
      <c r="AV697" s="3" t="s">
        <v>8918</v>
      </c>
      <c r="AW697" s="3" t="s">
        <v>8919</v>
      </c>
      <c r="AX697" s="3" t="s">
        <v>8919</v>
      </c>
      <c r="AY697" s="3" t="s">
        <v>8920</v>
      </c>
      <c r="AZ697" s="3" t="s">
        <v>73</v>
      </c>
      <c r="BB697" s="3" t="s">
        <v>8921</v>
      </c>
      <c r="BC697" s="3" t="s">
        <v>8922</v>
      </c>
      <c r="BD697" s="3" t="s">
        <v>8923</v>
      </c>
    </row>
    <row r="698" spans="1:56" ht="51" customHeight="1" x14ac:dyDescent="0.25">
      <c r="A698" s="7" t="s">
        <v>58</v>
      </c>
      <c r="B698" s="2" t="s">
        <v>8924</v>
      </c>
      <c r="C698" s="2" t="s">
        <v>8925</v>
      </c>
      <c r="D698" s="2" t="s">
        <v>8926</v>
      </c>
      <c r="F698" s="3" t="s">
        <v>58</v>
      </c>
      <c r="G698" s="3" t="s">
        <v>59</v>
      </c>
      <c r="H698" s="3" t="s">
        <v>58</v>
      </c>
      <c r="I698" s="3" t="s">
        <v>58</v>
      </c>
      <c r="J698" s="3" t="s">
        <v>60</v>
      </c>
      <c r="K698" s="2" t="s">
        <v>8927</v>
      </c>
      <c r="L698" s="2" t="s">
        <v>3511</v>
      </c>
      <c r="M698" s="3" t="s">
        <v>759</v>
      </c>
      <c r="O698" s="3" t="s">
        <v>63</v>
      </c>
      <c r="P698" s="3" t="s">
        <v>214</v>
      </c>
      <c r="R698" s="3" t="s">
        <v>65</v>
      </c>
      <c r="S698" s="4">
        <v>2</v>
      </c>
      <c r="T698" s="4">
        <v>2</v>
      </c>
      <c r="U698" s="5" t="s">
        <v>2297</v>
      </c>
      <c r="V698" s="5" t="s">
        <v>2297</v>
      </c>
      <c r="W698" s="5" t="s">
        <v>8127</v>
      </c>
      <c r="X698" s="5" t="s">
        <v>8127</v>
      </c>
      <c r="Y698" s="4">
        <v>487</v>
      </c>
      <c r="Z698" s="4">
        <v>455</v>
      </c>
      <c r="AA698" s="4">
        <v>731</v>
      </c>
      <c r="AB698" s="4">
        <v>1</v>
      </c>
      <c r="AC698" s="4">
        <v>4</v>
      </c>
      <c r="AD698" s="4">
        <v>19</v>
      </c>
      <c r="AE698" s="4">
        <v>26</v>
      </c>
      <c r="AF698" s="4">
        <v>9</v>
      </c>
      <c r="AG698" s="4">
        <v>13</v>
      </c>
      <c r="AH698" s="4">
        <v>5</v>
      </c>
      <c r="AI698" s="4">
        <v>6</v>
      </c>
      <c r="AJ698" s="4">
        <v>9</v>
      </c>
      <c r="AK698" s="4">
        <v>11</v>
      </c>
      <c r="AL698" s="4">
        <v>0</v>
      </c>
      <c r="AM698" s="4">
        <v>2</v>
      </c>
      <c r="AN698" s="4">
        <v>0</v>
      </c>
      <c r="AO698" s="4">
        <v>0</v>
      </c>
      <c r="AP698" s="3" t="s">
        <v>58</v>
      </c>
      <c r="AQ698" s="3" t="s">
        <v>58</v>
      </c>
      <c r="AS698" s="6" t="str">
        <f>HYPERLINK("https://creighton-primo.hosted.exlibrisgroup.com/primo-explore/search?tab=default_tab&amp;search_scope=EVERYTHING&amp;vid=01CRU&amp;lang=en_US&amp;offset=0&amp;query=any,contains,991004957259702656","Catalog Record")</f>
        <v>Catalog Record</v>
      </c>
      <c r="AT698" s="6" t="str">
        <f>HYPERLINK("http://www.worldcat.org/oclc/6280619","WorldCat Record")</f>
        <v>WorldCat Record</v>
      </c>
      <c r="AU698" s="3" t="s">
        <v>8928</v>
      </c>
      <c r="AV698" s="3" t="s">
        <v>8929</v>
      </c>
      <c r="AW698" s="3" t="s">
        <v>8930</v>
      </c>
      <c r="AX698" s="3" t="s">
        <v>8930</v>
      </c>
      <c r="AY698" s="3" t="s">
        <v>8931</v>
      </c>
      <c r="AZ698" s="3" t="s">
        <v>73</v>
      </c>
      <c r="BB698" s="3" t="s">
        <v>8932</v>
      </c>
      <c r="BC698" s="3" t="s">
        <v>8933</v>
      </c>
      <c r="BD698" s="3" t="s">
        <v>8934</v>
      </c>
    </row>
    <row r="699" spans="1:56" ht="51" customHeight="1" x14ac:dyDescent="0.25">
      <c r="A699" s="7" t="s">
        <v>58</v>
      </c>
      <c r="B699" s="2" t="s">
        <v>8935</v>
      </c>
      <c r="C699" s="2" t="s">
        <v>8936</v>
      </c>
      <c r="D699" s="2" t="s">
        <v>8937</v>
      </c>
      <c r="F699" s="3" t="s">
        <v>58</v>
      </c>
      <c r="G699" s="3" t="s">
        <v>59</v>
      </c>
      <c r="H699" s="3" t="s">
        <v>58</v>
      </c>
      <c r="I699" s="3" t="s">
        <v>58</v>
      </c>
      <c r="J699" s="3" t="s">
        <v>60</v>
      </c>
      <c r="K699" s="2" t="s">
        <v>8938</v>
      </c>
      <c r="L699" s="2" t="s">
        <v>8939</v>
      </c>
      <c r="M699" s="3" t="s">
        <v>353</v>
      </c>
      <c r="O699" s="3" t="s">
        <v>63</v>
      </c>
      <c r="P699" s="3" t="s">
        <v>8940</v>
      </c>
      <c r="R699" s="3" t="s">
        <v>65</v>
      </c>
      <c r="S699" s="4">
        <v>4</v>
      </c>
      <c r="T699" s="4">
        <v>4</v>
      </c>
      <c r="U699" s="5" t="s">
        <v>2297</v>
      </c>
      <c r="V699" s="5" t="s">
        <v>2297</v>
      </c>
      <c r="W699" s="5" t="s">
        <v>8127</v>
      </c>
      <c r="X699" s="5" t="s">
        <v>8127</v>
      </c>
      <c r="Y699" s="4">
        <v>262</v>
      </c>
      <c r="Z699" s="4">
        <v>220</v>
      </c>
      <c r="AA699" s="4">
        <v>229</v>
      </c>
      <c r="AB699" s="4">
        <v>1</v>
      </c>
      <c r="AC699" s="4">
        <v>1</v>
      </c>
      <c r="AD699" s="4">
        <v>8</v>
      </c>
      <c r="AE699" s="4">
        <v>9</v>
      </c>
      <c r="AF699" s="4">
        <v>1</v>
      </c>
      <c r="AG699" s="4">
        <v>1</v>
      </c>
      <c r="AH699" s="4">
        <v>2</v>
      </c>
      <c r="AI699" s="4">
        <v>3</v>
      </c>
      <c r="AJ699" s="4">
        <v>6</v>
      </c>
      <c r="AK699" s="4">
        <v>7</v>
      </c>
      <c r="AL699" s="4">
        <v>0</v>
      </c>
      <c r="AM699" s="4">
        <v>0</v>
      </c>
      <c r="AN699" s="4">
        <v>0</v>
      </c>
      <c r="AO699" s="4">
        <v>0</v>
      </c>
      <c r="AP699" s="3" t="s">
        <v>58</v>
      </c>
      <c r="AQ699" s="3" t="s">
        <v>68</v>
      </c>
      <c r="AR699" s="6" t="str">
        <f>HYPERLINK("http://catalog.hathitrust.org/Record/009930030","HathiTrust Record")</f>
        <v>HathiTrust Record</v>
      </c>
      <c r="AS699" s="6" t="str">
        <f>HYPERLINK("https://creighton-primo.hosted.exlibrisgroup.com/primo-explore/search?tab=default_tab&amp;search_scope=EVERYTHING&amp;vid=01CRU&amp;lang=en_US&amp;offset=0&amp;query=any,contains,991001244179702656","Catalog Record")</f>
        <v>Catalog Record</v>
      </c>
      <c r="AT699" s="6" t="str">
        <f>HYPERLINK("http://www.worldcat.org/oclc/24848929","WorldCat Record")</f>
        <v>WorldCat Record</v>
      </c>
      <c r="AU699" s="3" t="s">
        <v>8941</v>
      </c>
      <c r="AV699" s="3" t="s">
        <v>8942</v>
      </c>
      <c r="AW699" s="3" t="s">
        <v>8943</v>
      </c>
      <c r="AX699" s="3" t="s">
        <v>8943</v>
      </c>
      <c r="AY699" s="3" t="s">
        <v>8944</v>
      </c>
      <c r="AZ699" s="3" t="s">
        <v>73</v>
      </c>
      <c r="BC699" s="3" t="s">
        <v>8945</v>
      </c>
      <c r="BD699" s="3" t="s">
        <v>8946</v>
      </c>
    </row>
    <row r="700" spans="1:56" ht="51" customHeight="1" x14ac:dyDescent="0.25">
      <c r="A700" s="7" t="s">
        <v>58</v>
      </c>
      <c r="B700" s="2" t="s">
        <v>8947</v>
      </c>
      <c r="C700" s="2" t="s">
        <v>8948</v>
      </c>
      <c r="D700" s="2" t="s">
        <v>8949</v>
      </c>
      <c r="F700" s="3" t="s">
        <v>58</v>
      </c>
      <c r="G700" s="3" t="s">
        <v>59</v>
      </c>
      <c r="H700" s="3" t="s">
        <v>58</v>
      </c>
      <c r="I700" s="3" t="s">
        <v>58</v>
      </c>
      <c r="J700" s="3" t="s">
        <v>60</v>
      </c>
      <c r="K700" s="2" t="s">
        <v>8950</v>
      </c>
      <c r="L700" s="2" t="s">
        <v>8951</v>
      </c>
      <c r="M700" s="3" t="s">
        <v>1091</v>
      </c>
      <c r="N700" s="2" t="s">
        <v>424</v>
      </c>
      <c r="O700" s="3" t="s">
        <v>63</v>
      </c>
      <c r="P700" s="3" t="s">
        <v>584</v>
      </c>
      <c r="Q700" s="2" t="s">
        <v>8952</v>
      </c>
      <c r="R700" s="3" t="s">
        <v>65</v>
      </c>
      <c r="S700" s="4">
        <v>3</v>
      </c>
      <c r="T700" s="4">
        <v>3</v>
      </c>
      <c r="U700" s="5" t="s">
        <v>2172</v>
      </c>
      <c r="V700" s="5" t="s">
        <v>2172</v>
      </c>
      <c r="W700" s="5" t="s">
        <v>8953</v>
      </c>
      <c r="X700" s="5" t="s">
        <v>8953</v>
      </c>
      <c r="Y700" s="4">
        <v>31</v>
      </c>
      <c r="Z700" s="4">
        <v>12</v>
      </c>
      <c r="AA700" s="4">
        <v>497</v>
      </c>
      <c r="AB700" s="4">
        <v>1</v>
      </c>
      <c r="AC700" s="4">
        <v>2</v>
      </c>
      <c r="AD700" s="4">
        <v>0</v>
      </c>
      <c r="AE700" s="4">
        <v>8</v>
      </c>
      <c r="AF700" s="4">
        <v>0</v>
      </c>
      <c r="AG700" s="4">
        <v>6</v>
      </c>
      <c r="AH700" s="4">
        <v>0</v>
      </c>
      <c r="AI700" s="4">
        <v>2</v>
      </c>
      <c r="AJ700" s="4">
        <v>0</v>
      </c>
      <c r="AK700" s="4">
        <v>1</v>
      </c>
      <c r="AL700" s="4">
        <v>0</v>
      </c>
      <c r="AM700" s="4">
        <v>1</v>
      </c>
      <c r="AN700" s="4">
        <v>0</v>
      </c>
      <c r="AO700" s="4">
        <v>0</v>
      </c>
      <c r="AP700" s="3" t="s">
        <v>58</v>
      </c>
      <c r="AQ700" s="3" t="s">
        <v>58</v>
      </c>
      <c r="AS700" s="6" t="str">
        <f>HYPERLINK("https://creighton-primo.hosted.exlibrisgroup.com/primo-explore/search?tab=default_tab&amp;search_scope=EVERYTHING&amp;vid=01CRU&amp;lang=en_US&amp;offset=0&amp;query=any,contains,991003716519702656","Catalog Record")</f>
        <v>Catalog Record</v>
      </c>
      <c r="AT700" s="6" t="str">
        <f>HYPERLINK("http://www.worldcat.org/oclc/47271887","WorldCat Record")</f>
        <v>WorldCat Record</v>
      </c>
      <c r="AU700" s="3" t="s">
        <v>8954</v>
      </c>
      <c r="AV700" s="3" t="s">
        <v>8955</v>
      </c>
      <c r="AW700" s="3" t="s">
        <v>8956</v>
      </c>
      <c r="AX700" s="3" t="s">
        <v>8956</v>
      </c>
      <c r="AY700" s="3" t="s">
        <v>8957</v>
      </c>
      <c r="AZ700" s="3" t="s">
        <v>73</v>
      </c>
      <c r="BB700" s="3" t="s">
        <v>8958</v>
      </c>
      <c r="BC700" s="3" t="s">
        <v>8959</v>
      </c>
      <c r="BD700" s="3" t="s">
        <v>8960</v>
      </c>
    </row>
    <row r="701" spans="1:56" ht="51" customHeight="1" x14ac:dyDescent="0.25">
      <c r="A701" s="7" t="s">
        <v>58</v>
      </c>
      <c r="B701" s="2" t="s">
        <v>8961</v>
      </c>
      <c r="C701" s="2" t="s">
        <v>8962</v>
      </c>
      <c r="D701" s="2" t="s">
        <v>8963</v>
      </c>
      <c r="F701" s="3" t="s">
        <v>58</v>
      </c>
      <c r="G701" s="3" t="s">
        <v>59</v>
      </c>
      <c r="H701" s="3" t="s">
        <v>58</v>
      </c>
      <c r="I701" s="3" t="s">
        <v>58</v>
      </c>
      <c r="J701" s="3" t="s">
        <v>60</v>
      </c>
      <c r="L701" s="2" t="s">
        <v>8964</v>
      </c>
      <c r="M701" s="3" t="s">
        <v>524</v>
      </c>
      <c r="O701" s="3" t="s">
        <v>63</v>
      </c>
      <c r="P701" s="3" t="s">
        <v>354</v>
      </c>
      <c r="R701" s="3" t="s">
        <v>65</v>
      </c>
      <c r="S701" s="4">
        <v>7</v>
      </c>
      <c r="T701" s="4">
        <v>7</v>
      </c>
      <c r="U701" s="5" t="s">
        <v>8965</v>
      </c>
      <c r="V701" s="5" t="s">
        <v>8965</v>
      </c>
      <c r="W701" s="5" t="s">
        <v>8127</v>
      </c>
      <c r="X701" s="5" t="s">
        <v>8127</v>
      </c>
      <c r="Y701" s="4">
        <v>210</v>
      </c>
      <c r="Z701" s="4">
        <v>196</v>
      </c>
      <c r="AA701" s="4">
        <v>259</v>
      </c>
      <c r="AB701" s="4">
        <v>1</v>
      </c>
      <c r="AC701" s="4">
        <v>2</v>
      </c>
      <c r="AD701" s="4">
        <v>8</v>
      </c>
      <c r="AE701" s="4">
        <v>9</v>
      </c>
      <c r="AF701" s="4">
        <v>3</v>
      </c>
      <c r="AG701" s="4">
        <v>3</v>
      </c>
      <c r="AH701" s="4">
        <v>2</v>
      </c>
      <c r="AI701" s="4">
        <v>2</v>
      </c>
      <c r="AJ701" s="4">
        <v>6</v>
      </c>
      <c r="AK701" s="4">
        <v>6</v>
      </c>
      <c r="AL701" s="4">
        <v>0</v>
      </c>
      <c r="AM701" s="4">
        <v>1</v>
      </c>
      <c r="AN701" s="4">
        <v>0</v>
      </c>
      <c r="AO701" s="4">
        <v>0</v>
      </c>
      <c r="AP701" s="3" t="s">
        <v>58</v>
      </c>
      <c r="AQ701" s="3" t="s">
        <v>68</v>
      </c>
      <c r="AR701" s="6" t="str">
        <f>HYPERLINK("http://catalog.hathitrust.org/Record/000815750","HathiTrust Record")</f>
        <v>HathiTrust Record</v>
      </c>
      <c r="AS701" s="6" t="str">
        <f>HYPERLINK("https://creighton-primo.hosted.exlibrisgroup.com/primo-explore/search?tab=default_tab&amp;search_scope=EVERYTHING&amp;vid=01CRU&amp;lang=en_US&amp;offset=0&amp;query=any,contains,991000872379702656","Catalog Record")</f>
        <v>Catalog Record</v>
      </c>
      <c r="AT701" s="6" t="str">
        <f>HYPERLINK("http://www.worldcat.org/oclc/13793770","WorldCat Record")</f>
        <v>WorldCat Record</v>
      </c>
      <c r="AU701" s="3" t="s">
        <v>8966</v>
      </c>
      <c r="AV701" s="3" t="s">
        <v>8967</v>
      </c>
      <c r="AW701" s="3" t="s">
        <v>8968</v>
      </c>
      <c r="AX701" s="3" t="s">
        <v>8968</v>
      </c>
      <c r="AY701" s="3" t="s">
        <v>8969</v>
      </c>
      <c r="AZ701" s="3" t="s">
        <v>73</v>
      </c>
      <c r="BB701" s="3" t="s">
        <v>8970</v>
      </c>
      <c r="BC701" s="3" t="s">
        <v>8971</v>
      </c>
      <c r="BD701" s="3" t="s">
        <v>8972</v>
      </c>
    </row>
    <row r="702" spans="1:56" ht="51" customHeight="1" x14ac:dyDescent="0.25">
      <c r="A702" s="7" t="s">
        <v>58</v>
      </c>
      <c r="B702" s="2" t="s">
        <v>8973</v>
      </c>
      <c r="C702" s="2" t="s">
        <v>8974</v>
      </c>
      <c r="D702" s="2" t="s">
        <v>8975</v>
      </c>
      <c r="F702" s="3" t="s">
        <v>58</v>
      </c>
      <c r="G702" s="3" t="s">
        <v>59</v>
      </c>
      <c r="H702" s="3" t="s">
        <v>58</v>
      </c>
      <c r="I702" s="3" t="s">
        <v>58</v>
      </c>
      <c r="J702" s="3" t="s">
        <v>60</v>
      </c>
      <c r="K702" s="2" t="s">
        <v>8976</v>
      </c>
      <c r="L702" s="2" t="s">
        <v>8977</v>
      </c>
      <c r="M702" s="3" t="s">
        <v>1784</v>
      </c>
      <c r="O702" s="3" t="s">
        <v>63</v>
      </c>
      <c r="P702" s="3" t="s">
        <v>584</v>
      </c>
      <c r="Q702" s="2" t="s">
        <v>8978</v>
      </c>
      <c r="R702" s="3" t="s">
        <v>65</v>
      </c>
      <c r="S702" s="4">
        <v>2</v>
      </c>
      <c r="T702" s="4">
        <v>2</v>
      </c>
      <c r="U702" s="5" t="s">
        <v>8979</v>
      </c>
      <c r="V702" s="5" t="s">
        <v>8979</v>
      </c>
      <c r="W702" s="5" t="s">
        <v>8980</v>
      </c>
      <c r="X702" s="5" t="s">
        <v>8980</v>
      </c>
      <c r="Y702" s="4">
        <v>411</v>
      </c>
      <c r="Z702" s="4">
        <v>310</v>
      </c>
      <c r="AA702" s="4">
        <v>943</v>
      </c>
      <c r="AB702" s="4">
        <v>3</v>
      </c>
      <c r="AC702" s="4">
        <v>6</v>
      </c>
      <c r="AD702" s="4">
        <v>14</v>
      </c>
      <c r="AE702" s="4">
        <v>24</v>
      </c>
      <c r="AF702" s="4">
        <v>3</v>
      </c>
      <c r="AG702" s="4">
        <v>9</v>
      </c>
      <c r="AH702" s="4">
        <v>3</v>
      </c>
      <c r="AI702" s="4">
        <v>4</v>
      </c>
      <c r="AJ702" s="4">
        <v>8</v>
      </c>
      <c r="AK702" s="4">
        <v>11</v>
      </c>
      <c r="AL702" s="4">
        <v>2</v>
      </c>
      <c r="AM702" s="4">
        <v>5</v>
      </c>
      <c r="AN702" s="4">
        <v>0</v>
      </c>
      <c r="AO702" s="4">
        <v>0</v>
      </c>
      <c r="AP702" s="3" t="s">
        <v>58</v>
      </c>
      <c r="AQ702" s="3" t="s">
        <v>68</v>
      </c>
      <c r="AR702" s="6" t="str">
        <f>HYPERLINK("http://catalog.hathitrust.org/Record/000706160","HathiTrust Record")</f>
        <v>HathiTrust Record</v>
      </c>
      <c r="AS702" s="6" t="str">
        <f>HYPERLINK("https://creighton-primo.hosted.exlibrisgroup.com/primo-explore/search?tab=default_tab&amp;search_scope=EVERYTHING&amp;vid=01CRU&amp;lang=en_US&amp;offset=0&amp;query=any,contains,991001755629702656","Catalog Record")</f>
        <v>Catalog Record</v>
      </c>
      <c r="AT702" s="6" t="str">
        <f>HYPERLINK("http://www.worldcat.org/oclc/5382313","WorldCat Record")</f>
        <v>WorldCat Record</v>
      </c>
      <c r="AU702" s="3" t="s">
        <v>8981</v>
      </c>
      <c r="AV702" s="3" t="s">
        <v>8982</v>
      </c>
      <c r="AW702" s="3" t="s">
        <v>8983</v>
      </c>
      <c r="AX702" s="3" t="s">
        <v>8983</v>
      </c>
      <c r="AY702" s="3" t="s">
        <v>8984</v>
      </c>
      <c r="AZ702" s="3" t="s">
        <v>73</v>
      </c>
      <c r="BB702" s="3" t="s">
        <v>8985</v>
      </c>
      <c r="BC702" s="3" t="s">
        <v>8986</v>
      </c>
      <c r="BD702" s="3" t="s">
        <v>8987</v>
      </c>
    </row>
    <row r="703" spans="1:56" ht="51" customHeight="1" x14ac:dyDescent="0.25">
      <c r="A703" s="7" t="s">
        <v>58</v>
      </c>
      <c r="B703" s="2" t="s">
        <v>8988</v>
      </c>
      <c r="C703" s="2" t="s">
        <v>8989</v>
      </c>
      <c r="D703" s="2" t="s">
        <v>8990</v>
      </c>
      <c r="F703" s="3" t="s">
        <v>58</v>
      </c>
      <c r="G703" s="3" t="s">
        <v>59</v>
      </c>
      <c r="H703" s="3" t="s">
        <v>58</v>
      </c>
      <c r="I703" s="3" t="s">
        <v>68</v>
      </c>
      <c r="J703" s="3" t="s">
        <v>60</v>
      </c>
      <c r="L703" s="2" t="s">
        <v>8991</v>
      </c>
      <c r="M703" s="3" t="s">
        <v>552</v>
      </c>
      <c r="N703" s="2" t="s">
        <v>369</v>
      </c>
      <c r="O703" s="3" t="s">
        <v>63</v>
      </c>
      <c r="P703" s="3" t="s">
        <v>584</v>
      </c>
      <c r="R703" s="3" t="s">
        <v>65</v>
      </c>
      <c r="S703" s="4">
        <v>7</v>
      </c>
      <c r="T703" s="4">
        <v>7</v>
      </c>
      <c r="U703" s="5" t="s">
        <v>8992</v>
      </c>
      <c r="V703" s="5" t="s">
        <v>8992</v>
      </c>
      <c r="W703" s="5" t="s">
        <v>8993</v>
      </c>
      <c r="X703" s="5" t="s">
        <v>8993</v>
      </c>
      <c r="Y703" s="4">
        <v>90</v>
      </c>
      <c r="Z703" s="4">
        <v>65</v>
      </c>
      <c r="AA703" s="4">
        <v>312</v>
      </c>
      <c r="AB703" s="4">
        <v>1</v>
      </c>
      <c r="AC703" s="4">
        <v>4</v>
      </c>
      <c r="AD703" s="4">
        <v>0</v>
      </c>
      <c r="AE703" s="4">
        <v>10</v>
      </c>
      <c r="AF703" s="4">
        <v>0</v>
      </c>
      <c r="AG703" s="4">
        <v>2</v>
      </c>
      <c r="AH703" s="4">
        <v>0</v>
      </c>
      <c r="AI703" s="4">
        <v>3</v>
      </c>
      <c r="AJ703" s="4">
        <v>0</v>
      </c>
      <c r="AK703" s="4">
        <v>5</v>
      </c>
      <c r="AL703" s="4">
        <v>0</v>
      </c>
      <c r="AM703" s="4">
        <v>2</v>
      </c>
      <c r="AN703" s="4">
        <v>0</v>
      </c>
      <c r="AO703" s="4">
        <v>0</v>
      </c>
      <c r="AP703" s="3" t="s">
        <v>58</v>
      </c>
      <c r="AQ703" s="3" t="s">
        <v>68</v>
      </c>
      <c r="AR703" s="6" t="str">
        <f>HYPERLINK("http://catalog.hathitrust.org/Record/006045487","HathiTrust Record")</f>
        <v>HathiTrust Record</v>
      </c>
      <c r="AS703" s="6" t="str">
        <f>HYPERLINK("https://creighton-primo.hosted.exlibrisgroup.com/primo-explore/search?tab=default_tab&amp;search_scope=EVERYTHING&amp;vid=01CRU&amp;lang=en_US&amp;offset=0&amp;query=any,contains,991001621479702656","Catalog Record")</f>
        <v>Catalog Record</v>
      </c>
      <c r="AT703" s="6" t="str">
        <f>HYPERLINK("http://www.worldcat.org/oclc/20824961","WorldCat Record")</f>
        <v>WorldCat Record</v>
      </c>
      <c r="AU703" s="3" t="s">
        <v>8994</v>
      </c>
      <c r="AV703" s="3" t="s">
        <v>8995</v>
      </c>
      <c r="AW703" s="3" t="s">
        <v>8996</v>
      </c>
      <c r="AX703" s="3" t="s">
        <v>8996</v>
      </c>
      <c r="AY703" s="3" t="s">
        <v>8997</v>
      </c>
      <c r="AZ703" s="3" t="s">
        <v>73</v>
      </c>
      <c r="BB703" s="3" t="s">
        <v>8998</v>
      </c>
      <c r="BC703" s="3" t="s">
        <v>8999</v>
      </c>
      <c r="BD703" s="3" t="s">
        <v>9000</v>
      </c>
    </row>
    <row r="704" spans="1:56" ht="51" customHeight="1" x14ac:dyDescent="0.25">
      <c r="A704" s="7" t="s">
        <v>58</v>
      </c>
      <c r="B704" s="2" t="s">
        <v>9001</v>
      </c>
      <c r="C704" s="2" t="s">
        <v>9002</v>
      </c>
      <c r="D704" s="2" t="s">
        <v>9003</v>
      </c>
      <c r="F704" s="3" t="s">
        <v>58</v>
      </c>
      <c r="G704" s="3" t="s">
        <v>59</v>
      </c>
      <c r="H704" s="3" t="s">
        <v>58</v>
      </c>
      <c r="I704" s="3" t="s">
        <v>58</v>
      </c>
      <c r="J704" s="3" t="s">
        <v>60</v>
      </c>
      <c r="K704" s="2" t="s">
        <v>9004</v>
      </c>
      <c r="L704" s="2" t="s">
        <v>9005</v>
      </c>
      <c r="M704" s="3" t="s">
        <v>325</v>
      </c>
      <c r="O704" s="3" t="s">
        <v>63</v>
      </c>
      <c r="P704" s="3" t="s">
        <v>510</v>
      </c>
      <c r="Q704" s="2" t="s">
        <v>9006</v>
      </c>
      <c r="R704" s="3" t="s">
        <v>65</v>
      </c>
      <c r="S704" s="4">
        <v>4</v>
      </c>
      <c r="T704" s="4">
        <v>4</v>
      </c>
      <c r="U704" s="5" t="s">
        <v>2172</v>
      </c>
      <c r="V704" s="5" t="s">
        <v>2172</v>
      </c>
      <c r="W704" s="5" t="s">
        <v>9007</v>
      </c>
      <c r="X704" s="5" t="s">
        <v>9007</v>
      </c>
      <c r="Y704" s="4">
        <v>752</v>
      </c>
      <c r="Z704" s="4">
        <v>638</v>
      </c>
      <c r="AA704" s="4">
        <v>650</v>
      </c>
      <c r="AB704" s="4">
        <v>5</v>
      </c>
      <c r="AC704" s="4">
        <v>5</v>
      </c>
      <c r="AD704" s="4">
        <v>26</v>
      </c>
      <c r="AE704" s="4">
        <v>26</v>
      </c>
      <c r="AF704" s="4">
        <v>9</v>
      </c>
      <c r="AG704" s="4">
        <v>9</v>
      </c>
      <c r="AH704" s="4">
        <v>5</v>
      </c>
      <c r="AI704" s="4">
        <v>5</v>
      </c>
      <c r="AJ704" s="4">
        <v>13</v>
      </c>
      <c r="AK704" s="4">
        <v>13</v>
      </c>
      <c r="AL704" s="4">
        <v>4</v>
      </c>
      <c r="AM704" s="4">
        <v>4</v>
      </c>
      <c r="AN704" s="4">
        <v>1</v>
      </c>
      <c r="AO704" s="4">
        <v>1</v>
      </c>
      <c r="AP704" s="3" t="s">
        <v>68</v>
      </c>
      <c r="AQ704" s="3" t="s">
        <v>58</v>
      </c>
      <c r="AR704" s="6" t="str">
        <f>HYPERLINK("http://catalog.hathitrust.org/Record/001248166","HathiTrust Record")</f>
        <v>HathiTrust Record</v>
      </c>
      <c r="AS704" s="6" t="str">
        <f>HYPERLINK("https://creighton-primo.hosted.exlibrisgroup.com/primo-explore/search?tab=default_tab&amp;search_scope=EVERYTHING&amp;vid=01CRU&amp;lang=en_US&amp;offset=0&amp;query=any,contains,991002713979702656","Catalog Record")</f>
        <v>Catalog Record</v>
      </c>
      <c r="AT704" s="6" t="str">
        <f>HYPERLINK("http://www.worldcat.org/oclc/410748","WorldCat Record")</f>
        <v>WorldCat Record</v>
      </c>
      <c r="AU704" s="3" t="s">
        <v>9008</v>
      </c>
      <c r="AV704" s="3" t="s">
        <v>9009</v>
      </c>
      <c r="AW704" s="3" t="s">
        <v>9010</v>
      </c>
      <c r="AX704" s="3" t="s">
        <v>9010</v>
      </c>
      <c r="AY704" s="3" t="s">
        <v>9011</v>
      </c>
      <c r="AZ704" s="3" t="s">
        <v>73</v>
      </c>
      <c r="BC704" s="3" t="s">
        <v>9012</v>
      </c>
      <c r="BD704" s="3" t="s">
        <v>9013</v>
      </c>
    </row>
    <row r="705" spans="1:56" ht="51" customHeight="1" x14ac:dyDescent="0.25">
      <c r="A705" s="7" t="s">
        <v>58</v>
      </c>
      <c r="B705" s="2" t="s">
        <v>9014</v>
      </c>
      <c r="C705" s="2" t="s">
        <v>9015</v>
      </c>
      <c r="D705" s="2" t="s">
        <v>9016</v>
      </c>
      <c r="F705" s="3" t="s">
        <v>58</v>
      </c>
      <c r="G705" s="3" t="s">
        <v>59</v>
      </c>
      <c r="H705" s="3" t="s">
        <v>58</v>
      </c>
      <c r="I705" s="3" t="s">
        <v>58</v>
      </c>
      <c r="J705" s="3" t="s">
        <v>60</v>
      </c>
      <c r="K705" s="2" t="s">
        <v>9017</v>
      </c>
      <c r="L705" s="2" t="s">
        <v>5124</v>
      </c>
      <c r="M705" s="3" t="s">
        <v>353</v>
      </c>
      <c r="O705" s="3" t="s">
        <v>63</v>
      </c>
      <c r="P705" s="3" t="s">
        <v>816</v>
      </c>
      <c r="R705" s="3" t="s">
        <v>65</v>
      </c>
      <c r="S705" s="4">
        <v>8</v>
      </c>
      <c r="T705" s="4">
        <v>8</v>
      </c>
      <c r="U705" s="5" t="s">
        <v>9018</v>
      </c>
      <c r="V705" s="5" t="s">
        <v>9018</v>
      </c>
      <c r="W705" s="5" t="s">
        <v>6475</v>
      </c>
      <c r="X705" s="5" t="s">
        <v>6475</v>
      </c>
      <c r="Y705" s="4">
        <v>820</v>
      </c>
      <c r="Z705" s="4">
        <v>756</v>
      </c>
      <c r="AA705" s="4">
        <v>1287</v>
      </c>
      <c r="AB705" s="4">
        <v>2</v>
      </c>
      <c r="AC705" s="4">
        <v>9</v>
      </c>
      <c r="AD705" s="4">
        <v>12</v>
      </c>
      <c r="AE705" s="4">
        <v>26</v>
      </c>
      <c r="AF705" s="4">
        <v>4</v>
      </c>
      <c r="AG705" s="4">
        <v>9</v>
      </c>
      <c r="AH705" s="4">
        <v>6</v>
      </c>
      <c r="AI705" s="4">
        <v>9</v>
      </c>
      <c r="AJ705" s="4">
        <v>7</v>
      </c>
      <c r="AK705" s="4">
        <v>10</v>
      </c>
      <c r="AL705" s="4">
        <v>0</v>
      </c>
      <c r="AM705" s="4">
        <v>4</v>
      </c>
      <c r="AN705" s="4">
        <v>0</v>
      </c>
      <c r="AO705" s="4">
        <v>1</v>
      </c>
      <c r="AP705" s="3" t="s">
        <v>58</v>
      </c>
      <c r="AQ705" s="3" t="s">
        <v>68</v>
      </c>
      <c r="AR705" s="6" t="str">
        <f>HYPERLINK("http://catalog.hathitrust.org/Record/000820605","HathiTrust Record")</f>
        <v>HathiTrust Record</v>
      </c>
      <c r="AS705" s="6" t="str">
        <f>HYPERLINK("https://creighton-primo.hosted.exlibrisgroup.com/primo-explore/search?tab=default_tab&amp;search_scope=EVERYTHING&amp;vid=01CRU&amp;lang=en_US&amp;offset=0&amp;query=any,contains,991000979449702656","Catalog Record")</f>
        <v>Catalog Record</v>
      </c>
      <c r="AT705" s="6" t="str">
        <f>HYPERLINK("http://www.worldcat.org/oclc/15018174","WorldCat Record")</f>
        <v>WorldCat Record</v>
      </c>
      <c r="AU705" s="3" t="s">
        <v>9019</v>
      </c>
      <c r="AV705" s="3" t="s">
        <v>9020</v>
      </c>
      <c r="AW705" s="3" t="s">
        <v>9021</v>
      </c>
      <c r="AX705" s="3" t="s">
        <v>9021</v>
      </c>
      <c r="AY705" s="3" t="s">
        <v>9022</v>
      </c>
      <c r="AZ705" s="3" t="s">
        <v>73</v>
      </c>
      <c r="BB705" s="3" t="s">
        <v>9023</v>
      </c>
      <c r="BC705" s="3" t="s">
        <v>9024</v>
      </c>
      <c r="BD705" s="3" t="s">
        <v>9025</v>
      </c>
    </row>
    <row r="706" spans="1:56" ht="51" customHeight="1" x14ac:dyDescent="0.25">
      <c r="A706" s="7" t="s">
        <v>58</v>
      </c>
      <c r="B706" s="2" t="s">
        <v>9026</v>
      </c>
      <c r="C706" s="2" t="s">
        <v>9027</v>
      </c>
      <c r="D706" s="2" t="s">
        <v>9028</v>
      </c>
      <c r="F706" s="3" t="s">
        <v>58</v>
      </c>
      <c r="G706" s="3" t="s">
        <v>59</v>
      </c>
      <c r="H706" s="3" t="s">
        <v>58</v>
      </c>
      <c r="I706" s="3" t="s">
        <v>58</v>
      </c>
      <c r="J706" s="3" t="s">
        <v>60</v>
      </c>
      <c r="K706" s="2" t="s">
        <v>9029</v>
      </c>
      <c r="L706" s="2" t="s">
        <v>9030</v>
      </c>
      <c r="M706" s="3" t="s">
        <v>842</v>
      </c>
      <c r="N706" s="2" t="s">
        <v>338</v>
      </c>
      <c r="O706" s="3" t="s">
        <v>63</v>
      </c>
      <c r="P706" s="3" t="s">
        <v>411</v>
      </c>
      <c r="R706" s="3" t="s">
        <v>65</v>
      </c>
      <c r="S706" s="4">
        <v>4</v>
      </c>
      <c r="T706" s="4">
        <v>4</v>
      </c>
      <c r="U706" s="5" t="s">
        <v>6593</v>
      </c>
      <c r="V706" s="5" t="s">
        <v>6593</v>
      </c>
      <c r="W706" s="5" t="s">
        <v>8127</v>
      </c>
      <c r="X706" s="5" t="s">
        <v>8127</v>
      </c>
      <c r="Y706" s="4">
        <v>650</v>
      </c>
      <c r="Z706" s="4">
        <v>596</v>
      </c>
      <c r="AA706" s="4">
        <v>604</v>
      </c>
      <c r="AB706" s="4">
        <v>4</v>
      </c>
      <c r="AC706" s="4">
        <v>4</v>
      </c>
      <c r="AD706" s="4">
        <v>17</v>
      </c>
      <c r="AE706" s="4">
        <v>17</v>
      </c>
      <c r="AF706" s="4">
        <v>6</v>
      </c>
      <c r="AG706" s="4">
        <v>6</v>
      </c>
      <c r="AH706" s="4">
        <v>3</v>
      </c>
      <c r="AI706" s="4">
        <v>3</v>
      </c>
      <c r="AJ706" s="4">
        <v>10</v>
      </c>
      <c r="AK706" s="4">
        <v>10</v>
      </c>
      <c r="AL706" s="4">
        <v>2</v>
      </c>
      <c r="AM706" s="4">
        <v>2</v>
      </c>
      <c r="AN706" s="4">
        <v>0</v>
      </c>
      <c r="AO706" s="4">
        <v>0</v>
      </c>
      <c r="AP706" s="3" t="s">
        <v>58</v>
      </c>
      <c r="AQ706" s="3" t="s">
        <v>68</v>
      </c>
      <c r="AR706" s="6" t="str">
        <f>HYPERLINK("http://catalog.hathitrust.org/Record/000226254","HathiTrust Record")</f>
        <v>HathiTrust Record</v>
      </c>
      <c r="AS706" s="6" t="str">
        <f>HYPERLINK("https://creighton-primo.hosted.exlibrisgroup.com/primo-explore/search?tab=default_tab&amp;search_scope=EVERYTHING&amp;vid=01CRU&amp;lang=en_US&amp;offset=0&amp;query=any,contains,991005217759702656","Catalog Record")</f>
        <v>Catalog Record</v>
      </c>
      <c r="AT706" s="6" t="str">
        <f>HYPERLINK("http://www.worldcat.org/oclc/8196643","WorldCat Record")</f>
        <v>WorldCat Record</v>
      </c>
      <c r="AU706" s="3" t="s">
        <v>9031</v>
      </c>
      <c r="AV706" s="3" t="s">
        <v>9032</v>
      </c>
      <c r="AW706" s="3" t="s">
        <v>9033</v>
      </c>
      <c r="AX706" s="3" t="s">
        <v>9033</v>
      </c>
      <c r="AY706" s="3" t="s">
        <v>9034</v>
      </c>
      <c r="AZ706" s="3" t="s">
        <v>73</v>
      </c>
      <c r="BB706" s="3" t="s">
        <v>9035</v>
      </c>
      <c r="BC706" s="3" t="s">
        <v>9036</v>
      </c>
      <c r="BD706" s="3" t="s">
        <v>9037</v>
      </c>
    </row>
    <row r="707" spans="1:56" ht="51" customHeight="1" x14ac:dyDescent="0.25">
      <c r="A707" s="7" t="s">
        <v>58</v>
      </c>
      <c r="B707" s="2" t="s">
        <v>9038</v>
      </c>
      <c r="C707" s="2" t="s">
        <v>9039</v>
      </c>
      <c r="D707" s="2" t="s">
        <v>9040</v>
      </c>
      <c r="F707" s="3" t="s">
        <v>58</v>
      </c>
      <c r="G707" s="3" t="s">
        <v>59</v>
      </c>
      <c r="H707" s="3" t="s">
        <v>58</v>
      </c>
      <c r="I707" s="3" t="s">
        <v>58</v>
      </c>
      <c r="J707" s="3" t="s">
        <v>60</v>
      </c>
      <c r="L707" s="2" t="s">
        <v>9041</v>
      </c>
      <c r="M707" s="3" t="s">
        <v>855</v>
      </c>
      <c r="O707" s="3" t="s">
        <v>63</v>
      </c>
      <c r="P707" s="3" t="s">
        <v>3109</v>
      </c>
      <c r="R707" s="3" t="s">
        <v>65</v>
      </c>
      <c r="S707" s="4">
        <v>9</v>
      </c>
      <c r="T707" s="4">
        <v>9</v>
      </c>
      <c r="U707" s="5" t="s">
        <v>9042</v>
      </c>
      <c r="V707" s="5" t="s">
        <v>9042</v>
      </c>
      <c r="W707" s="5" t="s">
        <v>9043</v>
      </c>
      <c r="X707" s="5" t="s">
        <v>9043</v>
      </c>
      <c r="Y707" s="4">
        <v>330</v>
      </c>
      <c r="Z707" s="4">
        <v>329</v>
      </c>
      <c r="AA707" s="4">
        <v>346</v>
      </c>
      <c r="AB707" s="4">
        <v>4</v>
      </c>
      <c r="AC707" s="4">
        <v>4</v>
      </c>
      <c r="AD707" s="4">
        <v>17</v>
      </c>
      <c r="AE707" s="4">
        <v>18</v>
      </c>
      <c r="AF707" s="4">
        <v>6</v>
      </c>
      <c r="AG707" s="4">
        <v>6</v>
      </c>
      <c r="AH707" s="4">
        <v>3</v>
      </c>
      <c r="AI707" s="4">
        <v>3</v>
      </c>
      <c r="AJ707" s="4">
        <v>8</v>
      </c>
      <c r="AK707" s="4">
        <v>9</v>
      </c>
      <c r="AL707" s="4">
        <v>3</v>
      </c>
      <c r="AM707" s="4">
        <v>3</v>
      </c>
      <c r="AN707" s="4">
        <v>0</v>
      </c>
      <c r="AO707" s="4">
        <v>0</v>
      </c>
      <c r="AP707" s="3" t="s">
        <v>58</v>
      </c>
      <c r="AQ707" s="3" t="s">
        <v>68</v>
      </c>
      <c r="AR707" s="6" t="str">
        <f>HYPERLINK("http://catalog.hathitrust.org/Record/002961138","HathiTrust Record")</f>
        <v>HathiTrust Record</v>
      </c>
      <c r="AS707" s="6" t="str">
        <f>HYPERLINK("https://creighton-primo.hosted.exlibrisgroup.com/primo-explore/search?tab=default_tab&amp;search_scope=EVERYTHING&amp;vid=01CRU&amp;lang=en_US&amp;offset=0&amp;query=any,contains,991002437499702656","Catalog Record")</f>
        <v>Catalog Record</v>
      </c>
      <c r="AT707" s="6" t="str">
        <f>HYPERLINK("http://www.worldcat.org/oclc/31906290","WorldCat Record")</f>
        <v>WorldCat Record</v>
      </c>
      <c r="AU707" s="3" t="s">
        <v>9044</v>
      </c>
      <c r="AV707" s="3" t="s">
        <v>9045</v>
      </c>
      <c r="AW707" s="3" t="s">
        <v>9046</v>
      </c>
      <c r="AX707" s="3" t="s">
        <v>9046</v>
      </c>
      <c r="AY707" s="3" t="s">
        <v>9047</v>
      </c>
      <c r="AZ707" s="3" t="s">
        <v>73</v>
      </c>
      <c r="BC707" s="3" t="s">
        <v>9048</v>
      </c>
      <c r="BD707" s="3" t="s">
        <v>9049</v>
      </c>
    </row>
    <row r="708" spans="1:56" ht="51" customHeight="1" x14ac:dyDescent="0.25">
      <c r="A708" s="7" t="s">
        <v>58</v>
      </c>
      <c r="B708" s="2" t="s">
        <v>9050</v>
      </c>
      <c r="C708" s="2" t="s">
        <v>9051</v>
      </c>
      <c r="D708" s="2" t="s">
        <v>9052</v>
      </c>
      <c r="F708" s="3" t="s">
        <v>58</v>
      </c>
      <c r="G708" s="3" t="s">
        <v>59</v>
      </c>
      <c r="H708" s="3" t="s">
        <v>58</v>
      </c>
      <c r="I708" s="3" t="s">
        <v>58</v>
      </c>
      <c r="J708" s="3" t="s">
        <v>60</v>
      </c>
      <c r="K708" s="2" t="s">
        <v>9053</v>
      </c>
      <c r="L708" s="2" t="s">
        <v>9054</v>
      </c>
      <c r="M708" s="3" t="s">
        <v>4023</v>
      </c>
      <c r="O708" s="3" t="s">
        <v>63</v>
      </c>
      <c r="P708" s="3" t="s">
        <v>214</v>
      </c>
      <c r="R708" s="3" t="s">
        <v>65</v>
      </c>
      <c r="S708" s="4">
        <v>1</v>
      </c>
      <c r="T708" s="4">
        <v>1</v>
      </c>
      <c r="U708" s="5" t="s">
        <v>9055</v>
      </c>
      <c r="V708" s="5" t="s">
        <v>9055</v>
      </c>
      <c r="W708" s="5" t="s">
        <v>9055</v>
      </c>
      <c r="X708" s="5" t="s">
        <v>9055</v>
      </c>
      <c r="Y708" s="4">
        <v>453</v>
      </c>
      <c r="Z708" s="4">
        <v>398</v>
      </c>
      <c r="AA708" s="4">
        <v>951</v>
      </c>
      <c r="AB708" s="4">
        <v>5</v>
      </c>
      <c r="AC708" s="4">
        <v>9</v>
      </c>
      <c r="AD708" s="4">
        <v>13</v>
      </c>
      <c r="AE708" s="4">
        <v>28</v>
      </c>
      <c r="AF708" s="4">
        <v>3</v>
      </c>
      <c r="AG708" s="4">
        <v>13</v>
      </c>
      <c r="AH708" s="4">
        <v>6</v>
      </c>
      <c r="AI708" s="4">
        <v>8</v>
      </c>
      <c r="AJ708" s="4">
        <v>6</v>
      </c>
      <c r="AK708" s="4">
        <v>10</v>
      </c>
      <c r="AL708" s="4">
        <v>2</v>
      </c>
      <c r="AM708" s="4">
        <v>4</v>
      </c>
      <c r="AN708" s="4">
        <v>0</v>
      </c>
      <c r="AO708" s="4">
        <v>0</v>
      </c>
      <c r="AP708" s="3" t="s">
        <v>58</v>
      </c>
      <c r="AQ708" s="3" t="s">
        <v>58</v>
      </c>
      <c r="AS708" s="6" t="str">
        <f>HYPERLINK("https://creighton-primo.hosted.exlibrisgroup.com/primo-explore/search?tab=default_tab&amp;search_scope=EVERYTHING&amp;vid=01CRU&amp;lang=en_US&amp;offset=0&amp;query=any,contains,991005223329702656","Catalog Record")</f>
        <v>Catalog Record</v>
      </c>
      <c r="AT708" s="6" t="str">
        <f>HYPERLINK("http://www.worldcat.org/oclc/53223452","WorldCat Record")</f>
        <v>WorldCat Record</v>
      </c>
      <c r="AU708" s="3" t="s">
        <v>9056</v>
      </c>
      <c r="AV708" s="3" t="s">
        <v>9057</v>
      </c>
      <c r="AW708" s="3" t="s">
        <v>9058</v>
      </c>
      <c r="AX708" s="3" t="s">
        <v>9058</v>
      </c>
      <c r="AY708" s="3" t="s">
        <v>9059</v>
      </c>
      <c r="AZ708" s="3" t="s">
        <v>73</v>
      </c>
      <c r="BB708" s="3" t="s">
        <v>9060</v>
      </c>
      <c r="BC708" s="3" t="s">
        <v>9061</v>
      </c>
      <c r="BD708" s="3" t="s">
        <v>9062</v>
      </c>
    </row>
    <row r="709" spans="1:56" ht="51" customHeight="1" x14ac:dyDescent="0.25">
      <c r="A709" s="7" t="s">
        <v>58</v>
      </c>
      <c r="B709" s="2" t="s">
        <v>9063</v>
      </c>
      <c r="C709" s="2" t="s">
        <v>9064</v>
      </c>
      <c r="D709" s="2" t="s">
        <v>9065</v>
      </c>
      <c r="F709" s="3" t="s">
        <v>68</v>
      </c>
      <c r="G709" s="3" t="s">
        <v>59</v>
      </c>
      <c r="H709" s="3" t="s">
        <v>68</v>
      </c>
      <c r="I709" s="3" t="s">
        <v>58</v>
      </c>
      <c r="J709" s="3" t="s">
        <v>60</v>
      </c>
      <c r="K709" s="2" t="s">
        <v>9066</v>
      </c>
      <c r="L709" s="2" t="s">
        <v>9067</v>
      </c>
      <c r="M709" s="3" t="s">
        <v>2132</v>
      </c>
      <c r="N709" s="2" t="s">
        <v>9068</v>
      </c>
      <c r="O709" s="3" t="s">
        <v>63</v>
      </c>
      <c r="P709" s="3" t="s">
        <v>214</v>
      </c>
      <c r="R709" s="3" t="s">
        <v>65</v>
      </c>
      <c r="S709" s="4">
        <v>0</v>
      </c>
      <c r="T709" s="4">
        <v>3</v>
      </c>
      <c r="V709" s="5" t="s">
        <v>9069</v>
      </c>
      <c r="W709" s="5" t="s">
        <v>2616</v>
      </c>
      <c r="X709" s="5" t="s">
        <v>2616</v>
      </c>
      <c r="Y709" s="4">
        <v>755</v>
      </c>
      <c r="Z709" s="4">
        <v>659</v>
      </c>
      <c r="AA709" s="4">
        <v>1006</v>
      </c>
      <c r="AB709" s="4">
        <v>3</v>
      </c>
      <c r="AC709" s="4">
        <v>5</v>
      </c>
      <c r="AD709" s="4">
        <v>20</v>
      </c>
      <c r="AE709" s="4">
        <v>34</v>
      </c>
      <c r="AF709" s="4">
        <v>7</v>
      </c>
      <c r="AG709" s="4">
        <v>11</v>
      </c>
      <c r="AH709" s="4">
        <v>3</v>
      </c>
      <c r="AI709" s="4">
        <v>8</v>
      </c>
      <c r="AJ709" s="4">
        <v>13</v>
      </c>
      <c r="AK709" s="4">
        <v>19</v>
      </c>
      <c r="AL709" s="4">
        <v>2</v>
      </c>
      <c r="AM709" s="4">
        <v>4</v>
      </c>
      <c r="AN709" s="4">
        <v>0</v>
      </c>
      <c r="AO709" s="4">
        <v>0</v>
      </c>
      <c r="AP709" s="3" t="s">
        <v>58</v>
      </c>
      <c r="AQ709" s="3" t="s">
        <v>68</v>
      </c>
      <c r="AR709" s="6" t="str">
        <f>HYPERLINK("http://catalog.hathitrust.org/Record/000002739","HathiTrust Record")</f>
        <v>HathiTrust Record</v>
      </c>
      <c r="AS709" s="6" t="str">
        <f>HYPERLINK("https://creighton-primo.hosted.exlibrisgroup.com/primo-explore/search?tab=default_tab&amp;search_scope=EVERYTHING&amp;vid=01CRU&amp;lang=en_US&amp;offset=0&amp;query=any,contains,991001158489702656","Catalog Record")</f>
        <v>Catalog Record</v>
      </c>
      <c r="AT709" s="6" t="str">
        <f>HYPERLINK("http://www.worldcat.org/oclc/186144","WorldCat Record")</f>
        <v>WorldCat Record</v>
      </c>
      <c r="AU709" s="3" t="s">
        <v>9070</v>
      </c>
      <c r="AV709" s="3" t="s">
        <v>9071</v>
      </c>
      <c r="AW709" s="3" t="s">
        <v>9072</v>
      </c>
      <c r="AX709" s="3" t="s">
        <v>9072</v>
      </c>
      <c r="AY709" s="3" t="s">
        <v>9073</v>
      </c>
      <c r="AZ709" s="3" t="s">
        <v>73</v>
      </c>
      <c r="BB709" s="3" t="s">
        <v>9074</v>
      </c>
      <c r="BC709" s="3" t="s">
        <v>9075</v>
      </c>
      <c r="BD709" s="3" t="s">
        <v>9076</v>
      </c>
    </row>
    <row r="710" spans="1:56" ht="51" customHeight="1" x14ac:dyDescent="0.25">
      <c r="A710" s="7" t="s">
        <v>58</v>
      </c>
      <c r="B710" s="2" t="s">
        <v>9077</v>
      </c>
      <c r="C710" s="2" t="s">
        <v>9078</v>
      </c>
      <c r="D710" s="2" t="s">
        <v>9065</v>
      </c>
      <c r="E710" s="3" t="s">
        <v>9079</v>
      </c>
      <c r="F710" s="3" t="s">
        <v>68</v>
      </c>
      <c r="G710" s="3" t="s">
        <v>59</v>
      </c>
      <c r="H710" s="3" t="s">
        <v>58</v>
      </c>
      <c r="I710" s="3" t="s">
        <v>58</v>
      </c>
      <c r="J710" s="3" t="s">
        <v>60</v>
      </c>
      <c r="K710" s="2" t="s">
        <v>9066</v>
      </c>
      <c r="L710" s="2" t="s">
        <v>9067</v>
      </c>
      <c r="M710" s="3" t="s">
        <v>2132</v>
      </c>
      <c r="N710" s="2" t="s">
        <v>9068</v>
      </c>
      <c r="O710" s="3" t="s">
        <v>63</v>
      </c>
      <c r="P710" s="3" t="s">
        <v>214</v>
      </c>
      <c r="R710" s="3" t="s">
        <v>65</v>
      </c>
      <c r="S710" s="4">
        <v>3</v>
      </c>
      <c r="T710" s="4">
        <v>3</v>
      </c>
      <c r="U710" s="5" t="s">
        <v>9069</v>
      </c>
      <c r="V710" s="5" t="s">
        <v>9069</v>
      </c>
      <c r="W710" s="5" t="s">
        <v>2616</v>
      </c>
      <c r="X710" s="5" t="s">
        <v>2616</v>
      </c>
      <c r="Y710" s="4">
        <v>755</v>
      </c>
      <c r="Z710" s="4">
        <v>659</v>
      </c>
      <c r="AA710" s="4">
        <v>1006</v>
      </c>
      <c r="AB710" s="4">
        <v>3</v>
      </c>
      <c r="AC710" s="4">
        <v>5</v>
      </c>
      <c r="AD710" s="4">
        <v>20</v>
      </c>
      <c r="AE710" s="4">
        <v>34</v>
      </c>
      <c r="AF710" s="4">
        <v>7</v>
      </c>
      <c r="AG710" s="4">
        <v>11</v>
      </c>
      <c r="AH710" s="4">
        <v>3</v>
      </c>
      <c r="AI710" s="4">
        <v>8</v>
      </c>
      <c r="AJ710" s="4">
        <v>13</v>
      </c>
      <c r="AK710" s="4">
        <v>19</v>
      </c>
      <c r="AL710" s="4">
        <v>2</v>
      </c>
      <c r="AM710" s="4">
        <v>4</v>
      </c>
      <c r="AN710" s="4">
        <v>0</v>
      </c>
      <c r="AO710" s="4">
        <v>0</v>
      </c>
      <c r="AP710" s="3" t="s">
        <v>58</v>
      </c>
      <c r="AQ710" s="3" t="s">
        <v>68</v>
      </c>
      <c r="AR710" s="6" t="str">
        <f>HYPERLINK("http://catalog.hathitrust.org/Record/000002739","HathiTrust Record")</f>
        <v>HathiTrust Record</v>
      </c>
      <c r="AS710" s="6" t="str">
        <f>HYPERLINK("https://creighton-primo.hosted.exlibrisgroup.com/primo-explore/search?tab=default_tab&amp;search_scope=EVERYTHING&amp;vid=01CRU&amp;lang=en_US&amp;offset=0&amp;query=any,contains,991001158489702656","Catalog Record")</f>
        <v>Catalog Record</v>
      </c>
      <c r="AT710" s="6" t="str">
        <f>HYPERLINK("http://www.worldcat.org/oclc/186144","WorldCat Record")</f>
        <v>WorldCat Record</v>
      </c>
      <c r="AU710" s="3" t="s">
        <v>9070</v>
      </c>
      <c r="AV710" s="3" t="s">
        <v>9071</v>
      </c>
      <c r="AW710" s="3" t="s">
        <v>9072</v>
      </c>
      <c r="AX710" s="3" t="s">
        <v>9072</v>
      </c>
      <c r="AY710" s="3" t="s">
        <v>9073</v>
      </c>
      <c r="AZ710" s="3" t="s">
        <v>73</v>
      </c>
      <c r="BB710" s="3" t="s">
        <v>9074</v>
      </c>
      <c r="BC710" s="3" t="s">
        <v>9080</v>
      </c>
      <c r="BD710" s="3" t="s">
        <v>9081</v>
      </c>
    </row>
    <row r="711" spans="1:56" ht="51" customHeight="1" x14ac:dyDescent="0.25">
      <c r="A711" s="7" t="s">
        <v>58</v>
      </c>
      <c r="B711" s="2" t="s">
        <v>9082</v>
      </c>
      <c r="C711" s="2" t="s">
        <v>9083</v>
      </c>
      <c r="D711" s="2" t="s">
        <v>9084</v>
      </c>
      <c r="F711" s="3" t="s">
        <v>58</v>
      </c>
      <c r="G711" s="3" t="s">
        <v>59</v>
      </c>
      <c r="H711" s="3" t="s">
        <v>58</v>
      </c>
      <c r="I711" s="3" t="s">
        <v>58</v>
      </c>
      <c r="J711" s="3" t="s">
        <v>60</v>
      </c>
      <c r="K711" s="2" t="s">
        <v>9085</v>
      </c>
      <c r="L711" s="2" t="s">
        <v>9086</v>
      </c>
      <c r="M711" s="3" t="s">
        <v>9087</v>
      </c>
      <c r="O711" s="3" t="s">
        <v>63</v>
      </c>
      <c r="P711" s="3" t="s">
        <v>214</v>
      </c>
      <c r="R711" s="3" t="s">
        <v>65</v>
      </c>
      <c r="S711" s="4">
        <v>2</v>
      </c>
      <c r="T711" s="4">
        <v>2</v>
      </c>
      <c r="U711" s="5" t="s">
        <v>9088</v>
      </c>
      <c r="V711" s="5" t="s">
        <v>9088</v>
      </c>
      <c r="W711" s="5" t="s">
        <v>2616</v>
      </c>
      <c r="X711" s="5" t="s">
        <v>2616</v>
      </c>
      <c r="Y711" s="4">
        <v>61</v>
      </c>
      <c r="Z711" s="4">
        <v>57</v>
      </c>
      <c r="AA711" s="4">
        <v>389</v>
      </c>
      <c r="AB711" s="4">
        <v>1</v>
      </c>
      <c r="AC711" s="4">
        <v>4</v>
      </c>
      <c r="AD711" s="4">
        <v>3</v>
      </c>
      <c r="AE711" s="4">
        <v>14</v>
      </c>
      <c r="AF711" s="4">
        <v>2</v>
      </c>
      <c r="AG711" s="4">
        <v>6</v>
      </c>
      <c r="AH711" s="4">
        <v>0</v>
      </c>
      <c r="AI711" s="4">
        <v>2</v>
      </c>
      <c r="AJ711" s="4">
        <v>2</v>
      </c>
      <c r="AK711" s="4">
        <v>5</v>
      </c>
      <c r="AL711" s="4">
        <v>0</v>
      </c>
      <c r="AM711" s="4">
        <v>3</v>
      </c>
      <c r="AN711" s="4">
        <v>0</v>
      </c>
      <c r="AO711" s="4">
        <v>0</v>
      </c>
      <c r="AP711" s="3" t="s">
        <v>58</v>
      </c>
      <c r="AQ711" s="3" t="s">
        <v>68</v>
      </c>
      <c r="AR711" s="6" t="str">
        <f>HYPERLINK("http://catalog.hathitrust.org/Record/102108930","HathiTrust Record")</f>
        <v>HathiTrust Record</v>
      </c>
      <c r="AS711" s="6" t="str">
        <f>HYPERLINK("https://creighton-primo.hosted.exlibrisgroup.com/primo-explore/search?tab=default_tab&amp;search_scope=EVERYTHING&amp;vid=01CRU&amp;lang=en_US&amp;offset=0&amp;query=any,contains,991005091969702656","Catalog Record")</f>
        <v>Catalog Record</v>
      </c>
      <c r="AT711" s="6" t="str">
        <f>HYPERLINK("http://www.worldcat.org/oclc/7233579","WorldCat Record")</f>
        <v>WorldCat Record</v>
      </c>
      <c r="AU711" s="3" t="s">
        <v>9089</v>
      </c>
      <c r="AV711" s="3" t="s">
        <v>9090</v>
      </c>
      <c r="AW711" s="3" t="s">
        <v>9091</v>
      </c>
      <c r="AX711" s="3" t="s">
        <v>9091</v>
      </c>
      <c r="AY711" s="3" t="s">
        <v>9092</v>
      </c>
      <c r="AZ711" s="3" t="s">
        <v>73</v>
      </c>
      <c r="BC711" s="3" t="s">
        <v>9093</v>
      </c>
      <c r="BD711" s="3" t="s">
        <v>9094</v>
      </c>
    </row>
    <row r="712" spans="1:56" ht="51" customHeight="1" x14ac:dyDescent="0.25">
      <c r="A712" s="7" t="s">
        <v>58</v>
      </c>
      <c r="B712" s="2" t="s">
        <v>9095</v>
      </c>
      <c r="C712" s="2" t="s">
        <v>9096</v>
      </c>
      <c r="D712" s="2" t="s">
        <v>9097</v>
      </c>
      <c r="F712" s="3" t="s">
        <v>58</v>
      </c>
      <c r="G712" s="3" t="s">
        <v>59</v>
      </c>
      <c r="H712" s="3" t="s">
        <v>58</v>
      </c>
      <c r="I712" s="3" t="s">
        <v>58</v>
      </c>
      <c r="J712" s="3" t="s">
        <v>60</v>
      </c>
      <c r="K712" s="2" t="s">
        <v>9098</v>
      </c>
      <c r="L712" s="2" t="s">
        <v>9099</v>
      </c>
      <c r="M712" s="3" t="s">
        <v>1784</v>
      </c>
      <c r="O712" s="3" t="s">
        <v>63</v>
      </c>
      <c r="P712" s="3" t="s">
        <v>214</v>
      </c>
      <c r="R712" s="3" t="s">
        <v>65</v>
      </c>
      <c r="S712" s="4">
        <v>0</v>
      </c>
      <c r="T712" s="4">
        <v>0</v>
      </c>
      <c r="U712" s="5" t="s">
        <v>9100</v>
      </c>
      <c r="V712" s="5" t="s">
        <v>9100</v>
      </c>
      <c r="W712" s="5" t="s">
        <v>5488</v>
      </c>
      <c r="X712" s="5" t="s">
        <v>5488</v>
      </c>
      <c r="Y712" s="4">
        <v>944</v>
      </c>
      <c r="Z712" s="4">
        <v>898</v>
      </c>
      <c r="AA712" s="4">
        <v>1032</v>
      </c>
      <c r="AB712" s="4">
        <v>5</v>
      </c>
      <c r="AC712" s="4">
        <v>6</v>
      </c>
      <c r="AD712" s="4">
        <v>23</v>
      </c>
      <c r="AE712" s="4">
        <v>27</v>
      </c>
      <c r="AF712" s="4">
        <v>8</v>
      </c>
      <c r="AG712" s="4">
        <v>9</v>
      </c>
      <c r="AH712" s="4">
        <v>6</v>
      </c>
      <c r="AI712" s="4">
        <v>7</v>
      </c>
      <c r="AJ712" s="4">
        <v>13</v>
      </c>
      <c r="AK712" s="4">
        <v>14</v>
      </c>
      <c r="AL712" s="4">
        <v>3</v>
      </c>
      <c r="AM712" s="4">
        <v>4</v>
      </c>
      <c r="AN712" s="4">
        <v>0</v>
      </c>
      <c r="AO712" s="4">
        <v>0</v>
      </c>
      <c r="AP712" s="3" t="s">
        <v>58</v>
      </c>
      <c r="AQ712" s="3" t="s">
        <v>68</v>
      </c>
      <c r="AR712" s="6" t="str">
        <f>HYPERLINK("http://catalog.hathitrust.org/Record/003008502","HathiTrust Record")</f>
        <v>HathiTrust Record</v>
      </c>
      <c r="AS712" s="6" t="str">
        <f>HYPERLINK("https://creighton-primo.hosted.exlibrisgroup.com/primo-explore/search?tab=default_tab&amp;search_scope=EVERYTHING&amp;vid=01CRU&amp;lang=en_US&amp;offset=0&amp;query=any,contains,991004776569702656","Catalog Record")</f>
        <v>Catalog Record</v>
      </c>
      <c r="AT712" s="6" t="str">
        <f>HYPERLINK("http://www.worldcat.org/oclc/5101408","WorldCat Record")</f>
        <v>WorldCat Record</v>
      </c>
      <c r="AU712" s="3" t="s">
        <v>9101</v>
      </c>
      <c r="AV712" s="3" t="s">
        <v>9102</v>
      </c>
      <c r="AW712" s="3" t="s">
        <v>9103</v>
      </c>
      <c r="AX712" s="3" t="s">
        <v>9103</v>
      </c>
      <c r="AY712" s="3" t="s">
        <v>9104</v>
      </c>
      <c r="AZ712" s="3" t="s">
        <v>73</v>
      </c>
      <c r="BB712" s="3" t="s">
        <v>9105</v>
      </c>
      <c r="BC712" s="3" t="s">
        <v>9106</v>
      </c>
      <c r="BD712" s="3" t="s">
        <v>9107</v>
      </c>
    </row>
    <row r="713" spans="1:56" ht="51" customHeight="1" x14ac:dyDescent="0.25">
      <c r="A713" s="7" t="s">
        <v>58</v>
      </c>
      <c r="B713" s="2" t="s">
        <v>9108</v>
      </c>
      <c r="C713" s="2" t="s">
        <v>9109</v>
      </c>
      <c r="D713" s="2" t="s">
        <v>9110</v>
      </c>
      <c r="F713" s="3" t="s">
        <v>58</v>
      </c>
      <c r="G713" s="3" t="s">
        <v>59</v>
      </c>
      <c r="H713" s="3" t="s">
        <v>58</v>
      </c>
      <c r="I713" s="3" t="s">
        <v>58</v>
      </c>
      <c r="J713" s="3" t="s">
        <v>60</v>
      </c>
      <c r="K713" s="2" t="s">
        <v>9111</v>
      </c>
      <c r="L713" s="2" t="s">
        <v>9112</v>
      </c>
      <c r="M713" s="3" t="s">
        <v>898</v>
      </c>
      <c r="O713" s="3" t="s">
        <v>63</v>
      </c>
      <c r="P713" s="3" t="s">
        <v>510</v>
      </c>
      <c r="R713" s="3" t="s">
        <v>65</v>
      </c>
      <c r="S713" s="4">
        <v>4</v>
      </c>
      <c r="T713" s="4">
        <v>4</v>
      </c>
      <c r="U713" s="5" t="s">
        <v>2172</v>
      </c>
      <c r="V713" s="5" t="s">
        <v>2172</v>
      </c>
      <c r="W713" s="5" t="s">
        <v>9113</v>
      </c>
      <c r="X713" s="5" t="s">
        <v>9113</v>
      </c>
      <c r="Y713" s="4">
        <v>240</v>
      </c>
      <c r="Z713" s="4">
        <v>205</v>
      </c>
      <c r="AA713" s="4">
        <v>572</v>
      </c>
      <c r="AB713" s="4">
        <v>3</v>
      </c>
      <c r="AC713" s="4">
        <v>5</v>
      </c>
      <c r="AD713" s="4">
        <v>12</v>
      </c>
      <c r="AE713" s="4">
        <v>18</v>
      </c>
      <c r="AF713" s="4">
        <v>4</v>
      </c>
      <c r="AG713" s="4">
        <v>7</v>
      </c>
      <c r="AH713" s="4">
        <v>4</v>
      </c>
      <c r="AI713" s="4">
        <v>4</v>
      </c>
      <c r="AJ713" s="4">
        <v>7</v>
      </c>
      <c r="AK713" s="4">
        <v>9</v>
      </c>
      <c r="AL713" s="4">
        <v>1</v>
      </c>
      <c r="AM713" s="4">
        <v>3</v>
      </c>
      <c r="AN713" s="4">
        <v>0</v>
      </c>
      <c r="AO713" s="4">
        <v>0</v>
      </c>
      <c r="AP713" s="3" t="s">
        <v>58</v>
      </c>
      <c r="AQ713" s="3" t="s">
        <v>58</v>
      </c>
      <c r="AS713" s="6" t="str">
        <f>HYPERLINK("https://creighton-primo.hosted.exlibrisgroup.com/primo-explore/search?tab=default_tab&amp;search_scope=EVERYTHING&amp;vid=01CRU&amp;lang=en_US&amp;offset=0&amp;query=any,contains,991004937769702656","Catalog Record")</f>
        <v>Catalog Record</v>
      </c>
      <c r="AT713" s="6" t="str">
        <f>HYPERLINK("http://www.worldcat.org/oclc/67869970","WorldCat Record")</f>
        <v>WorldCat Record</v>
      </c>
      <c r="AU713" s="3" t="s">
        <v>9114</v>
      </c>
      <c r="AV713" s="3" t="s">
        <v>9115</v>
      </c>
      <c r="AW713" s="3" t="s">
        <v>9116</v>
      </c>
      <c r="AX713" s="3" t="s">
        <v>9116</v>
      </c>
      <c r="AY713" s="3" t="s">
        <v>9117</v>
      </c>
      <c r="AZ713" s="3" t="s">
        <v>73</v>
      </c>
      <c r="BB713" s="3" t="s">
        <v>9118</v>
      </c>
      <c r="BC713" s="3" t="s">
        <v>9119</v>
      </c>
      <c r="BD713" s="3" t="s">
        <v>9120</v>
      </c>
    </row>
    <row r="714" spans="1:56" ht="51" customHeight="1" x14ac:dyDescent="0.25">
      <c r="A714" s="7" t="s">
        <v>58</v>
      </c>
      <c r="B714" s="2" t="s">
        <v>9121</v>
      </c>
      <c r="C714" s="2" t="s">
        <v>9122</v>
      </c>
      <c r="D714" s="2" t="s">
        <v>9123</v>
      </c>
      <c r="F714" s="3" t="s">
        <v>58</v>
      </c>
      <c r="G714" s="3" t="s">
        <v>59</v>
      </c>
      <c r="H714" s="3" t="s">
        <v>58</v>
      </c>
      <c r="I714" s="3" t="s">
        <v>58</v>
      </c>
      <c r="J714" s="3" t="s">
        <v>60</v>
      </c>
      <c r="L714" s="2" t="s">
        <v>9124</v>
      </c>
      <c r="M714" s="3" t="s">
        <v>1720</v>
      </c>
      <c r="O714" s="3" t="s">
        <v>63</v>
      </c>
      <c r="P714" s="3" t="s">
        <v>214</v>
      </c>
      <c r="R714" s="3" t="s">
        <v>65</v>
      </c>
      <c r="S714" s="4">
        <v>5</v>
      </c>
      <c r="T714" s="4">
        <v>5</v>
      </c>
      <c r="U714" s="5" t="s">
        <v>9125</v>
      </c>
      <c r="V714" s="5" t="s">
        <v>9125</v>
      </c>
      <c r="W714" s="5" t="s">
        <v>2616</v>
      </c>
      <c r="X714" s="5" t="s">
        <v>2616</v>
      </c>
      <c r="Y714" s="4">
        <v>351</v>
      </c>
      <c r="Z714" s="4">
        <v>314</v>
      </c>
      <c r="AA714" s="4">
        <v>658</v>
      </c>
      <c r="AB714" s="4">
        <v>3</v>
      </c>
      <c r="AC714" s="4">
        <v>4</v>
      </c>
      <c r="AD714" s="4">
        <v>8</v>
      </c>
      <c r="AE714" s="4">
        <v>24</v>
      </c>
      <c r="AF714" s="4">
        <v>3</v>
      </c>
      <c r="AG714" s="4">
        <v>6</v>
      </c>
      <c r="AH714" s="4">
        <v>3</v>
      </c>
      <c r="AI714" s="4">
        <v>7</v>
      </c>
      <c r="AJ714" s="4">
        <v>2</v>
      </c>
      <c r="AK714" s="4">
        <v>13</v>
      </c>
      <c r="AL714" s="4">
        <v>2</v>
      </c>
      <c r="AM714" s="4">
        <v>3</v>
      </c>
      <c r="AN714" s="4">
        <v>0</v>
      </c>
      <c r="AO714" s="4">
        <v>0</v>
      </c>
      <c r="AP714" s="3" t="s">
        <v>58</v>
      </c>
      <c r="AQ714" s="3" t="s">
        <v>68</v>
      </c>
      <c r="AR714" s="6" t="str">
        <f>HYPERLINK("http://catalog.hathitrust.org/Record/010092113","HathiTrust Record")</f>
        <v>HathiTrust Record</v>
      </c>
      <c r="AS714" s="6" t="str">
        <f>HYPERLINK("https://creighton-primo.hosted.exlibrisgroup.com/primo-explore/search?tab=default_tab&amp;search_scope=EVERYTHING&amp;vid=01CRU&amp;lang=en_US&amp;offset=0&amp;query=any,contains,991000569509702656","Catalog Record")</f>
        <v>Catalog Record</v>
      </c>
      <c r="AT714" s="6" t="str">
        <f>HYPERLINK("http://www.worldcat.org/oclc/11633955","WorldCat Record")</f>
        <v>WorldCat Record</v>
      </c>
      <c r="AU714" s="3" t="s">
        <v>9126</v>
      </c>
      <c r="AV714" s="3" t="s">
        <v>9127</v>
      </c>
      <c r="AW714" s="3" t="s">
        <v>9128</v>
      </c>
      <c r="AX714" s="3" t="s">
        <v>9128</v>
      </c>
      <c r="AY714" s="3" t="s">
        <v>9129</v>
      </c>
      <c r="AZ714" s="3" t="s">
        <v>73</v>
      </c>
      <c r="BC714" s="3" t="s">
        <v>9130</v>
      </c>
      <c r="BD714" s="3" t="s">
        <v>9131</v>
      </c>
    </row>
    <row r="715" spans="1:56" ht="51" customHeight="1" x14ac:dyDescent="0.25">
      <c r="A715" s="7" t="s">
        <v>58</v>
      </c>
      <c r="B715" s="2" t="s">
        <v>9132</v>
      </c>
      <c r="C715" s="2" t="s">
        <v>9133</v>
      </c>
      <c r="D715" s="2" t="s">
        <v>9134</v>
      </c>
      <c r="F715" s="3" t="s">
        <v>58</v>
      </c>
      <c r="G715" s="3" t="s">
        <v>59</v>
      </c>
      <c r="H715" s="3" t="s">
        <v>58</v>
      </c>
      <c r="I715" s="3" t="s">
        <v>68</v>
      </c>
      <c r="J715" s="3" t="s">
        <v>60</v>
      </c>
      <c r="L715" s="2" t="s">
        <v>9135</v>
      </c>
      <c r="M715" s="3" t="s">
        <v>1784</v>
      </c>
      <c r="N715" s="2" t="s">
        <v>9136</v>
      </c>
      <c r="O715" s="3" t="s">
        <v>63</v>
      </c>
      <c r="P715" s="3" t="s">
        <v>584</v>
      </c>
      <c r="R715" s="3" t="s">
        <v>65</v>
      </c>
      <c r="S715" s="4">
        <v>2</v>
      </c>
      <c r="T715" s="4">
        <v>2</v>
      </c>
      <c r="U715" s="5" t="s">
        <v>9137</v>
      </c>
      <c r="V715" s="5" t="s">
        <v>9137</v>
      </c>
      <c r="W715" s="5" t="s">
        <v>8127</v>
      </c>
      <c r="X715" s="5" t="s">
        <v>8127</v>
      </c>
      <c r="Y715" s="4">
        <v>30</v>
      </c>
      <c r="Z715" s="4">
        <v>18</v>
      </c>
      <c r="AA715" s="4">
        <v>312</v>
      </c>
      <c r="AB715" s="4">
        <v>1</v>
      </c>
      <c r="AC715" s="4">
        <v>4</v>
      </c>
      <c r="AD715" s="4">
        <v>0</v>
      </c>
      <c r="AE715" s="4">
        <v>10</v>
      </c>
      <c r="AF715" s="4">
        <v>0</v>
      </c>
      <c r="AG715" s="4">
        <v>2</v>
      </c>
      <c r="AH715" s="4">
        <v>0</v>
      </c>
      <c r="AI715" s="4">
        <v>3</v>
      </c>
      <c r="AJ715" s="4">
        <v>0</v>
      </c>
      <c r="AK715" s="4">
        <v>5</v>
      </c>
      <c r="AL715" s="4">
        <v>0</v>
      </c>
      <c r="AM715" s="4">
        <v>2</v>
      </c>
      <c r="AN715" s="4">
        <v>0</v>
      </c>
      <c r="AO715" s="4">
        <v>0</v>
      </c>
      <c r="AP715" s="3" t="s">
        <v>58</v>
      </c>
      <c r="AQ715" s="3" t="s">
        <v>58</v>
      </c>
      <c r="AS715" s="6" t="str">
        <f>HYPERLINK("https://creighton-primo.hosted.exlibrisgroup.com/primo-explore/search?tab=default_tab&amp;search_scope=EVERYTHING&amp;vid=01CRU&amp;lang=en_US&amp;offset=0&amp;query=any,contains,991000651829702656","Catalog Record")</f>
        <v>Catalog Record</v>
      </c>
      <c r="AT715" s="6" t="str">
        <f>HYPERLINK("http://www.worldcat.org/oclc/12177215","WorldCat Record")</f>
        <v>WorldCat Record</v>
      </c>
      <c r="AU715" s="3" t="s">
        <v>8994</v>
      </c>
      <c r="AV715" s="3" t="s">
        <v>9138</v>
      </c>
      <c r="AW715" s="3" t="s">
        <v>9139</v>
      </c>
      <c r="AX715" s="3" t="s">
        <v>9139</v>
      </c>
      <c r="AY715" s="3" t="s">
        <v>9140</v>
      </c>
      <c r="AZ715" s="3" t="s">
        <v>73</v>
      </c>
      <c r="BB715" s="3" t="s">
        <v>9141</v>
      </c>
      <c r="BC715" s="3" t="s">
        <v>9142</v>
      </c>
      <c r="BD715" s="3" t="s">
        <v>9143</v>
      </c>
    </row>
    <row r="716" spans="1:56" ht="51" customHeight="1" x14ac:dyDescent="0.25">
      <c r="A716" s="7" t="s">
        <v>58</v>
      </c>
      <c r="B716" s="2" t="s">
        <v>9144</v>
      </c>
      <c r="C716" s="2" t="s">
        <v>9145</v>
      </c>
      <c r="D716" s="2" t="s">
        <v>9146</v>
      </c>
      <c r="F716" s="3" t="s">
        <v>58</v>
      </c>
      <c r="G716" s="3" t="s">
        <v>59</v>
      </c>
      <c r="H716" s="3" t="s">
        <v>58</v>
      </c>
      <c r="I716" s="3" t="s">
        <v>58</v>
      </c>
      <c r="J716" s="3" t="s">
        <v>60</v>
      </c>
      <c r="K716" s="2" t="s">
        <v>9147</v>
      </c>
      <c r="L716" s="2" t="s">
        <v>9148</v>
      </c>
      <c r="M716" s="3" t="s">
        <v>83</v>
      </c>
      <c r="O716" s="3" t="s">
        <v>63</v>
      </c>
      <c r="P716" s="3" t="s">
        <v>214</v>
      </c>
      <c r="R716" s="3" t="s">
        <v>65</v>
      </c>
      <c r="S716" s="4">
        <v>3</v>
      </c>
      <c r="T716" s="4">
        <v>3</v>
      </c>
      <c r="U716" s="5" t="s">
        <v>9149</v>
      </c>
      <c r="V716" s="5" t="s">
        <v>9149</v>
      </c>
      <c r="W716" s="5" t="s">
        <v>8127</v>
      </c>
      <c r="X716" s="5" t="s">
        <v>8127</v>
      </c>
      <c r="Y716" s="4">
        <v>56</v>
      </c>
      <c r="Z716" s="4">
        <v>43</v>
      </c>
      <c r="AA716" s="4">
        <v>284</v>
      </c>
      <c r="AB716" s="4">
        <v>1</v>
      </c>
      <c r="AC716" s="4">
        <v>2</v>
      </c>
      <c r="AD716" s="4">
        <v>1</v>
      </c>
      <c r="AE716" s="4">
        <v>7</v>
      </c>
      <c r="AF716" s="4">
        <v>1</v>
      </c>
      <c r="AG716" s="4">
        <v>1</v>
      </c>
      <c r="AH716" s="4">
        <v>0</v>
      </c>
      <c r="AI716" s="4">
        <v>2</v>
      </c>
      <c r="AJ716" s="4">
        <v>0</v>
      </c>
      <c r="AK716" s="4">
        <v>4</v>
      </c>
      <c r="AL716" s="4">
        <v>0</v>
      </c>
      <c r="AM716" s="4">
        <v>1</v>
      </c>
      <c r="AN716" s="4">
        <v>0</v>
      </c>
      <c r="AO716" s="4">
        <v>0</v>
      </c>
      <c r="AP716" s="3" t="s">
        <v>58</v>
      </c>
      <c r="AQ716" s="3" t="s">
        <v>58</v>
      </c>
      <c r="AS716" s="6" t="str">
        <f>HYPERLINK("https://creighton-primo.hosted.exlibrisgroup.com/primo-explore/search?tab=default_tab&amp;search_scope=EVERYTHING&amp;vid=01CRU&amp;lang=en_US&amp;offset=0&amp;query=any,contains,991004394589702656","Catalog Record")</f>
        <v>Catalog Record</v>
      </c>
      <c r="AT716" s="6" t="str">
        <f>HYPERLINK("http://www.worldcat.org/oclc/3275283","WorldCat Record")</f>
        <v>WorldCat Record</v>
      </c>
      <c r="AU716" s="3" t="s">
        <v>9150</v>
      </c>
      <c r="AV716" s="3" t="s">
        <v>9151</v>
      </c>
      <c r="AW716" s="3" t="s">
        <v>9152</v>
      </c>
      <c r="AX716" s="3" t="s">
        <v>9152</v>
      </c>
      <c r="AY716" s="3" t="s">
        <v>9153</v>
      </c>
      <c r="AZ716" s="3" t="s">
        <v>73</v>
      </c>
      <c r="BC716" s="3" t="s">
        <v>9154</v>
      </c>
      <c r="BD716" s="3" t="s">
        <v>9155</v>
      </c>
    </row>
    <row r="717" spans="1:56" ht="51" customHeight="1" x14ac:dyDescent="0.25">
      <c r="A717" s="7" t="s">
        <v>58</v>
      </c>
      <c r="B717" s="2" t="s">
        <v>9156</v>
      </c>
      <c r="C717" s="2" t="s">
        <v>9157</v>
      </c>
      <c r="D717" s="2" t="s">
        <v>9158</v>
      </c>
      <c r="F717" s="3" t="s">
        <v>58</v>
      </c>
      <c r="G717" s="3" t="s">
        <v>59</v>
      </c>
      <c r="H717" s="3" t="s">
        <v>58</v>
      </c>
      <c r="I717" s="3" t="s">
        <v>58</v>
      </c>
      <c r="J717" s="3" t="s">
        <v>60</v>
      </c>
      <c r="K717" s="2" t="s">
        <v>9159</v>
      </c>
      <c r="L717" s="2" t="s">
        <v>9160</v>
      </c>
      <c r="M717" s="3" t="s">
        <v>951</v>
      </c>
      <c r="O717" s="3" t="s">
        <v>63</v>
      </c>
      <c r="P717" s="3" t="s">
        <v>584</v>
      </c>
      <c r="R717" s="3" t="s">
        <v>65</v>
      </c>
      <c r="S717" s="4">
        <v>2</v>
      </c>
      <c r="T717" s="4">
        <v>2</v>
      </c>
      <c r="U717" s="5" t="s">
        <v>9161</v>
      </c>
      <c r="V717" s="5" t="s">
        <v>9161</v>
      </c>
      <c r="W717" s="5" t="s">
        <v>9162</v>
      </c>
      <c r="X717" s="5" t="s">
        <v>9162</v>
      </c>
      <c r="Y717" s="4">
        <v>52</v>
      </c>
      <c r="Z717" s="4">
        <v>49</v>
      </c>
      <c r="AA717" s="4">
        <v>280</v>
      </c>
      <c r="AB717" s="4">
        <v>1</v>
      </c>
      <c r="AC717" s="4">
        <v>1</v>
      </c>
      <c r="AD717" s="4">
        <v>0</v>
      </c>
      <c r="AE717" s="4">
        <v>8</v>
      </c>
      <c r="AF717" s="4">
        <v>0</v>
      </c>
      <c r="AG717" s="4">
        <v>1</v>
      </c>
      <c r="AH717" s="4">
        <v>0</v>
      </c>
      <c r="AI717" s="4">
        <v>5</v>
      </c>
      <c r="AJ717" s="4">
        <v>0</v>
      </c>
      <c r="AK717" s="4">
        <v>5</v>
      </c>
      <c r="AL717" s="4">
        <v>0</v>
      </c>
      <c r="AM717" s="4">
        <v>0</v>
      </c>
      <c r="AN717" s="4">
        <v>0</v>
      </c>
      <c r="AO717" s="4">
        <v>0</v>
      </c>
      <c r="AP717" s="3" t="s">
        <v>58</v>
      </c>
      <c r="AQ717" s="3" t="s">
        <v>58</v>
      </c>
      <c r="AS717" s="6" t="str">
        <f>HYPERLINK("https://creighton-primo.hosted.exlibrisgroup.com/primo-explore/search?tab=default_tab&amp;search_scope=EVERYTHING&amp;vid=01CRU&amp;lang=en_US&amp;offset=0&amp;query=any,contains,991004019139702656","Catalog Record")</f>
        <v>Catalog Record</v>
      </c>
      <c r="AT717" s="6" t="str">
        <f>HYPERLINK("http://www.worldcat.org/oclc/48379187","WorldCat Record")</f>
        <v>WorldCat Record</v>
      </c>
      <c r="AU717" s="3" t="s">
        <v>9163</v>
      </c>
      <c r="AV717" s="3" t="s">
        <v>9164</v>
      </c>
      <c r="AW717" s="3" t="s">
        <v>9165</v>
      </c>
      <c r="AX717" s="3" t="s">
        <v>9165</v>
      </c>
      <c r="AY717" s="3" t="s">
        <v>9166</v>
      </c>
      <c r="AZ717" s="3" t="s">
        <v>73</v>
      </c>
      <c r="BB717" s="3" t="s">
        <v>9167</v>
      </c>
      <c r="BC717" s="3" t="s">
        <v>9168</v>
      </c>
      <c r="BD717" s="3" t="s">
        <v>9169</v>
      </c>
    </row>
    <row r="718" spans="1:56" ht="51" customHeight="1" x14ac:dyDescent="0.25">
      <c r="A718" s="7" t="s">
        <v>58</v>
      </c>
      <c r="B718" s="2" t="s">
        <v>9170</v>
      </c>
      <c r="C718" s="2" t="s">
        <v>9171</v>
      </c>
      <c r="D718" s="2" t="s">
        <v>9172</v>
      </c>
      <c r="F718" s="3" t="s">
        <v>58</v>
      </c>
      <c r="G718" s="3" t="s">
        <v>59</v>
      </c>
      <c r="H718" s="3" t="s">
        <v>58</v>
      </c>
      <c r="I718" s="3" t="s">
        <v>58</v>
      </c>
      <c r="J718" s="3" t="s">
        <v>60</v>
      </c>
      <c r="K718" s="2" t="s">
        <v>8902</v>
      </c>
      <c r="L718" s="2" t="s">
        <v>9173</v>
      </c>
      <c r="M718" s="3" t="s">
        <v>9174</v>
      </c>
      <c r="O718" s="3" t="s">
        <v>63</v>
      </c>
      <c r="P718" s="3" t="s">
        <v>214</v>
      </c>
      <c r="R718" s="3" t="s">
        <v>65</v>
      </c>
      <c r="S718" s="4">
        <v>2</v>
      </c>
      <c r="T718" s="4">
        <v>2</v>
      </c>
      <c r="U718" s="5" t="s">
        <v>1077</v>
      </c>
      <c r="V718" s="5" t="s">
        <v>1077</v>
      </c>
      <c r="W718" s="5" t="s">
        <v>9175</v>
      </c>
      <c r="X718" s="5" t="s">
        <v>9175</v>
      </c>
      <c r="Y718" s="4">
        <v>574</v>
      </c>
      <c r="Z718" s="4">
        <v>548</v>
      </c>
      <c r="AA718" s="4">
        <v>1717</v>
      </c>
      <c r="AB718" s="4">
        <v>6</v>
      </c>
      <c r="AC718" s="4">
        <v>12</v>
      </c>
      <c r="AD718" s="4">
        <v>24</v>
      </c>
      <c r="AE718" s="4">
        <v>47</v>
      </c>
      <c r="AF718" s="4">
        <v>11</v>
      </c>
      <c r="AG718" s="4">
        <v>20</v>
      </c>
      <c r="AH718" s="4">
        <v>5</v>
      </c>
      <c r="AI718" s="4">
        <v>9</v>
      </c>
      <c r="AJ718" s="4">
        <v>10</v>
      </c>
      <c r="AK718" s="4">
        <v>22</v>
      </c>
      <c r="AL718" s="4">
        <v>4</v>
      </c>
      <c r="AM718" s="4">
        <v>6</v>
      </c>
      <c r="AN718" s="4">
        <v>0</v>
      </c>
      <c r="AO718" s="4">
        <v>0</v>
      </c>
      <c r="AP718" s="3" t="s">
        <v>58</v>
      </c>
      <c r="AQ718" s="3" t="s">
        <v>58</v>
      </c>
      <c r="AS718" s="6" t="str">
        <f>HYPERLINK("https://creighton-primo.hosted.exlibrisgroup.com/primo-explore/search?tab=default_tab&amp;search_scope=EVERYTHING&amp;vid=01CRU&amp;lang=en_US&amp;offset=0&amp;query=any,contains,991005119479702656","Catalog Record")</f>
        <v>Catalog Record</v>
      </c>
      <c r="AT718" s="6" t="str">
        <f>HYPERLINK("http://www.worldcat.org/oclc/7487406","WorldCat Record")</f>
        <v>WorldCat Record</v>
      </c>
      <c r="AU718" s="3" t="s">
        <v>9176</v>
      </c>
      <c r="AV718" s="3" t="s">
        <v>9177</v>
      </c>
      <c r="AW718" s="3" t="s">
        <v>9178</v>
      </c>
      <c r="AX718" s="3" t="s">
        <v>9178</v>
      </c>
      <c r="AY718" s="3" t="s">
        <v>9179</v>
      </c>
      <c r="AZ718" s="3" t="s">
        <v>73</v>
      </c>
      <c r="BC718" s="3" t="s">
        <v>9180</v>
      </c>
      <c r="BD718" s="3" t="s">
        <v>9181</v>
      </c>
    </row>
    <row r="719" spans="1:56" ht="51" customHeight="1" x14ac:dyDescent="0.25">
      <c r="A719" s="7" t="s">
        <v>58</v>
      </c>
      <c r="B719" s="2" t="s">
        <v>9182</v>
      </c>
      <c r="C719" s="2" t="s">
        <v>9183</v>
      </c>
      <c r="D719" s="2" t="s">
        <v>9184</v>
      </c>
      <c r="F719" s="3" t="s">
        <v>58</v>
      </c>
      <c r="G719" s="3" t="s">
        <v>59</v>
      </c>
      <c r="H719" s="3" t="s">
        <v>58</v>
      </c>
      <c r="I719" s="3" t="s">
        <v>58</v>
      </c>
      <c r="J719" s="3" t="s">
        <v>60</v>
      </c>
      <c r="L719" s="2" t="s">
        <v>9185</v>
      </c>
      <c r="M719" s="3" t="s">
        <v>2310</v>
      </c>
      <c r="O719" s="3" t="s">
        <v>63</v>
      </c>
      <c r="P719" s="3" t="s">
        <v>584</v>
      </c>
      <c r="R719" s="3" t="s">
        <v>65</v>
      </c>
      <c r="S719" s="4">
        <v>2</v>
      </c>
      <c r="T719" s="4">
        <v>2</v>
      </c>
      <c r="U719" s="5" t="s">
        <v>7220</v>
      </c>
      <c r="V719" s="5" t="s">
        <v>7220</v>
      </c>
      <c r="W719" s="5" t="s">
        <v>7220</v>
      </c>
      <c r="X719" s="5" t="s">
        <v>7220</v>
      </c>
      <c r="Y719" s="4">
        <v>175</v>
      </c>
      <c r="Z719" s="4">
        <v>122</v>
      </c>
      <c r="AA719" s="4">
        <v>774</v>
      </c>
      <c r="AB719" s="4">
        <v>2</v>
      </c>
      <c r="AC719" s="4">
        <v>17</v>
      </c>
      <c r="AD719" s="4">
        <v>8</v>
      </c>
      <c r="AE719" s="4">
        <v>22</v>
      </c>
      <c r="AF719" s="4">
        <v>3</v>
      </c>
      <c r="AG719" s="4">
        <v>8</v>
      </c>
      <c r="AH719" s="4">
        <v>3</v>
      </c>
      <c r="AI719" s="4">
        <v>4</v>
      </c>
      <c r="AJ719" s="4">
        <v>5</v>
      </c>
      <c r="AK719" s="4">
        <v>6</v>
      </c>
      <c r="AL719" s="4">
        <v>1</v>
      </c>
      <c r="AM719" s="4">
        <v>10</v>
      </c>
      <c r="AN719" s="4">
        <v>0</v>
      </c>
      <c r="AO719" s="4">
        <v>0</v>
      </c>
      <c r="AP719" s="3" t="s">
        <v>58</v>
      </c>
      <c r="AQ719" s="3" t="s">
        <v>58</v>
      </c>
      <c r="AS719" s="6" t="str">
        <f>HYPERLINK("https://creighton-primo.hosted.exlibrisgroup.com/primo-explore/search?tab=default_tab&amp;search_scope=EVERYTHING&amp;vid=01CRU&amp;lang=en_US&amp;offset=0&amp;query=any,contains,991005381199702656","Catalog Record")</f>
        <v>Catalog Record</v>
      </c>
      <c r="AT719" s="6" t="str">
        <f>HYPERLINK("http://www.worldcat.org/oclc/314632732","WorldCat Record")</f>
        <v>WorldCat Record</v>
      </c>
      <c r="AU719" s="3" t="s">
        <v>9186</v>
      </c>
      <c r="AV719" s="3" t="s">
        <v>9187</v>
      </c>
      <c r="AW719" s="3" t="s">
        <v>9188</v>
      </c>
      <c r="AX719" s="3" t="s">
        <v>9188</v>
      </c>
      <c r="AY719" s="3" t="s">
        <v>9189</v>
      </c>
      <c r="AZ719" s="3" t="s">
        <v>73</v>
      </c>
      <c r="BB719" s="3" t="s">
        <v>9190</v>
      </c>
      <c r="BC719" s="3" t="s">
        <v>9191</v>
      </c>
      <c r="BD719" s="3" t="s">
        <v>9192</v>
      </c>
    </row>
    <row r="720" spans="1:56" ht="51" customHeight="1" x14ac:dyDescent="0.25">
      <c r="A720" s="7" t="s">
        <v>58</v>
      </c>
      <c r="B720" s="2" t="s">
        <v>9193</v>
      </c>
      <c r="C720" s="2" t="s">
        <v>9194</v>
      </c>
      <c r="D720" s="2" t="s">
        <v>9195</v>
      </c>
      <c r="F720" s="3" t="s">
        <v>58</v>
      </c>
      <c r="G720" s="3" t="s">
        <v>59</v>
      </c>
      <c r="H720" s="3" t="s">
        <v>58</v>
      </c>
      <c r="I720" s="3" t="s">
        <v>58</v>
      </c>
      <c r="J720" s="3" t="s">
        <v>60</v>
      </c>
      <c r="K720" s="2" t="s">
        <v>9196</v>
      </c>
      <c r="L720" s="2" t="s">
        <v>9197</v>
      </c>
      <c r="M720" s="3" t="s">
        <v>249</v>
      </c>
      <c r="O720" s="3" t="s">
        <v>63</v>
      </c>
      <c r="P720" s="3" t="s">
        <v>4828</v>
      </c>
      <c r="Q720" s="2" t="s">
        <v>9198</v>
      </c>
      <c r="R720" s="3" t="s">
        <v>65</v>
      </c>
      <c r="S720" s="4">
        <v>12</v>
      </c>
      <c r="T720" s="4">
        <v>12</v>
      </c>
      <c r="U720" s="5" t="s">
        <v>4674</v>
      </c>
      <c r="V720" s="5" t="s">
        <v>4674</v>
      </c>
      <c r="W720" s="5" t="s">
        <v>6339</v>
      </c>
      <c r="X720" s="5" t="s">
        <v>6339</v>
      </c>
      <c r="Y720" s="4">
        <v>760</v>
      </c>
      <c r="Z720" s="4">
        <v>629</v>
      </c>
      <c r="AA720" s="4">
        <v>1005</v>
      </c>
      <c r="AB720" s="4">
        <v>3</v>
      </c>
      <c r="AC720" s="4">
        <v>6</v>
      </c>
      <c r="AD720" s="4">
        <v>35</v>
      </c>
      <c r="AE720" s="4">
        <v>49</v>
      </c>
      <c r="AF720" s="4">
        <v>12</v>
      </c>
      <c r="AG720" s="4">
        <v>22</v>
      </c>
      <c r="AH720" s="4">
        <v>9</v>
      </c>
      <c r="AI720" s="4">
        <v>10</v>
      </c>
      <c r="AJ720" s="4">
        <v>20</v>
      </c>
      <c r="AK720" s="4">
        <v>23</v>
      </c>
      <c r="AL720" s="4">
        <v>2</v>
      </c>
      <c r="AM720" s="4">
        <v>5</v>
      </c>
      <c r="AN720" s="4">
        <v>0</v>
      </c>
      <c r="AO720" s="4">
        <v>0</v>
      </c>
      <c r="AP720" s="3" t="s">
        <v>58</v>
      </c>
      <c r="AQ720" s="3" t="s">
        <v>58</v>
      </c>
      <c r="AS720" s="6" t="str">
        <f>HYPERLINK("https://creighton-primo.hosted.exlibrisgroup.com/primo-explore/search?tab=default_tab&amp;search_scope=EVERYTHING&amp;vid=01CRU&amp;lang=en_US&amp;offset=0&amp;query=any,contains,991002661859702656","Catalog Record")</f>
        <v>Catalog Record</v>
      </c>
      <c r="AT720" s="6" t="str">
        <f>HYPERLINK("http://www.worldcat.org/oclc/391773","WorldCat Record")</f>
        <v>WorldCat Record</v>
      </c>
      <c r="AU720" s="3" t="s">
        <v>9199</v>
      </c>
      <c r="AV720" s="3" t="s">
        <v>9200</v>
      </c>
      <c r="AW720" s="3" t="s">
        <v>9201</v>
      </c>
      <c r="AX720" s="3" t="s">
        <v>9201</v>
      </c>
      <c r="AY720" s="3" t="s">
        <v>9202</v>
      </c>
      <c r="AZ720" s="3" t="s">
        <v>73</v>
      </c>
      <c r="BC720" s="3" t="s">
        <v>9203</v>
      </c>
      <c r="BD720" s="3" t="s">
        <v>9204</v>
      </c>
    </row>
    <row r="721" spans="1:56" ht="51" customHeight="1" x14ac:dyDescent="0.25">
      <c r="A721" s="7" t="s">
        <v>58</v>
      </c>
      <c r="B721" s="2" t="s">
        <v>9205</v>
      </c>
      <c r="C721" s="2" t="s">
        <v>9206</v>
      </c>
      <c r="D721" s="2" t="s">
        <v>9207</v>
      </c>
      <c r="F721" s="3" t="s">
        <v>58</v>
      </c>
      <c r="G721" s="3" t="s">
        <v>59</v>
      </c>
      <c r="H721" s="3" t="s">
        <v>58</v>
      </c>
      <c r="I721" s="3" t="s">
        <v>58</v>
      </c>
      <c r="J721" s="3" t="s">
        <v>60</v>
      </c>
      <c r="K721" s="2" t="s">
        <v>9208</v>
      </c>
      <c r="L721" s="2" t="s">
        <v>9209</v>
      </c>
      <c r="M721" s="3" t="s">
        <v>653</v>
      </c>
      <c r="O721" s="3" t="s">
        <v>63</v>
      </c>
      <c r="P721" s="3" t="s">
        <v>584</v>
      </c>
      <c r="R721" s="3" t="s">
        <v>65</v>
      </c>
      <c r="S721" s="4">
        <v>2</v>
      </c>
      <c r="T721" s="4">
        <v>2</v>
      </c>
      <c r="U721" s="5" t="s">
        <v>2172</v>
      </c>
      <c r="V721" s="5" t="s">
        <v>2172</v>
      </c>
      <c r="W721" s="5" t="s">
        <v>9210</v>
      </c>
      <c r="X721" s="5" t="s">
        <v>9210</v>
      </c>
      <c r="Y721" s="4">
        <v>101</v>
      </c>
      <c r="Z721" s="4">
        <v>94</v>
      </c>
      <c r="AA721" s="4">
        <v>170</v>
      </c>
      <c r="AB721" s="4">
        <v>1</v>
      </c>
      <c r="AC721" s="4">
        <v>2</v>
      </c>
      <c r="AD721" s="4">
        <v>2</v>
      </c>
      <c r="AE721" s="4">
        <v>9</v>
      </c>
      <c r="AF721" s="4">
        <v>0</v>
      </c>
      <c r="AG721" s="4">
        <v>2</v>
      </c>
      <c r="AH721" s="4">
        <v>1</v>
      </c>
      <c r="AI721" s="4">
        <v>3</v>
      </c>
      <c r="AJ721" s="4">
        <v>1</v>
      </c>
      <c r="AK721" s="4">
        <v>6</v>
      </c>
      <c r="AL721" s="4">
        <v>0</v>
      </c>
      <c r="AM721" s="4">
        <v>1</v>
      </c>
      <c r="AN721" s="4">
        <v>0</v>
      </c>
      <c r="AO721" s="4">
        <v>0</v>
      </c>
      <c r="AP721" s="3" t="s">
        <v>58</v>
      </c>
      <c r="AQ721" s="3" t="s">
        <v>68</v>
      </c>
      <c r="AR721" s="6" t="str">
        <f>HYPERLINK("http://catalog.hathitrust.org/Record/002525589","HathiTrust Record")</f>
        <v>HathiTrust Record</v>
      </c>
      <c r="AS721" s="6" t="str">
        <f>HYPERLINK("https://creighton-primo.hosted.exlibrisgroup.com/primo-explore/search?tab=default_tab&amp;search_scope=EVERYTHING&amp;vid=01CRU&amp;lang=en_US&amp;offset=0&amp;query=any,contains,991001955159702656","Catalog Record")</f>
        <v>Catalog Record</v>
      </c>
      <c r="AT721" s="6" t="str">
        <f>HYPERLINK("http://www.worldcat.org/oclc/24718134","WorldCat Record")</f>
        <v>WorldCat Record</v>
      </c>
      <c r="AU721" s="3" t="s">
        <v>9211</v>
      </c>
      <c r="AV721" s="3" t="s">
        <v>9212</v>
      </c>
      <c r="AW721" s="3" t="s">
        <v>9213</v>
      </c>
      <c r="AX721" s="3" t="s">
        <v>9213</v>
      </c>
      <c r="AY721" s="3" t="s">
        <v>9214</v>
      </c>
      <c r="AZ721" s="3" t="s">
        <v>73</v>
      </c>
      <c r="BB721" s="3" t="s">
        <v>9215</v>
      </c>
      <c r="BC721" s="3" t="s">
        <v>9216</v>
      </c>
      <c r="BD721" s="3" t="s">
        <v>9217</v>
      </c>
    </row>
    <row r="722" spans="1:56" ht="51" customHeight="1" x14ac:dyDescent="0.25">
      <c r="A722" s="7" t="s">
        <v>58</v>
      </c>
      <c r="B722" s="2" t="s">
        <v>9218</v>
      </c>
      <c r="C722" s="2" t="s">
        <v>9219</v>
      </c>
      <c r="D722" s="2" t="s">
        <v>9220</v>
      </c>
      <c r="F722" s="3" t="s">
        <v>58</v>
      </c>
      <c r="G722" s="3" t="s">
        <v>59</v>
      </c>
      <c r="H722" s="3" t="s">
        <v>58</v>
      </c>
      <c r="I722" s="3" t="s">
        <v>58</v>
      </c>
      <c r="J722" s="3" t="s">
        <v>60</v>
      </c>
      <c r="K722" s="2" t="s">
        <v>9221</v>
      </c>
      <c r="L722" s="2" t="s">
        <v>9222</v>
      </c>
      <c r="M722" s="3" t="s">
        <v>2214</v>
      </c>
      <c r="O722" s="3" t="s">
        <v>63</v>
      </c>
      <c r="P722" s="3" t="s">
        <v>214</v>
      </c>
      <c r="R722" s="3" t="s">
        <v>65</v>
      </c>
      <c r="S722" s="4">
        <v>7</v>
      </c>
      <c r="T722" s="4">
        <v>7</v>
      </c>
      <c r="U722" s="5" t="s">
        <v>4182</v>
      </c>
      <c r="V722" s="5" t="s">
        <v>4182</v>
      </c>
      <c r="W722" s="5" t="s">
        <v>9223</v>
      </c>
      <c r="X722" s="5" t="s">
        <v>9223</v>
      </c>
      <c r="Y722" s="4">
        <v>381</v>
      </c>
      <c r="Z722" s="4">
        <v>296</v>
      </c>
      <c r="AA722" s="4">
        <v>312</v>
      </c>
      <c r="AB722" s="4">
        <v>2</v>
      </c>
      <c r="AC722" s="4">
        <v>2</v>
      </c>
      <c r="AD722" s="4">
        <v>13</v>
      </c>
      <c r="AE722" s="4">
        <v>13</v>
      </c>
      <c r="AF722" s="4">
        <v>4</v>
      </c>
      <c r="AG722" s="4">
        <v>4</v>
      </c>
      <c r="AH722" s="4">
        <v>4</v>
      </c>
      <c r="AI722" s="4">
        <v>4</v>
      </c>
      <c r="AJ722" s="4">
        <v>8</v>
      </c>
      <c r="AK722" s="4">
        <v>8</v>
      </c>
      <c r="AL722" s="4">
        <v>1</v>
      </c>
      <c r="AM722" s="4">
        <v>1</v>
      </c>
      <c r="AN722" s="4">
        <v>0</v>
      </c>
      <c r="AO722" s="4">
        <v>0</v>
      </c>
      <c r="AP722" s="3" t="s">
        <v>58</v>
      </c>
      <c r="AQ722" s="3" t="s">
        <v>68</v>
      </c>
      <c r="AR722" s="6" t="str">
        <f>HYPERLINK("http://catalog.hathitrust.org/Record/005024981","HathiTrust Record")</f>
        <v>HathiTrust Record</v>
      </c>
      <c r="AS722" s="6" t="str">
        <f>HYPERLINK("https://creighton-primo.hosted.exlibrisgroup.com/primo-explore/search?tab=default_tab&amp;search_scope=EVERYTHING&amp;vid=01CRU&amp;lang=en_US&amp;offset=0&amp;query=any,contains,991004715379702656","Catalog Record")</f>
        <v>Catalog Record</v>
      </c>
      <c r="AT722" s="6" t="str">
        <f>HYPERLINK("http://www.worldcat.org/oclc/57613452","WorldCat Record")</f>
        <v>WorldCat Record</v>
      </c>
      <c r="AU722" s="3" t="s">
        <v>9224</v>
      </c>
      <c r="AV722" s="3" t="s">
        <v>9225</v>
      </c>
      <c r="AW722" s="3" t="s">
        <v>9226</v>
      </c>
      <c r="AX722" s="3" t="s">
        <v>9226</v>
      </c>
      <c r="AY722" s="3" t="s">
        <v>9227</v>
      </c>
      <c r="AZ722" s="3" t="s">
        <v>73</v>
      </c>
      <c r="BB722" s="3" t="s">
        <v>9228</v>
      </c>
      <c r="BC722" s="3" t="s">
        <v>9229</v>
      </c>
      <c r="BD722" s="3" t="s">
        <v>9230</v>
      </c>
    </row>
    <row r="723" spans="1:56" ht="51" customHeight="1" x14ac:dyDescent="0.25">
      <c r="A723" s="7" t="s">
        <v>58</v>
      </c>
      <c r="B723" s="2" t="s">
        <v>9231</v>
      </c>
      <c r="C723" s="2" t="s">
        <v>9232</v>
      </c>
      <c r="D723" s="2" t="s">
        <v>9233</v>
      </c>
      <c r="E723" s="3" t="s">
        <v>223</v>
      </c>
      <c r="F723" s="3" t="s">
        <v>68</v>
      </c>
      <c r="G723" s="3" t="s">
        <v>59</v>
      </c>
      <c r="H723" s="3" t="s">
        <v>58</v>
      </c>
      <c r="I723" s="3" t="s">
        <v>58</v>
      </c>
      <c r="J723" s="3" t="s">
        <v>60</v>
      </c>
      <c r="K723" s="2" t="s">
        <v>9234</v>
      </c>
      <c r="L723" s="2" t="s">
        <v>9235</v>
      </c>
      <c r="M723" s="3" t="s">
        <v>368</v>
      </c>
      <c r="O723" s="3" t="s">
        <v>63</v>
      </c>
      <c r="P723" s="3" t="s">
        <v>571</v>
      </c>
      <c r="R723" s="3" t="s">
        <v>65</v>
      </c>
      <c r="S723" s="4">
        <v>3</v>
      </c>
      <c r="T723" s="4">
        <v>11</v>
      </c>
      <c r="U723" s="5" t="s">
        <v>9236</v>
      </c>
      <c r="V723" s="5" t="s">
        <v>9236</v>
      </c>
      <c r="W723" s="5" t="s">
        <v>8127</v>
      </c>
      <c r="X723" s="5" t="s">
        <v>8127</v>
      </c>
      <c r="Y723" s="4">
        <v>141</v>
      </c>
      <c r="Z723" s="4">
        <v>118</v>
      </c>
      <c r="AA723" s="4">
        <v>120</v>
      </c>
      <c r="AB723" s="4">
        <v>2</v>
      </c>
      <c r="AC723" s="4">
        <v>2</v>
      </c>
      <c r="AD723" s="4">
        <v>3</v>
      </c>
      <c r="AE723" s="4">
        <v>3</v>
      </c>
      <c r="AF723" s="4">
        <v>0</v>
      </c>
      <c r="AG723" s="4">
        <v>0</v>
      </c>
      <c r="AH723" s="4">
        <v>1</v>
      </c>
      <c r="AI723" s="4">
        <v>1</v>
      </c>
      <c r="AJ723" s="4">
        <v>2</v>
      </c>
      <c r="AK723" s="4">
        <v>2</v>
      </c>
      <c r="AL723" s="4">
        <v>1</v>
      </c>
      <c r="AM723" s="4">
        <v>1</v>
      </c>
      <c r="AN723" s="4">
        <v>0</v>
      </c>
      <c r="AO723" s="4">
        <v>0</v>
      </c>
      <c r="AP723" s="3" t="s">
        <v>58</v>
      </c>
      <c r="AQ723" s="3" t="s">
        <v>58</v>
      </c>
      <c r="AS723" s="6" t="str">
        <f>HYPERLINK("https://creighton-primo.hosted.exlibrisgroup.com/primo-explore/search?tab=default_tab&amp;search_scope=EVERYTHING&amp;vid=01CRU&amp;lang=en_US&amp;offset=0&amp;query=any,contains,991004214449702656","Catalog Record")</f>
        <v>Catalog Record</v>
      </c>
      <c r="AT723" s="6" t="str">
        <f>HYPERLINK("http://www.worldcat.org/oclc/2694653","WorldCat Record")</f>
        <v>WorldCat Record</v>
      </c>
      <c r="AU723" s="3" t="s">
        <v>9237</v>
      </c>
      <c r="AV723" s="3" t="s">
        <v>9238</v>
      </c>
      <c r="AW723" s="3" t="s">
        <v>9239</v>
      </c>
      <c r="AX723" s="3" t="s">
        <v>9239</v>
      </c>
      <c r="AY723" s="3" t="s">
        <v>9240</v>
      </c>
      <c r="AZ723" s="3" t="s">
        <v>73</v>
      </c>
      <c r="BC723" s="3" t="s">
        <v>9241</v>
      </c>
      <c r="BD723" s="3" t="s">
        <v>9242</v>
      </c>
    </row>
    <row r="724" spans="1:56" ht="51" customHeight="1" x14ac:dyDescent="0.25">
      <c r="A724" s="7" t="s">
        <v>58</v>
      </c>
      <c r="B724" s="2" t="s">
        <v>9231</v>
      </c>
      <c r="C724" s="2" t="s">
        <v>9232</v>
      </c>
      <c r="D724" s="2" t="s">
        <v>9233</v>
      </c>
      <c r="E724" s="3" t="s">
        <v>210</v>
      </c>
      <c r="F724" s="3" t="s">
        <v>68</v>
      </c>
      <c r="G724" s="3" t="s">
        <v>59</v>
      </c>
      <c r="H724" s="3" t="s">
        <v>58</v>
      </c>
      <c r="I724" s="3" t="s">
        <v>58</v>
      </c>
      <c r="J724" s="3" t="s">
        <v>60</v>
      </c>
      <c r="K724" s="2" t="s">
        <v>9234</v>
      </c>
      <c r="L724" s="2" t="s">
        <v>9235</v>
      </c>
      <c r="M724" s="3" t="s">
        <v>368</v>
      </c>
      <c r="O724" s="3" t="s">
        <v>63</v>
      </c>
      <c r="P724" s="3" t="s">
        <v>571</v>
      </c>
      <c r="R724" s="3" t="s">
        <v>65</v>
      </c>
      <c r="S724" s="4">
        <v>3</v>
      </c>
      <c r="T724" s="4">
        <v>11</v>
      </c>
      <c r="U724" s="5" t="s">
        <v>9236</v>
      </c>
      <c r="V724" s="5" t="s">
        <v>9236</v>
      </c>
      <c r="W724" s="5" t="s">
        <v>8127</v>
      </c>
      <c r="X724" s="5" t="s">
        <v>8127</v>
      </c>
      <c r="Y724" s="4">
        <v>141</v>
      </c>
      <c r="Z724" s="4">
        <v>118</v>
      </c>
      <c r="AA724" s="4">
        <v>120</v>
      </c>
      <c r="AB724" s="4">
        <v>2</v>
      </c>
      <c r="AC724" s="4">
        <v>2</v>
      </c>
      <c r="AD724" s="4">
        <v>3</v>
      </c>
      <c r="AE724" s="4">
        <v>3</v>
      </c>
      <c r="AF724" s="4">
        <v>0</v>
      </c>
      <c r="AG724" s="4">
        <v>0</v>
      </c>
      <c r="AH724" s="4">
        <v>1</v>
      </c>
      <c r="AI724" s="4">
        <v>1</v>
      </c>
      <c r="AJ724" s="4">
        <v>2</v>
      </c>
      <c r="AK724" s="4">
        <v>2</v>
      </c>
      <c r="AL724" s="4">
        <v>1</v>
      </c>
      <c r="AM724" s="4">
        <v>1</v>
      </c>
      <c r="AN724" s="4">
        <v>0</v>
      </c>
      <c r="AO724" s="4">
        <v>0</v>
      </c>
      <c r="AP724" s="3" t="s">
        <v>58</v>
      </c>
      <c r="AQ724" s="3" t="s">
        <v>58</v>
      </c>
      <c r="AS724" s="6" t="str">
        <f>HYPERLINK("https://creighton-primo.hosted.exlibrisgroup.com/primo-explore/search?tab=default_tab&amp;search_scope=EVERYTHING&amp;vid=01CRU&amp;lang=en_US&amp;offset=0&amp;query=any,contains,991004214449702656","Catalog Record")</f>
        <v>Catalog Record</v>
      </c>
      <c r="AT724" s="6" t="str">
        <f>HYPERLINK("http://www.worldcat.org/oclc/2694653","WorldCat Record")</f>
        <v>WorldCat Record</v>
      </c>
      <c r="AU724" s="3" t="s">
        <v>9237</v>
      </c>
      <c r="AV724" s="3" t="s">
        <v>9238</v>
      </c>
      <c r="AW724" s="3" t="s">
        <v>9239</v>
      </c>
      <c r="AX724" s="3" t="s">
        <v>9239</v>
      </c>
      <c r="AY724" s="3" t="s">
        <v>9240</v>
      </c>
      <c r="AZ724" s="3" t="s">
        <v>73</v>
      </c>
      <c r="BC724" s="3" t="s">
        <v>9243</v>
      </c>
      <c r="BD724" s="3" t="s">
        <v>9244</v>
      </c>
    </row>
    <row r="725" spans="1:56" ht="51" customHeight="1" x14ac:dyDescent="0.25">
      <c r="A725" s="7" t="s">
        <v>58</v>
      </c>
      <c r="B725" s="2" t="s">
        <v>9231</v>
      </c>
      <c r="C725" s="2" t="s">
        <v>9232</v>
      </c>
      <c r="D725" s="2" t="s">
        <v>9233</v>
      </c>
      <c r="E725" s="3" t="s">
        <v>309</v>
      </c>
      <c r="F725" s="3" t="s">
        <v>68</v>
      </c>
      <c r="G725" s="3" t="s">
        <v>59</v>
      </c>
      <c r="H725" s="3" t="s">
        <v>58</v>
      </c>
      <c r="I725" s="3" t="s">
        <v>58</v>
      </c>
      <c r="J725" s="3" t="s">
        <v>60</v>
      </c>
      <c r="K725" s="2" t="s">
        <v>9234</v>
      </c>
      <c r="L725" s="2" t="s">
        <v>9235</v>
      </c>
      <c r="M725" s="3" t="s">
        <v>368</v>
      </c>
      <c r="O725" s="3" t="s">
        <v>63</v>
      </c>
      <c r="P725" s="3" t="s">
        <v>571</v>
      </c>
      <c r="R725" s="3" t="s">
        <v>65</v>
      </c>
      <c r="S725" s="4">
        <v>1</v>
      </c>
      <c r="T725" s="4">
        <v>11</v>
      </c>
      <c r="V725" s="5" t="s">
        <v>9236</v>
      </c>
      <c r="W725" s="5" t="s">
        <v>8127</v>
      </c>
      <c r="X725" s="5" t="s">
        <v>8127</v>
      </c>
      <c r="Y725" s="4">
        <v>141</v>
      </c>
      <c r="Z725" s="4">
        <v>118</v>
      </c>
      <c r="AA725" s="4">
        <v>120</v>
      </c>
      <c r="AB725" s="4">
        <v>2</v>
      </c>
      <c r="AC725" s="4">
        <v>2</v>
      </c>
      <c r="AD725" s="4">
        <v>3</v>
      </c>
      <c r="AE725" s="4">
        <v>3</v>
      </c>
      <c r="AF725" s="4">
        <v>0</v>
      </c>
      <c r="AG725" s="4">
        <v>0</v>
      </c>
      <c r="AH725" s="4">
        <v>1</v>
      </c>
      <c r="AI725" s="4">
        <v>1</v>
      </c>
      <c r="AJ725" s="4">
        <v>2</v>
      </c>
      <c r="AK725" s="4">
        <v>2</v>
      </c>
      <c r="AL725" s="4">
        <v>1</v>
      </c>
      <c r="AM725" s="4">
        <v>1</v>
      </c>
      <c r="AN725" s="4">
        <v>0</v>
      </c>
      <c r="AO725" s="4">
        <v>0</v>
      </c>
      <c r="AP725" s="3" t="s">
        <v>58</v>
      </c>
      <c r="AQ725" s="3" t="s">
        <v>58</v>
      </c>
      <c r="AS725" s="6" t="str">
        <f>HYPERLINK("https://creighton-primo.hosted.exlibrisgroup.com/primo-explore/search?tab=default_tab&amp;search_scope=EVERYTHING&amp;vid=01CRU&amp;lang=en_US&amp;offset=0&amp;query=any,contains,991004214449702656","Catalog Record")</f>
        <v>Catalog Record</v>
      </c>
      <c r="AT725" s="6" t="str">
        <f>HYPERLINK("http://www.worldcat.org/oclc/2694653","WorldCat Record")</f>
        <v>WorldCat Record</v>
      </c>
      <c r="AU725" s="3" t="s">
        <v>9237</v>
      </c>
      <c r="AV725" s="3" t="s">
        <v>9238</v>
      </c>
      <c r="AW725" s="3" t="s">
        <v>9239</v>
      </c>
      <c r="AX725" s="3" t="s">
        <v>9239</v>
      </c>
      <c r="AY725" s="3" t="s">
        <v>9240</v>
      </c>
      <c r="AZ725" s="3" t="s">
        <v>73</v>
      </c>
      <c r="BC725" s="3" t="s">
        <v>9245</v>
      </c>
      <c r="BD725" s="3" t="s">
        <v>9246</v>
      </c>
    </row>
    <row r="726" spans="1:56" ht="51" customHeight="1" x14ac:dyDescent="0.25">
      <c r="A726" s="7" t="s">
        <v>58</v>
      </c>
      <c r="B726" s="2" t="s">
        <v>9231</v>
      </c>
      <c r="C726" s="2" t="s">
        <v>9232</v>
      </c>
      <c r="D726" s="2" t="s">
        <v>9233</v>
      </c>
      <c r="E726" s="3" t="s">
        <v>279</v>
      </c>
      <c r="F726" s="3" t="s">
        <v>68</v>
      </c>
      <c r="G726" s="3" t="s">
        <v>59</v>
      </c>
      <c r="H726" s="3" t="s">
        <v>58</v>
      </c>
      <c r="I726" s="3" t="s">
        <v>58</v>
      </c>
      <c r="J726" s="3" t="s">
        <v>60</v>
      </c>
      <c r="K726" s="2" t="s">
        <v>9234</v>
      </c>
      <c r="L726" s="2" t="s">
        <v>9235</v>
      </c>
      <c r="M726" s="3" t="s">
        <v>368</v>
      </c>
      <c r="O726" s="3" t="s">
        <v>63</v>
      </c>
      <c r="P726" s="3" t="s">
        <v>571</v>
      </c>
      <c r="R726" s="3" t="s">
        <v>65</v>
      </c>
      <c r="S726" s="4">
        <v>3</v>
      </c>
      <c r="T726" s="4">
        <v>11</v>
      </c>
      <c r="U726" s="5" t="s">
        <v>9236</v>
      </c>
      <c r="V726" s="5" t="s">
        <v>9236</v>
      </c>
      <c r="W726" s="5" t="s">
        <v>8127</v>
      </c>
      <c r="X726" s="5" t="s">
        <v>8127</v>
      </c>
      <c r="Y726" s="4">
        <v>141</v>
      </c>
      <c r="Z726" s="4">
        <v>118</v>
      </c>
      <c r="AA726" s="4">
        <v>120</v>
      </c>
      <c r="AB726" s="4">
        <v>2</v>
      </c>
      <c r="AC726" s="4">
        <v>2</v>
      </c>
      <c r="AD726" s="4">
        <v>3</v>
      </c>
      <c r="AE726" s="4">
        <v>3</v>
      </c>
      <c r="AF726" s="4">
        <v>0</v>
      </c>
      <c r="AG726" s="4">
        <v>0</v>
      </c>
      <c r="AH726" s="4">
        <v>1</v>
      </c>
      <c r="AI726" s="4">
        <v>1</v>
      </c>
      <c r="AJ726" s="4">
        <v>2</v>
      </c>
      <c r="AK726" s="4">
        <v>2</v>
      </c>
      <c r="AL726" s="4">
        <v>1</v>
      </c>
      <c r="AM726" s="4">
        <v>1</v>
      </c>
      <c r="AN726" s="4">
        <v>0</v>
      </c>
      <c r="AO726" s="4">
        <v>0</v>
      </c>
      <c r="AP726" s="3" t="s">
        <v>58</v>
      </c>
      <c r="AQ726" s="3" t="s">
        <v>58</v>
      </c>
      <c r="AS726" s="6" t="str">
        <f>HYPERLINK("https://creighton-primo.hosted.exlibrisgroup.com/primo-explore/search?tab=default_tab&amp;search_scope=EVERYTHING&amp;vid=01CRU&amp;lang=en_US&amp;offset=0&amp;query=any,contains,991004214449702656","Catalog Record")</f>
        <v>Catalog Record</v>
      </c>
      <c r="AT726" s="6" t="str">
        <f>HYPERLINK("http://www.worldcat.org/oclc/2694653","WorldCat Record")</f>
        <v>WorldCat Record</v>
      </c>
      <c r="AU726" s="3" t="s">
        <v>9237</v>
      </c>
      <c r="AV726" s="3" t="s">
        <v>9238</v>
      </c>
      <c r="AW726" s="3" t="s">
        <v>9239</v>
      </c>
      <c r="AX726" s="3" t="s">
        <v>9239</v>
      </c>
      <c r="AY726" s="3" t="s">
        <v>9240</v>
      </c>
      <c r="AZ726" s="3" t="s">
        <v>73</v>
      </c>
      <c r="BC726" s="3" t="s">
        <v>9247</v>
      </c>
      <c r="BD726" s="3" t="s">
        <v>9248</v>
      </c>
    </row>
    <row r="727" spans="1:56" ht="51" customHeight="1" x14ac:dyDescent="0.25">
      <c r="A727" s="7" t="s">
        <v>58</v>
      </c>
      <c r="B727" s="2" t="s">
        <v>9231</v>
      </c>
      <c r="C727" s="2" t="s">
        <v>9232</v>
      </c>
      <c r="D727" s="2" t="s">
        <v>9233</v>
      </c>
      <c r="E727" s="3" t="s">
        <v>297</v>
      </c>
      <c r="F727" s="3" t="s">
        <v>68</v>
      </c>
      <c r="G727" s="3" t="s">
        <v>59</v>
      </c>
      <c r="H727" s="3" t="s">
        <v>58</v>
      </c>
      <c r="I727" s="3" t="s">
        <v>58</v>
      </c>
      <c r="J727" s="3" t="s">
        <v>60</v>
      </c>
      <c r="K727" s="2" t="s">
        <v>9234</v>
      </c>
      <c r="L727" s="2" t="s">
        <v>9235</v>
      </c>
      <c r="M727" s="3" t="s">
        <v>368</v>
      </c>
      <c r="O727" s="3" t="s">
        <v>63</v>
      </c>
      <c r="P727" s="3" t="s">
        <v>571</v>
      </c>
      <c r="R727" s="3" t="s">
        <v>65</v>
      </c>
      <c r="S727" s="4">
        <v>1</v>
      </c>
      <c r="T727" s="4">
        <v>11</v>
      </c>
      <c r="V727" s="5" t="s">
        <v>9236</v>
      </c>
      <c r="W727" s="5" t="s">
        <v>8127</v>
      </c>
      <c r="X727" s="5" t="s">
        <v>8127</v>
      </c>
      <c r="Y727" s="4">
        <v>141</v>
      </c>
      <c r="Z727" s="4">
        <v>118</v>
      </c>
      <c r="AA727" s="4">
        <v>120</v>
      </c>
      <c r="AB727" s="4">
        <v>2</v>
      </c>
      <c r="AC727" s="4">
        <v>2</v>
      </c>
      <c r="AD727" s="4">
        <v>3</v>
      </c>
      <c r="AE727" s="4">
        <v>3</v>
      </c>
      <c r="AF727" s="4">
        <v>0</v>
      </c>
      <c r="AG727" s="4">
        <v>0</v>
      </c>
      <c r="AH727" s="4">
        <v>1</v>
      </c>
      <c r="AI727" s="4">
        <v>1</v>
      </c>
      <c r="AJ727" s="4">
        <v>2</v>
      </c>
      <c r="AK727" s="4">
        <v>2</v>
      </c>
      <c r="AL727" s="4">
        <v>1</v>
      </c>
      <c r="AM727" s="4">
        <v>1</v>
      </c>
      <c r="AN727" s="4">
        <v>0</v>
      </c>
      <c r="AO727" s="4">
        <v>0</v>
      </c>
      <c r="AP727" s="3" t="s">
        <v>58</v>
      </c>
      <c r="AQ727" s="3" t="s">
        <v>58</v>
      </c>
      <c r="AS727" s="6" t="str">
        <f>HYPERLINK("https://creighton-primo.hosted.exlibrisgroup.com/primo-explore/search?tab=default_tab&amp;search_scope=EVERYTHING&amp;vid=01CRU&amp;lang=en_US&amp;offset=0&amp;query=any,contains,991004214449702656","Catalog Record")</f>
        <v>Catalog Record</v>
      </c>
      <c r="AT727" s="6" t="str">
        <f>HYPERLINK("http://www.worldcat.org/oclc/2694653","WorldCat Record")</f>
        <v>WorldCat Record</v>
      </c>
      <c r="AU727" s="3" t="s">
        <v>9237</v>
      </c>
      <c r="AV727" s="3" t="s">
        <v>9238</v>
      </c>
      <c r="AW727" s="3" t="s">
        <v>9239</v>
      </c>
      <c r="AX727" s="3" t="s">
        <v>9239</v>
      </c>
      <c r="AY727" s="3" t="s">
        <v>9240</v>
      </c>
      <c r="AZ727" s="3" t="s">
        <v>73</v>
      </c>
      <c r="BC727" s="3" t="s">
        <v>9249</v>
      </c>
      <c r="BD727" s="3" t="s">
        <v>9250</v>
      </c>
    </row>
    <row r="728" spans="1:56" ht="51" customHeight="1" x14ac:dyDescent="0.25">
      <c r="A728" s="7" t="s">
        <v>58</v>
      </c>
      <c r="B728" s="2" t="s">
        <v>9251</v>
      </c>
      <c r="C728" s="2" t="s">
        <v>9252</v>
      </c>
      <c r="D728" s="2" t="s">
        <v>9253</v>
      </c>
      <c r="F728" s="3" t="s">
        <v>58</v>
      </c>
      <c r="G728" s="3" t="s">
        <v>59</v>
      </c>
      <c r="H728" s="3" t="s">
        <v>58</v>
      </c>
      <c r="I728" s="3" t="s">
        <v>58</v>
      </c>
      <c r="J728" s="3" t="s">
        <v>60</v>
      </c>
      <c r="K728" s="2" t="s">
        <v>9254</v>
      </c>
      <c r="L728" s="2" t="s">
        <v>9255</v>
      </c>
      <c r="M728" s="3" t="s">
        <v>337</v>
      </c>
      <c r="N728" s="2" t="s">
        <v>338</v>
      </c>
      <c r="O728" s="3" t="s">
        <v>63</v>
      </c>
      <c r="P728" s="3" t="s">
        <v>584</v>
      </c>
      <c r="Q728" s="2" t="s">
        <v>9256</v>
      </c>
      <c r="R728" s="3" t="s">
        <v>65</v>
      </c>
      <c r="S728" s="4">
        <v>7</v>
      </c>
      <c r="T728" s="4">
        <v>7</v>
      </c>
      <c r="U728" s="5" t="s">
        <v>8965</v>
      </c>
      <c r="V728" s="5" t="s">
        <v>8965</v>
      </c>
      <c r="W728" s="5" t="s">
        <v>9257</v>
      </c>
      <c r="X728" s="5" t="s">
        <v>9257</v>
      </c>
      <c r="Y728" s="4">
        <v>325</v>
      </c>
      <c r="Z728" s="4">
        <v>281</v>
      </c>
      <c r="AA728" s="4">
        <v>287</v>
      </c>
      <c r="AB728" s="4">
        <v>2</v>
      </c>
      <c r="AC728" s="4">
        <v>2</v>
      </c>
      <c r="AD728" s="4">
        <v>14</v>
      </c>
      <c r="AE728" s="4">
        <v>14</v>
      </c>
      <c r="AF728" s="4">
        <v>6</v>
      </c>
      <c r="AG728" s="4">
        <v>6</v>
      </c>
      <c r="AH728" s="4">
        <v>5</v>
      </c>
      <c r="AI728" s="4">
        <v>5</v>
      </c>
      <c r="AJ728" s="4">
        <v>6</v>
      </c>
      <c r="AK728" s="4">
        <v>6</v>
      </c>
      <c r="AL728" s="4">
        <v>1</v>
      </c>
      <c r="AM728" s="4">
        <v>1</v>
      </c>
      <c r="AN728" s="4">
        <v>0</v>
      </c>
      <c r="AO728" s="4">
        <v>0</v>
      </c>
      <c r="AP728" s="3" t="s">
        <v>58</v>
      </c>
      <c r="AQ728" s="3" t="s">
        <v>68</v>
      </c>
      <c r="AR728" s="6" t="str">
        <f>HYPERLINK("http://catalog.hathitrust.org/Record/004239202","HathiTrust Record")</f>
        <v>HathiTrust Record</v>
      </c>
      <c r="AS728" s="6" t="str">
        <f>HYPERLINK("https://creighton-primo.hosted.exlibrisgroup.com/primo-explore/search?tab=default_tab&amp;search_scope=EVERYTHING&amp;vid=01CRU&amp;lang=en_US&amp;offset=0&amp;query=any,contains,991004189709702656","Catalog Record")</f>
        <v>Catalog Record</v>
      </c>
      <c r="AT728" s="6" t="str">
        <f>HYPERLINK("http://www.worldcat.org/oclc/49787102","WorldCat Record")</f>
        <v>WorldCat Record</v>
      </c>
      <c r="AU728" s="3" t="s">
        <v>9258</v>
      </c>
      <c r="AV728" s="3" t="s">
        <v>9259</v>
      </c>
      <c r="AW728" s="3" t="s">
        <v>9260</v>
      </c>
      <c r="AX728" s="3" t="s">
        <v>9260</v>
      </c>
      <c r="AY728" s="3" t="s">
        <v>9261</v>
      </c>
      <c r="AZ728" s="3" t="s">
        <v>73</v>
      </c>
      <c r="BB728" s="3" t="s">
        <v>9262</v>
      </c>
      <c r="BC728" s="3" t="s">
        <v>9263</v>
      </c>
      <c r="BD728" s="3" t="s">
        <v>9264</v>
      </c>
    </row>
    <row r="729" spans="1:56" ht="51" customHeight="1" x14ac:dyDescent="0.25">
      <c r="A729" s="7" t="s">
        <v>58</v>
      </c>
      <c r="B729" s="2" t="s">
        <v>9265</v>
      </c>
      <c r="C729" s="2" t="s">
        <v>9266</v>
      </c>
      <c r="D729" s="2" t="s">
        <v>9267</v>
      </c>
      <c r="F729" s="3" t="s">
        <v>58</v>
      </c>
      <c r="G729" s="3" t="s">
        <v>59</v>
      </c>
      <c r="H729" s="3" t="s">
        <v>58</v>
      </c>
      <c r="I729" s="3" t="s">
        <v>58</v>
      </c>
      <c r="J729" s="3" t="s">
        <v>60</v>
      </c>
      <c r="K729" s="2" t="s">
        <v>9268</v>
      </c>
      <c r="L729" s="2" t="s">
        <v>9269</v>
      </c>
      <c r="M729" s="3" t="s">
        <v>626</v>
      </c>
      <c r="N729" s="2" t="s">
        <v>9270</v>
      </c>
      <c r="O729" s="3" t="s">
        <v>63</v>
      </c>
      <c r="P729" s="3" t="s">
        <v>9271</v>
      </c>
      <c r="R729" s="3" t="s">
        <v>65</v>
      </c>
      <c r="S729" s="4">
        <v>3</v>
      </c>
      <c r="T729" s="4">
        <v>3</v>
      </c>
      <c r="U729" s="5" t="s">
        <v>9272</v>
      </c>
      <c r="V729" s="5" t="s">
        <v>9272</v>
      </c>
      <c r="W729" s="5" t="s">
        <v>8127</v>
      </c>
      <c r="X729" s="5" t="s">
        <v>8127</v>
      </c>
      <c r="Y729" s="4">
        <v>143</v>
      </c>
      <c r="Z729" s="4">
        <v>130</v>
      </c>
      <c r="AA729" s="4">
        <v>248</v>
      </c>
      <c r="AB729" s="4">
        <v>3</v>
      </c>
      <c r="AC729" s="4">
        <v>3</v>
      </c>
      <c r="AD729" s="4">
        <v>6</v>
      </c>
      <c r="AE729" s="4">
        <v>12</v>
      </c>
      <c r="AF729" s="4">
        <v>0</v>
      </c>
      <c r="AG729" s="4">
        <v>2</v>
      </c>
      <c r="AH729" s="4">
        <v>2</v>
      </c>
      <c r="AI729" s="4">
        <v>3</v>
      </c>
      <c r="AJ729" s="4">
        <v>4</v>
      </c>
      <c r="AK729" s="4">
        <v>7</v>
      </c>
      <c r="AL729" s="4">
        <v>2</v>
      </c>
      <c r="AM729" s="4">
        <v>2</v>
      </c>
      <c r="AN729" s="4">
        <v>0</v>
      </c>
      <c r="AO729" s="4">
        <v>0</v>
      </c>
      <c r="AP729" s="3" t="s">
        <v>58</v>
      </c>
      <c r="AQ729" s="3" t="s">
        <v>68</v>
      </c>
      <c r="AR729" s="6" t="str">
        <f>HYPERLINK("http://catalog.hathitrust.org/Record/000437037","HathiTrust Record")</f>
        <v>HathiTrust Record</v>
      </c>
      <c r="AS729" s="6" t="str">
        <f>HYPERLINK("https://creighton-primo.hosted.exlibrisgroup.com/primo-explore/search?tab=default_tab&amp;search_scope=EVERYTHING&amp;vid=01CRU&amp;lang=en_US&amp;offset=0&amp;query=any,contains,991000797459702656","Catalog Record")</f>
        <v>Catalog Record</v>
      </c>
      <c r="AT729" s="6" t="str">
        <f>HYPERLINK("http://www.worldcat.org/oclc/13204729","WorldCat Record")</f>
        <v>WorldCat Record</v>
      </c>
      <c r="AU729" s="3" t="s">
        <v>9273</v>
      </c>
      <c r="AV729" s="3" t="s">
        <v>9274</v>
      </c>
      <c r="AW729" s="3" t="s">
        <v>9275</v>
      </c>
      <c r="AX729" s="3" t="s">
        <v>9275</v>
      </c>
      <c r="AY729" s="3" t="s">
        <v>9276</v>
      </c>
      <c r="AZ729" s="3" t="s">
        <v>73</v>
      </c>
      <c r="BC729" s="3" t="s">
        <v>9277</v>
      </c>
      <c r="BD729" s="3" t="s">
        <v>9278</v>
      </c>
    </row>
    <row r="730" spans="1:56" ht="51" customHeight="1" x14ac:dyDescent="0.25">
      <c r="A730" s="7" t="s">
        <v>58</v>
      </c>
      <c r="B730" s="2" t="s">
        <v>9279</v>
      </c>
      <c r="C730" s="2" t="s">
        <v>9280</v>
      </c>
      <c r="D730" s="2" t="s">
        <v>9281</v>
      </c>
      <c r="F730" s="3" t="s">
        <v>58</v>
      </c>
      <c r="G730" s="3" t="s">
        <v>59</v>
      </c>
      <c r="H730" s="3" t="s">
        <v>58</v>
      </c>
      <c r="I730" s="3" t="s">
        <v>58</v>
      </c>
      <c r="J730" s="3" t="s">
        <v>60</v>
      </c>
      <c r="K730" s="2" t="s">
        <v>9282</v>
      </c>
      <c r="L730" s="2" t="s">
        <v>9283</v>
      </c>
      <c r="M730" s="3" t="s">
        <v>1499</v>
      </c>
      <c r="O730" s="3" t="s">
        <v>63</v>
      </c>
      <c r="P730" s="3" t="s">
        <v>816</v>
      </c>
      <c r="R730" s="3" t="s">
        <v>65</v>
      </c>
      <c r="S730" s="4">
        <v>1</v>
      </c>
      <c r="T730" s="4">
        <v>1</v>
      </c>
      <c r="U730" s="5" t="s">
        <v>9272</v>
      </c>
      <c r="V730" s="5" t="s">
        <v>9272</v>
      </c>
      <c r="W730" s="5" t="s">
        <v>2616</v>
      </c>
      <c r="X730" s="5" t="s">
        <v>2616</v>
      </c>
      <c r="Y730" s="4">
        <v>499</v>
      </c>
      <c r="Z730" s="4">
        <v>450</v>
      </c>
      <c r="AA730" s="4">
        <v>451</v>
      </c>
      <c r="AB730" s="4">
        <v>3</v>
      </c>
      <c r="AC730" s="4">
        <v>3</v>
      </c>
      <c r="AD730" s="4">
        <v>17</v>
      </c>
      <c r="AE730" s="4">
        <v>17</v>
      </c>
      <c r="AF730" s="4">
        <v>5</v>
      </c>
      <c r="AG730" s="4">
        <v>5</v>
      </c>
      <c r="AH730" s="4">
        <v>4</v>
      </c>
      <c r="AI730" s="4">
        <v>4</v>
      </c>
      <c r="AJ730" s="4">
        <v>10</v>
      </c>
      <c r="AK730" s="4">
        <v>10</v>
      </c>
      <c r="AL730" s="4">
        <v>2</v>
      </c>
      <c r="AM730" s="4">
        <v>2</v>
      </c>
      <c r="AN730" s="4">
        <v>0</v>
      </c>
      <c r="AO730" s="4">
        <v>0</v>
      </c>
      <c r="AP730" s="3" t="s">
        <v>58</v>
      </c>
      <c r="AQ730" s="3" t="s">
        <v>58</v>
      </c>
      <c r="AS730" s="6" t="str">
        <f>HYPERLINK("https://creighton-primo.hosted.exlibrisgroup.com/primo-explore/search?tab=default_tab&amp;search_scope=EVERYTHING&amp;vid=01CRU&amp;lang=en_US&amp;offset=0&amp;query=any,contains,991002772699702656","Catalog Record")</f>
        <v>Catalog Record</v>
      </c>
      <c r="AT730" s="6" t="str">
        <f>HYPERLINK("http://www.worldcat.org/oclc/437569","WorldCat Record")</f>
        <v>WorldCat Record</v>
      </c>
      <c r="AU730" s="3" t="s">
        <v>9284</v>
      </c>
      <c r="AV730" s="3" t="s">
        <v>9285</v>
      </c>
      <c r="AW730" s="3" t="s">
        <v>9286</v>
      </c>
      <c r="AX730" s="3" t="s">
        <v>9286</v>
      </c>
      <c r="AY730" s="3" t="s">
        <v>9287</v>
      </c>
      <c r="AZ730" s="3" t="s">
        <v>73</v>
      </c>
      <c r="BC730" s="3" t="s">
        <v>9288</v>
      </c>
      <c r="BD730" s="3" t="s">
        <v>9289</v>
      </c>
    </row>
    <row r="731" spans="1:56" ht="51" customHeight="1" x14ac:dyDescent="0.25">
      <c r="A731" s="7" t="s">
        <v>58</v>
      </c>
      <c r="B731" s="2" t="s">
        <v>9290</v>
      </c>
      <c r="C731" s="2" t="s">
        <v>9291</v>
      </c>
      <c r="D731" s="2" t="s">
        <v>9292</v>
      </c>
      <c r="F731" s="3" t="s">
        <v>58</v>
      </c>
      <c r="G731" s="3" t="s">
        <v>59</v>
      </c>
      <c r="H731" s="3" t="s">
        <v>58</v>
      </c>
      <c r="I731" s="3" t="s">
        <v>58</v>
      </c>
      <c r="J731" s="3" t="s">
        <v>60</v>
      </c>
      <c r="K731" s="2" t="s">
        <v>9293</v>
      </c>
      <c r="L731" s="2" t="s">
        <v>9294</v>
      </c>
      <c r="M731" s="3" t="s">
        <v>9295</v>
      </c>
      <c r="O731" s="3" t="s">
        <v>63</v>
      </c>
      <c r="P731" s="3" t="s">
        <v>584</v>
      </c>
      <c r="Q731" s="2" t="s">
        <v>9296</v>
      </c>
      <c r="R731" s="3" t="s">
        <v>65</v>
      </c>
      <c r="S731" s="4">
        <v>4</v>
      </c>
      <c r="T731" s="4">
        <v>4</v>
      </c>
      <c r="U731" s="5" t="s">
        <v>9297</v>
      </c>
      <c r="V731" s="5" t="s">
        <v>9297</v>
      </c>
      <c r="W731" s="5" t="s">
        <v>6339</v>
      </c>
      <c r="X731" s="5" t="s">
        <v>6339</v>
      </c>
      <c r="Y731" s="4">
        <v>25</v>
      </c>
      <c r="Z731" s="4">
        <v>21</v>
      </c>
      <c r="AA731" s="4">
        <v>66</v>
      </c>
      <c r="AB731" s="4">
        <v>2</v>
      </c>
      <c r="AC731" s="4">
        <v>3</v>
      </c>
      <c r="AD731" s="4">
        <v>2</v>
      </c>
      <c r="AE731" s="4">
        <v>4</v>
      </c>
      <c r="AF731" s="4">
        <v>0</v>
      </c>
      <c r="AG731" s="4">
        <v>0</v>
      </c>
      <c r="AH731" s="4">
        <v>0</v>
      </c>
      <c r="AI731" s="4">
        <v>1</v>
      </c>
      <c r="AJ731" s="4">
        <v>1</v>
      </c>
      <c r="AK731" s="4">
        <v>1</v>
      </c>
      <c r="AL731" s="4">
        <v>1</v>
      </c>
      <c r="AM731" s="4">
        <v>2</v>
      </c>
      <c r="AN731" s="4">
        <v>0</v>
      </c>
      <c r="AO731" s="4">
        <v>0</v>
      </c>
      <c r="AP731" s="3" t="s">
        <v>68</v>
      </c>
      <c r="AQ731" s="3" t="s">
        <v>58</v>
      </c>
      <c r="AR731" s="6" t="str">
        <f>HYPERLINK("http://catalog.hathitrust.org/Record/009796765","HathiTrust Record")</f>
        <v>HathiTrust Record</v>
      </c>
      <c r="AS731" s="6" t="str">
        <f>HYPERLINK("https://creighton-primo.hosted.exlibrisgroup.com/primo-explore/search?tab=default_tab&amp;search_scope=EVERYTHING&amp;vid=01CRU&amp;lang=en_US&amp;offset=0&amp;query=any,contains,991004052879702656","Catalog Record")</f>
        <v>Catalog Record</v>
      </c>
      <c r="AT731" s="6" t="str">
        <f>HYPERLINK("http://www.worldcat.org/oclc/2216942","WorldCat Record")</f>
        <v>WorldCat Record</v>
      </c>
      <c r="AU731" s="3" t="s">
        <v>9298</v>
      </c>
      <c r="AV731" s="3" t="s">
        <v>9299</v>
      </c>
      <c r="AW731" s="3" t="s">
        <v>9300</v>
      </c>
      <c r="AX731" s="3" t="s">
        <v>9300</v>
      </c>
      <c r="AY731" s="3" t="s">
        <v>9301</v>
      </c>
      <c r="AZ731" s="3" t="s">
        <v>73</v>
      </c>
      <c r="BC731" s="3" t="s">
        <v>9302</v>
      </c>
      <c r="BD731" s="3" t="s">
        <v>9303</v>
      </c>
    </row>
    <row r="732" spans="1:56" ht="51" customHeight="1" x14ac:dyDescent="0.25">
      <c r="A732" s="7" t="s">
        <v>58</v>
      </c>
      <c r="B732" s="2" t="s">
        <v>9304</v>
      </c>
      <c r="C732" s="2" t="s">
        <v>9305</v>
      </c>
      <c r="D732" s="2" t="s">
        <v>9306</v>
      </c>
      <c r="F732" s="3" t="s">
        <v>58</v>
      </c>
      <c r="G732" s="3" t="s">
        <v>59</v>
      </c>
      <c r="H732" s="3" t="s">
        <v>58</v>
      </c>
      <c r="I732" s="3" t="s">
        <v>58</v>
      </c>
      <c r="J732" s="3" t="s">
        <v>60</v>
      </c>
      <c r="K732" s="2" t="s">
        <v>9307</v>
      </c>
      <c r="L732" s="2" t="s">
        <v>9308</v>
      </c>
      <c r="M732" s="3" t="s">
        <v>1153</v>
      </c>
      <c r="N732" s="2" t="s">
        <v>9309</v>
      </c>
      <c r="O732" s="3" t="s">
        <v>63</v>
      </c>
      <c r="P732" s="3" t="s">
        <v>9271</v>
      </c>
      <c r="R732" s="3" t="s">
        <v>65</v>
      </c>
      <c r="S732" s="4">
        <v>2</v>
      </c>
      <c r="T732" s="4">
        <v>2</v>
      </c>
      <c r="U732" s="5" t="s">
        <v>9272</v>
      </c>
      <c r="V732" s="5" t="s">
        <v>9272</v>
      </c>
      <c r="W732" s="5" t="s">
        <v>6339</v>
      </c>
      <c r="X732" s="5" t="s">
        <v>6339</v>
      </c>
      <c r="Y732" s="4">
        <v>11</v>
      </c>
      <c r="Z732" s="4">
        <v>8</v>
      </c>
      <c r="AA732" s="4">
        <v>48</v>
      </c>
      <c r="AB732" s="4">
        <v>1</v>
      </c>
      <c r="AC732" s="4">
        <v>1</v>
      </c>
      <c r="AD732" s="4">
        <v>0</v>
      </c>
      <c r="AE732" s="4">
        <v>0</v>
      </c>
      <c r="AF732" s="4">
        <v>0</v>
      </c>
      <c r="AG732" s="4">
        <v>0</v>
      </c>
      <c r="AH732" s="4">
        <v>0</v>
      </c>
      <c r="AI732" s="4">
        <v>0</v>
      </c>
      <c r="AJ732" s="4">
        <v>0</v>
      </c>
      <c r="AK732" s="4">
        <v>0</v>
      </c>
      <c r="AL732" s="4">
        <v>0</v>
      </c>
      <c r="AM732" s="4">
        <v>0</v>
      </c>
      <c r="AN732" s="4">
        <v>0</v>
      </c>
      <c r="AO732" s="4">
        <v>0</v>
      </c>
      <c r="AP732" s="3" t="s">
        <v>58</v>
      </c>
      <c r="AQ732" s="3" t="s">
        <v>58</v>
      </c>
      <c r="AS732" s="6" t="str">
        <f>HYPERLINK("https://creighton-primo.hosted.exlibrisgroup.com/primo-explore/search?tab=default_tab&amp;search_scope=EVERYTHING&amp;vid=01CRU&amp;lang=en_US&amp;offset=0&amp;query=any,contains,991004148019702656","Catalog Record")</f>
        <v>Catalog Record</v>
      </c>
      <c r="AT732" s="6" t="str">
        <f>HYPERLINK("http://www.worldcat.org/oclc/2517248","WorldCat Record")</f>
        <v>WorldCat Record</v>
      </c>
      <c r="AU732" s="3" t="s">
        <v>9310</v>
      </c>
      <c r="AV732" s="3" t="s">
        <v>9311</v>
      </c>
      <c r="AW732" s="3" t="s">
        <v>9312</v>
      </c>
      <c r="AX732" s="3" t="s">
        <v>9312</v>
      </c>
      <c r="AY732" s="3" t="s">
        <v>9313</v>
      </c>
      <c r="AZ732" s="3" t="s">
        <v>73</v>
      </c>
      <c r="BC732" s="3" t="s">
        <v>9314</v>
      </c>
      <c r="BD732" s="3" t="s">
        <v>9315</v>
      </c>
    </row>
    <row r="733" spans="1:56" ht="51" customHeight="1" x14ac:dyDescent="0.25">
      <c r="A733" s="7" t="s">
        <v>58</v>
      </c>
      <c r="B733" s="2" t="s">
        <v>9316</v>
      </c>
      <c r="C733" s="2" t="s">
        <v>9317</v>
      </c>
      <c r="D733" s="2" t="s">
        <v>9318</v>
      </c>
      <c r="F733" s="3" t="s">
        <v>58</v>
      </c>
      <c r="G733" s="3" t="s">
        <v>59</v>
      </c>
      <c r="H733" s="3" t="s">
        <v>58</v>
      </c>
      <c r="I733" s="3" t="s">
        <v>58</v>
      </c>
      <c r="J733" s="3" t="s">
        <v>60</v>
      </c>
      <c r="K733" s="2" t="s">
        <v>9319</v>
      </c>
      <c r="L733" s="2" t="s">
        <v>9320</v>
      </c>
      <c r="M733" s="3" t="s">
        <v>249</v>
      </c>
      <c r="O733" s="3" t="s">
        <v>63</v>
      </c>
      <c r="P733" s="3" t="s">
        <v>584</v>
      </c>
      <c r="R733" s="3" t="s">
        <v>65</v>
      </c>
      <c r="S733" s="4">
        <v>4</v>
      </c>
      <c r="T733" s="4">
        <v>4</v>
      </c>
      <c r="U733" s="5" t="s">
        <v>9321</v>
      </c>
      <c r="V733" s="5" t="s">
        <v>9321</v>
      </c>
      <c r="W733" s="5" t="s">
        <v>6339</v>
      </c>
      <c r="X733" s="5" t="s">
        <v>6339</v>
      </c>
      <c r="Y733" s="4">
        <v>178</v>
      </c>
      <c r="Z733" s="4">
        <v>92</v>
      </c>
      <c r="AA733" s="4">
        <v>435</v>
      </c>
      <c r="AB733" s="4">
        <v>2</v>
      </c>
      <c r="AC733" s="4">
        <v>2</v>
      </c>
      <c r="AD733" s="4">
        <v>7</v>
      </c>
      <c r="AE733" s="4">
        <v>20</v>
      </c>
      <c r="AF733" s="4">
        <v>2</v>
      </c>
      <c r="AG733" s="4">
        <v>8</v>
      </c>
      <c r="AH733" s="4">
        <v>2</v>
      </c>
      <c r="AI733" s="4">
        <v>7</v>
      </c>
      <c r="AJ733" s="4">
        <v>3</v>
      </c>
      <c r="AK733" s="4">
        <v>11</v>
      </c>
      <c r="AL733" s="4">
        <v>1</v>
      </c>
      <c r="AM733" s="4">
        <v>1</v>
      </c>
      <c r="AN733" s="4">
        <v>0</v>
      </c>
      <c r="AO733" s="4">
        <v>0</v>
      </c>
      <c r="AP733" s="3" t="s">
        <v>58</v>
      </c>
      <c r="AQ733" s="3" t="s">
        <v>58</v>
      </c>
      <c r="AS733" s="6" t="str">
        <f>HYPERLINK("https://creighton-primo.hosted.exlibrisgroup.com/primo-explore/search?tab=default_tab&amp;search_scope=EVERYTHING&amp;vid=01CRU&amp;lang=en_US&amp;offset=0&amp;query=any,contains,991005074969702656","Catalog Record")</f>
        <v>Catalog Record</v>
      </c>
      <c r="AT733" s="6" t="str">
        <f>HYPERLINK("http://www.worldcat.org/oclc/7100412","WorldCat Record")</f>
        <v>WorldCat Record</v>
      </c>
      <c r="AU733" s="3" t="s">
        <v>9322</v>
      </c>
      <c r="AV733" s="3" t="s">
        <v>9323</v>
      </c>
      <c r="AW733" s="3" t="s">
        <v>9324</v>
      </c>
      <c r="AX733" s="3" t="s">
        <v>9324</v>
      </c>
      <c r="AY733" s="3" t="s">
        <v>9325</v>
      </c>
      <c r="AZ733" s="3" t="s">
        <v>73</v>
      </c>
      <c r="BC733" s="3" t="s">
        <v>9326</v>
      </c>
      <c r="BD733" s="3" t="s">
        <v>9327</v>
      </c>
    </row>
    <row r="734" spans="1:56" ht="51" customHeight="1" x14ac:dyDescent="0.25">
      <c r="A734" s="7" t="s">
        <v>58</v>
      </c>
      <c r="B734" s="2" t="s">
        <v>9328</v>
      </c>
      <c r="C734" s="2" t="s">
        <v>9329</v>
      </c>
      <c r="D734" s="2" t="s">
        <v>9330</v>
      </c>
      <c r="F734" s="3" t="s">
        <v>58</v>
      </c>
      <c r="G734" s="3" t="s">
        <v>59</v>
      </c>
      <c r="H734" s="3" t="s">
        <v>58</v>
      </c>
      <c r="I734" s="3" t="s">
        <v>58</v>
      </c>
      <c r="J734" s="3" t="s">
        <v>60</v>
      </c>
      <c r="K734" s="2" t="s">
        <v>9331</v>
      </c>
      <c r="L734" s="2" t="s">
        <v>9332</v>
      </c>
      <c r="M734" s="3" t="s">
        <v>951</v>
      </c>
      <c r="O734" s="3" t="s">
        <v>63</v>
      </c>
      <c r="P734" s="3" t="s">
        <v>214</v>
      </c>
      <c r="R734" s="3" t="s">
        <v>65</v>
      </c>
      <c r="S734" s="4">
        <v>12</v>
      </c>
      <c r="T734" s="4">
        <v>12</v>
      </c>
      <c r="U734" s="5" t="s">
        <v>3081</v>
      </c>
      <c r="V734" s="5" t="s">
        <v>3081</v>
      </c>
      <c r="W734" s="5" t="s">
        <v>9333</v>
      </c>
      <c r="X734" s="5" t="s">
        <v>9333</v>
      </c>
      <c r="Y734" s="4">
        <v>279</v>
      </c>
      <c r="Z734" s="4">
        <v>243</v>
      </c>
      <c r="AA734" s="4">
        <v>665</v>
      </c>
      <c r="AB734" s="4">
        <v>4</v>
      </c>
      <c r="AC734" s="4">
        <v>5</v>
      </c>
      <c r="AD734" s="4">
        <v>14</v>
      </c>
      <c r="AE734" s="4">
        <v>34</v>
      </c>
      <c r="AF734" s="4">
        <v>6</v>
      </c>
      <c r="AG734" s="4">
        <v>17</v>
      </c>
      <c r="AH734" s="4">
        <v>3</v>
      </c>
      <c r="AI734" s="4">
        <v>7</v>
      </c>
      <c r="AJ734" s="4">
        <v>5</v>
      </c>
      <c r="AK734" s="4">
        <v>17</v>
      </c>
      <c r="AL734" s="4">
        <v>2</v>
      </c>
      <c r="AM734" s="4">
        <v>3</v>
      </c>
      <c r="AN734" s="4">
        <v>0</v>
      </c>
      <c r="AO734" s="4">
        <v>0</v>
      </c>
      <c r="AP734" s="3" t="s">
        <v>58</v>
      </c>
      <c r="AQ734" s="3" t="s">
        <v>58</v>
      </c>
      <c r="AS734" s="6" t="str">
        <f>HYPERLINK("https://creighton-primo.hosted.exlibrisgroup.com/primo-explore/search?tab=default_tab&amp;search_scope=EVERYTHING&amp;vid=01CRU&amp;lang=en_US&amp;offset=0&amp;query=any,contains,991003811809702656","Catalog Record")</f>
        <v>Catalog Record</v>
      </c>
      <c r="AT734" s="6" t="str">
        <f>HYPERLINK("http://www.worldcat.org/oclc/44131798","WorldCat Record")</f>
        <v>WorldCat Record</v>
      </c>
      <c r="AU734" s="3" t="s">
        <v>9334</v>
      </c>
      <c r="AV734" s="3" t="s">
        <v>9335</v>
      </c>
      <c r="AW734" s="3" t="s">
        <v>9336</v>
      </c>
      <c r="AX734" s="3" t="s">
        <v>9336</v>
      </c>
      <c r="AY734" s="3" t="s">
        <v>9337</v>
      </c>
      <c r="AZ734" s="3" t="s">
        <v>73</v>
      </c>
      <c r="BB734" s="3" t="s">
        <v>9338</v>
      </c>
      <c r="BC734" s="3" t="s">
        <v>9339</v>
      </c>
      <c r="BD734" s="3" t="s">
        <v>9340</v>
      </c>
    </row>
    <row r="735" spans="1:56" ht="51" customHeight="1" x14ac:dyDescent="0.25">
      <c r="A735" s="7" t="s">
        <v>58</v>
      </c>
      <c r="B735" s="2" t="s">
        <v>9341</v>
      </c>
      <c r="C735" s="2" t="s">
        <v>9342</v>
      </c>
      <c r="D735" s="2" t="s">
        <v>9343</v>
      </c>
      <c r="F735" s="3" t="s">
        <v>58</v>
      </c>
      <c r="G735" s="3" t="s">
        <v>59</v>
      </c>
      <c r="H735" s="3" t="s">
        <v>58</v>
      </c>
      <c r="I735" s="3" t="s">
        <v>58</v>
      </c>
      <c r="J735" s="3" t="s">
        <v>60</v>
      </c>
      <c r="K735" s="2" t="s">
        <v>9344</v>
      </c>
      <c r="L735" s="2" t="s">
        <v>3373</v>
      </c>
      <c r="M735" s="3" t="s">
        <v>1061</v>
      </c>
      <c r="O735" s="3" t="s">
        <v>63</v>
      </c>
      <c r="P735" s="3" t="s">
        <v>214</v>
      </c>
      <c r="R735" s="3" t="s">
        <v>65</v>
      </c>
      <c r="S735" s="4">
        <v>5</v>
      </c>
      <c r="T735" s="4">
        <v>5</v>
      </c>
      <c r="U735" s="5" t="s">
        <v>9345</v>
      </c>
      <c r="V735" s="5" t="s">
        <v>9345</v>
      </c>
      <c r="W735" s="5" t="s">
        <v>6911</v>
      </c>
      <c r="X735" s="5" t="s">
        <v>6911</v>
      </c>
      <c r="Y735" s="4">
        <v>554</v>
      </c>
      <c r="Z735" s="4">
        <v>458</v>
      </c>
      <c r="AA735" s="4">
        <v>461</v>
      </c>
      <c r="AB735" s="4">
        <v>3</v>
      </c>
      <c r="AC735" s="4">
        <v>3</v>
      </c>
      <c r="AD735" s="4">
        <v>26</v>
      </c>
      <c r="AE735" s="4">
        <v>26</v>
      </c>
      <c r="AF735" s="4">
        <v>7</v>
      </c>
      <c r="AG735" s="4">
        <v>7</v>
      </c>
      <c r="AH735" s="4">
        <v>7</v>
      </c>
      <c r="AI735" s="4">
        <v>7</v>
      </c>
      <c r="AJ735" s="4">
        <v>17</v>
      </c>
      <c r="AK735" s="4">
        <v>17</v>
      </c>
      <c r="AL735" s="4">
        <v>2</v>
      </c>
      <c r="AM735" s="4">
        <v>2</v>
      </c>
      <c r="AN735" s="4">
        <v>0</v>
      </c>
      <c r="AO735" s="4">
        <v>0</v>
      </c>
      <c r="AP735" s="3" t="s">
        <v>58</v>
      </c>
      <c r="AQ735" s="3" t="s">
        <v>58</v>
      </c>
      <c r="AS735" s="6" t="str">
        <f>HYPERLINK("https://creighton-primo.hosted.exlibrisgroup.com/primo-explore/search?tab=default_tab&amp;search_scope=EVERYTHING&amp;vid=01CRU&amp;lang=en_US&amp;offset=0&amp;query=any,contains,991002788219702656","Catalog Record")</f>
        <v>Catalog Record</v>
      </c>
      <c r="AT735" s="6" t="str">
        <f>HYPERLINK("http://www.worldcat.org/oclc/36621924","WorldCat Record")</f>
        <v>WorldCat Record</v>
      </c>
      <c r="AU735" s="3" t="s">
        <v>9346</v>
      </c>
      <c r="AV735" s="3" t="s">
        <v>9347</v>
      </c>
      <c r="AW735" s="3" t="s">
        <v>9348</v>
      </c>
      <c r="AX735" s="3" t="s">
        <v>9348</v>
      </c>
      <c r="AY735" s="3" t="s">
        <v>9349</v>
      </c>
      <c r="AZ735" s="3" t="s">
        <v>73</v>
      </c>
      <c r="BB735" s="3" t="s">
        <v>9350</v>
      </c>
      <c r="BC735" s="3" t="s">
        <v>9351</v>
      </c>
      <c r="BD735" s="3" t="s">
        <v>9352</v>
      </c>
    </row>
    <row r="736" spans="1:56" ht="51" customHeight="1" x14ac:dyDescent="0.25">
      <c r="A736" s="7" t="s">
        <v>58</v>
      </c>
      <c r="B736" s="2" t="s">
        <v>9353</v>
      </c>
      <c r="C736" s="2" t="s">
        <v>9354</v>
      </c>
      <c r="D736" s="2" t="s">
        <v>9355</v>
      </c>
      <c r="F736" s="3" t="s">
        <v>58</v>
      </c>
      <c r="G736" s="3" t="s">
        <v>59</v>
      </c>
      <c r="H736" s="3" t="s">
        <v>58</v>
      </c>
      <c r="I736" s="3" t="s">
        <v>58</v>
      </c>
      <c r="J736" s="3" t="s">
        <v>60</v>
      </c>
      <c r="K736" s="2" t="s">
        <v>3915</v>
      </c>
      <c r="L736" s="2" t="s">
        <v>9356</v>
      </c>
      <c r="M736" s="3" t="s">
        <v>800</v>
      </c>
      <c r="N736" s="2" t="s">
        <v>9357</v>
      </c>
      <c r="O736" s="3" t="s">
        <v>63</v>
      </c>
      <c r="P736" s="3" t="s">
        <v>214</v>
      </c>
      <c r="R736" s="3" t="s">
        <v>65</v>
      </c>
      <c r="S736" s="4">
        <v>11</v>
      </c>
      <c r="T736" s="4">
        <v>11</v>
      </c>
      <c r="U736" s="5" t="s">
        <v>3081</v>
      </c>
      <c r="V736" s="5" t="s">
        <v>3081</v>
      </c>
      <c r="W736" s="5" t="s">
        <v>9358</v>
      </c>
      <c r="X736" s="5" t="s">
        <v>9358</v>
      </c>
      <c r="Y736" s="4">
        <v>448</v>
      </c>
      <c r="Z736" s="4">
        <v>416</v>
      </c>
      <c r="AA736" s="4">
        <v>532</v>
      </c>
      <c r="AB736" s="4">
        <v>3</v>
      </c>
      <c r="AC736" s="4">
        <v>3</v>
      </c>
      <c r="AD736" s="4">
        <v>16</v>
      </c>
      <c r="AE736" s="4">
        <v>21</v>
      </c>
      <c r="AF736" s="4">
        <v>7</v>
      </c>
      <c r="AG736" s="4">
        <v>8</v>
      </c>
      <c r="AH736" s="4">
        <v>3</v>
      </c>
      <c r="AI736" s="4">
        <v>6</v>
      </c>
      <c r="AJ736" s="4">
        <v>9</v>
      </c>
      <c r="AK736" s="4">
        <v>11</v>
      </c>
      <c r="AL736" s="4">
        <v>1</v>
      </c>
      <c r="AM736" s="4">
        <v>1</v>
      </c>
      <c r="AN736" s="4">
        <v>1</v>
      </c>
      <c r="AO736" s="4">
        <v>1</v>
      </c>
      <c r="AP736" s="3" t="s">
        <v>58</v>
      </c>
      <c r="AQ736" s="3" t="s">
        <v>58</v>
      </c>
      <c r="AS736" s="6" t="str">
        <f>HYPERLINK("https://creighton-primo.hosted.exlibrisgroup.com/primo-explore/search?tab=default_tab&amp;search_scope=EVERYTHING&amp;vid=01CRU&amp;lang=en_US&amp;offset=0&amp;query=any,contains,991002468939702656","Catalog Record")</f>
        <v>Catalog Record</v>
      </c>
      <c r="AT736" s="6" t="str">
        <f>HYPERLINK("http://www.worldcat.org/oclc/32166894","WorldCat Record")</f>
        <v>WorldCat Record</v>
      </c>
      <c r="AU736" s="3" t="s">
        <v>9359</v>
      </c>
      <c r="AV736" s="3" t="s">
        <v>9360</v>
      </c>
      <c r="AW736" s="3" t="s">
        <v>9361</v>
      </c>
      <c r="AX736" s="3" t="s">
        <v>9361</v>
      </c>
      <c r="AY736" s="3" t="s">
        <v>9362</v>
      </c>
      <c r="AZ736" s="3" t="s">
        <v>73</v>
      </c>
      <c r="BB736" s="3" t="s">
        <v>9363</v>
      </c>
      <c r="BC736" s="3" t="s">
        <v>9364</v>
      </c>
      <c r="BD736" s="3" t="s">
        <v>9365</v>
      </c>
    </row>
    <row r="737" spans="1:56" ht="51" customHeight="1" x14ac:dyDescent="0.25">
      <c r="A737" s="7" t="s">
        <v>58</v>
      </c>
      <c r="B737" s="2" t="s">
        <v>9366</v>
      </c>
      <c r="C737" s="2" t="s">
        <v>9367</v>
      </c>
      <c r="D737" s="2" t="s">
        <v>9368</v>
      </c>
      <c r="F737" s="3" t="s">
        <v>58</v>
      </c>
      <c r="G737" s="3" t="s">
        <v>59</v>
      </c>
      <c r="H737" s="3" t="s">
        <v>58</v>
      </c>
      <c r="I737" s="3" t="s">
        <v>58</v>
      </c>
      <c r="J737" s="3" t="s">
        <v>60</v>
      </c>
      <c r="K737" s="2" t="s">
        <v>9369</v>
      </c>
      <c r="L737" s="2" t="s">
        <v>9370</v>
      </c>
      <c r="M737" s="3" t="s">
        <v>759</v>
      </c>
      <c r="O737" s="3" t="s">
        <v>63</v>
      </c>
      <c r="P737" s="3" t="s">
        <v>3109</v>
      </c>
      <c r="R737" s="3" t="s">
        <v>65</v>
      </c>
      <c r="S737" s="4">
        <v>3</v>
      </c>
      <c r="T737" s="4">
        <v>3</v>
      </c>
      <c r="U737" s="5" t="s">
        <v>9371</v>
      </c>
      <c r="V737" s="5" t="s">
        <v>9371</v>
      </c>
      <c r="W737" s="5" t="s">
        <v>8127</v>
      </c>
      <c r="X737" s="5" t="s">
        <v>8127</v>
      </c>
      <c r="Y737" s="4">
        <v>386</v>
      </c>
      <c r="Z737" s="4">
        <v>346</v>
      </c>
      <c r="AA737" s="4">
        <v>419</v>
      </c>
      <c r="AB737" s="4">
        <v>2</v>
      </c>
      <c r="AC737" s="4">
        <v>3</v>
      </c>
      <c r="AD737" s="4">
        <v>14</v>
      </c>
      <c r="AE737" s="4">
        <v>16</v>
      </c>
      <c r="AF737" s="4">
        <v>5</v>
      </c>
      <c r="AG737" s="4">
        <v>5</v>
      </c>
      <c r="AH737" s="4">
        <v>5</v>
      </c>
      <c r="AI737" s="4">
        <v>6</v>
      </c>
      <c r="AJ737" s="4">
        <v>7</v>
      </c>
      <c r="AK737" s="4">
        <v>8</v>
      </c>
      <c r="AL737" s="4">
        <v>1</v>
      </c>
      <c r="AM737" s="4">
        <v>2</v>
      </c>
      <c r="AN737" s="4">
        <v>0</v>
      </c>
      <c r="AO737" s="4">
        <v>0</v>
      </c>
      <c r="AP737" s="3" t="s">
        <v>58</v>
      </c>
      <c r="AQ737" s="3" t="s">
        <v>68</v>
      </c>
      <c r="AR737" s="6" t="str">
        <f>HYPERLINK("http://catalog.hathitrust.org/Record/000083427","HathiTrust Record")</f>
        <v>HathiTrust Record</v>
      </c>
      <c r="AS737" s="6" t="str">
        <f>HYPERLINK("https://creighton-primo.hosted.exlibrisgroup.com/primo-explore/search?tab=default_tab&amp;search_scope=EVERYTHING&amp;vid=01CRU&amp;lang=en_US&amp;offset=0&amp;query=any,contains,991004968199702656","Catalog Record")</f>
        <v>Catalog Record</v>
      </c>
      <c r="AT737" s="6" t="str">
        <f>HYPERLINK("http://www.worldcat.org/oclc/6355346","WorldCat Record")</f>
        <v>WorldCat Record</v>
      </c>
      <c r="AU737" s="3" t="s">
        <v>9372</v>
      </c>
      <c r="AV737" s="3" t="s">
        <v>9373</v>
      </c>
      <c r="AW737" s="3" t="s">
        <v>9374</v>
      </c>
      <c r="AX737" s="3" t="s">
        <v>9374</v>
      </c>
      <c r="AY737" s="3" t="s">
        <v>9375</v>
      </c>
      <c r="AZ737" s="3" t="s">
        <v>73</v>
      </c>
      <c r="BB737" s="3" t="s">
        <v>9376</v>
      </c>
      <c r="BC737" s="3" t="s">
        <v>9377</v>
      </c>
      <c r="BD737" s="3" t="s">
        <v>9378</v>
      </c>
    </row>
    <row r="738" spans="1:56" ht="51" customHeight="1" x14ac:dyDescent="0.25">
      <c r="A738" s="7" t="s">
        <v>58</v>
      </c>
      <c r="B738" s="2" t="s">
        <v>9379</v>
      </c>
      <c r="C738" s="2" t="s">
        <v>9380</v>
      </c>
      <c r="D738" s="2" t="s">
        <v>9381</v>
      </c>
      <c r="F738" s="3" t="s">
        <v>58</v>
      </c>
      <c r="G738" s="3" t="s">
        <v>59</v>
      </c>
      <c r="H738" s="3" t="s">
        <v>58</v>
      </c>
      <c r="I738" s="3" t="s">
        <v>58</v>
      </c>
      <c r="J738" s="3" t="s">
        <v>60</v>
      </c>
      <c r="K738" s="2" t="s">
        <v>9382</v>
      </c>
      <c r="L738" s="2" t="s">
        <v>9383</v>
      </c>
      <c r="M738" s="3" t="s">
        <v>368</v>
      </c>
      <c r="O738" s="3" t="s">
        <v>63</v>
      </c>
      <c r="P738" s="3" t="s">
        <v>584</v>
      </c>
      <c r="R738" s="3" t="s">
        <v>65</v>
      </c>
      <c r="S738" s="4">
        <v>2</v>
      </c>
      <c r="T738" s="4">
        <v>2</v>
      </c>
      <c r="U738" s="5" t="s">
        <v>9384</v>
      </c>
      <c r="V738" s="5" t="s">
        <v>9384</v>
      </c>
      <c r="W738" s="5" t="s">
        <v>2616</v>
      </c>
      <c r="X738" s="5" t="s">
        <v>2616</v>
      </c>
      <c r="Y738" s="4">
        <v>445</v>
      </c>
      <c r="Z738" s="4">
        <v>300</v>
      </c>
      <c r="AA738" s="4">
        <v>323</v>
      </c>
      <c r="AB738" s="4">
        <v>3</v>
      </c>
      <c r="AC738" s="4">
        <v>3</v>
      </c>
      <c r="AD738" s="4">
        <v>10</v>
      </c>
      <c r="AE738" s="4">
        <v>10</v>
      </c>
      <c r="AF738" s="4">
        <v>2</v>
      </c>
      <c r="AG738" s="4">
        <v>2</v>
      </c>
      <c r="AH738" s="4">
        <v>5</v>
      </c>
      <c r="AI738" s="4">
        <v>5</v>
      </c>
      <c r="AJ738" s="4">
        <v>4</v>
      </c>
      <c r="AK738" s="4">
        <v>4</v>
      </c>
      <c r="AL738" s="4">
        <v>2</v>
      </c>
      <c r="AM738" s="4">
        <v>2</v>
      </c>
      <c r="AN738" s="4">
        <v>0</v>
      </c>
      <c r="AO738" s="4">
        <v>0</v>
      </c>
      <c r="AP738" s="3" t="s">
        <v>58</v>
      </c>
      <c r="AQ738" s="3" t="s">
        <v>58</v>
      </c>
      <c r="AS738" s="6" t="str">
        <f>HYPERLINK("https://creighton-primo.hosted.exlibrisgroup.com/primo-explore/search?tab=default_tab&amp;search_scope=EVERYTHING&amp;vid=01CRU&amp;lang=en_US&amp;offset=0&amp;query=any,contains,991004073609702656","Catalog Record")</f>
        <v>Catalog Record</v>
      </c>
      <c r="AT738" s="6" t="str">
        <f>HYPERLINK("http://www.worldcat.org/oclc/2312091","WorldCat Record")</f>
        <v>WorldCat Record</v>
      </c>
      <c r="AU738" s="3" t="s">
        <v>9385</v>
      </c>
      <c r="AV738" s="3" t="s">
        <v>9386</v>
      </c>
      <c r="AW738" s="3" t="s">
        <v>9387</v>
      </c>
      <c r="AX738" s="3" t="s">
        <v>9387</v>
      </c>
      <c r="AY738" s="3" t="s">
        <v>9388</v>
      </c>
      <c r="AZ738" s="3" t="s">
        <v>73</v>
      </c>
      <c r="BB738" s="3" t="s">
        <v>9389</v>
      </c>
      <c r="BC738" s="3" t="s">
        <v>9390</v>
      </c>
      <c r="BD738" s="3" t="s">
        <v>9391</v>
      </c>
    </row>
    <row r="739" spans="1:56" ht="51" customHeight="1" x14ac:dyDescent="0.25">
      <c r="A739" s="7" t="s">
        <v>58</v>
      </c>
      <c r="B739" s="2" t="s">
        <v>9392</v>
      </c>
      <c r="C739" s="2" t="s">
        <v>9393</v>
      </c>
      <c r="D739" s="2" t="s">
        <v>9394</v>
      </c>
      <c r="F739" s="3" t="s">
        <v>58</v>
      </c>
      <c r="G739" s="3" t="s">
        <v>59</v>
      </c>
      <c r="H739" s="3" t="s">
        <v>58</v>
      </c>
      <c r="I739" s="3" t="s">
        <v>58</v>
      </c>
      <c r="J739" s="3" t="s">
        <v>60</v>
      </c>
      <c r="K739" s="2" t="s">
        <v>9395</v>
      </c>
      <c r="L739" s="2" t="s">
        <v>9396</v>
      </c>
      <c r="M739" s="3" t="s">
        <v>552</v>
      </c>
      <c r="O739" s="3" t="s">
        <v>63</v>
      </c>
      <c r="P739" s="3" t="s">
        <v>584</v>
      </c>
      <c r="R739" s="3" t="s">
        <v>65</v>
      </c>
      <c r="S739" s="4">
        <v>5</v>
      </c>
      <c r="T739" s="4">
        <v>5</v>
      </c>
      <c r="U739" s="5" t="s">
        <v>2297</v>
      </c>
      <c r="V739" s="5" t="s">
        <v>2297</v>
      </c>
      <c r="W739" s="5" t="s">
        <v>9397</v>
      </c>
      <c r="X739" s="5" t="s">
        <v>9397</v>
      </c>
      <c r="Y739" s="4">
        <v>1188</v>
      </c>
      <c r="Z739" s="4">
        <v>978</v>
      </c>
      <c r="AA739" s="4">
        <v>1017</v>
      </c>
      <c r="AB739" s="4">
        <v>13</v>
      </c>
      <c r="AC739" s="4">
        <v>13</v>
      </c>
      <c r="AD739" s="4">
        <v>43</v>
      </c>
      <c r="AE739" s="4">
        <v>43</v>
      </c>
      <c r="AF739" s="4">
        <v>17</v>
      </c>
      <c r="AG739" s="4">
        <v>17</v>
      </c>
      <c r="AH739" s="4">
        <v>7</v>
      </c>
      <c r="AI739" s="4">
        <v>7</v>
      </c>
      <c r="AJ739" s="4">
        <v>17</v>
      </c>
      <c r="AK739" s="4">
        <v>17</v>
      </c>
      <c r="AL739" s="4">
        <v>11</v>
      </c>
      <c r="AM739" s="4">
        <v>11</v>
      </c>
      <c r="AN739" s="4">
        <v>0</v>
      </c>
      <c r="AO739" s="4">
        <v>0</v>
      </c>
      <c r="AP739" s="3" t="s">
        <v>58</v>
      </c>
      <c r="AQ739" s="3" t="s">
        <v>68</v>
      </c>
      <c r="AR739" s="6" t="str">
        <f>HYPERLINK("http://catalog.hathitrust.org/Record/002233642","HathiTrust Record")</f>
        <v>HathiTrust Record</v>
      </c>
      <c r="AS739" s="6" t="str">
        <f>HYPERLINK("https://creighton-primo.hosted.exlibrisgroup.com/primo-explore/search?tab=default_tab&amp;search_scope=EVERYTHING&amp;vid=01CRU&amp;lang=en_US&amp;offset=0&amp;query=any,contains,991001666269702656","Catalog Record")</f>
        <v>Catalog Record</v>
      </c>
      <c r="AT739" s="6" t="str">
        <f>HYPERLINK("http://www.worldcat.org/oclc/22277630","WorldCat Record")</f>
        <v>WorldCat Record</v>
      </c>
      <c r="AU739" s="3" t="s">
        <v>9398</v>
      </c>
      <c r="AV739" s="3" t="s">
        <v>9399</v>
      </c>
      <c r="AW739" s="3" t="s">
        <v>9400</v>
      </c>
      <c r="AX739" s="3" t="s">
        <v>9400</v>
      </c>
      <c r="AY739" s="3" t="s">
        <v>9401</v>
      </c>
      <c r="AZ739" s="3" t="s">
        <v>73</v>
      </c>
      <c r="BB739" s="3" t="s">
        <v>9402</v>
      </c>
      <c r="BC739" s="3" t="s">
        <v>9403</v>
      </c>
      <c r="BD739" s="3" t="s">
        <v>9404</v>
      </c>
    </row>
    <row r="740" spans="1:56" ht="51" customHeight="1" x14ac:dyDescent="0.25">
      <c r="A740" s="7" t="s">
        <v>58</v>
      </c>
      <c r="B740" s="2" t="s">
        <v>9405</v>
      </c>
      <c r="C740" s="2" t="s">
        <v>9406</v>
      </c>
      <c r="D740" s="2" t="s">
        <v>9407</v>
      </c>
      <c r="F740" s="3" t="s">
        <v>58</v>
      </c>
      <c r="G740" s="3" t="s">
        <v>59</v>
      </c>
      <c r="H740" s="3" t="s">
        <v>58</v>
      </c>
      <c r="I740" s="3" t="s">
        <v>58</v>
      </c>
      <c r="J740" s="3" t="s">
        <v>60</v>
      </c>
      <c r="K740" s="2" t="s">
        <v>9408</v>
      </c>
      <c r="L740" s="2" t="s">
        <v>9409</v>
      </c>
      <c r="M740" s="3" t="s">
        <v>138</v>
      </c>
      <c r="N740" s="2" t="s">
        <v>1009</v>
      </c>
      <c r="O740" s="3" t="s">
        <v>63</v>
      </c>
      <c r="P740" s="3" t="s">
        <v>214</v>
      </c>
      <c r="R740" s="3" t="s">
        <v>65</v>
      </c>
      <c r="S740" s="4">
        <v>3</v>
      </c>
      <c r="T740" s="4">
        <v>3</v>
      </c>
      <c r="U740" s="5" t="s">
        <v>9410</v>
      </c>
      <c r="V740" s="5" t="s">
        <v>9410</v>
      </c>
      <c r="W740" s="5" t="s">
        <v>6475</v>
      </c>
      <c r="X740" s="5" t="s">
        <v>6475</v>
      </c>
      <c r="Y740" s="4">
        <v>1259</v>
      </c>
      <c r="Z740" s="4">
        <v>1192</v>
      </c>
      <c r="AA740" s="4">
        <v>1274</v>
      </c>
      <c r="AB740" s="4">
        <v>6</v>
      </c>
      <c r="AC740" s="4">
        <v>6</v>
      </c>
      <c r="AD740" s="4">
        <v>35</v>
      </c>
      <c r="AE740" s="4">
        <v>37</v>
      </c>
      <c r="AF740" s="4">
        <v>17</v>
      </c>
      <c r="AG740" s="4">
        <v>18</v>
      </c>
      <c r="AH740" s="4">
        <v>8</v>
      </c>
      <c r="AI740" s="4">
        <v>9</v>
      </c>
      <c r="AJ740" s="4">
        <v>16</v>
      </c>
      <c r="AK740" s="4">
        <v>17</v>
      </c>
      <c r="AL740" s="4">
        <v>4</v>
      </c>
      <c r="AM740" s="4">
        <v>4</v>
      </c>
      <c r="AN740" s="4">
        <v>0</v>
      </c>
      <c r="AO740" s="4">
        <v>0</v>
      </c>
      <c r="AP740" s="3" t="s">
        <v>58</v>
      </c>
      <c r="AQ740" s="3" t="s">
        <v>58</v>
      </c>
      <c r="AS740" s="6" t="str">
        <f>HYPERLINK("https://creighton-primo.hosted.exlibrisgroup.com/primo-explore/search?tab=default_tab&amp;search_scope=EVERYTHING&amp;vid=01CRU&amp;lang=en_US&amp;offset=0&amp;query=any,contains,991005134409702656","Catalog Record")</f>
        <v>Catalog Record</v>
      </c>
      <c r="AT740" s="6" t="str">
        <f>HYPERLINK("http://www.worldcat.org/oclc/7575513","WorldCat Record")</f>
        <v>WorldCat Record</v>
      </c>
      <c r="AU740" s="3" t="s">
        <v>9411</v>
      </c>
      <c r="AV740" s="3" t="s">
        <v>9412</v>
      </c>
      <c r="AW740" s="3" t="s">
        <v>9413</v>
      </c>
      <c r="AX740" s="3" t="s">
        <v>9413</v>
      </c>
      <c r="AY740" s="3" t="s">
        <v>9414</v>
      </c>
      <c r="AZ740" s="3" t="s">
        <v>73</v>
      </c>
      <c r="BB740" s="3" t="s">
        <v>9415</v>
      </c>
      <c r="BC740" s="3" t="s">
        <v>9416</v>
      </c>
      <c r="BD740" s="3" t="s">
        <v>9417</v>
      </c>
    </row>
    <row r="741" spans="1:56" ht="51" customHeight="1" x14ac:dyDescent="0.25">
      <c r="A741" s="7" t="s">
        <v>58</v>
      </c>
      <c r="B741" s="2" t="s">
        <v>9418</v>
      </c>
      <c r="C741" s="2" t="s">
        <v>9419</v>
      </c>
      <c r="D741" s="2" t="s">
        <v>9420</v>
      </c>
      <c r="F741" s="3" t="s">
        <v>58</v>
      </c>
      <c r="G741" s="3" t="s">
        <v>59</v>
      </c>
      <c r="H741" s="3" t="s">
        <v>58</v>
      </c>
      <c r="I741" s="3" t="s">
        <v>58</v>
      </c>
      <c r="J741" s="3" t="s">
        <v>60</v>
      </c>
      <c r="K741" s="2" t="s">
        <v>9421</v>
      </c>
      <c r="L741" s="2" t="s">
        <v>9422</v>
      </c>
      <c r="M741" s="3" t="s">
        <v>423</v>
      </c>
      <c r="O741" s="3" t="s">
        <v>63</v>
      </c>
      <c r="P741" s="3" t="s">
        <v>214</v>
      </c>
      <c r="Q741" s="2" t="s">
        <v>9423</v>
      </c>
      <c r="R741" s="3" t="s">
        <v>65</v>
      </c>
      <c r="S741" s="4">
        <v>2</v>
      </c>
      <c r="T741" s="4">
        <v>2</v>
      </c>
      <c r="U741" s="5" t="s">
        <v>250</v>
      </c>
      <c r="V741" s="5" t="s">
        <v>250</v>
      </c>
      <c r="W741" s="5" t="s">
        <v>9424</v>
      </c>
      <c r="X741" s="5" t="s">
        <v>9424</v>
      </c>
      <c r="Y741" s="4">
        <v>44</v>
      </c>
      <c r="Z741" s="4">
        <v>35</v>
      </c>
      <c r="AA741" s="4">
        <v>38</v>
      </c>
      <c r="AB741" s="4">
        <v>1</v>
      </c>
      <c r="AC741" s="4">
        <v>1</v>
      </c>
      <c r="AD741" s="4">
        <v>3</v>
      </c>
      <c r="AE741" s="4">
        <v>3</v>
      </c>
      <c r="AF741" s="4">
        <v>1</v>
      </c>
      <c r="AG741" s="4">
        <v>1</v>
      </c>
      <c r="AH741" s="4">
        <v>1</v>
      </c>
      <c r="AI741" s="4">
        <v>1</v>
      </c>
      <c r="AJ741" s="4">
        <v>3</v>
      </c>
      <c r="AK741" s="4">
        <v>3</v>
      </c>
      <c r="AL741" s="4">
        <v>0</v>
      </c>
      <c r="AM741" s="4">
        <v>0</v>
      </c>
      <c r="AN741" s="4">
        <v>0</v>
      </c>
      <c r="AO741" s="4">
        <v>0</v>
      </c>
      <c r="AP741" s="3" t="s">
        <v>58</v>
      </c>
      <c r="AQ741" s="3" t="s">
        <v>58</v>
      </c>
      <c r="AS741" s="6" t="str">
        <f>HYPERLINK("https://creighton-primo.hosted.exlibrisgroup.com/primo-explore/search?tab=default_tab&amp;search_scope=EVERYTHING&amp;vid=01CRU&amp;lang=en_US&amp;offset=0&amp;query=any,contains,991002710899702656","Catalog Record")</f>
        <v>Catalog Record</v>
      </c>
      <c r="AT741" s="6" t="str">
        <f>HYPERLINK("http://www.worldcat.org/oclc/35548917","WorldCat Record")</f>
        <v>WorldCat Record</v>
      </c>
      <c r="AU741" s="3" t="s">
        <v>9425</v>
      </c>
      <c r="AV741" s="3" t="s">
        <v>9426</v>
      </c>
      <c r="AW741" s="3" t="s">
        <v>9427</v>
      </c>
      <c r="AX741" s="3" t="s">
        <v>9427</v>
      </c>
      <c r="AY741" s="3" t="s">
        <v>9428</v>
      </c>
      <c r="AZ741" s="3" t="s">
        <v>73</v>
      </c>
      <c r="BB741" s="3" t="s">
        <v>9429</v>
      </c>
      <c r="BC741" s="3" t="s">
        <v>9430</v>
      </c>
      <c r="BD741" s="3" t="s">
        <v>9431</v>
      </c>
    </row>
    <row r="742" spans="1:56" ht="51" customHeight="1" x14ac:dyDescent="0.25">
      <c r="A742" s="7" t="s">
        <v>58</v>
      </c>
      <c r="B742" s="2" t="s">
        <v>9432</v>
      </c>
      <c r="C742" s="2" t="s">
        <v>9433</v>
      </c>
      <c r="D742" s="2" t="s">
        <v>9434</v>
      </c>
      <c r="F742" s="3" t="s">
        <v>58</v>
      </c>
      <c r="G742" s="3" t="s">
        <v>59</v>
      </c>
      <c r="H742" s="3" t="s">
        <v>58</v>
      </c>
      <c r="I742" s="3" t="s">
        <v>58</v>
      </c>
      <c r="J742" s="3" t="s">
        <v>60</v>
      </c>
      <c r="K742" s="2" t="s">
        <v>9435</v>
      </c>
      <c r="L742" s="2" t="s">
        <v>9436</v>
      </c>
      <c r="M742" s="3" t="s">
        <v>653</v>
      </c>
      <c r="N742" s="2" t="s">
        <v>424</v>
      </c>
      <c r="O742" s="3" t="s">
        <v>63</v>
      </c>
      <c r="P742" s="3" t="s">
        <v>411</v>
      </c>
      <c r="R742" s="3" t="s">
        <v>65</v>
      </c>
      <c r="S742" s="4">
        <v>2</v>
      </c>
      <c r="T742" s="4">
        <v>2</v>
      </c>
      <c r="U742" s="5" t="s">
        <v>9437</v>
      </c>
      <c r="V742" s="5" t="s">
        <v>9437</v>
      </c>
      <c r="W742" s="5" t="s">
        <v>9438</v>
      </c>
      <c r="X742" s="5" t="s">
        <v>9438</v>
      </c>
      <c r="Y742" s="4">
        <v>543</v>
      </c>
      <c r="Z742" s="4">
        <v>526</v>
      </c>
      <c r="AA742" s="4">
        <v>526</v>
      </c>
      <c r="AB742" s="4">
        <v>7</v>
      </c>
      <c r="AC742" s="4">
        <v>7</v>
      </c>
      <c r="AD742" s="4">
        <v>2</v>
      </c>
      <c r="AE742" s="4">
        <v>2</v>
      </c>
      <c r="AF742" s="4">
        <v>1</v>
      </c>
      <c r="AG742" s="4">
        <v>1</v>
      </c>
      <c r="AH742" s="4">
        <v>0</v>
      </c>
      <c r="AI742" s="4">
        <v>0</v>
      </c>
      <c r="AJ742" s="4">
        <v>2</v>
      </c>
      <c r="AK742" s="4">
        <v>2</v>
      </c>
      <c r="AL742" s="4">
        <v>0</v>
      </c>
      <c r="AM742" s="4">
        <v>0</v>
      </c>
      <c r="AN742" s="4">
        <v>0</v>
      </c>
      <c r="AO742" s="4">
        <v>0</v>
      </c>
      <c r="AP742" s="3" t="s">
        <v>58</v>
      </c>
      <c r="AQ742" s="3" t="s">
        <v>58</v>
      </c>
      <c r="AS742" s="6" t="str">
        <f>HYPERLINK("https://creighton-primo.hosted.exlibrisgroup.com/primo-explore/search?tab=default_tab&amp;search_scope=EVERYTHING&amp;vid=01CRU&amp;lang=en_US&amp;offset=0&amp;query=any,contains,991001844389702656","Catalog Record")</f>
        <v>Catalog Record</v>
      </c>
      <c r="AT742" s="6" t="str">
        <f>HYPERLINK("http://www.worldcat.org/oclc/22997856","WorldCat Record")</f>
        <v>WorldCat Record</v>
      </c>
      <c r="AU742" s="3" t="s">
        <v>9439</v>
      </c>
      <c r="AV742" s="3" t="s">
        <v>9440</v>
      </c>
      <c r="AW742" s="3" t="s">
        <v>9441</v>
      </c>
      <c r="AX742" s="3" t="s">
        <v>9441</v>
      </c>
      <c r="AY742" s="3" t="s">
        <v>9442</v>
      </c>
      <c r="AZ742" s="3" t="s">
        <v>73</v>
      </c>
      <c r="BB742" s="3" t="s">
        <v>9443</v>
      </c>
      <c r="BC742" s="3" t="s">
        <v>9444</v>
      </c>
      <c r="BD742" s="3" t="s">
        <v>9445</v>
      </c>
    </row>
    <row r="743" spans="1:56" ht="51" customHeight="1" x14ac:dyDescent="0.25">
      <c r="A743" s="7" t="s">
        <v>58</v>
      </c>
      <c r="B743" s="2" t="s">
        <v>9446</v>
      </c>
      <c r="C743" s="2" t="s">
        <v>9447</v>
      </c>
      <c r="D743" s="2" t="s">
        <v>9448</v>
      </c>
      <c r="F743" s="3" t="s">
        <v>58</v>
      </c>
      <c r="G743" s="3" t="s">
        <v>59</v>
      </c>
      <c r="H743" s="3" t="s">
        <v>58</v>
      </c>
      <c r="I743" s="3" t="s">
        <v>58</v>
      </c>
      <c r="J743" s="3" t="s">
        <v>60</v>
      </c>
      <c r="K743" s="2" t="s">
        <v>9449</v>
      </c>
      <c r="L743" s="2" t="s">
        <v>9450</v>
      </c>
      <c r="M743" s="3" t="s">
        <v>1091</v>
      </c>
      <c r="N743" s="2" t="s">
        <v>4324</v>
      </c>
      <c r="O743" s="3" t="s">
        <v>63</v>
      </c>
      <c r="P743" s="3" t="s">
        <v>214</v>
      </c>
      <c r="R743" s="3" t="s">
        <v>65</v>
      </c>
      <c r="S743" s="4">
        <v>5</v>
      </c>
      <c r="T743" s="4">
        <v>5</v>
      </c>
      <c r="U743" s="5" t="s">
        <v>9451</v>
      </c>
      <c r="V743" s="5" t="s">
        <v>9451</v>
      </c>
      <c r="W743" s="5" t="s">
        <v>9452</v>
      </c>
      <c r="X743" s="5" t="s">
        <v>9452</v>
      </c>
      <c r="Y743" s="4">
        <v>136</v>
      </c>
      <c r="Z743" s="4">
        <v>104</v>
      </c>
      <c r="AA743" s="4">
        <v>342</v>
      </c>
      <c r="AB743" s="4">
        <v>2</v>
      </c>
      <c r="AC743" s="4">
        <v>4</v>
      </c>
      <c r="AD743" s="4">
        <v>4</v>
      </c>
      <c r="AE743" s="4">
        <v>15</v>
      </c>
      <c r="AF743" s="4">
        <v>2</v>
      </c>
      <c r="AG743" s="4">
        <v>3</v>
      </c>
      <c r="AH743" s="4">
        <v>1</v>
      </c>
      <c r="AI743" s="4">
        <v>4</v>
      </c>
      <c r="AJ743" s="4">
        <v>1</v>
      </c>
      <c r="AK743" s="4">
        <v>7</v>
      </c>
      <c r="AL743" s="4">
        <v>1</v>
      </c>
      <c r="AM743" s="4">
        <v>3</v>
      </c>
      <c r="AN743" s="4">
        <v>0</v>
      </c>
      <c r="AO743" s="4">
        <v>1</v>
      </c>
      <c r="AP743" s="3" t="s">
        <v>58</v>
      </c>
      <c r="AQ743" s="3" t="s">
        <v>58</v>
      </c>
      <c r="AS743" s="6" t="str">
        <f>HYPERLINK("https://creighton-primo.hosted.exlibrisgroup.com/primo-explore/search?tab=default_tab&amp;search_scope=EVERYTHING&amp;vid=01CRU&amp;lang=en_US&amp;offset=0&amp;query=any,contains,991003651559702656","Catalog Record")</f>
        <v>Catalog Record</v>
      </c>
      <c r="AT743" s="6" t="str">
        <f>HYPERLINK("http://www.worldcat.org/oclc/46990131","WorldCat Record")</f>
        <v>WorldCat Record</v>
      </c>
      <c r="AU743" s="3" t="s">
        <v>9453</v>
      </c>
      <c r="AV743" s="3" t="s">
        <v>9454</v>
      </c>
      <c r="AW743" s="3" t="s">
        <v>9455</v>
      </c>
      <c r="AX743" s="3" t="s">
        <v>9455</v>
      </c>
      <c r="AY743" s="3" t="s">
        <v>9456</v>
      </c>
      <c r="AZ743" s="3" t="s">
        <v>73</v>
      </c>
      <c r="BB743" s="3" t="s">
        <v>9457</v>
      </c>
      <c r="BC743" s="3" t="s">
        <v>9458</v>
      </c>
      <c r="BD743" s="3" t="s">
        <v>9459</v>
      </c>
    </row>
    <row r="744" spans="1:56" ht="51" customHeight="1" x14ac:dyDescent="0.25">
      <c r="A744" s="7" t="s">
        <v>58</v>
      </c>
      <c r="B744" s="2" t="s">
        <v>9460</v>
      </c>
      <c r="C744" s="2" t="s">
        <v>9461</v>
      </c>
      <c r="D744" s="2" t="s">
        <v>9462</v>
      </c>
      <c r="F744" s="3" t="s">
        <v>58</v>
      </c>
      <c r="G744" s="3" t="s">
        <v>59</v>
      </c>
      <c r="H744" s="3" t="s">
        <v>58</v>
      </c>
      <c r="I744" s="3" t="s">
        <v>58</v>
      </c>
      <c r="J744" s="3" t="s">
        <v>60</v>
      </c>
      <c r="K744" s="2" t="s">
        <v>9463</v>
      </c>
      <c r="L744" s="2" t="s">
        <v>9464</v>
      </c>
      <c r="M744" s="3" t="s">
        <v>815</v>
      </c>
      <c r="O744" s="3" t="s">
        <v>63</v>
      </c>
      <c r="P744" s="3" t="s">
        <v>214</v>
      </c>
      <c r="R744" s="3" t="s">
        <v>65</v>
      </c>
      <c r="S744" s="4">
        <v>1</v>
      </c>
      <c r="T744" s="4">
        <v>1</v>
      </c>
      <c r="U744" s="5" t="s">
        <v>9465</v>
      </c>
      <c r="V744" s="5" t="s">
        <v>9465</v>
      </c>
      <c r="W744" s="5" t="s">
        <v>9465</v>
      </c>
      <c r="X744" s="5" t="s">
        <v>9465</v>
      </c>
      <c r="Y744" s="4">
        <v>50</v>
      </c>
      <c r="Z744" s="4">
        <v>44</v>
      </c>
      <c r="AA744" s="4">
        <v>418</v>
      </c>
      <c r="AB744" s="4">
        <v>1</v>
      </c>
      <c r="AC744" s="4">
        <v>3</v>
      </c>
      <c r="AD744" s="4">
        <v>1</v>
      </c>
      <c r="AE744" s="4">
        <v>18</v>
      </c>
      <c r="AF744" s="4">
        <v>0</v>
      </c>
      <c r="AG744" s="4">
        <v>5</v>
      </c>
      <c r="AH744" s="4">
        <v>1</v>
      </c>
      <c r="AI744" s="4">
        <v>5</v>
      </c>
      <c r="AJ744" s="4">
        <v>0</v>
      </c>
      <c r="AK744" s="4">
        <v>10</v>
      </c>
      <c r="AL744" s="4">
        <v>0</v>
      </c>
      <c r="AM744" s="4">
        <v>2</v>
      </c>
      <c r="AN744" s="4">
        <v>0</v>
      </c>
      <c r="AO744" s="4">
        <v>0</v>
      </c>
      <c r="AP744" s="3" t="s">
        <v>58</v>
      </c>
      <c r="AQ744" s="3" t="s">
        <v>58</v>
      </c>
      <c r="AS744" s="6" t="str">
        <f>HYPERLINK("https://creighton-primo.hosted.exlibrisgroup.com/primo-explore/search?tab=default_tab&amp;search_scope=EVERYTHING&amp;vid=01CRU&amp;lang=en_US&amp;offset=0&amp;query=any,contains,991005349569702656","Catalog Record")</f>
        <v>Catalog Record</v>
      </c>
      <c r="AT744" s="6" t="str">
        <f>HYPERLINK("http://www.worldcat.org/oclc/300031068","WorldCat Record")</f>
        <v>WorldCat Record</v>
      </c>
      <c r="AU744" s="3" t="s">
        <v>9466</v>
      </c>
      <c r="AV744" s="3" t="s">
        <v>9467</v>
      </c>
      <c r="AW744" s="3" t="s">
        <v>9468</v>
      </c>
      <c r="AX744" s="3" t="s">
        <v>9468</v>
      </c>
      <c r="AY744" s="3" t="s">
        <v>9469</v>
      </c>
      <c r="AZ744" s="3" t="s">
        <v>73</v>
      </c>
      <c r="BB744" s="3" t="s">
        <v>9470</v>
      </c>
      <c r="BC744" s="3" t="s">
        <v>9471</v>
      </c>
      <c r="BD744" s="3" t="s">
        <v>9472</v>
      </c>
    </row>
    <row r="745" spans="1:56" ht="51" customHeight="1" x14ac:dyDescent="0.25">
      <c r="A745" s="7" t="s">
        <v>58</v>
      </c>
      <c r="B745" s="2" t="s">
        <v>9473</v>
      </c>
      <c r="C745" s="2" t="s">
        <v>9474</v>
      </c>
      <c r="D745" s="2" t="s">
        <v>9475</v>
      </c>
      <c r="F745" s="3" t="s">
        <v>58</v>
      </c>
      <c r="G745" s="3" t="s">
        <v>59</v>
      </c>
      <c r="H745" s="3" t="s">
        <v>58</v>
      </c>
      <c r="I745" s="3" t="s">
        <v>58</v>
      </c>
      <c r="J745" s="3" t="s">
        <v>60</v>
      </c>
      <c r="K745" s="2" t="s">
        <v>9476</v>
      </c>
      <c r="L745" s="2" t="s">
        <v>9477</v>
      </c>
      <c r="M745" s="3" t="s">
        <v>337</v>
      </c>
      <c r="N745" s="2" t="s">
        <v>338</v>
      </c>
      <c r="O745" s="3" t="s">
        <v>63</v>
      </c>
      <c r="P745" s="3" t="s">
        <v>584</v>
      </c>
      <c r="R745" s="3" t="s">
        <v>65</v>
      </c>
      <c r="S745" s="4">
        <v>1</v>
      </c>
      <c r="T745" s="4">
        <v>1</v>
      </c>
      <c r="U745" s="5" t="s">
        <v>9478</v>
      </c>
      <c r="V745" s="5" t="s">
        <v>9478</v>
      </c>
      <c r="W745" s="5" t="s">
        <v>9478</v>
      </c>
      <c r="X745" s="5" t="s">
        <v>9478</v>
      </c>
      <c r="Y745" s="4">
        <v>106</v>
      </c>
      <c r="Z745" s="4">
        <v>74</v>
      </c>
      <c r="AA745" s="4">
        <v>76</v>
      </c>
      <c r="AB745" s="4">
        <v>2</v>
      </c>
      <c r="AC745" s="4">
        <v>2</v>
      </c>
      <c r="AD745" s="4">
        <v>4</v>
      </c>
      <c r="AE745" s="4">
        <v>4</v>
      </c>
      <c r="AF745" s="4">
        <v>0</v>
      </c>
      <c r="AG745" s="4">
        <v>0</v>
      </c>
      <c r="AH745" s="4">
        <v>1</v>
      </c>
      <c r="AI745" s="4">
        <v>1</v>
      </c>
      <c r="AJ745" s="4">
        <v>3</v>
      </c>
      <c r="AK745" s="4">
        <v>3</v>
      </c>
      <c r="AL745" s="4">
        <v>1</v>
      </c>
      <c r="AM745" s="4">
        <v>1</v>
      </c>
      <c r="AN745" s="4">
        <v>0</v>
      </c>
      <c r="AO745" s="4">
        <v>0</v>
      </c>
      <c r="AP745" s="3" t="s">
        <v>58</v>
      </c>
      <c r="AQ745" s="3" t="s">
        <v>68</v>
      </c>
      <c r="AR745" s="6" t="str">
        <f>HYPERLINK("http://catalog.hathitrust.org/Record/004256220","HathiTrust Record")</f>
        <v>HathiTrust Record</v>
      </c>
      <c r="AS745" s="6" t="str">
        <f>HYPERLINK("https://creighton-primo.hosted.exlibrisgroup.com/primo-explore/search?tab=default_tab&amp;search_scope=EVERYTHING&amp;vid=01CRU&amp;lang=en_US&amp;offset=0&amp;query=any,contains,991005292309702656","Catalog Record")</f>
        <v>Catalog Record</v>
      </c>
      <c r="AT745" s="6" t="str">
        <f>HYPERLINK("http://www.worldcat.org/oclc/50798377","WorldCat Record")</f>
        <v>WorldCat Record</v>
      </c>
      <c r="AU745" s="3" t="s">
        <v>9479</v>
      </c>
      <c r="AV745" s="3" t="s">
        <v>9480</v>
      </c>
      <c r="AW745" s="3" t="s">
        <v>9481</v>
      </c>
      <c r="AX745" s="3" t="s">
        <v>9481</v>
      </c>
      <c r="AY745" s="3" t="s">
        <v>9482</v>
      </c>
      <c r="AZ745" s="3" t="s">
        <v>73</v>
      </c>
      <c r="BB745" s="3" t="s">
        <v>9483</v>
      </c>
      <c r="BC745" s="3" t="s">
        <v>9484</v>
      </c>
      <c r="BD745" s="3" t="s">
        <v>9485</v>
      </c>
    </row>
    <row r="746" spans="1:56" ht="51" customHeight="1" x14ac:dyDescent="0.25">
      <c r="A746" s="7" t="s">
        <v>58</v>
      </c>
      <c r="B746" s="2" t="s">
        <v>9486</v>
      </c>
      <c r="C746" s="2" t="s">
        <v>9487</v>
      </c>
      <c r="D746" s="2" t="s">
        <v>9488</v>
      </c>
      <c r="F746" s="3" t="s">
        <v>58</v>
      </c>
      <c r="G746" s="3" t="s">
        <v>59</v>
      </c>
      <c r="H746" s="3" t="s">
        <v>58</v>
      </c>
      <c r="I746" s="3" t="s">
        <v>58</v>
      </c>
      <c r="J746" s="3" t="s">
        <v>60</v>
      </c>
      <c r="K746" s="2" t="s">
        <v>9489</v>
      </c>
      <c r="L746" s="2" t="s">
        <v>9490</v>
      </c>
      <c r="M746" s="3" t="s">
        <v>552</v>
      </c>
      <c r="O746" s="3" t="s">
        <v>63</v>
      </c>
      <c r="P746" s="3" t="s">
        <v>2630</v>
      </c>
      <c r="Q746" s="2" t="s">
        <v>9491</v>
      </c>
      <c r="R746" s="3" t="s">
        <v>65</v>
      </c>
      <c r="S746" s="4">
        <v>12</v>
      </c>
      <c r="T746" s="4">
        <v>12</v>
      </c>
      <c r="U746" s="5" t="s">
        <v>9437</v>
      </c>
      <c r="V746" s="5" t="s">
        <v>9437</v>
      </c>
      <c r="W746" s="5" t="s">
        <v>9492</v>
      </c>
      <c r="X746" s="5" t="s">
        <v>9492</v>
      </c>
      <c r="Y746" s="4">
        <v>347</v>
      </c>
      <c r="Z746" s="4">
        <v>260</v>
      </c>
      <c r="AA746" s="4">
        <v>283</v>
      </c>
      <c r="AB746" s="4">
        <v>6</v>
      </c>
      <c r="AC746" s="4">
        <v>6</v>
      </c>
      <c r="AD746" s="4">
        <v>12</v>
      </c>
      <c r="AE746" s="4">
        <v>12</v>
      </c>
      <c r="AF746" s="4">
        <v>1</v>
      </c>
      <c r="AG746" s="4">
        <v>1</v>
      </c>
      <c r="AH746" s="4">
        <v>2</v>
      </c>
      <c r="AI746" s="4">
        <v>2</v>
      </c>
      <c r="AJ746" s="4">
        <v>6</v>
      </c>
      <c r="AK746" s="4">
        <v>6</v>
      </c>
      <c r="AL746" s="4">
        <v>5</v>
      </c>
      <c r="AM746" s="4">
        <v>5</v>
      </c>
      <c r="AN746" s="4">
        <v>0</v>
      </c>
      <c r="AO746" s="4">
        <v>0</v>
      </c>
      <c r="AP746" s="3" t="s">
        <v>58</v>
      </c>
      <c r="AQ746" s="3" t="s">
        <v>68</v>
      </c>
      <c r="AR746" s="6" t="str">
        <f>HYPERLINK("http://catalog.hathitrust.org/Record/001953363","HathiTrust Record")</f>
        <v>HathiTrust Record</v>
      </c>
      <c r="AS746" s="6" t="str">
        <f>HYPERLINK("https://creighton-primo.hosted.exlibrisgroup.com/primo-explore/search?tab=default_tab&amp;search_scope=EVERYTHING&amp;vid=01CRU&amp;lang=en_US&amp;offset=0&amp;query=any,contains,991001310099702656","Catalog Record")</f>
        <v>Catalog Record</v>
      </c>
      <c r="AT746" s="6" t="str">
        <f>HYPERLINK("http://www.worldcat.org/oclc/18135869","WorldCat Record")</f>
        <v>WorldCat Record</v>
      </c>
      <c r="AU746" s="3" t="s">
        <v>9493</v>
      </c>
      <c r="AV746" s="3" t="s">
        <v>9494</v>
      </c>
      <c r="AW746" s="3" t="s">
        <v>9495</v>
      </c>
      <c r="AX746" s="3" t="s">
        <v>9495</v>
      </c>
      <c r="AY746" s="3" t="s">
        <v>9496</v>
      </c>
      <c r="AZ746" s="3" t="s">
        <v>73</v>
      </c>
      <c r="BB746" s="3" t="s">
        <v>9497</v>
      </c>
      <c r="BC746" s="3" t="s">
        <v>9498</v>
      </c>
      <c r="BD746" s="3" t="s">
        <v>9499</v>
      </c>
    </row>
    <row r="747" spans="1:56" ht="51" customHeight="1" x14ac:dyDescent="0.25">
      <c r="A747" s="7" t="s">
        <v>58</v>
      </c>
      <c r="B747" s="2" t="s">
        <v>9500</v>
      </c>
      <c r="C747" s="2" t="s">
        <v>9501</v>
      </c>
      <c r="D747" s="2" t="s">
        <v>9502</v>
      </c>
      <c r="F747" s="3" t="s">
        <v>58</v>
      </c>
      <c r="G747" s="3" t="s">
        <v>59</v>
      </c>
      <c r="H747" s="3" t="s">
        <v>58</v>
      </c>
      <c r="I747" s="3" t="s">
        <v>58</v>
      </c>
      <c r="J747" s="3" t="s">
        <v>60</v>
      </c>
      <c r="K747" s="2" t="s">
        <v>9503</v>
      </c>
      <c r="L747" s="2" t="s">
        <v>9504</v>
      </c>
      <c r="M747" s="3" t="s">
        <v>552</v>
      </c>
      <c r="O747" s="3" t="s">
        <v>63</v>
      </c>
      <c r="P747" s="3" t="s">
        <v>584</v>
      </c>
      <c r="Q747" s="2" t="s">
        <v>9505</v>
      </c>
      <c r="R747" s="3" t="s">
        <v>65</v>
      </c>
      <c r="S747" s="4">
        <v>9</v>
      </c>
      <c r="T747" s="4">
        <v>9</v>
      </c>
      <c r="U747" s="5" t="s">
        <v>9506</v>
      </c>
      <c r="V747" s="5" t="s">
        <v>9506</v>
      </c>
      <c r="W747" s="5" t="s">
        <v>9507</v>
      </c>
      <c r="X747" s="5" t="s">
        <v>9507</v>
      </c>
      <c r="Y747" s="4">
        <v>539</v>
      </c>
      <c r="Z747" s="4">
        <v>408</v>
      </c>
      <c r="AA747" s="4">
        <v>510</v>
      </c>
      <c r="AB747" s="4">
        <v>3</v>
      </c>
      <c r="AC747" s="4">
        <v>3</v>
      </c>
      <c r="AD747" s="4">
        <v>14</v>
      </c>
      <c r="AE747" s="4">
        <v>21</v>
      </c>
      <c r="AF747" s="4">
        <v>2</v>
      </c>
      <c r="AG747" s="4">
        <v>4</v>
      </c>
      <c r="AH747" s="4">
        <v>3</v>
      </c>
      <c r="AI747" s="4">
        <v>6</v>
      </c>
      <c r="AJ747" s="4">
        <v>10</v>
      </c>
      <c r="AK747" s="4">
        <v>14</v>
      </c>
      <c r="AL747" s="4">
        <v>2</v>
      </c>
      <c r="AM747" s="4">
        <v>2</v>
      </c>
      <c r="AN747" s="4">
        <v>0</v>
      </c>
      <c r="AO747" s="4">
        <v>0</v>
      </c>
      <c r="AP747" s="3" t="s">
        <v>58</v>
      </c>
      <c r="AQ747" s="3" t="s">
        <v>58</v>
      </c>
      <c r="AS747" s="6" t="str">
        <f>HYPERLINK("https://creighton-primo.hosted.exlibrisgroup.com/primo-explore/search?tab=default_tab&amp;search_scope=EVERYTHING&amp;vid=01CRU&amp;lang=en_US&amp;offset=0&amp;query=any,contains,991001490299702656","Catalog Record")</f>
        <v>Catalog Record</v>
      </c>
      <c r="AT747" s="6" t="str">
        <f>HYPERLINK("http://www.worldcat.org/oclc/19722357","WorldCat Record")</f>
        <v>WorldCat Record</v>
      </c>
      <c r="AU747" s="3" t="s">
        <v>9508</v>
      </c>
      <c r="AV747" s="3" t="s">
        <v>9509</v>
      </c>
      <c r="AW747" s="3" t="s">
        <v>9510</v>
      </c>
      <c r="AX747" s="3" t="s">
        <v>9510</v>
      </c>
      <c r="AY747" s="3" t="s">
        <v>9511</v>
      </c>
      <c r="AZ747" s="3" t="s">
        <v>73</v>
      </c>
      <c r="BB747" s="3" t="s">
        <v>9512</v>
      </c>
      <c r="BC747" s="3" t="s">
        <v>9513</v>
      </c>
      <c r="BD747" s="3" t="s">
        <v>9514</v>
      </c>
    </row>
    <row r="748" spans="1:56" ht="51" customHeight="1" x14ac:dyDescent="0.25">
      <c r="A748" s="7" t="s">
        <v>58</v>
      </c>
      <c r="B748" s="2" t="s">
        <v>9515</v>
      </c>
      <c r="C748" s="2" t="s">
        <v>9516</v>
      </c>
      <c r="D748" s="2" t="s">
        <v>9517</v>
      </c>
      <c r="F748" s="3" t="s">
        <v>58</v>
      </c>
      <c r="G748" s="3" t="s">
        <v>59</v>
      </c>
      <c r="H748" s="3" t="s">
        <v>58</v>
      </c>
      <c r="I748" s="3" t="s">
        <v>58</v>
      </c>
      <c r="J748" s="3" t="s">
        <v>60</v>
      </c>
      <c r="K748" s="2" t="s">
        <v>9518</v>
      </c>
      <c r="L748" s="2" t="s">
        <v>9519</v>
      </c>
      <c r="M748" s="3" t="s">
        <v>423</v>
      </c>
      <c r="O748" s="3" t="s">
        <v>63</v>
      </c>
      <c r="P748" s="3" t="s">
        <v>1092</v>
      </c>
      <c r="R748" s="3" t="s">
        <v>65</v>
      </c>
      <c r="S748" s="4">
        <v>6</v>
      </c>
      <c r="T748" s="4">
        <v>6</v>
      </c>
      <c r="U748" s="5" t="s">
        <v>9520</v>
      </c>
      <c r="V748" s="5" t="s">
        <v>9520</v>
      </c>
      <c r="W748" s="5" t="s">
        <v>9521</v>
      </c>
      <c r="X748" s="5" t="s">
        <v>9521</v>
      </c>
      <c r="Y748" s="4">
        <v>337</v>
      </c>
      <c r="Z748" s="4">
        <v>277</v>
      </c>
      <c r="AA748" s="4">
        <v>298</v>
      </c>
      <c r="AB748" s="4">
        <v>3</v>
      </c>
      <c r="AC748" s="4">
        <v>3</v>
      </c>
      <c r="AD748" s="4">
        <v>21</v>
      </c>
      <c r="AE748" s="4">
        <v>21</v>
      </c>
      <c r="AF748" s="4">
        <v>7</v>
      </c>
      <c r="AG748" s="4">
        <v>7</v>
      </c>
      <c r="AH748" s="4">
        <v>7</v>
      </c>
      <c r="AI748" s="4">
        <v>7</v>
      </c>
      <c r="AJ748" s="4">
        <v>11</v>
      </c>
      <c r="AK748" s="4">
        <v>11</v>
      </c>
      <c r="AL748" s="4">
        <v>2</v>
      </c>
      <c r="AM748" s="4">
        <v>2</v>
      </c>
      <c r="AN748" s="4">
        <v>0</v>
      </c>
      <c r="AO748" s="4">
        <v>0</v>
      </c>
      <c r="AP748" s="3" t="s">
        <v>58</v>
      </c>
      <c r="AQ748" s="3" t="s">
        <v>58</v>
      </c>
      <c r="AS748" s="6" t="str">
        <f>HYPERLINK("https://creighton-primo.hosted.exlibrisgroup.com/primo-explore/search?tab=default_tab&amp;search_scope=EVERYTHING&amp;vid=01CRU&amp;lang=en_US&amp;offset=0&amp;query=any,contains,991002892609702656","Catalog Record")</f>
        <v>Catalog Record</v>
      </c>
      <c r="AT748" s="6" t="str">
        <f>HYPERLINK("http://www.worldcat.org/oclc/38112788","WorldCat Record")</f>
        <v>WorldCat Record</v>
      </c>
      <c r="AU748" s="3" t="s">
        <v>9522</v>
      </c>
      <c r="AV748" s="3" t="s">
        <v>9523</v>
      </c>
      <c r="AW748" s="3" t="s">
        <v>9524</v>
      </c>
      <c r="AX748" s="3" t="s">
        <v>9524</v>
      </c>
      <c r="AY748" s="3" t="s">
        <v>9525</v>
      </c>
      <c r="AZ748" s="3" t="s">
        <v>73</v>
      </c>
      <c r="BB748" s="3" t="s">
        <v>9526</v>
      </c>
      <c r="BC748" s="3" t="s">
        <v>9527</v>
      </c>
      <c r="BD748" s="3" t="s">
        <v>9528</v>
      </c>
    </row>
    <row r="749" spans="1:56" ht="51" customHeight="1" x14ac:dyDescent="0.25">
      <c r="A749" s="7" t="s">
        <v>58</v>
      </c>
      <c r="B749" s="2" t="s">
        <v>9529</v>
      </c>
      <c r="C749" s="2" t="s">
        <v>9530</v>
      </c>
      <c r="D749" s="2" t="s">
        <v>9531</v>
      </c>
      <c r="F749" s="3" t="s">
        <v>58</v>
      </c>
      <c r="G749" s="3" t="s">
        <v>59</v>
      </c>
      <c r="H749" s="3" t="s">
        <v>58</v>
      </c>
      <c r="I749" s="3" t="s">
        <v>58</v>
      </c>
      <c r="J749" s="3" t="s">
        <v>60</v>
      </c>
      <c r="K749" s="2" t="s">
        <v>9532</v>
      </c>
      <c r="L749" s="2" t="s">
        <v>9533</v>
      </c>
      <c r="M749" s="3" t="s">
        <v>800</v>
      </c>
      <c r="O749" s="3" t="s">
        <v>63</v>
      </c>
      <c r="P749" s="3" t="s">
        <v>2061</v>
      </c>
      <c r="R749" s="3" t="s">
        <v>65</v>
      </c>
      <c r="S749" s="4">
        <v>1</v>
      </c>
      <c r="T749" s="4">
        <v>1</v>
      </c>
      <c r="U749" s="5" t="s">
        <v>9478</v>
      </c>
      <c r="V749" s="5" t="s">
        <v>9478</v>
      </c>
      <c r="W749" s="5" t="s">
        <v>6038</v>
      </c>
      <c r="X749" s="5" t="s">
        <v>6038</v>
      </c>
      <c r="Y749" s="4">
        <v>331</v>
      </c>
      <c r="Z749" s="4">
        <v>275</v>
      </c>
      <c r="AA749" s="4">
        <v>277</v>
      </c>
      <c r="AB749" s="4">
        <v>2</v>
      </c>
      <c r="AC749" s="4">
        <v>2</v>
      </c>
      <c r="AD749" s="4">
        <v>13</v>
      </c>
      <c r="AE749" s="4">
        <v>13</v>
      </c>
      <c r="AF749" s="4">
        <v>2</v>
      </c>
      <c r="AG749" s="4">
        <v>2</v>
      </c>
      <c r="AH749" s="4">
        <v>5</v>
      </c>
      <c r="AI749" s="4">
        <v>5</v>
      </c>
      <c r="AJ749" s="4">
        <v>7</v>
      </c>
      <c r="AK749" s="4">
        <v>7</v>
      </c>
      <c r="AL749" s="4">
        <v>1</v>
      </c>
      <c r="AM749" s="4">
        <v>1</v>
      </c>
      <c r="AN749" s="4">
        <v>1</v>
      </c>
      <c r="AO749" s="4">
        <v>1</v>
      </c>
      <c r="AP749" s="3" t="s">
        <v>58</v>
      </c>
      <c r="AQ749" s="3" t="s">
        <v>58</v>
      </c>
      <c r="AS749" s="6" t="str">
        <f>HYPERLINK("https://creighton-primo.hosted.exlibrisgroup.com/primo-explore/search?tab=default_tab&amp;search_scope=EVERYTHING&amp;vid=01CRU&amp;lang=en_US&amp;offset=0&amp;query=any,contains,991002579289702656","Catalog Record")</f>
        <v>Catalog Record</v>
      </c>
      <c r="AT749" s="6" t="str">
        <f>HYPERLINK("http://www.worldcat.org/oclc/33806893","WorldCat Record")</f>
        <v>WorldCat Record</v>
      </c>
      <c r="AU749" s="3" t="s">
        <v>9534</v>
      </c>
      <c r="AV749" s="3" t="s">
        <v>9535</v>
      </c>
      <c r="AW749" s="3" t="s">
        <v>9536</v>
      </c>
      <c r="AX749" s="3" t="s">
        <v>9536</v>
      </c>
      <c r="AY749" s="3" t="s">
        <v>9537</v>
      </c>
      <c r="AZ749" s="3" t="s">
        <v>73</v>
      </c>
      <c r="BB749" s="3" t="s">
        <v>9538</v>
      </c>
      <c r="BC749" s="3" t="s">
        <v>9539</v>
      </c>
      <c r="BD749" s="3" t="s">
        <v>9540</v>
      </c>
    </row>
    <row r="750" spans="1:56" ht="51" customHeight="1" x14ac:dyDescent="0.25">
      <c r="A750" s="7" t="s">
        <v>58</v>
      </c>
      <c r="B750" s="2" t="s">
        <v>9541</v>
      </c>
      <c r="C750" s="2" t="s">
        <v>9542</v>
      </c>
      <c r="D750" s="2" t="s">
        <v>9543</v>
      </c>
      <c r="F750" s="3" t="s">
        <v>58</v>
      </c>
      <c r="G750" s="3" t="s">
        <v>59</v>
      </c>
      <c r="H750" s="3" t="s">
        <v>58</v>
      </c>
      <c r="I750" s="3" t="s">
        <v>58</v>
      </c>
      <c r="J750" s="3" t="s">
        <v>60</v>
      </c>
      <c r="K750" s="2" t="s">
        <v>9544</v>
      </c>
      <c r="L750" s="2" t="s">
        <v>9545</v>
      </c>
      <c r="M750" s="3" t="s">
        <v>83</v>
      </c>
      <c r="O750" s="3" t="s">
        <v>63</v>
      </c>
      <c r="P750" s="3" t="s">
        <v>584</v>
      </c>
      <c r="R750" s="3" t="s">
        <v>65</v>
      </c>
      <c r="S750" s="4">
        <v>1</v>
      </c>
      <c r="T750" s="4">
        <v>1</v>
      </c>
      <c r="U750" s="5" t="s">
        <v>9478</v>
      </c>
      <c r="V750" s="5" t="s">
        <v>9478</v>
      </c>
      <c r="W750" s="5" t="s">
        <v>9546</v>
      </c>
      <c r="X750" s="5" t="s">
        <v>9546</v>
      </c>
      <c r="Y750" s="4">
        <v>422</v>
      </c>
      <c r="Z750" s="4">
        <v>322</v>
      </c>
      <c r="AA750" s="4">
        <v>346</v>
      </c>
      <c r="AB750" s="4">
        <v>3</v>
      </c>
      <c r="AC750" s="4">
        <v>3</v>
      </c>
      <c r="AD750" s="4">
        <v>15</v>
      </c>
      <c r="AE750" s="4">
        <v>15</v>
      </c>
      <c r="AF750" s="4">
        <v>3</v>
      </c>
      <c r="AG750" s="4">
        <v>3</v>
      </c>
      <c r="AH750" s="4">
        <v>8</v>
      </c>
      <c r="AI750" s="4">
        <v>8</v>
      </c>
      <c r="AJ750" s="4">
        <v>8</v>
      </c>
      <c r="AK750" s="4">
        <v>8</v>
      </c>
      <c r="AL750" s="4">
        <v>2</v>
      </c>
      <c r="AM750" s="4">
        <v>2</v>
      </c>
      <c r="AN750" s="4">
        <v>0</v>
      </c>
      <c r="AO750" s="4">
        <v>0</v>
      </c>
      <c r="AP750" s="3" t="s">
        <v>58</v>
      </c>
      <c r="AQ750" s="3" t="s">
        <v>68</v>
      </c>
      <c r="AR750" s="6" t="str">
        <f>HYPERLINK("http://catalog.hathitrust.org/Record/000690903","HathiTrust Record")</f>
        <v>HathiTrust Record</v>
      </c>
      <c r="AS750" s="6" t="str">
        <f>HYPERLINK("https://creighton-primo.hosted.exlibrisgroup.com/primo-explore/search?tab=default_tab&amp;search_scope=EVERYTHING&amp;vid=01CRU&amp;lang=en_US&amp;offset=0&amp;query=any,contains,991004481179702656","Catalog Record")</f>
        <v>Catalog Record</v>
      </c>
      <c r="AT750" s="6" t="str">
        <f>HYPERLINK("http://www.worldcat.org/oclc/3627536","WorldCat Record")</f>
        <v>WorldCat Record</v>
      </c>
      <c r="AU750" s="3" t="s">
        <v>9547</v>
      </c>
      <c r="AV750" s="3" t="s">
        <v>9548</v>
      </c>
      <c r="AW750" s="3" t="s">
        <v>9549</v>
      </c>
      <c r="AX750" s="3" t="s">
        <v>9549</v>
      </c>
      <c r="AY750" s="3" t="s">
        <v>9550</v>
      </c>
      <c r="AZ750" s="3" t="s">
        <v>73</v>
      </c>
      <c r="BB750" s="3" t="s">
        <v>9551</v>
      </c>
      <c r="BC750" s="3" t="s">
        <v>9552</v>
      </c>
      <c r="BD750" s="3" t="s">
        <v>9553</v>
      </c>
    </row>
    <row r="751" spans="1:56" ht="51" customHeight="1" x14ac:dyDescent="0.25">
      <c r="A751" s="7" t="s">
        <v>58</v>
      </c>
      <c r="B751" s="2" t="s">
        <v>9554</v>
      </c>
      <c r="C751" s="2" t="s">
        <v>9555</v>
      </c>
      <c r="D751" s="2" t="s">
        <v>9556</v>
      </c>
      <c r="F751" s="3" t="s">
        <v>58</v>
      </c>
      <c r="G751" s="3" t="s">
        <v>59</v>
      </c>
      <c r="H751" s="3" t="s">
        <v>58</v>
      </c>
      <c r="I751" s="3" t="s">
        <v>58</v>
      </c>
      <c r="J751" s="3" t="s">
        <v>60</v>
      </c>
      <c r="K751" s="2" t="s">
        <v>9557</v>
      </c>
      <c r="L751" s="2" t="s">
        <v>9558</v>
      </c>
      <c r="M751" s="3" t="s">
        <v>183</v>
      </c>
      <c r="O751" s="3" t="s">
        <v>63</v>
      </c>
      <c r="P751" s="3" t="s">
        <v>584</v>
      </c>
      <c r="R751" s="3" t="s">
        <v>65</v>
      </c>
      <c r="S751" s="4">
        <v>1</v>
      </c>
      <c r="T751" s="4">
        <v>1</v>
      </c>
      <c r="U751" s="5" t="s">
        <v>9478</v>
      </c>
      <c r="V751" s="5" t="s">
        <v>9478</v>
      </c>
      <c r="W751" s="5" t="s">
        <v>8127</v>
      </c>
      <c r="X751" s="5" t="s">
        <v>8127</v>
      </c>
      <c r="Y751" s="4">
        <v>195</v>
      </c>
      <c r="Z751" s="4">
        <v>95</v>
      </c>
      <c r="AA751" s="4">
        <v>309</v>
      </c>
      <c r="AB751" s="4">
        <v>3</v>
      </c>
      <c r="AC751" s="4">
        <v>3</v>
      </c>
      <c r="AD751" s="4">
        <v>4</v>
      </c>
      <c r="AE751" s="4">
        <v>10</v>
      </c>
      <c r="AF751" s="4">
        <v>0</v>
      </c>
      <c r="AG751" s="4">
        <v>1</v>
      </c>
      <c r="AH751" s="4">
        <v>1</v>
      </c>
      <c r="AI751" s="4">
        <v>5</v>
      </c>
      <c r="AJ751" s="4">
        <v>2</v>
      </c>
      <c r="AK751" s="4">
        <v>3</v>
      </c>
      <c r="AL751" s="4">
        <v>2</v>
      </c>
      <c r="AM751" s="4">
        <v>2</v>
      </c>
      <c r="AN751" s="4">
        <v>0</v>
      </c>
      <c r="AO751" s="4">
        <v>0</v>
      </c>
      <c r="AP751" s="3" t="s">
        <v>58</v>
      </c>
      <c r="AQ751" s="3" t="s">
        <v>58</v>
      </c>
      <c r="AS751" s="6" t="str">
        <f>HYPERLINK("https://creighton-primo.hosted.exlibrisgroup.com/primo-explore/search?tab=default_tab&amp;search_scope=EVERYTHING&amp;vid=01CRU&amp;lang=en_US&amp;offset=0&amp;query=any,contains,991004464209702656","Catalog Record")</f>
        <v>Catalog Record</v>
      </c>
      <c r="AT751" s="6" t="str">
        <f>HYPERLINK("http://www.worldcat.org/oclc/3559485","WorldCat Record")</f>
        <v>WorldCat Record</v>
      </c>
      <c r="AU751" s="3" t="s">
        <v>9559</v>
      </c>
      <c r="AV751" s="3" t="s">
        <v>9560</v>
      </c>
      <c r="AW751" s="3" t="s">
        <v>9561</v>
      </c>
      <c r="AX751" s="3" t="s">
        <v>9561</v>
      </c>
      <c r="AY751" s="3" t="s">
        <v>9562</v>
      </c>
      <c r="AZ751" s="3" t="s">
        <v>73</v>
      </c>
      <c r="BB751" s="3" t="s">
        <v>9563</v>
      </c>
      <c r="BC751" s="3" t="s">
        <v>9564</v>
      </c>
      <c r="BD751" s="3" t="s">
        <v>9565</v>
      </c>
    </row>
    <row r="752" spans="1:56" ht="51" customHeight="1" x14ac:dyDescent="0.25">
      <c r="A752" s="7" t="s">
        <v>58</v>
      </c>
      <c r="B752" s="2" t="s">
        <v>9566</v>
      </c>
      <c r="C752" s="2" t="s">
        <v>9567</v>
      </c>
      <c r="D752" s="2" t="s">
        <v>9568</v>
      </c>
      <c r="F752" s="3" t="s">
        <v>58</v>
      </c>
      <c r="G752" s="3" t="s">
        <v>59</v>
      </c>
      <c r="H752" s="3" t="s">
        <v>58</v>
      </c>
      <c r="I752" s="3" t="s">
        <v>58</v>
      </c>
      <c r="J752" s="3" t="s">
        <v>60</v>
      </c>
      <c r="K752" s="2" t="s">
        <v>9569</v>
      </c>
      <c r="L752" s="2" t="s">
        <v>9570</v>
      </c>
      <c r="M752" s="3" t="s">
        <v>800</v>
      </c>
      <c r="N752" s="2" t="s">
        <v>338</v>
      </c>
      <c r="O752" s="3" t="s">
        <v>63</v>
      </c>
      <c r="P752" s="3" t="s">
        <v>571</v>
      </c>
      <c r="R752" s="3" t="s">
        <v>65</v>
      </c>
      <c r="S752" s="4">
        <v>2</v>
      </c>
      <c r="T752" s="4">
        <v>2</v>
      </c>
      <c r="U752" s="5" t="s">
        <v>9571</v>
      </c>
      <c r="V752" s="5" t="s">
        <v>9571</v>
      </c>
      <c r="W752" s="5" t="s">
        <v>9571</v>
      </c>
      <c r="X752" s="5" t="s">
        <v>9571</v>
      </c>
      <c r="Y752" s="4">
        <v>56</v>
      </c>
      <c r="Z752" s="4">
        <v>29</v>
      </c>
      <c r="AA752" s="4">
        <v>30</v>
      </c>
      <c r="AB752" s="4">
        <v>1</v>
      </c>
      <c r="AC752" s="4">
        <v>1</v>
      </c>
      <c r="AD752" s="4">
        <v>1</v>
      </c>
      <c r="AE752" s="4">
        <v>1</v>
      </c>
      <c r="AF752" s="4">
        <v>0</v>
      </c>
      <c r="AG752" s="4">
        <v>0</v>
      </c>
      <c r="AH752" s="4">
        <v>1</v>
      </c>
      <c r="AI752" s="4">
        <v>1</v>
      </c>
      <c r="AJ752" s="4">
        <v>0</v>
      </c>
      <c r="AK752" s="4">
        <v>0</v>
      </c>
      <c r="AL752" s="4">
        <v>0</v>
      </c>
      <c r="AM752" s="4">
        <v>0</v>
      </c>
      <c r="AN752" s="4">
        <v>0</v>
      </c>
      <c r="AO752" s="4">
        <v>0</v>
      </c>
      <c r="AP752" s="3" t="s">
        <v>58</v>
      </c>
      <c r="AQ752" s="3" t="s">
        <v>68</v>
      </c>
      <c r="AR752" s="6" t="str">
        <f>HYPERLINK("http://catalog.hathitrust.org/Record/008565899","HathiTrust Record")</f>
        <v>HathiTrust Record</v>
      </c>
      <c r="AS752" s="6" t="str">
        <f>HYPERLINK("https://creighton-primo.hosted.exlibrisgroup.com/primo-explore/search?tab=default_tab&amp;search_scope=EVERYTHING&amp;vid=01CRU&amp;lang=en_US&amp;offset=0&amp;query=any,contains,991005292349702656","Catalog Record")</f>
        <v>Catalog Record</v>
      </c>
      <c r="AT752" s="6" t="str">
        <f>HYPERLINK("http://www.worldcat.org/oclc/37443063","WorldCat Record")</f>
        <v>WorldCat Record</v>
      </c>
      <c r="AU752" s="3" t="s">
        <v>9572</v>
      </c>
      <c r="AV752" s="3" t="s">
        <v>9573</v>
      </c>
      <c r="AW752" s="3" t="s">
        <v>9574</v>
      </c>
      <c r="AX752" s="3" t="s">
        <v>9574</v>
      </c>
      <c r="AY752" s="3" t="s">
        <v>9575</v>
      </c>
      <c r="AZ752" s="3" t="s">
        <v>73</v>
      </c>
      <c r="BB752" s="3" t="s">
        <v>9576</v>
      </c>
      <c r="BC752" s="3" t="s">
        <v>9577</v>
      </c>
      <c r="BD752" s="3" t="s">
        <v>9578</v>
      </c>
    </row>
    <row r="753" spans="1:56" ht="51" customHeight="1" x14ac:dyDescent="0.25">
      <c r="A753" s="7" t="s">
        <v>58</v>
      </c>
      <c r="B753" s="2" t="s">
        <v>9579</v>
      </c>
      <c r="C753" s="2" t="s">
        <v>9580</v>
      </c>
      <c r="D753" s="2" t="s">
        <v>9581</v>
      </c>
      <c r="F753" s="3" t="s">
        <v>58</v>
      </c>
      <c r="G753" s="3" t="s">
        <v>59</v>
      </c>
      <c r="H753" s="3" t="s">
        <v>58</v>
      </c>
      <c r="I753" s="3" t="s">
        <v>58</v>
      </c>
      <c r="J753" s="3" t="s">
        <v>60</v>
      </c>
      <c r="K753" s="2" t="s">
        <v>9582</v>
      </c>
      <c r="L753" s="2" t="s">
        <v>9583</v>
      </c>
      <c r="M753" s="3" t="s">
        <v>62</v>
      </c>
      <c r="O753" s="3" t="s">
        <v>63</v>
      </c>
      <c r="P753" s="3" t="s">
        <v>214</v>
      </c>
      <c r="R753" s="3" t="s">
        <v>65</v>
      </c>
      <c r="S753" s="4">
        <v>3</v>
      </c>
      <c r="T753" s="4">
        <v>3</v>
      </c>
      <c r="U753" s="5" t="s">
        <v>8965</v>
      </c>
      <c r="V753" s="5" t="s">
        <v>8965</v>
      </c>
      <c r="W753" s="5" t="s">
        <v>2616</v>
      </c>
      <c r="X753" s="5" t="s">
        <v>2616</v>
      </c>
      <c r="Y753" s="4">
        <v>173</v>
      </c>
      <c r="Z753" s="4">
        <v>168</v>
      </c>
      <c r="AA753" s="4">
        <v>171</v>
      </c>
      <c r="AB753" s="4">
        <v>3</v>
      </c>
      <c r="AC753" s="4">
        <v>3</v>
      </c>
      <c r="AD753" s="4">
        <v>12</v>
      </c>
      <c r="AE753" s="4">
        <v>12</v>
      </c>
      <c r="AF753" s="4">
        <v>5</v>
      </c>
      <c r="AG753" s="4">
        <v>5</v>
      </c>
      <c r="AH753" s="4">
        <v>4</v>
      </c>
      <c r="AI753" s="4">
        <v>4</v>
      </c>
      <c r="AJ753" s="4">
        <v>5</v>
      </c>
      <c r="AK753" s="4">
        <v>5</v>
      </c>
      <c r="AL753" s="4">
        <v>2</v>
      </c>
      <c r="AM753" s="4">
        <v>2</v>
      </c>
      <c r="AN753" s="4">
        <v>0</v>
      </c>
      <c r="AO753" s="4">
        <v>0</v>
      </c>
      <c r="AP753" s="3" t="s">
        <v>58</v>
      </c>
      <c r="AQ753" s="3" t="s">
        <v>58</v>
      </c>
      <c r="AS753" s="6" t="str">
        <f>HYPERLINK("https://creighton-primo.hosted.exlibrisgroup.com/primo-explore/search?tab=default_tab&amp;search_scope=EVERYTHING&amp;vid=01CRU&amp;lang=en_US&amp;offset=0&amp;query=any,contains,991002751519702656","Catalog Record")</f>
        <v>Catalog Record</v>
      </c>
      <c r="AT753" s="6" t="str">
        <f>HYPERLINK("http://www.worldcat.org/oclc/424823","WorldCat Record")</f>
        <v>WorldCat Record</v>
      </c>
      <c r="AU753" s="3" t="s">
        <v>9584</v>
      </c>
      <c r="AV753" s="3" t="s">
        <v>9585</v>
      </c>
      <c r="AW753" s="3" t="s">
        <v>9586</v>
      </c>
      <c r="AX753" s="3" t="s">
        <v>9586</v>
      </c>
      <c r="AY753" s="3" t="s">
        <v>9587</v>
      </c>
      <c r="AZ753" s="3" t="s">
        <v>73</v>
      </c>
      <c r="BB753" s="3" t="s">
        <v>9588</v>
      </c>
      <c r="BC753" s="3" t="s">
        <v>9589</v>
      </c>
      <c r="BD753" s="3" t="s">
        <v>9590</v>
      </c>
    </row>
    <row r="754" spans="1:56" ht="51" customHeight="1" x14ac:dyDescent="0.25">
      <c r="A754" s="7" t="s">
        <v>58</v>
      </c>
      <c r="B754" s="2" t="s">
        <v>9591</v>
      </c>
      <c r="C754" s="2" t="s">
        <v>9592</v>
      </c>
      <c r="D754" s="2" t="s">
        <v>9593</v>
      </c>
      <c r="F754" s="3" t="s">
        <v>58</v>
      </c>
      <c r="G754" s="3" t="s">
        <v>59</v>
      </c>
      <c r="H754" s="3" t="s">
        <v>58</v>
      </c>
      <c r="I754" s="3" t="s">
        <v>58</v>
      </c>
      <c r="J754" s="3" t="s">
        <v>60</v>
      </c>
      <c r="K754" s="2" t="s">
        <v>9594</v>
      </c>
      <c r="L754" s="2" t="s">
        <v>9595</v>
      </c>
      <c r="M754" s="3" t="s">
        <v>1784</v>
      </c>
      <c r="O754" s="3" t="s">
        <v>63</v>
      </c>
      <c r="P754" s="3" t="s">
        <v>2630</v>
      </c>
      <c r="Q754" s="2" t="s">
        <v>9491</v>
      </c>
      <c r="R754" s="3" t="s">
        <v>65</v>
      </c>
      <c r="S754" s="4">
        <v>6</v>
      </c>
      <c r="T754" s="4">
        <v>6</v>
      </c>
      <c r="U754" s="5" t="s">
        <v>9596</v>
      </c>
      <c r="V754" s="5" t="s">
        <v>9596</v>
      </c>
      <c r="W754" s="5" t="s">
        <v>8127</v>
      </c>
      <c r="X754" s="5" t="s">
        <v>8127</v>
      </c>
      <c r="Y754" s="4">
        <v>427</v>
      </c>
      <c r="Z754" s="4">
        <v>321</v>
      </c>
      <c r="AA754" s="4">
        <v>323</v>
      </c>
      <c r="AB754" s="4">
        <v>3</v>
      </c>
      <c r="AC754" s="4">
        <v>3</v>
      </c>
      <c r="AD754" s="4">
        <v>12</v>
      </c>
      <c r="AE754" s="4">
        <v>12</v>
      </c>
      <c r="AF754" s="4">
        <v>0</v>
      </c>
      <c r="AG754" s="4">
        <v>0</v>
      </c>
      <c r="AH754" s="4">
        <v>5</v>
      </c>
      <c r="AI754" s="4">
        <v>5</v>
      </c>
      <c r="AJ754" s="4">
        <v>7</v>
      </c>
      <c r="AK754" s="4">
        <v>7</v>
      </c>
      <c r="AL754" s="4">
        <v>2</v>
      </c>
      <c r="AM754" s="4">
        <v>2</v>
      </c>
      <c r="AN754" s="4">
        <v>0</v>
      </c>
      <c r="AO754" s="4">
        <v>0</v>
      </c>
      <c r="AP754" s="3" t="s">
        <v>58</v>
      </c>
      <c r="AQ754" s="3" t="s">
        <v>68</v>
      </c>
      <c r="AR754" s="6" t="str">
        <f>HYPERLINK("http://catalog.hathitrust.org/Record/000298279","HathiTrust Record")</f>
        <v>HathiTrust Record</v>
      </c>
      <c r="AS754" s="6" t="str">
        <f>HYPERLINK("https://creighton-primo.hosted.exlibrisgroup.com/primo-explore/search?tab=default_tab&amp;search_scope=EVERYTHING&amp;vid=01CRU&amp;lang=en_US&amp;offset=0&amp;query=any,contains,991004721579702656","Catalog Record")</f>
        <v>Catalog Record</v>
      </c>
      <c r="AT754" s="6" t="str">
        <f>HYPERLINK("http://www.worldcat.org/oclc/4804639","WorldCat Record")</f>
        <v>WorldCat Record</v>
      </c>
      <c r="AU754" s="3" t="s">
        <v>9597</v>
      </c>
      <c r="AV754" s="3" t="s">
        <v>9598</v>
      </c>
      <c r="AW754" s="3" t="s">
        <v>9599</v>
      </c>
      <c r="AX754" s="3" t="s">
        <v>9599</v>
      </c>
      <c r="AY754" s="3" t="s">
        <v>9600</v>
      </c>
      <c r="AZ754" s="3" t="s">
        <v>73</v>
      </c>
      <c r="BB754" s="3" t="s">
        <v>9601</v>
      </c>
      <c r="BC754" s="3" t="s">
        <v>9602</v>
      </c>
      <c r="BD754" s="3" t="s">
        <v>9603</v>
      </c>
    </row>
    <row r="755" spans="1:56" ht="51" customHeight="1" x14ac:dyDescent="0.25">
      <c r="A755" s="7" t="s">
        <v>58</v>
      </c>
      <c r="B755" s="2" t="s">
        <v>9604</v>
      </c>
      <c r="C755" s="2" t="s">
        <v>9605</v>
      </c>
      <c r="D755" s="2" t="s">
        <v>9606</v>
      </c>
      <c r="F755" s="3" t="s">
        <v>58</v>
      </c>
      <c r="G755" s="3" t="s">
        <v>59</v>
      </c>
      <c r="H755" s="3" t="s">
        <v>58</v>
      </c>
      <c r="I755" s="3" t="s">
        <v>58</v>
      </c>
      <c r="J755" s="3" t="s">
        <v>60</v>
      </c>
      <c r="K755" s="2" t="s">
        <v>9607</v>
      </c>
      <c r="L755" s="2" t="s">
        <v>9608</v>
      </c>
      <c r="M755" s="3" t="s">
        <v>83</v>
      </c>
      <c r="O755" s="3" t="s">
        <v>63</v>
      </c>
      <c r="P755" s="3" t="s">
        <v>214</v>
      </c>
      <c r="R755" s="3" t="s">
        <v>65</v>
      </c>
      <c r="S755" s="4">
        <v>8</v>
      </c>
      <c r="T755" s="4">
        <v>8</v>
      </c>
      <c r="U755" s="5" t="s">
        <v>9609</v>
      </c>
      <c r="V755" s="5" t="s">
        <v>9609</v>
      </c>
      <c r="W755" s="5" t="s">
        <v>8127</v>
      </c>
      <c r="X755" s="5" t="s">
        <v>8127</v>
      </c>
      <c r="Y755" s="4">
        <v>364</v>
      </c>
      <c r="Z755" s="4">
        <v>330</v>
      </c>
      <c r="AA755" s="4">
        <v>398</v>
      </c>
      <c r="AB755" s="4">
        <v>4</v>
      </c>
      <c r="AC755" s="4">
        <v>5</v>
      </c>
      <c r="AD755" s="4">
        <v>17</v>
      </c>
      <c r="AE755" s="4">
        <v>19</v>
      </c>
      <c r="AF755" s="4">
        <v>4</v>
      </c>
      <c r="AG755" s="4">
        <v>4</v>
      </c>
      <c r="AH755" s="4">
        <v>6</v>
      </c>
      <c r="AI755" s="4">
        <v>6</v>
      </c>
      <c r="AJ755" s="4">
        <v>9</v>
      </c>
      <c r="AK755" s="4">
        <v>10</v>
      </c>
      <c r="AL755" s="4">
        <v>3</v>
      </c>
      <c r="AM755" s="4">
        <v>4</v>
      </c>
      <c r="AN755" s="4">
        <v>0</v>
      </c>
      <c r="AO755" s="4">
        <v>0</v>
      </c>
      <c r="AP755" s="3" t="s">
        <v>58</v>
      </c>
      <c r="AQ755" s="3" t="s">
        <v>58</v>
      </c>
      <c r="AS755" s="6" t="str">
        <f>HYPERLINK("https://creighton-primo.hosted.exlibrisgroup.com/primo-explore/search?tab=default_tab&amp;search_scope=EVERYTHING&amp;vid=01CRU&amp;lang=en_US&amp;offset=0&amp;query=any,contains,991004526159702656","Catalog Record")</f>
        <v>Catalog Record</v>
      </c>
      <c r="AT755" s="6" t="str">
        <f>HYPERLINK("http://www.worldcat.org/oclc/3843556","WorldCat Record")</f>
        <v>WorldCat Record</v>
      </c>
      <c r="AU755" s="3" t="s">
        <v>9610</v>
      </c>
      <c r="AV755" s="3" t="s">
        <v>9611</v>
      </c>
      <c r="AW755" s="3" t="s">
        <v>9612</v>
      </c>
      <c r="AX755" s="3" t="s">
        <v>9612</v>
      </c>
      <c r="AY755" s="3" t="s">
        <v>9613</v>
      </c>
      <c r="AZ755" s="3" t="s">
        <v>73</v>
      </c>
      <c r="BB755" s="3" t="s">
        <v>9614</v>
      </c>
      <c r="BC755" s="3" t="s">
        <v>9615</v>
      </c>
      <c r="BD755" s="3" t="s">
        <v>9616</v>
      </c>
    </row>
    <row r="756" spans="1:56" ht="51" customHeight="1" x14ac:dyDescent="0.25">
      <c r="A756" s="7" t="s">
        <v>58</v>
      </c>
      <c r="B756" s="2" t="s">
        <v>9617</v>
      </c>
      <c r="C756" s="2" t="s">
        <v>9618</v>
      </c>
      <c r="D756" s="2" t="s">
        <v>9619</v>
      </c>
      <c r="F756" s="3" t="s">
        <v>58</v>
      </c>
      <c r="G756" s="3" t="s">
        <v>59</v>
      </c>
      <c r="H756" s="3" t="s">
        <v>58</v>
      </c>
      <c r="I756" s="3" t="s">
        <v>58</v>
      </c>
      <c r="J756" s="3" t="s">
        <v>60</v>
      </c>
      <c r="K756" s="2" t="s">
        <v>9620</v>
      </c>
      <c r="L756" s="2" t="s">
        <v>9621</v>
      </c>
      <c r="M756" s="3" t="s">
        <v>83</v>
      </c>
      <c r="O756" s="3" t="s">
        <v>63</v>
      </c>
      <c r="P756" s="3" t="s">
        <v>584</v>
      </c>
      <c r="R756" s="3" t="s">
        <v>65</v>
      </c>
      <c r="S756" s="4">
        <v>4</v>
      </c>
      <c r="T756" s="4">
        <v>4</v>
      </c>
      <c r="U756" s="5" t="s">
        <v>9596</v>
      </c>
      <c r="V756" s="5" t="s">
        <v>9596</v>
      </c>
      <c r="W756" s="5" t="s">
        <v>8127</v>
      </c>
      <c r="X756" s="5" t="s">
        <v>8127</v>
      </c>
      <c r="Y756" s="4">
        <v>567</v>
      </c>
      <c r="Z756" s="4">
        <v>483</v>
      </c>
      <c r="AA756" s="4">
        <v>499</v>
      </c>
      <c r="AB756" s="4">
        <v>1</v>
      </c>
      <c r="AC756" s="4">
        <v>1</v>
      </c>
      <c r="AD756" s="4">
        <v>13</v>
      </c>
      <c r="AE756" s="4">
        <v>14</v>
      </c>
      <c r="AF756" s="4">
        <v>3</v>
      </c>
      <c r="AG756" s="4">
        <v>4</v>
      </c>
      <c r="AH756" s="4">
        <v>7</v>
      </c>
      <c r="AI756" s="4">
        <v>7</v>
      </c>
      <c r="AJ756" s="4">
        <v>7</v>
      </c>
      <c r="AK756" s="4">
        <v>7</v>
      </c>
      <c r="AL756" s="4">
        <v>0</v>
      </c>
      <c r="AM756" s="4">
        <v>0</v>
      </c>
      <c r="AN756" s="4">
        <v>0</v>
      </c>
      <c r="AO756" s="4">
        <v>0</v>
      </c>
      <c r="AP756" s="3" t="s">
        <v>58</v>
      </c>
      <c r="AQ756" s="3" t="s">
        <v>58</v>
      </c>
      <c r="AS756" s="6" t="str">
        <f>HYPERLINK("https://creighton-primo.hosted.exlibrisgroup.com/primo-explore/search?tab=default_tab&amp;search_scope=EVERYTHING&amp;vid=01CRU&amp;lang=en_US&amp;offset=0&amp;query=any,contains,991004587819702656","Catalog Record")</f>
        <v>Catalog Record</v>
      </c>
      <c r="AT756" s="6" t="str">
        <f>HYPERLINK("http://www.worldcat.org/oclc/4099463","WorldCat Record")</f>
        <v>WorldCat Record</v>
      </c>
      <c r="AU756" s="3" t="s">
        <v>9622</v>
      </c>
      <c r="AV756" s="3" t="s">
        <v>9623</v>
      </c>
      <c r="AW756" s="3" t="s">
        <v>9624</v>
      </c>
      <c r="AX756" s="3" t="s">
        <v>9624</v>
      </c>
      <c r="AY756" s="3" t="s">
        <v>9625</v>
      </c>
      <c r="AZ756" s="3" t="s">
        <v>73</v>
      </c>
      <c r="BB756" s="3" t="s">
        <v>9626</v>
      </c>
      <c r="BC756" s="3" t="s">
        <v>9627</v>
      </c>
      <c r="BD756" s="3" t="s">
        <v>9628</v>
      </c>
    </row>
    <row r="757" spans="1:56" ht="51" customHeight="1" x14ac:dyDescent="0.25">
      <c r="A757" s="7" t="s">
        <v>58</v>
      </c>
      <c r="B757" s="2" t="s">
        <v>9629</v>
      </c>
      <c r="C757" s="2" t="s">
        <v>9630</v>
      </c>
      <c r="D757" s="2" t="s">
        <v>9631</v>
      </c>
      <c r="F757" s="3" t="s">
        <v>58</v>
      </c>
      <c r="G757" s="3" t="s">
        <v>59</v>
      </c>
      <c r="H757" s="3" t="s">
        <v>58</v>
      </c>
      <c r="I757" s="3" t="s">
        <v>58</v>
      </c>
      <c r="J757" s="3" t="s">
        <v>60</v>
      </c>
      <c r="L757" s="2" t="s">
        <v>9632</v>
      </c>
      <c r="M757" s="3" t="s">
        <v>4023</v>
      </c>
      <c r="O757" s="3" t="s">
        <v>63</v>
      </c>
      <c r="P757" s="3" t="s">
        <v>9633</v>
      </c>
      <c r="R757" s="3" t="s">
        <v>65</v>
      </c>
      <c r="S757" s="4">
        <v>2</v>
      </c>
      <c r="T757" s="4">
        <v>2</v>
      </c>
      <c r="U757" s="5" t="s">
        <v>9596</v>
      </c>
      <c r="V757" s="5" t="s">
        <v>9596</v>
      </c>
      <c r="W757" s="5" t="s">
        <v>9634</v>
      </c>
      <c r="X757" s="5" t="s">
        <v>9634</v>
      </c>
      <c r="Y757" s="4">
        <v>64</v>
      </c>
      <c r="Z757" s="4">
        <v>42</v>
      </c>
      <c r="AA757" s="4">
        <v>168</v>
      </c>
      <c r="AB757" s="4">
        <v>1</v>
      </c>
      <c r="AC757" s="4">
        <v>2</v>
      </c>
      <c r="AD757" s="4">
        <v>2</v>
      </c>
      <c r="AE757" s="4">
        <v>7</v>
      </c>
      <c r="AF757" s="4">
        <v>0</v>
      </c>
      <c r="AG757" s="4">
        <v>1</v>
      </c>
      <c r="AH757" s="4">
        <v>2</v>
      </c>
      <c r="AI757" s="4">
        <v>5</v>
      </c>
      <c r="AJ757" s="4">
        <v>2</v>
      </c>
      <c r="AK757" s="4">
        <v>3</v>
      </c>
      <c r="AL757" s="4">
        <v>0</v>
      </c>
      <c r="AM757" s="4">
        <v>1</v>
      </c>
      <c r="AN757" s="4">
        <v>0</v>
      </c>
      <c r="AO757" s="4">
        <v>0</v>
      </c>
      <c r="AP757" s="3" t="s">
        <v>58</v>
      </c>
      <c r="AQ757" s="3" t="s">
        <v>68</v>
      </c>
      <c r="AR757" s="6" t="str">
        <f>HYPERLINK("http://catalog.hathitrust.org/Record/006045475","HathiTrust Record")</f>
        <v>HathiTrust Record</v>
      </c>
      <c r="AS757" s="6" t="str">
        <f>HYPERLINK("https://creighton-primo.hosted.exlibrisgroup.com/primo-explore/search?tab=default_tab&amp;search_scope=EVERYTHING&amp;vid=01CRU&amp;lang=en_US&amp;offset=0&amp;query=any,contains,991004714799702656","Catalog Record")</f>
        <v>Catalog Record</v>
      </c>
      <c r="AT757" s="6" t="str">
        <f>HYPERLINK("http://www.worldcat.org/oclc/59665704","WorldCat Record")</f>
        <v>WorldCat Record</v>
      </c>
      <c r="AU757" s="3" t="s">
        <v>9635</v>
      </c>
      <c r="AV757" s="3" t="s">
        <v>9636</v>
      </c>
      <c r="AW757" s="3" t="s">
        <v>9637</v>
      </c>
      <c r="AX757" s="3" t="s">
        <v>9637</v>
      </c>
      <c r="AY757" s="3" t="s">
        <v>9638</v>
      </c>
      <c r="AZ757" s="3" t="s">
        <v>73</v>
      </c>
      <c r="BB757" s="3" t="s">
        <v>9639</v>
      </c>
      <c r="BC757" s="3" t="s">
        <v>9640</v>
      </c>
      <c r="BD757" s="3" t="s">
        <v>9641</v>
      </c>
    </row>
    <row r="758" spans="1:56" ht="51" customHeight="1" x14ac:dyDescent="0.25">
      <c r="A758" s="7" t="s">
        <v>58</v>
      </c>
      <c r="B758" s="2" t="s">
        <v>9642</v>
      </c>
      <c r="C758" s="2" t="s">
        <v>9643</v>
      </c>
      <c r="D758" s="2" t="s">
        <v>9644</v>
      </c>
      <c r="F758" s="3" t="s">
        <v>58</v>
      </c>
      <c r="G758" s="3" t="s">
        <v>59</v>
      </c>
      <c r="H758" s="3" t="s">
        <v>58</v>
      </c>
      <c r="I758" s="3" t="s">
        <v>58</v>
      </c>
      <c r="J758" s="3" t="s">
        <v>60</v>
      </c>
      <c r="K758" s="2" t="s">
        <v>9645</v>
      </c>
      <c r="L758" s="2" t="s">
        <v>9646</v>
      </c>
      <c r="M758" s="3" t="s">
        <v>653</v>
      </c>
      <c r="O758" s="3" t="s">
        <v>63</v>
      </c>
      <c r="P758" s="3" t="s">
        <v>816</v>
      </c>
      <c r="R758" s="3" t="s">
        <v>65</v>
      </c>
      <c r="S758" s="4">
        <v>1</v>
      </c>
      <c r="T758" s="4">
        <v>1</v>
      </c>
      <c r="U758" s="5" t="s">
        <v>1193</v>
      </c>
      <c r="V758" s="5" t="s">
        <v>1193</v>
      </c>
      <c r="W758" s="5" t="s">
        <v>9647</v>
      </c>
      <c r="X758" s="5" t="s">
        <v>9647</v>
      </c>
      <c r="Y758" s="4">
        <v>485</v>
      </c>
      <c r="Z758" s="4">
        <v>454</v>
      </c>
      <c r="AA758" s="4">
        <v>553</v>
      </c>
      <c r="AB758" s="4">
        <v>3</v>
      </c>
      <c r="AC758" s="4">
        <v>3</v>
      </c>
      <c r="AD758" s="4">
        <v>6</v>
      </c>
      <c r="AE758" s="4">
        <v>11</v>
      </c>
      <c r="AF758" s="4">
        <v>1</v>
      </c>
      <c r="AG758" s="4">
        <v>3</v>
      </c>
      <c r="AH758" s="4">
        <v>2</v>
      </c>
      <c r="AI758" s="4">
        <v>2</v>
      </c>
      <c r="AJ758" s="4">
        <v>4</v>
      </c>
      <c r="AK758" s="4">
        <v>7</v>
      </c>
      <c r="AL758" s="4">
        <v>0</v>
      </c>
      <c r="AM758" s="4">
        <v>0</v>
      </c>
      <c r="AN758" s="4">
        <v>0</v>
      </c>
      <c r="AO758" s="4">
        <v>0</v>
      </c>
      <c r="AP758" s="3" t="s">
        <v>58</v>
      </c>
      <c r="AQ758" s="3" t="s">
        <v>58</v>
      </c>
      <c r="AS758" s="6" t="str">
        <f>HYPERLINK("https://creighton-primo.hosted.exlibrisgroup.com/primo-explore/search?tab=default_tab&amp;search_scope=EVERYTHING&amp;vid=01CRU&amp;lang=en_US&amp;offset=0&amp;query=any,contains,991001794859702656","Catalog Record")</f>
        <v>Catalog Record</v>
      </c>
      <c r="AT758" s="6" t="str">
        <f>HYPERLINK("http://www.worldcat.org/oclc/22596517","WorldCat Record")</f>
        <v>WorldCat Record</v>
      </c>
      <c r="AU758" s="3" t="s">
        <v>9648</v>
      </c>
      <c r="AV758" s="3" t="s">
        <v>9649</v>
      </c>
      <c r="AW758" s="3" t="s">
        <v>9650</v>
      </c>
      <c r="AX758" s="3" t="s">
        <v>9650</v>
      </c>
      <c r="AY758" s="3" t="s">
        <v>9651</v>
      </c>
      <c r="AZ758" s="3" t="s">
        <v>73</v>
      </c>
      <c r="BB758" s="3" t="s">
        <v>9652</v>
      </c>
      <c r="BC758" s="3" t="s">
        <v>9653</v>
      </c>
      <c r="BD758" s="3" t="s">
        <v>9654</v>
      </c>
    </row>
    <row r="759" spans="1:56" ht="51" customHeight="1" x14ac:dyDescent="0.25">
      <c r="A759" s="7" t="s">
        <v>58</v>
      </c>
      <c r="B759" s="2" t="s">
        <v>9655</v>
      </c>
      <c r="C759" s="2" t="s">
        <v>9656</v>
      </c>
      <c r="D759" s="2" t="s">
        <v>9657</v>
      </c>
      <c r="F759" s="3" t="s">
        <v>58</v>
      </c>
      <c r="G759" s="3" t="s">
        <v>59</v>
      </c>
      <c r="H759" s="3" t="s">
        <v>58</v>
      </c>
      <c r="I759" s="3" t="s">
        <v>58</v>
      </c>
      <c r="J759" s="3" t="s">
        <v>60</v>
      </c>
      <c r="K759" s="2" t="s">
        <v>9658</v>
      </c>
      <c r="L759" s="2" t="s">
        <v>9659</v>
      </c>
      <c r="M759" s="3" t="s">
        <v>951</v>
      </c>
      <c r="O759" s="3" t="s">
        <v>63</v>
      </c>
      <c r="P759" s="3" t="s">
        <v>214</v>
      </c>
      <c r="R759" s="3" t="s">
        <v>65</v>
      </c>
      <c r="S759" s="4">
        <v>1</v>
      </c>
      <c r="T759" s="4">
        <v>1</v>
      </c>
      <c r="U759" s="5" t="s">
        <v>9660</v>
      </c>
      <c r="V759" s="5" t="s">
        <v>9660</v>
      </c>
      <c r="W759" s="5" t="s">
        <v>9661</v>
      </c>
      <c r="X759" s="5" t="s">
        <v>9661</v>
      </c>
      <c r="Y759" s="4">
        <v>616</v>
      </c>
      <c r="Z759" s="4">
        <v>584</v>
      </c>
      <c r="AA759" s="4">
        <v>650</v>
      </c>
      <c r="AB759" s="4">
        <v>5</v>
      </c>
      <c r="AC759" s="4">
        <v>5</v>
      </c>
      <c r="AD759" s="4">
        <v>17</v>
      </c>
      <c r="AE759" s="4">
        <v>19</v>
      </c>
      <c r="AF759" s="4">
        <v>8</v>
      </c>
      <c r="AG759" s="4">
        <v>9</v>
      </c>
      <c r="AH759" s="4">
        <v>1</v>
      </c>
      <c r="AI759" s="4">
        <v>3</v>
      </c>
      <c r="AJ759" s="4">
        <v>12</v>
      </c>
      <c r="AK759" s="4">
        <v>12</v>
      </c>
      <c r="AL759" s="4">
        <v>2</v>
      </c>
      <c r="AM759" s="4">
        <v>2</v>
      </c>
      <c r="AN759" s="4">
        <v>0</v>
      </c>
      <c r="AO759" s="4">
        <v>0</v>
      </c>
      <c r="AP759" s="3" t="s">
        <v>58</v>
      </c>
      <c r="AQ759" s="3" t="s">
        <v>58</v>
      </c>
      <c r="AS759" s="6" t="str">
        <f>HYPERLINK("https://creighton-primo.hosted.exlibrisgroup.com/primo-explore/search?tab=default_tab&amp;search_scope=EVERYTHING&amp;vid=01CRU&amp;lang=en_US&amp;offset=0&amp;query=any,contains,991003212859702656","Catalog Record")</f>
        <v>Catalog Record</v>
      </c>
      <c r="AT759" s="6" t="str">
        <f>HYPERLINK("http://www.worldcat.org/oclc/43036808","WorldCat Record")</f>
        <v>WorldCat Record</v>
      </c>
      <c r="AU759" s="3" t="s">
        <v>9662</v>
      </c>
      <c r="AV759" s="3" t="s">
        <v>9663</v>
      </c>
      <c r="AW759" s="3" t="s">
        <v>9664</v>
      </c>
      <c r="AX759" s="3" t="s">
        <v>9664</v>
      </c>
      <c r="AY759" s="3" t="s">
        <v>9665</v>
      </c>
      <c r="AZ759" s="3" t="s">
        <v>73</v>
      </c>
      <c r="BB759" s="3" t="s">
        <v>9666</v>
      </c>
      <c r="BC759" s="3" t="s">
        <v>9667</v>
      </c>
      <c r="BD759" s="3" t="s">
        <v>9668</v>
      </c>
    </row>
    <row r="760" spans="1:56" ht="51" customHeight="1" x14ac:dyDescent="0.25">
      <c r="A760" s="7" t="s">
        <v>58</v>
      </c>
      <c r="B760" s="2" t="s">
        <v>9669</v>
      </c>
      <c r="C760" s="2" t="s">
        <v>9670</v>
      </c>
      <c r="D760" s="2" t="s">
        <v>9671</v>
      </c>
      <c r="F760" s="3" t="s">
        <v>58</v>
      </c>
      <c r="G760" s="3" t="s">
        <v>59</v>
      </c>
      <c r="H760" s="3" t="s">
        <v>58</v>
      </c>
      <c r="I760" s="3" t="s">
        <v>58</v>
      </c>
      <c r="J760" s="3" t="s">
        <v>60</v>
      </c>
      <c r="K760" s="2" t="s">
        <v>9672</v>
      </c>
      <c r="L760" s="2" t="s">
        <v>9673</v>
      </c>
      <c r="M760" s="3" t="s">
        <v>2214</v>
      </c>
      <c r="O760" s="3" t="s">
        <v>63</v>
      </c>
      <c r="P760" s="3" t="s">
        <v>214</v>
      </c>
      <c r="R760" s="3" t="s">
        <v>65</v>
      </c>
      <c r="S760" s="4">
        <v>2</v>
      </c>
      <c r="T760" s="4">
        <v>2</v>
      </c>
      <c r="U760" s="5" t="s">
        <v>9674</v>
      </c>
      <c r="V760" s="5" t="s">
        <v>9674</v>
      </c>
      <c r="W760" s="5" t="s">
        <v>9675</v>
      </c>
      <c r="X760" s="5" t="s">
        <v>9675</v>
      </c>
      <c r="Y760" s="4">
        <v>485</v>
      </c>
      <c r="Z760" s="4">
        <v>424</v>
      </c>
      <c r="AA760" s="4">
        <v>431</v>
      </c>
      <c r="AB760" s="4">
        <v>4</v>
      </c>
      <c r="AC760" s="4">
        <v>4</v>
      </c>
      <c r="AD760" s="4">
        <v>14</v>
      </c>
      <c r="AE760" s="4">
        <v>14</v>
      </c>
      <c r="AF760" s="4">
        <v>2</v>
      </c>
      <c r="AG760" s="4">
        <v>2</v>
      </c>
      <c r="AH760" s="4">
        <v>3</v>
      </c>
      <c r="AI760" s="4">
        <v>3</v>
      </c>
      <c r="AJ760" s="4">
        <v>9</v>
      </c>
      <c r="AK760" s="4">
        <v>9</v>
      </c>
      <c r="AL760" s="4">
        <v>3</v>
      </c>
      <c r="AM760" s="4">
        <v>3</v>
      </c>
      <c r="AN760" s="4">
        <v>0</v>
      </c>
      <c r="AO760" s="4">
        <v>0</v>
      </c>
      <c r="AP760" s="3" t="s">
        <v>58</v>
      </c>
      <c r="AQ760" s="3" t="s">
        <v>58</v>
      </c>
      <c r="AS760" s="6" t="str">
        <f>HYPERLINK("https://creighton-primo.hosted.exlibrisgroup.com/primo-explore/search?tab=default_tab&amp;search_scope=EVERYTHING&amp;vid=01CRU&amp;lang=en_US&amp;offset=0&amp;query=any,contains,991004647229702656","Catalog Record")</f>
        <v>Catalog Record</v>
      </c>
      <c r="AT760" s="6" t="str">
        <f>HYPERLINK("http://www.worldcat.org/oclc/57429034","WorldCat Record")</f>
        <v>WorldCat Record</v>
      </c>
      <c r="AU760" s="3" t="s">
        <v>9676</v>
      </c>
      <c r="AV760" s="3" t="s">
        <v>9677</v>
      </c>
      <c r="AW760" s="3" t="s">
        <v>9678</v>
      </c>
      <c r="AX760" s="3" t="s">
        <v>9678</v>
      </c>
      <c r="AY760" s="3" t="s">
        <v>9679</v>
      </c>
      <c r="AZ760" s="3" t="s">
        <v>73</v>
      </c>
      <c r="BB760" s="3" t="s">
        <v>9680</v>
      </c>
      <c r="BC760" s="3" t="s">
        <v>9681</v>
      </c>
      <c r="BD760" s="3" t="s">
        <v>9682</v>
      </c>
    </row>
    <row r="761" spans="1:56" ht="51" customHeight="1" x14ac:dyDescent="0.25">
      <c r="A761" s="7" t="s">
        <v>58</v>
      </c>
      <c r="B761" s="2" t="s">
        <v>9683</v>
      </c>
      <c r="C761" s="2" t="s">
        <v>9684</v>
      </c>
      <c r="D761" s="2" t="s">
        <v>9685</v>
      </c>
      <c r="F761" s="3" t="s">
        <v>58</v>
      </c>
      <c r="G761" s="3" t="s">
        <v>59</v>
      </c>
      <c r="H761" s="3" t="s">
        <v>58</v>
      </c>
      <c r="I761" s="3" t="s">
        <v>58</v>
      </c>
      <c r="J761" s="3" t="s">
        <v>60</v>
      </c>
      <c r="K761" s="2" t="s">
        <v>9686</v>
      </c>
      <c r="L761" s="2" t="s">
        <v>9687</v>
      </c>
      <c r="M761" s="3" t="s">
        <v>83</v>
      </c>
      <c r="O761" s="3" t="s">
        <v>63</v>
      </c>
      <c r="P761" s="3" t="s">
        <v>1584</v>
      </c>
      <c r="Q761" s="2" t="s">
        <v>9688</v>
      </c>
      <c r="R761" s="3" t="s">
        <v>65</v>
      </c>
      <c r="S761" s="4">
        <v>2</v>
      </c>
      <c r="T761" s="4">
        <v>2</v>
      </c>
      <c r="U761" s="5" t="s">
        <v>9689</v>
      </c>
      <c r="V761" s="5" t="s">
        <v>9689</v>
      </c>
      <c r="W761" s="5" t="s">
        <v>8127</v>
      </c>
      <c r="X761" s="5" t="s">
        <v>8127</v>
      </c>
      <c r="Y761" s="4">
        <v>86</v>
      </c>
      <c r="Z761" s="4">
        <v>74</v>
      </c>
      <c r="AA761" s="4">
        <v>128</v>
      </c>
      <c r="AB761" s="4">
        <v>1</v>
      </c>
      <c r="AC761" s="4">
        <v>2</v>
      </c>
      <c r="AD761" s="4">
        <v>0</v>
      </c>
      <c r="AE761" s="4">
        <v>4</v>
      </c>
      <c r="AF761" s="4">
        <v>0</v>
      </c>
      <c r="AG761" s="4">
        <v>0</v>
      </c>
      <c r="AH761" s="4">
        <v>0</v>
      </c>
      <c r="AI761" s="4">
        <v>2</v>
      </c>
      <c r="AJ761" s="4">
        <v>0</v>
      </c>
      <c r="AK761" s="4">
        <v>2</v>
      </c>
      <c r="AL761" s="4">
        <v>0</v>
      </c>
      <c r="AM761" s="4">
        <v>1</v>
      </c>
      <c r="AN761" s="4">
        <v>0</v>
      </c>
      <c r="AO761" s="4">
        <v>0</v>
      </c>
      <c r="AP761" s="3" t="s">
        <v>58</v>
      </c>
      <c r="AQ761" s="3" t="s">
        <v>68</v>
      </c>
      <c r="AR761" s="6" t="str">
        <f>HYPERLINK("http://catalog.hathitrust.org/Record/100151593","HathiTrust Record")</f>
        <v>HathiTrust Record</v>
      </c>
      <c r="AS761" s="6" t="str">
        <f>HYPERLINK("https://creighton-primo.hosted.exlibrisgroup.com/primo-explore/search?tab=default_tab&amp;search_scope=EVERYTHING&amp;vid=01CRU&amp;lang=en_US&amp;offset=0&amp;query=any,contains,991004888729702656","Catalog Record")</f>
        <v>Catalog Record</v>
      </c>
      <c r="AT761" s="6" t="str">
        <f>HYPERLINK("http://www.worldcat.org/oclc/5848156","WorldCat Record")</f>
        <v>WorldCat Record</v>
      </c>
      <c r="AU761" s="3" t="s">
        <v>9690</v>
      </c>
      <c r="AV761" s="3" t="s">
        <v>9691</v>
      </c>
      <c r="AW761" s="3" t="s">
        <v>9692</v>
      </c>
      <c r="AX761" s="3" t="s">
        <v>9692</v>
      </c>
      <c r="AY761" s="3" t="s">
        <v>9693</v>
      </c>
      <c r="AZ761" s="3" t="s">
        <v>73</v>
      </c>
      <c r="BB761" s="3" t="s">
        <v>9694</v>
      </c>
      <c r="BC761" s="3" t="s">
        <v>9695</v>
      </c>
      <c r="BD761" s="3" t="s">
        <v>9696</v>
      </c>
    </row>
    <row r="762" spans="1:56" ht="51" customHeight="1" x14ac:dyDescent="0.25">
      <c r="A762" s="7" t="s">
        <v>58</v>
      </c>
      <c r="B762" s="2" t="s">
        <v>9697</v>
      </c>
      <c r="C762" s="2" t="s">
        <v>9698</v>
      </c>
      <c r="D762" s="2" t="s">
        <v>9699</v>
      </c>
      <c r="F762" s="3" t="s">
        <v>58</v>
      </c>
      <c r="G762" s="3" t="s">
        <v>59</v>
      </c>
      <c r="H762" s="3" t="s">
        <v>58</v>
      </c>
      <c r="I762" s="3" t="s">
        <v>58</v>
      </c>
      <c r="J762" s="3" t="s">
        <v>60</v>
      </c>
      <c r="K762" s="2" t="s">
        <v>9700</v>
      </c>
      <c r="L762" s="2" t="s">
        <v>9701</v>
      </c>
      <c r="M762" s="3" t="s">
        <v>196</v>
      </c>
      <c r="O762" s="3" t="s">
        <v>63</v>
      </c>
      <c r="P762" s="3" t="s">
        <v>584</v>
      </c>
      <c r="Q762" s="2" t="s">
        <v>9702</v>
      </c>
      <c r="R762" s="3" t="s">
        <v>65</v>
      </c>
      <c r="S762" s="4">
        <v>2</v>
      </c>
      <c r="T762" s="4">
        <v>2</v>
      </c>
      <c r="U762" s="5" t="s">
        <v>9703</v>
      </c>
      <c r="V762" s="5" t="s">
        <v>9703</v>
      </c>
      <c r="W762" s="5" t="s">
        <v>9704</v>
      </c>
      <c r="X762" s="5" t="s">
        <v>9704</v>
      </c>
      <c r="Y762" s="4">
        <v>185</v>
      </c>
      <c r="Z762" s="4">
        <v>120</v>
      </c>
      <c r="AA762" s="4">
        <v>122</v>
      </c>
      <c r="AB762" s="4">
        <v>1</v>
      </c>
      <c r="AC762" s="4">
        <v>1</v>
      </c>
      <c r="AD762" s="4">
        <v>7</v>
      </c>
      <c r="AE762" s="4">
        <v>7</v>
      </c>
      <c r="AF762" s="4">
        <v>0</v>
      </c>
      <c r="AG762" s="4">
        <v>0</v>
      </c>
      <c r="AH762" s="4">
        <v>5</v>
      </c>
      <c r="AI762" s="4">
        <v>5</v>
      </c>
      <c r="AJ762" s="4">
        <v>4</v>
      </c>
      <c r="AK762" s="4">
        <v>4</v>
      </c>
      <c r="AL762" s="4">
        <v>0</v>
      </c>
      <c r="AM762" s="4">
        <v>0</v>
      </c>
      <c r="AN762" s="4">
        <v>0</v>
      </c>
      <c r="AO762" s="4">
        <v>0</v>
      </c>
      <c r="AP762" s="3" t="s">
        <v>58</v>
      </c>
      <c r="AQ762" s="3" t="s">
        <v>68</v>
      </c>
      <c r="AR762" s="6" t="str">
        <f>HYPERLINK("http://catalog.hathitrust.org/Record/003140594","HathiTrust Record")</f>
        <v>HathiTrust Record</v>
      </c>
      <c r="AS762" s="6" t="str">
        <f>HYPERLINK("https://creighton-primo.hosted.exlibrisgroup.com/primo-explore/search?tab=default_tab&amp;search_scope=EVERYTHING&amp;vid=01CRU&amp;lang=en_US&amp;offset=0&amp;query=any,contains,991002761959702656","Catalog Record")</f>
        <v>Catalog Record</v>
      </c>
      <c r="AT762" s="6" t="str">
        <f>HYPERLINK("http://www.worldcat.org/oclc/36225437","WorldCat Record")</f>
        <v>WorldCat Record</v>
      </c>
      <c r="AU762" s="3" t="s">
        <v>9705</v>
      </c>
      <c r="AV762" s="3" t="s">
        <v>9706</v>
      </c>
      <c r="AW762" s="3" t="s">
        <v>9707</v>
      </c>
      <c r="AX762" s="3" t="s">
        <v>9707</v>
      </c>
      <c r="AY762" s="3" t="s">
        <v>9708</v>
      </c>
      <c r="AZ762" s="3" t="s">
        <v>73</v>
      </c>
      <c r="BB762" s="3" t="s">
        <v>9709</v>
      </c>
      <c r="BC762" s="3" t="s">
        <v>9710</v>
      </c>
      <c r="BD762" s="3" t="s">
        <v>9711</v>
      </c>
    </row>
    <row r="763" spans="1:56" ht="51" customHeight="1" x14ac:dyDescent="0.25">
      <c r="A763" s="7" t="s">
        <v>58</v>
      </c>
      <c r="B763" s="2" t="s">
        <v>9712</v>
      </c>
      <c r="C763" s="2" t="s">
        <v>9713</v>
      </c>
      <c r="D763" s="2" t="s">
        <v>9714</v>
      </c>
      <c r="F763" s="3" t="s">
        <v>58</v>
      </c>
      <c r="G763" s="3" t="s">
        <v>59</v>
      </c>
      <c r="H763" s="3" t="s">
        <v>58</v>
      </c>
      <c r="I763" s="3" t="s">
        <v>58</v>
      </c>
      <c r="J763" s="3" t="s">
        <v>60</v>
      </c>
      <c r="K763" s="2" t="s">
        <v>9544</v>
      </c>
      <c r="L763" s="2" t="s">
        <v>9715</v>
      </c>
      <c r="M763" s="3" t="s">
        <v>138</v>
      </c>
      <c r="O763" s="3" t="s">
        <v>63</v>
      </c>
      <c r="P763" s="3" t="s">
        <v>3109</v>
      </c>
      <c r="R763" s="3" t="s">
        <v>65</v>
      </c>
      <c r="S763" s="4">
        <v>1</v>
      </c>
      <c r="T763" s="4">
        <v>1</v>
      </c>
      <c r="U763" s="5" t="s">
        <v>9703</v>
      </c>
      <c r="V763" s="5" t="s">
        <v>9703</v>
      </c>
      <c r="W763" s="5" t="s">
        <v>8127</v>
      </c>
      <c r="X763" s="5" t="s">
        <v>8127</v>
      </c>
      <c r="Y763" s="4">
        <v>398</v>
      </c>
      <c r="Z763" s="4">
        <v>358</v>
      </c>
      <c r="AA763" s="4">
        <v>411</v>
      </c>
      <c r="AB763" s="4">
        <v>2</v>
      </c>
      <c r="AC763" s="4">
        <v>2</v>
      </c>
      <c r="AD763" s="4">
        <v>16</v>
      </c>
      <c r="AE763" s="4">
        <v>16</v>
      </c>
      <c r="AF763" s="4">
        <v>5</v>
      </c>
      <c r="AG763" s="4">
        <v>5</v>
      </c>
      <c r="AH763" s="4">
        <v>4</v>
      </c>
      <c r="AI763" s="4">
        <v>4</v>
      </c>
      <c r="AJ763" s="4">
        <v>11</v>
      </c>
      <c r="AK763" s="4">
        <v>11</v>
      </c>
      <c r="AL763" s="4">
        <v>1</v>
      </c>
      <c r="AM763" s="4">
        <v>1</v>
      </c>
      <c r="AN763" s="4">
        <v>0</v>
      </c>
      <c r="AO763" s="4">
        <v>0</v>
      </c>
      <c r="AP763" s="3" t="s">
        <v>58</v>
      </c>
      <c r="AQ763" s="3" t="s">
        <v>68</v>
      </c>
      <c r="AR763" s="6" t="str">
        <f>HYPERLINK("http://catalog.hathitrust.org/Record/000198373","HathiTrust Record")</f>
        <v>HathiTrust Record</v>
      </c>
      <c r="AS763" s="6" t="str">
        <f>HYPERLINK("https://creighton-primo.hosted.exlibrisgroup.com/primo-explore/search?tab=default_tab&amp;search_scope=EVERYTHING&amp;vid=01CRU&amp;lang=en_US&amp;offset=0&amp;query=any,contains,991005182249702656","Catalog Record")</f>
        <v>Catalog Record</v>
      </c>
      <c r="AT763" s="6" t="str">
        <f>HYPERLINK("http://www.worldcat.org/oclc/7946995","WorldCat Record")</f>
        <v>WorldCat Record</v>
      </c>
      <c r="AU763" s="3" t="s">
        <v>9716</v>
      </c>
      <c r="AV763" s="3" t="s">
        <v>9717</v>
      </c>
      <c r="AW763" s="3" t="s">
        <v>9718</v>
      </c>
      <c r="AX763" s="3" t="s">
        <v>9718</v>
      </c>
      <c r="AY763" s="3" t="s">
        <v>9719</v>
      </c>
      <c r="AZ763" s="3" t="s">
        <v>73</v>
      </c>
      <c r="BB763" s="3" t="s">
        <v>9720</v>
      </c>
      <c r="BC763" s="3" t="s">
        <v>9721</v>
      </c>
      <c r="BD763" s="3" t="s">
        <v>9722</v>
      </c>
    </row>
    <row r="764" spans="1:56" ht="51" customHeight="1" x14ac:dyDescent="0.25">
      <c r="A764" s="7" t="s">
        <v>58</v>
      </c>
      <c r="B764" s="2" t="s">
        <v>9723</v>
      </c>
      <c r="C764" s="2" t="s">
        <v>9724</v>
      </c>
      <c r="D764" s="2" t="s">
        <v>9725</v>
      </c>
      <c r="F764" s="3" t="s">
        <v>58</v>
      </c>
      <c r="G764" s="3" t="s">
        <v>59</v>
      </c>
      <c r="H764" s="3" t="s">
        <v>58</v>
      </c>
      <c r="I764" s="3" t="s">
        <v>58</v>
      </c>
      <c r="J764" s="3" t="s">
        <v>60</v>
      </c>
      <c r="K764" s="2" t="s">
        <v>9726</v>
      </c>
      <c r="L764" s="2" t="s">
        <v>9727</v>
      </c>
      <c r="M764" s="3" t="s">
        <v>1720</v>
      </c>
      <c r="N764" s="2" t="s">
        <v>1470</v>
      </c>
      <c r="O764" s="3" t="s">
        <v>63</v>
      </c>
      <c r="P764" s="3" t="s">
        <v>571</v>
      </c>
      <c r="R764" s="3" t="s">
        <v>65</v>
      </c>
      <c r="S764" s="4">
        <v>3</v>
      </c>
      <c r="T764" s="4">
        <v>3</v>
      </c>
      <c r="U764" s="5" t="s">
        <v>8904</v>
      </c>
      <c r="V764" s="5" t="s">
        <v>8904</v>
      </c>
      <c r="W764" s="5" t="s">
        <v>733</v>
      </c>
      <c r="X764" s="5" t="s">
        <v>733</v>
      </c>
      <c r="Y764" s="4">
        <v>84</v>
      </c>
      <c r="Z764" s="4">
        <v>69</v>
      </c>
      <c r="AA764" s="4">
        <v>77</v>
      </c>
      <c r="AB764" s="4">
        <v>1</v>
      </c>
      <c r="AC764" s="4">
        <v>1</v>
      </c>
      <c r="AD764" s="4">
        <v>5</v>
      </c>
      <c r="AE764" s="4">
        <v>6</v>
      </c>
      <c r="AF764" s="4">
        <v>0</v>
      </c>
      <c r="AG764" s="4">
        <v>0</v>
      </c>
      <c r="AH764" s="4">
        <v>3</v>
      </c>
      <c r="AI764" s="4">
        <v>4</v>
      </c>
      <c r="AJ764" s="4">
        <v>3</v>
      </c>
      <c r="AK764" s="4">
        <v>4</v>
      </c>
      <c r="AL764" s="4">
        <v>0</v>
      </c>
      <c r="AM764" s="4">
        <v>0</v>
      </c>
      <c r="AN764" s="4">
        <v>0</v>
      </c>
      <c r="AO764" s="4">
        <v>0</v>
      </c>
      <c r="AP764" s="3" t="s">
        <v>58</v>
      </c>
      <c r="AQ764" s="3" t="s">
        <v>58</v>
      </c>
      <c r="AS764" s="6" t="str">
        <f>HYPERLINK("https://creighton-primo.hosted.exlibrisgroup.com/primo-explore/search?tab=default_tab&amp;search_scope=EVERYTHING&amp;vid=01CRU&amp;lang=en_US&amp;offset=0&amp;query=any,contains,991003323239702656","Catalog Record")</f>
        <v>Catalog Record</v>
      </c>
      <c r="AT764" s="6" t="str">
        <f>HYPERLINK("http://www.worldcat.org/oclc/851957","WorldCat Record")</f>
        <v>WorldCat Record</v>
      </c>
      <c r="AU764" s="3" t="s">
        <v>9728</v>
      </c>
      <c r="AV764" s="3" t="s">
        <v>9729</v>
      </c>
      <c r="AW764" s="3" t="s">
        <v>9730</v>
      </c>
      <c r="AX764" s="3" t="s">
        <v>9730</v>
      </c>
      <c r="AY764" s="3" t="s">
        <v>9731</v>
      </c>
      <c r="AZ764" s="3" t="s">
        <v>73</v>
      </c>
      <c r="BC764" s="3" t="s">
        <v>9732</v>
      </c>
      <c r="BD764" s="3" t="s">
        <v>9733</v>
      </c>
    </row>
    <row r="765" spans="1:56" ht="51" customHeight="1" x14ac:dyDescent="0.25">
      <c r="A765" s="7" t="s">
        <v>58</v>
      </c>
      <c r="B765" s="2" t="s">
        <v>9734</v>
      </c>
      <c r="C765" s="2" t="s">
        <v>9735</v>
      </c>
      <c r="D765" s="2" t="s">
        <v>9736</v>
      </c>
      <c r="F765" s="3" t="s">
        <v>58</v>
      </c>
      <c r="G765" s="3" t="s">
        <v>59</v>
      </c>
      <c r="H765" s="3" t="s">
        <v>58</v>
      </c>
      <c r="I765" s="3" t="s">
        <v>58</v>
      </c>
      <c r="J765" s="3" t="s">
        <v>60</v>
      </c>
      <c r="K765" s="2" t="s">
        <v>9737</v>
      </c>
      <c r="L765" s="2" t="s">
        <v>9738</v>
      </c>
      <c r="M765" s="3" t="s">
        <v>626</v>
      </c>
      <c r="O765" s="3" t="s">
        <v>63</v>
      </c>
      <c r="P765" s="3" t="s">
        <v>2061</v>
      </c>
      <c r="Q765" s="2" t="s">
        <v>9739</v>
      </c>
      <c r="R765" s="3" t="s">
        <v>65</v>
      </c>
      <c r="S765" s="4">
        <v>5</v>
      </c>
      <c r="T765" s="4">
        <v>5</v>
      </c>
      <c r="U765" s="5" t="s">
        <v>9740</v>
      </c>
      <c r="V765" s="5" t="s">
        <v>9740</v>
      </c>
      <c r="W765" s="5" t="s">
        <v>8127</v>
      </c>
      <c r="X765" s="5" t="s">
        <v>8127</v>
      </c>
      <c r="Y765" s="4">
        <v>89</v>
      </c>
      <c r="Z765" s="4">
        <v>86</v>
      </c>
      <c r="AA765" s="4">
        <v>656</v>
      </c>
      <c r="AB765" s="4">
        <v>1</v>
      </c>
      <c r="AC765" s="4">
        <v>3</v>
      </c>
      <c r="AD765" s="4">
        <v>2</v>
      </c>
      <c r="AE765" s="4">
        <v>18</v>
      </c>
      <c r="AF765" s="4">
        <v>0</v>
      </c>
      <c r="AG765" s="4">
        <v>6</v>
      </c>
      <c r="AH765" s="4">
        <v>1</v>
      </c>
      <c r="AI765" s="4">
        <v>6</v>
      </c>
      <c r="AJ765" s="4">
        <v>1</v>
      </c>
      <c r="AK765" s="4">
        <v>10</v>
      </c>
      <c r="AL765" s="4">
        <v>0</v>
      </c>
      <c r="AM765" s="4">
        <v>0</v>
      </c>
      <c r="AN765" s="4">
        <v>0</v>
      </c>
      <c r="AO765" s="4">
        <v>0</v>
      </c>
      <c r="AP765" s="3" t="s">
        <v>58</v>
      </c>
      <c r="AQ765" s="3" t="s">
        <v>58</v>
      </c>
      <c r="AS765" s="6" t="str">
        <f>HYPERLINK("https://creighton-primo.hosted.exlibrisgroup.com/primo-explore/search?tab=default_tab&amp;search_scope=EVERYTHING&amp;vid=01CRU&amp;lang=en_US&amp;offset=0&amp;query=any,contains,991000178619702656","Catalog Record")</f>
        <v>Catalog Record</v>
      </c>
      <c r="AT765" s="6" t="str">
        <f>HYPERLINK("http://www.worldcat.org/oclc/9370809","WorldCat Record")</f>
        <v>WorldCat Record</v>
      </c>
      <c r="AU765" s="3" t="s">
        <v>9741</v>
      </c>
      <c r="AV765" s="3" t="s">
        <v>9742</v>
      </c>
      <c r="AW765" s="3" t="s">
        <v>9743</v>
      </c>
      <c r="AX765" s="3" t="s">
        <v>9743</v>
      </c>
      <c r="AY765" s="3" t="s">
        <v>9744</v>
      </c>
      <c r="AZ765" s="3" t="s">
        <v>73</v>
      </c>
      <c r="BB765" s="3" t="s">
        <v>9745</v>
      </c>
      <c r="BC765" s="3" t="s">
        <v>9746</v>
      </c>
      <c r="BD765" s="3" t="s">
        <v>9747</v>
      </c>
    </row>
    <row r="766" spans="1:56" ht="51" customHeight="1" x14ac:dyDescent="0.25">
      <c r="A766" s="7" t="s">
        <v>58</v>
      </c>
      <c r="B766" s="2" t="s">
        <v>9748</v>
      </c>
      <c r="C766" s="2" t="s">
        <v>9749</v>
      </c>
      <c r="D766" s="2" t="s">
        <v>9750</v>
      </c>
      <c r="F766" s="3" t="s">
        <v>58</v>
      </c>
      <c r="G766" s="3" t="s">
        <v>59</v>
      </c>
      <c r="H766" s="3" t="s">
        <v>58</v>
      </c>
      <c r="I766" s="3" t="s">
        <v>58</v>
      </c>
      <c r="J766" s="3" t="s">
        <v>60</v>
      </c>
      <c r="K766" s="2" t="s">
        <v>9751</v>
      </c>
      <c r="L766" s="2" t="s">
        <v>9752</v>
      </c>
      <c r="M766" s="3" t="s">
        <v>842</v>
      </c>
      <c r="O766" s="3" t="s">
        <v>63</v>
      </c>
      <c r="P766" s="3" t="s">
        <v>214</v>
      </c>
      <c r="R766" s="3" t="s">
        <v>65</v>
      </c>
      <c r="S766" s="4">
        <v>3</v>
      </c>
      <c r="T766" s="4">
        <v>3</v>
      </c>
      <c r="U766" s="5" t="s">
        <v>9753</v>
      </c>
      <c r="V766" s="5" t="s">
        <v>9753</v>
      </c>
      <c r="W766" s="5" t="s">
        <v>8127</v>
      </c>
      <c r="X766" s="5" t="s">
        <v>8127</v>
      </c>
      <c r="Y766" s="4">
        <v>485</v>
      </c>
      <c r="Z766" s="4">
        <v>448</v>
      </c>
      <c r="AA766" s="4">
        <v>464</v>
      </c>
      <c r="AB766" s="4">
        <v>2</v>
      </c>
      <c r="AC766" s="4">
        <v>2</v>
      </c>
      <c r="AD766" s="4">
        <v>9</v>
      </c>
      <c r="AE766" s="4">
        <v>10</v>
      </c>
      <c r="AF766" s="4">
        <v>4</v>
      </c>
      <c r="AG766" s="4">
        <v>4</v>
      </c>
      <c r="AH766" s="4">
        <v>3</v>
      </c>
      <c r="AI766" s="4">
        <v>4</v>
      </c>
      <c r="AJ766" s="4">
        <v>4</v>
      </c>
      <c r="AK766" s="4">
        <v>4</v>
      </c>
      <c r="AL766" s="4">
        <v>0</v>
      </c>
      <c r="AM766" s="4">
        <v>0</v>
      </c>
      <c r="AN766" s="4">
        <v>0</v>
      </c>
      <c r="AO766" s="4">
        <v>0</v>
      </c>
      <c r="AP766" s="3" t="s">
        <v>58</v>
      </c>
      <c r="AQ766" s="3" t="s">
        <v>68</v>
      </c>
      <c r="AR766" s="6" t="str">
        <f>HYPERLINK("http://catalog.hathitrust.org/Record/000086040","HathiTrust Record")</f>
        <v>HathiTrust Record</v>
      </c>
      <c r="AS766" s="6" t="str">
        <f>HYPERLINK("https://creighton-primo.hosted.exlibrisgroup.com/primo-explore/search?tab=default_tab&amp;search_scope=EVERYTHING&amp;vid=01CRU&amp;lang=en_US&amp;offset=0&amp;query=any,contains,991005050309702656","Catalog Record")</f>
        <v>Catalog Record</v>
      </c>
      <c r="AT766" s="6" t="str">
        <f>HYPERLINK("http://www.worldcat.org/oclc/6864218","WorldCat Record")</f>
        <v>WorldCat Record</v>
      </c>
      <c r="AU766" s="3" t="s">
        <v>9754</v>
      </c>
      <c r="AV766" s="3" t="s">
        <v>9755</v>
      </c>
      <c r="AW766" s="3" t="s">
        <v>9756</v>
      </c>
      <c r="AX766" s="3" t="s">
        <v>9756</v>
      </c>
      <c r="AY766" s="3" t="s">
        <v>9757</v>
      </c>
      <c r="AZ766" s="3" t="s">
        <v>73</v>
      </c>
      <c r="BB766" s="3" t="s">
        <v>9758</v>
      </c>
      <c r="BC766" s="3" t="s">
        <v>9759</v>
      </c>
      <c r="BD766" s="3" t="s">
        <v>9760</v>
      </c>
    </row>
    <row r="767" spans="1:56" ht="51" customHeight="1" x14ac:dyDescent="0.25">
      <c r="A767" s="7" t="s">
        <v>58</v>
      </c>
      <c r="B767" s="2" t="s">
        <v>9761</v>
      </c>
      <c r="C767" s="2" t="s">
        <v>9762</v>
      </c>
      <c r="D767" s="2" t="s">
        <v>9763</v>
      </c>
      <c r="F767" s="3" t="s">
        <v>58</v>
      </c>
      <c r="G767" s="3" t="s">
        <v>59</v>
      </c>
      <c r="H767" s="3" t="s">
        <v>58</v>
      </c>
      <c r="I767" s="3" t="s">
        <v>58</v>
      </c>
      <c r="J767" s="3" t="s">
        <v>60</v>
      </c>
      <c r="K767" s="2" t="s">
        <v>9764</v>
      </c>
      <c r="L767" s="2" t="s">
        <v>9765</v>
      </c>
      <c r="M767" s="3" t="s">
        <v>249</v>
      </c>
      <c r="O767" s="3" t="s">
        <v>63</v>
      </c>
      <c r="P767" s="3" t="s">
        <v>495</v>
      </c>
      <c r="R767" s="3" t="s">
        <v>65</v>
      </c>
      <c r="S767" s="4">
        <v>3</v>
      </c>
      <c r="T767" s="4">
        <v>3</v>
      </c>
      <c r="U767" s="5" t="s">
        <v>9766</v>
      </c>
      <c r="V767" s="5" t="s">
        <v>9766</v>
      </c>
      <c r="W767" s="5" t="s">
        <v>2617</v>
      </c>
      <c r="X767" s="5" t="s">
        <v>2617</v>
      </c>
      <c r="Y767" s="4">
        <v>170</v>
      </c>
      <c r="Z767" s="4">
        <v>160</v>
      </c>
      <c r="AA767" s="4">
        <v>188</v>
      </c>
      <c r="AB767" s="4">
        <v>1</v>
      </c>
      <c r="AC767" s="4">
        <v>1</v>
      </c>
      <c r="AD767" s="4">
        <v>2</v>
      </c>
      <c r="AE767" s="4">
        <v>3</v>
      </c>
      <c r="AF767" s="4">
        <v>2</v>
      </c>
      <c r="AG767" s="4">
        <v>2</v>
      </c>
      <c r="AH767" s="4">
        <v>0</v>
      </c>
      <c r="AI767" s="4">
        <v>1</v>
      </c>
      <c r="AJ767" s="4">
        <v>0</v>
      </c>
      <c r="AK767" s="4">
        <v>1</v>
      </c>
      <c r="AL767" s="4">
        <v>0</v>
      </c>
      <c r="AM767" s="4">
        <v>0</v>
      </c>
      <c r="AN767" s="4">
        <v>0</v>
      </c>
      <c r="AO767" s="4">
        <v>0</v>
      </c>
      <c r="AP767" s="3" t="s">
        <v>58</v>
      </c>
      <c r="AQ767" s="3" t="s">
        <v>58</v>
      </c>
      <c r="AS767" s="6" t="str">
        <f>HYPERLINK("https://creighton-primo.hosted.exlibrisgroup.com/primo-explore/search?tab=default_tab&amp;search_scope=EVERYTHING&amp;vid=01CRU&amp;lang=en_US&amp;offset=0&amp;query=any,contains,991003094969702656","Catalog Record")</f>
        <v>Catalog Record</v>
      </c>
      <c r="AT767" s="6" t="str">
        <f>HYPERLINK("http://www.worldcat.org/oclc/644766","WorldCat Record")</f>
        <v>WorldCat Record</v>
      </c>
      <c r="AU767" s="3" t="s">
        <v>9767</v>
      </c>
      <c r="AV767" s="3" t="s">
        <v>9768</v>
      </c>
      <c r="AW767" s="3" t="s">
        <v>9769</v>
      </c>
      <c r="AX767" s="3" t="s">
        <v>9769</v>
      </c>
      <c r="AY767" s="3" t="s">
        <v>9770</v>
      </c>
      <c r="AZ767" s="3" t="s">
        <v>73</v>
      </c>
      <c r="BC767" s="3" t="s">
        <v>9771</v>
      </c>
      <c r="BD767" s="3" t="s">
        <v>9772</v>
      </c>
    </row>
    <row r="768" spans="1:56" ht="51" customHeight="1" x14ac:dyDescent="0.25">
      <c r="A768" s="7" t="s">
        <v>58</v>
      </c>
      <c r="B768" s="2" t="s">
        <v>9773</v>
      </c>
      <c r="C768" s="2" t="s">
        <v>9774</v>
      </c>
      <c r="D768" s="2" t="s">
        <v>9775</v>
      </c>
      <c r="F768" s="3" t="s">
        <v>58</v>
      </c>
      <c r="G768" s="3" t="s">
        <v>59</v>
      </c>
      <c r="H768" s="3" t="s">
        <v>58</v>
      </c>
      <c r="I768" s="3" t="s">
        <v>58</v>
      </c>
      <c r="J768" s="3" t="s">
        <v>60</v>
      </c>
      <c r="K768" s="2" t="s">
        <v>9776</v>
      </c>
      <c r="L768" s="2" t="s">
        <v>9777</v>
      </c>
      <c r="M768" s="3" t="s">
        <v>2214</v>
      </c>
      <c r="N768" s="2" t="s">
        <v>870</v>
      </c>
      <c r="O768" s="3" t="s">
        <v>63</v>
      </c>
      <c r="P768" s="3" t="s">
        <v>214</v>
      </c>
      <c r="R768" s="3" t="s">
        <v>65</v>
      </c>
      <c r="S768" s="4">
        <v>4</v>
      </c>
      <c r="T768" s="4">
        <v>4</v>
      </c>
      <c r="U768" s="5" t="s">
        <v>9778</v>
      </c>
      <c r="V768" s="5" t="s">
        <v>9778</v>
      </c>
      <c r="W768" s="5" t="s">
        <v>3903</v>
      </c>
      <c r="X768" s="5" t="s">
        <v>3903</v>
      </c>
      <c r="Y768" s="4">
        <v>780</v>
      </c>
      <c r="Z768" s="4">
        <v>727</v>
      </c>
      <c r="AA768" s="4">
        <v>800</v>
      </c>
      <c r="AB768" s="4">
        <v>5</v>
      </c>
      <c r="AC768" s="4">
        <v>5</v>
      </c>
      <c r="AD768" s="4">
        <v>16</v>
      </c>
      <c r="AE768" s="4">
        <v>20</v>
      </c>
      <c r="AF768" s="4">
        <v>8</v>
      </c>
      <c r="AG768" s="4">
        <v>9</v>
      </c>
      <c r="AH768" s="4">
        <v>3</v>
      </c>
      <c r="AI768" s="4">
        <v>4</v>
      </c>
      <c r="AJ768" s="4">
        <v>8</v>
      </c>
      <c r="AK768" s="4">
        <v>11</v>
      </c>
      <c r="AL768" s="4">
        <v>2</v>
      </c>
      <c r="AM768" s="4">
        <v>2</v>
      </c>
      <c r="AN768" s="4">
        <v>0</v>
      </c>
      <c r="AO768" s="4">
        <v>0</v>
      </c>
      <c r="AP768" s="3" t="s">
        <v>58</v>
      </c>
      <c r="AQ768" s="3" t="s">
        <v>58</v>
      </c>
      <c r="AS768" s="6" t="str">
        <f>HYPERLINK("https://creighton-primo.hosted.exlibrisgroup.com/primo-explore/search?tab=default_tab&amp;search_scope=EVERYTHING&amp;vid=01CRU&amp;lang=en_US&amp;offset=0&amp;query=any,contains,991004482309702656","Catalog Record")</f>
        <v>Catalog Record</v>
      </c>
      <c r="AT768" s="6" t="str">
        <f>HYPERLINK("http://www.worldcat.org/oclc/56809552","WorldCat Record")</f>
        <v>WorldCat Record</v>
      </c>
      <c r="AU768" s="3" t="s">
        <v>9779</v>
      </c>
      <c r="AV768" s="3" t="s">
        <v>9780</v>
      </c>
      <c r="AW768" s="3" t="s">
        <v>9781</v>
      </c>
      <c r="AX768" s="3" t="s">
        <v>9781</v>
      </c>
      <c r="AY768" s="3" t="s">
        <v>9782</v>
      </c>
      <c r="AZ768" s="3" t="s">
        <v>73</v>
      </c>
      <c r="BB768" s="3" t="s">
        <v>9783</v>
      </c>
      <c r="BC768" s="3" t="s">
        <v>9784</v>
      </c>
      <c r="BD768" s="3" t="s">
        <v>9785</v>
      </c>
    </row>
    <row r="769" spans="1:56" ht="51" customHeight="1" x14ac:dyDescent="0.25">
      <c r="A769" s="7" t="s">
        <v>58</v>
      </c>
      <c r="B769" s="2" t="s">
        <v>9786</v>
      </c>
      <c r="C769" s="2" t="s">
        <v>9787</v>
      </c>
      <c r="D769" s="2" t="s">
        <v>9788</v>
      </c>
      <c r="F769" s="3" t="s">
        <v>58</v>
      </c>
      <c r="G769" s="3" t="s">
        <v>59</v>
      </c>
      <c r="H769" s="3" t="s">
        <v>58</v>
      </c>
      <c r="I769" s="3" t="s">
        <v>58</v>
      </c>
      <c r="J769" s="3" t="s">
        <v>60</v>
      </c>
      <c r="K769" s="2" t="s">
        <v>9789</v>
      </c>
      <c r="L769" s="2" t="s">
        <v>9790</v>
      </c>
      <c r="M769" s="3" t="s">
        <v>1061</v>
      </c>
      <c r="N769" s="2" t="s">
        <v>338</v>
      </c>
      <c r="O769" s="3" t="s">
        <v>63</v>
      </c>
      <c r="P769" s="3" t="s">
        <v>214</v>
      </c>
      <c r="R769" s="3" t="s">
        <v>65</v>
      </c>
      <c r="S769" s="4">
        <v>1</v>
      </c>
      <c r="T769" s="4">
        <v>1</v>
      </c>
      <c r="U769" s="5" t="s">
        <v>9791</v>
      </c>
      <c r="V769" s="5" t="s">
        <v>9791</v>
      </c>
      <c r="W769" s="5" t="s">
        <v>9792</v>
      </c>
      <c r="X769" s="5" t="s">
        <v>9792</v>
      </c>
      <c r="Y769" s="4">
        <v>419</v>
      </c>
      <c r="Z769" s="4">
        <v>389</v>
      </c>
      <c r="AA769" s="4">
        <v>432</v>
      </c>
      <c r="AB769" s="4">
        <v>3</v>
      </c>
      <c r="AC769" s="4">
        <v>3</v>
      </c>
      <c r="AD769" s="4">
        <v>10</v>
      </c>
      <c r="AE769" s="4">
        <v>11</v>
      </c>
      <c r="AF769" s="4">
        <v>1</v>
      </c>
      <c r="AG769" s="4">
        <v>2</v>
      </c>
      <c r="AH769" s="4">
        <v>3</v>
      </c>
      <c r="AI769" s="4">
        <v>3</v>
      </c>
      <c r="AJ769" s="4">
        <v>6</v>
      </c>
      <c r="AK769" s="4">
        <v>7</v>
      </c>
      <c r="AL769" s="4">
        <v>2</v>
      </c>
      <c r="AM769" s="4">
        <v>2</v>
      </c>
      <c r="AN769" s="4">
        <v>0</v>
      </c>
      <c r="AO769" s="4">
        <v>0</v>
      </c>
      <c r="AP769" s="3" t="s">
        <v>58</v>
      </c>
      <c r="AQ769" s="3" t="s">
        <v>58</v>
      </c>
      <c r="AS769" s="6" t="str">
        <f>HYPERLINK("https://creighton-primo.hosted.exlibrisgroup.com/primo-explore/search?tab=default_tab&amp;search_scope=EVERYTHING&amp;vid=01CRU&amp;lang=en_US&amp;offset=0&amp;query=any,contains,991002778609702656","Catalog Record")</f>
        <v>Catalog Record</v>
      </c>
      <c r="AT769" s="6" t="str">
        <f>HYPERLINK("http://www.worldcat.org/oclc/36485769","WorldCat Record")</f>
        <v>WorldCat Record</v>
      </c>
      <c r="AU769" s="3" t="s">
        <v>9793</v>
      </c>
      <c r="AV769" s="3" t="s">
        <v>9794</v>
      </c>
      <c r="AW769" s="3" t="s">
        <v>9795</v>
      </c>
      <c r="AX769" s="3" t="s">
        <v>9795</v>
      </c>
      <c r="AY769" s="3" t="s">
        <v>9796</v>
      </c>
      <c r="AZ769" s="3" t="s">
        <v>73</v>
      </c>
      <c r="BB769" s="3" t="s">
        <v>9797</v>
      </c>
      <c r="BC769" s="3" t="s">
        <v>9798</v>
      </c>
      <c r="BD769" s="3" t="s">
        <v>9799</v>
      </c>
    </row>
    <row r="770" spans="1:56" ht="51" customHeight="1" x14ac:dyDescent="0.25">
      <c r="A770" s="7" t="s">
        <v>58</v>
      </c>
      <c r="B770" s="2" t="s">
        <v>9800</v>
      </c>
      <c r="C770" s="2" t="s">
        <v>9801</v>
      </c>
      <c r="D770" s="2" t="s">
        <v>9802</v>
      </c>
      <c r="F770" s="3" t="s">
        <v>58</v>
      </c>
      <c r="G770" s="3" t="s">
        <v>59</v>
      </c>
      <c r="H770" s="3" t="s">
        <v>58</v>
      </c>
      <c r="I770" s="3" t="s">
        <v>58</v>
      </c>
      <c r="J770" s="3" t="s">
        <v>60</v>
      </c>
      <c r="K770" s="2" t="s">
        <v>9803</v>
      </c>
      <c r="L770" s="2" t="s">
        <v>9804</v>
      </c>
      <c r="M770" s="3" t="s">
        <v>951</v>
      </c>
      <c r="N770" s="2" t="s">
        <v>9805</v>
      </c>
      <c r="O770" s="3" t="s">
        <v>63</v>
      </c>
      <c r="P770" s="3" t="s">
        <v>214</v>
      </c>
      <c r="R770" s="3" t="s">
        <v>65</v>
      </c>
      <c r="S770" s="4">
        <v>1</v>
      </c>
      <c r="T770" s="4">
        <v>1</v>
      </c>
      <c r="U770" s="5" t="s">
        <v>9806</v>
      </c>
      <c r="V770" s="5" t="s">
        <v>9806</v>
      </c>
      <c r="W770" s="5" t="s">
        <v>9807</v>
      </c>
      <c r="X770" s="5" t="s">
        <v>9807</v>
      </c>
      <c r="Y770" s="4">
        <v>378</v>
      </c>
      <c r="Z770" s="4">
        <v>359</v>
      </c>
      <c r="AA770" s="4">
        <v>427</v>
      </c>
      <c r="AB770" s="4">
        <v>3</v>
      </c>
      <c r="AC770" s="4">
        <v>4</v>
      </c>
      <c r="AD770" s="4">
        <v>4</v>
      </c>
      <c r="AE770" s="4">
        <v>5</v>
      </c>
      <c r="AF770" s="4">
        <v>1</v>
      </c>
      <c r="AG770" s="4">
        <v>2</v>
      </c>
      <c r="AH770" s="4">
        <v>1</v>
      </c>
      <c r="AI770" s="4">
        <v>1</v>
      </c>
      <c r="AJ770" s="4">
        <v>3</v>
      </c>
      <c r="AK770" s="4">
        <v>3</v>
      </c>
      <c r="AL770" s="4">
        <v>1</v>
      </c>
      <c r="AM770" s="4">
        <v>1</v>
      </c>
      <c r="AN770" s="4">
        <v>0</v>
      </c>
      <c r="AO770" s="4">
        <v>0</v>
      </c>
      <c r="AP770" s="3" t="s">
        <v>58</v>
      </c>
      <c r="AQ770" s="3" t="s">
        <v>58</v>
      </c>
      <c r="AS770" s="6" t="str">
        <f>HYPERLINK("https://creighton-primo.hosted.exlibrisgroup.com/primo-explore/search?tab=default_tab&amp;search_scope=EVERYTHING&amp;vid=01CRU&amp;lang=en_US&amp;offset=0&amp;query=any,contains,991003362479702656","Catalog Record")</f>
        <v>Catalog Record</v>
      </c>
      <c r="AT770" s="6" t="str">
        <f>HYPERLINK("http://www.worldcat.org/oclc/45015399","WorldCat Record")</f>
        <v>WorldCat Record</v>
      </c>
      <c r="AU770" s="3" t="s">
        <v>9808</v>
      </c>
      <c r="AV770" s="3" t="s">
        <v>9809</v>
      </c>
      <c r="AW770" s="3" t="s">
        <v>9810</v>
      </c>
      <c r="AX770" s="3" t="s">
        <v>9810</v>
      </c>
      <c r="AY770" s="3" t="s">
        <v>9811</v>
      </c>
      <c r="AZ770" s="3" t="s">
        <v>73</v>
      </c>
      <c r="BB770" s="3" t="s">
        <v>9812</v>
      </c>
      <c r="BC770" s="3" t="s">
        <v>9813</v>
      </c>
      <c r="BD770" s="3" t="s">
        <v>9814</v>
      </c>
    </row>
    <row r="771" spans="1:56" ht="51" customHeight="1" x14ac:dyDescent="0.25">
      <c r="A771" s="7" t="s">
        <v>58</v>
      </c>
      <c r="B771" s="2" t="s">
        <v>9815</v>
      </c>
      <c r="C771" s="2" t="s">
        <v>9816</v>
      </c>
      <c r="D771" s="2" t="s">
        <v>9817</v>
      </c>
      <c r="F771" s="3" t="s">
        <v>58</v>
      </c>
      <c r="G771" s="3" t="s">
        <v>59</v>
      </c>
      <c r="H771" s="3" t="s">
        <v>58</v>
      </c>
      <c r="I771" s="3" t="s">
        <v>58</v>
      </c>
      <c r="J771" s="3" t="s">
        <v>60</v>
      </c>
      <c r="K771" s="2" t="s">
        <v>9818</v>
      </c>
      <c r="L771" s="2" t="s">
        <v>9819</v>
      </c>
      <c r="M771" s="3" t="s">
        <v>2214</v>
      </c>
      <c r="O771" s="3" t="s">
        <v>63</v>
      </c>
      <c r="P771" s="3" t="s">
        <v>214</v>
      </c>
      <c r="R771" s="3" t="s">
        <v>65</v>
      </c>
      <c r="S771" s="4">
        <v>1</v>
      </c>
      <c r="T771" s="4">
        <v>1</v>
      </c>
      <c r="U771" s="5" t="s">
        <v>9820</v>
      </c>
      <c r="V771" s="5" t="s">
        <v>9820</v>
      </c>
      <c r="W771" s="5" t="s">
        <v>9820</v>
      </c>
      <c r="X771" s="5" t="s">
        <v>9820</v>
      </c>
      <c r="Y771" s="4">
        <v>487</v>
      </c>
      <c r="Z771" s="4">
        <v>402</v>
      </c>
      <c r="AA771" s="4">
        <v>422</v>
      </c>
      <c r="AB771" s="4">
        <v>3</v>
      </c>
      <c r="AC771" s="4">
        <v>4</v>
      </c>
      <c r="AD771" s="4">
        <v>7</v>
      </c>
      <c r="AE771" s="4">
        <v>7</v>
      </c>
      <c r="AF771" s="4">
        <v>1</v>
      </c>
      <c r="AG771" s="4">
        <v>1</v>
      </c>
      <c r="AH771" s="4">
        <v>2</v>
      </c>
      <c r="AI771" s="4">
        <v>2</v>
      </c>
      <c r="AJ771" s="4">
        <v>4</v>
      </c>
      <c r="AK771" s="4">
        <v>4</v>
      </c>
      <c r="AL771" s="4">
        <v>2</v>
      </c>
      <c r="AM771" s="4">
        <v>2</v>
      </c>
      <c r="AN771" s="4">
        <v>0</v>
      </c>
      <c r="AO771" s="4">
        <v>0</v>
      </c>
      <c r="AP771" s="3" t="s">
        <v>58</v>
      </c>
      <c r="AQ771" s="3" t="s">
        <v>68</v>
      </c>
      <c r="AR771" s="6" t="str">
        <f>HYPERLINK("http://catalog.hathitrust.org/Record/005029246","HathiTrust Record")</f>
        <v>HathiTrust Record</v>
      </c>
      <c r="AS771" s="6" t="str">
        <f>HYPERLINK("https://creighton-primo.hosted.exlibrisgroup.com/primo-explore/search?tab=default_tab&amp;search_scope=EVERYTHING&amp;vid=01CRU&amp;lang=en_US&amp;offset=0&amp;query=any,contains,991004581979702656","Catalog Record")</f>
        <v>Catalog Record</v>
      </c>
      <c r="AT771" s="6" t="str">
        <f>HYPERLINK("http://www.worldcat.org/oclc/57406224","WorldCat Record")</f>
        <v>WorldCat Record</v>
      </c>
      <c r="AU771" s="3" t="s">
        <v>9821</v>
      </c>
      <c r="AV771" s="3" t="s">
        <v>9822</v>
      </c>
      <c r="AW771" s="3" t="s">
        <v>9823</v>
      </c>
      <c r="AX771" s="3" t="s">
        <v>9823</v>
      </c>
      <c r="AY771" s="3" t="s">
        <v>9824</v>
      </c>
      <c r="AZ771" s="3" t="s">
        <v>73</v>
      </c>
      <c r="BB771" s="3" t="s">
        <v>9825</v>
      </c>
      <c r="BC771" s="3" t="s">
        <v>9826</v>
      </c>
      <c r="BD771" s="3" t="s">
        <v>9827</v>
      </c>
    </row>
    <row r="772" spans="1:56" ht="51" customHeight="1" x14ac:dyDescent="0.25">
      <c r="A772" s="7" t="s">
        <v>58</v>
      </c>
      <c r="B772" s="2" t="s">
        <v>9828</v>
      </c>
      <c r="C772" s="2" t="s">
        <v>9829</v>
      </c>
      <c r="D772" s="2" t="s">
        <v>9830</v>
      </c>
      <c r="E772" s="3" t="s">
        <v>223</v>
      </c>
      <c r="F772" s="3" t="s">
        <v>68</v>
      </c>
      <c r="G772" s="3" t="s">
        <v>59</v>
      </c>
      <c r="H772" s="3" t="s">
        <v>58</v>
      </c>
      <c r="I772" s="3" t="s">
        <v>58</v>
      </c>
      <c r="J772" s="3" t="s">
        <v>60</v>
      </c>
      <c r="K772" s="2" t="s">
        <v>9831</v>
      </c>
      <c r="L772" s="2" t="s">
        <v>9832</v>
      </c>
      <c r="M772" s="3" t="s">
        <v>249</v>
      </c>
      <c r="O772" s="3" t="s">
        <v>63</v>
      </c>
      <c r="P772" s="3" t="s">
        <v>571</v>
      </c>
      <c r="Q772" s="2" t="s">
        <v>1786</v>
      </c>
      <c r="R772" s="3" t="s">
        <v>65</v>
      </c>
      <c r="S772" s="4">
        <v>3</v>
      </c>
      <c r="T772" s="4">
        <v>4</v>
      </c>
      <c r="U772" s="5" t="s">
        <v>9766</v>
      </c>
      <c r="V772" s="5" t="s">
        <v>9766</v>
      </c>
      <c r="W772" s="5" t="s">
        <v>2034</v>
      </c>
      <c r="X772" s="5" t="s">
        <v>2034</v>
      </c>
      <c r="Y772" s="4">
        <v>37</v>
      </c>
      <c r="Z772" s="4">
        <v>31</v>
      </c>
      <c r="AA772" s="4">
        <v>31</v>
      </c>
      <c r="AB772" s="4">
        <v>1</v>
      </c>
      <c r="AC772" s="4">
        <v>1</v>
      </c>
      <c r="AD772" s="4">
        <v>0</v>
      </c>
      <c r="AE772" s="4">
        <v>0</v>
      </c>
      <c r="AF772" s="4">
        <v>0</v>
      </c>
      <c r="AG772" s="4">
        <v>0</v>
      </c>
      <c r="AH772" s="4">
        <v>0</v>
      </c>
      <c r="AI772" s="4">
        <v>0</v>
      </c>
      <c r="AJ772" s="4">
        <v>0</v>
      </c>
      <c r="AK772" s="4">
        <v>0</v>
      </c>
      <c r="AL772" s="4">
        <v>0</v>
      </c>
      <c r="AM772" s="4">
        <v>0</v>
      </c>
      <c r="AN772" s="4">
        <v>0</v>
      </c>
      <c r="AO772" s="4">
        <v>0</v>
      </c>
      <c r="AP772" s="3" t="s">
        <v>58</v>
      </c>
      <c r="AQ772" s="3" t="s">
        <v>58</v>
      </c>
      <c r="AS772" s="6" t="str">
        <f>HYPERLINK("https://creighton-primo.hosted.exlibrisgroup.com/primo-explore/search?tab=default_tab&amp;search_scope=EVERYTHING&amp;vid=01CRU&amp;lang=en_US&amp;offset=0&amp;query=any,contains,991003648809702656","Catalog Record")</f>
        <v>Catalog Record</v>
      </c>
      <c r="AT772" s="6" t="str">
        <f>HYPERLINK("http://www.worldcat.org/oclc/1251968","WorldCat Record")</f>
        <v>WorldCat Record</v>
      </c>
      <c r="AU772" s="3" t="s">
        <v>9833</v>
      </c>
      <c r="AV772" s="3" t="s">
        <v>9834</v>
      </c>
      <c r="AW772" s="3" t="s">
        <v>9835</v>
      </c>
      <c r="AX772" s="3" t="s">
        <v>9835</v>
      </c>
      <c r="AY772" s="3" t="s">
        <v>9836</v>
      </c>
      <c r="AZ772" s="3" t="s">
        <v>73</v>
      </c>
      <c r="BC772" s="3" t="s">
        <v>9837</v>
      </c>
      <c r="BD772" s="3" t="s">
        <v>9838</v>
      </c>
    </row>
    <row r="773" spans="1:56" ht="51" customHeight="1" x14ac:dyDescent="0.25">
      <c r="A773" s="7" t="s">
        <v>58</v>
      </c>
      <c r="B773" s="2" t="s">
        <v>9828</v>
      </c>
      <c r="C773" s="2" t="s">
        <v>9829</v>
      </c>
      <c r="D773" s="2" t="s">
        <v>9830</v>
      </c>
      <c r="E773" s="3" t="s">
        <v>210</v>
      </c>
      <c r="F773" s="3" t="s">
        <v>68</v>
      </c>
      <c r="G773" s="3" t="s">
        <v>59</v>
      </c>
      <c r="H773" s="3" t="s">
        <v>58</v>
      </c>
      <c r="I773" s="3" t="s">
        <v>58</v>
      </c>
      <c r="J773" s="3" t="s">
        <v>60</v>
      </c>
      <c r="K773" s="2" t="s">
        <v>9831</v>
      </c>
      <c r="L773" s="2" t="s">
        <v>9832</v>
      </c>
      <c r="M773" s="3" t="s">
        <v>249</v>
      </c>
      <c r="O773" s="3" t="s">
        <v>63</v>
      </c>
      <c r="P773" s="3" t="s">
        <v>571</v>
      </c>
      <c r="Q773" s="2" t="s">
        <v>1786</v>
      </c>
      <c r="R773" s="3" t="s">
        <v>65</v>
      </c>
      <c r="S773" s="4">
        <v>1</v>
      </c>
      <c r="T773" s="4">
        <v>4</v>
      </c>
      <c r="U773" s="5" t="s">
        <v>9766</v>
      </c>
      <c r="V773" s="5" t="s">
        <v>9766</v>
      </c>
      <c r="W773" s="5" t="s">
        <v>2034</v>
      </c>
      <c r="X773" s="5" t="s">
        <v>2034</v>
      </c>
      <c r="Y773" s="4">
        <v>37</v>
      </c>
      <c r="Z773" s="4">
        <v>31</v>
      </c>
      <c r="AA773" s="4">
        <v>31</v>
      </c>
      <c r="AB773" s="4">
        <v>1</v>
      </c>
      <c r="AC773" s="4">
        <v>1</v>
      </c>
      <c r="AD773" s="4">
        <v>0</v>
      </c>
      <c r="AE773" s="4">
        <v>0</v>
      </c>
      <c r="AF773" s="4">
        <v>0</v>
      </c>
      <c r="AG773" s="4">
        <v>0</v>
      </c>
      <c r="AH773" s="4">
        <v>0</v>
      </c>
      <c r="AI773" s="4">
        <v>0</v>
      </c>
      <c r="AJ773" s="4">
        <v>0</v>
      </c>
      <c r="AK773" s="4">
        <v>0</v>
      </c>
      <c r="AL773" s="4">
        <v>0</v>
      </c>
      <c r="AM773" s="4">
        <v>0</v>
      </c>
      <c r="AN773" s="4">
        <v>0</v>
      </c>
      <c r="AO773" s="4">
        <v>0</v>
      </c>
      <c r="AP773" s="3" t="s">
        <v>58</v>
      </c>
      <c r="AQ773" s="3" t="s">
        <v>58</v>
      </c>
      <c r="AS773" s="6" t="str">
        <f>HYPERLINK("https://creighton-primo.hosted.exlibrisgroup.com/primo-explore/search?tab=default_tab&amp;search_scope=EVERYTHING&amp;vid=01CRU&amp;lang=en_US&amp;offset=0&amp;query=any,contains,991003648809702656","Catalog Record")</f>
        <v>Catalog Record</v>
      </c>
      <c r="AT773" s="6" t="str">
        <f>HYPERLINK("http://www.worldcat.org/oclc/1251968","WorldCat Record")</f>
        <v>WorldCat Record</v>
      </c>
      <c r="AU773" s="3" t="s">
        <v>9833</v>
      </c>
      <c r="AV773" s="3" t="s">
        <v>9834</v>
      </c>
      <c r="AW773" s="3" t="s">
        <v>9835</v>
      </c>
      <c r="AX773" s="3" t="s">
        <v>9835</v>
      </c>
      <c r="AY773" s="3" t="s">
        <v>9836</v>
      </c>
      <c r="AZ773" s="3" t="s">
        <v>73</v>
      </c>
      <c r="BC773" s="3" t="s">
        <v>9839</v>
      </c>
      <c r="BD773" s="3" t="s">
        <v>9840</v>
      </c>
    </row>
    <row r="774" spans="1:56" ht="51" customHeight="1" x14ac:dyDescent="0.25">
      <c r="A774" s="7" t="s">
        <v>58</v>
      </c>
      <c r="B774" s="2" t="s">
        <v>9841</v>
      </c>
      <c r="C774" s="2" t="s">
        <v>9842</v>
      </c>
      <c r="D774" s="2" t="s">
        <v>9843</v>
      </c>
      <c r="F774" s="3" t="s">
        <v>58</v>
      </c>
      <c r="G774" s="3" t="s">
        <v>59</v>
      </c>
      <c r="H774" s="3" t="s">
        <v>58</v>
      </c>
      <c r="I774" s="3" t="s">
        <v>58</v>
      </c>
      <c r="J774" s="3" t="s">
        <v>60</v>
      </c>
      <c r="K774" s="2" t="s">
        <v>9844</v>
      </c>
      <c r="L774" s="2" t="s">
        <v>9845</v>
      </c>
      <c r="M774" s="3" t="s">
        <v>1153</v>
      </c>
      <c r="N774" s="2" t="s">
        <v>9846</v>
      </c>
      <c r="O774" s="3" t="s">
        <v>63</v>
      </c>
      <c r="P774" s="3" t="s">
        <v>354</v>
      </c>
      <c r="Q774" s="2" t="s">
        <v>9847</v>
      </c>
      <c r="R774" s="3" t="s">
        <v>65</v>
      </c>
      <c r="S774" s="4">
        <v>7</v>
      </c>
      <c r="T774" s="4">
        <v>7</v>
      </c>
      <c r="U774" s="5" t="s">
        <v>9848</v>
      </c>
      <c r="V774" s="5" t="s">
        <v>9848</v>
      </c>
      <c r="W774" s="5" t="s">
        <v>2616</v>
      </c>
      <c r="X774" s="5" t="s">
        <v>2616</v>
      </c>
      <c r="Y774" s="4">
        <v>307</v>
      </c>
      <c r="Z774" s="4">
        <v>278</v>
      </c>
      <c r="AA774" s="4">
        <v>439</v>
      </c>
      <c r="AB774" s="4">
        <v>2</v>
      </c>
      <c r="AC774" s="4">
        <v>3</v>
      </c>
      <c r="AD774" s="4">
        <v>12</v>
      </c>
      <c r="AE774" s="4">
        <v>15</v>
      </c>
      <c r="AF774" s="4">
        <v>5</v>
      </c>
      <c r="AG774" s="4">
        <v>6</v>
      </c>
      <c r="AH774" s="4">
        <v>4</v>
      </c>
      <c r="AI774" s="4">
        <v>4</v>
      </c>
      <c r="AJ774" s="4">
        <v>7</v>
      </c>
      <c r="AK774" s="4">
        <v>8</v>
      </c>
      <c r="AL774" s="4">
        <v>1</v>
      </c>
      <c r="AM774" s="4">
        <v>2</v>
      </c>
      <c r="AN774" s="4">
        <v>0</v>
      </c>
      <c r="AO774" s="4">
        <v>0</v>
      </c>
      <c r="AP774" s="3" t="s">
        <v>58</v>
      </c>
      <c r="AQ774" s="3" t="s">
        <v>58</v>
      </c>
      <c r="AS774" s="6" t="str">
        <f>HYPERLINK("https://creighton-primo.hosted.exlibrisgroup.com/primo-explore/search?tab=default_tab&amp;search_scope=EVERYTHING&amp;vid=01CRU&amp;lang=en_US&amp;offset=0&amp;query=any,contains,991003024929702656","Catalog Record")</f>
        <v>Catalog Record</v>
      </c>
      <c r="AT774" s="6" t="str">
        <f>HYPERLINK("http://www.worldcat.org/oclc/589147","WorldCat Record")</f>
        <v>WorldCat Record</v>
      </c>
      <c r="AU774" s="3" t="s">
        <v>9849</v>
      </c>
      <c r="AV774" s="3" t="s">
        <v>9850</v>
      </c>
      <c r="AW774" s="3" t="s">
        <v>9851</v>
      </c>
      <c r="AX774" s="3" t="s">
        <v>9851</v>
      </c>
      <c r="AY774" s="3" t="s">
        <v>9852</v>
      </c>
      <c r="AZ774" s="3" t="s">
        <v>73</v>
      </c>
      <c r="BB774" s="3" t="s">
        <v>9853</v>
      </c>
      <c r="BC774" s="3" t="s">
        <v>9854</v>
      </c>
      <c r="BD774" s="3" t="s">
        <v>9855</v>
      </c>
    </row>
    <row r="775" spans="1:56" ht="51" customHeight="1" x14ac:dyDescent="0.25">
      <c r="A775" s="7" t="s">
        <v>58</v>
      </c>
      <c r="B775" s="2" t="s">
        <v>9856</v>
      </c>
      <c r="C775" s="2" t="s">
        <v>9857</v>
      </c>
      <c r="D775" s="2" t="s">
        <v>9858</v>
      </c>
      <c r="F775" s="3" t="s">
        <v>58</v>
      </c>
      <c r="G775" s="3" t="s">
        <v>59</v>
      </c>
      <c r="H775" s="3" t="s">
        <v>58</v>
      </c>
      <c r="I775" s="3" t="s">
        <v>58</v>
      </c>
      <c r="J775" s="3" t="s">
        <v>60</v>
      </c>
      <c r="K775" s="2" t="s">
        <v>9859</v>
      </c>
      <c r="L775" s="2" t="s">
        <v>9860</v>
      </c>
      <c r="M775" s="3" t="s">
        <v>62</v>
      </c>
      <c r="O775" s="3" t="s">
        <v>63</v>
      </c>
      <c r="P775" s="3" t="s">
        <v>571</v>
      </c>
      <c r="R775" s="3" t="s">
        <v>65</v>
      </c>
      <c r="S775" s="4">
        <v>2</v>
      </c>
      <c r="T775" s="4">
        <v>2</v>
      </c>
      <c r="U775" s="5" t="s">
        <v>9848</v>
      </c>
      <c r="V775" s="5" t="s">
        <v>9848</v>
      </c>
      <c r="W775" s="5" t="s">
        <v>2034</v>
      </c>
      <c r="X775" s="5" t="s">
        <v>2034</v>
      </c>
      <c r="Y775" s="4">
        <v>387</v>
      </c>
      <c r="Z775" s="4">
        <v>335</v>
      </c>
      <c r="AA775" s="4">
        <v>471</v>
      </c>
      <c r="AB775" s="4">
        <v>3</v>
      </c>
      <c r="AC775" s="4">
        <v>3</v>
      </c>
      <c r="AD775" s="4">
        <v>19</v>
      </c>
      <c r="AE775" s="4">
        <v>20</v>
      </c>
      <c r="AF775" s="4">
        <v>7</v>
      </c>
      <c r="AG775" s="4">
        <v>7</v>
      </c>
      <c r="AH775" s="4">
        <v>7</v>
      </c>
      <c r="AI775" s="4">
        <v>7</v>
      </c>
      <c r="AJ775" s="4">
        <v>9</v>
      </c>
      <c r="AK775" s="4">
        <v>10</v>
      </c>
      <c r="AL775" s="4">
        <v>2</v>
      </c>
      <c r="AM775" s="4">
        <v>2</v>
      </c>
      <c r="AN775" s="4">
        <v>0</v>
      </c>
      <c r="AO775" s="4">
        <v>0</v>
      </c>
      <c r="AP775" s="3" t="s">
        <v>58</v>
      </c>
      <c r="AQ775" s="3" t="s">
        <v>58</v>
      </c>
      <c r="AS775" s="6" t="str">
        <f>HYPERLINK("https://creighton-primo.hosted.exlibrisgroup.com/primo-explore/search?tab=default_tab&amp;search_scope=EVERYTHING&amp;vid=01CRU&amp;lang=en_US&amp;offset=0&amp;query=any,contains,991003232069702656","Catalog Record")</f>
        <v>Catalog Record</v>
      </c>
      <c r="AT775" s="6" t="str">
        <f>HYPERLINK("http://www.worldcat.org/oclc/756692","WorldCat Record")</f>
        <v>WorldCat Record</v>
      </c>
      <c r="AU775" s="3" t="s">
        <v>9861</v>
      </c>
      <c r="AV775" s="3" t="s">
        <v>9862</v>
      </c>
      <c r="AW775" s="3" t="s">
        <v>9863</v>
      </c>
      <c r="AX775" s="3" t="s">
        <v>9863</v>
      </c>
      <c r="AY775" s="3" t="s">
        <v>9864</v>
      </c>
      <c r="AZ775" s="3" t="s">
        <v>73</v>
      </c>
      <c r="BC775" s="3" t="s">
        <v>9865</v>
      </c>
      <c r="BD775" s="3" t="s">
        <v>9866</v>
      </c>
    </row>
    <row r="776" spans="1:56" ht="51" customHeight="1" x14ac:dyDescent="0.25">
      <c r="A776" s="7" t="s">
        <v>58</v>
      </c>
      <c r="B776" s="2" t="s">
        <v>9867</v>
      </c>
      <c r="C776" s="2" t="s">
        <v>9868</v>
      </c>
      <c r="D776" s="2" t="s">
        <v>9869</v>
      </c>
      <c r="F776" s="3" t="s">
        <v>58</v>
      </c>
      <c r="G776" s="3" t="s">
        <v>59</v>
      </c>
      <c r="H776" s="3" t="s">
        <v>58</v>
      </c>
      <c r="I776" s="3" t="s">
        <v>58</v>
      </c>
      <c r="J776" s="3" t="s">
        <v>60</v>
      </c>
      <c r="K776" s="2" t="s">
        <v>9870</v>
      </c>
      <c r="L776" s="2" t="s">
        <v>9871</v>
      </c>
      <c r="M776" s="3" t="s">
        <v>4023</v>
      </c>
      <c r="N776" s="2" t="s">
        <v>338</v>
      </c>
      <c r="O776" s="3" t="s">
        <v>63</v>
      </c>
      <c r="P776" s="3" t="s">
        <v>1837</v>
      </c>
      <c r="R776" s="3" t="s">
        <v>65</v>
      </c>
      <c r="S776" s="4">
        <v>2</v>
      </c>
      <c r="T776" s="4">
        <v>2</v>
      </c>
      <c r="U776" s="5" t="s">
        <v>9872</v>
      </c>
      <c r="V776" s="5" t="s">
        <v>9872</v>
      </c>
      <c r="W776" s="5" t="s">
        <v>9872</v>
      </c>
      <c r="X776" s="5" t="s">
        <v>9872</v>
      </c>
      <c r="Y776" s="4">
        <v>385</v>
      </c>
      <c r="Z776" s="4">
        <v>335</v>
      </c>
      <c r="AA776" s="4">
        <v>336</v>
      </c>
      <c r="AB776" s="4">
        <v>2</v>
      </c>
      <c r="AC776" s="4">
        <v>2</v>
      </c>
      <c r="AD776" s="4">
        <v>21</v>
      </c>
      <c r="AE776" s="4">
        <v>21</v>
      </c>
      <c r="AF776" s="4">
        <v>10</v>
      </c>
      <c r="AG776" s="4">
        <v>10</v>
      </c>
      <c r="AH776" s="4">
        <v>5</v>
      </c>
      <c r="AI776" s="4">
        <v>5</v>
      </c>
      <c r="AJ776" s="4">
        <v>12</v>
      </c>
      <c r="AK776" s="4">
        <v>12</v>
      </c>
      <c r="AL776" s="4">
        <v>1</v>
      </c>
      <c r="AM776" s="4">
        <v>1</v>
      </c>
      <c r="AN776" s="4">
        <v>0</v>
      </c>
      <c r="AO776" s="4">
        <v>0</v>
      </c>
      <c r="AP776" s="3" t="s">
        <v>58</v>
      </c>
      <c r="AQ776" s="3" t="s">
        <v>68</v>
      </c>
      <c r="AR776" s="6" t="str">
        <f>HYPERLINK("http://catalog.hathitrust.org/Record/004957512","HathiTrust Record")</f>
        <v>HathiTrust Record</v>
      </c>
      <c r="AS776" s="6" t="str">
        <f>HYPERLINK("https://creighton-primo.hosted.exlibrisgroup.com/primo-explore/search?tab=default_tab&amp;search_scope=EVERYTHING&amp;vid=01CRU&amp;lang=en_US&amp;offset=0&amp;query=any,contains,991004504099702656","Catalog Record")</f>
        <v>Catalog Record</v>
      </c>
      <c r="AT776" s="6" t="str">
        <f>HYPERLINK("http://www.worldcat.org/oclc/53138674","WorldCat Record")</f>
        <v>WorldCat Record</v>
      </c>
      <c r="AU776" s="3" t="s">
        <v>9873</v>
      </c>
      <c r="AV776" s="3" t="s">
        <v>9874</v>
      </c>
      <c r="AW776" s="3" t="s">
        <v>9875</v>
      </c>
      <c r="AX776" s="3" t="s">
        <v>9875</v>
      </c>
      <c r="AY776" s="3" t="s">
        <v>9876</v>
      </c>
      <c r="AZ776" s="3" t="s">
        <v>73</v>
      </c>
      <c r="BB776" s="3" t="s">
        <v>9877</v>
      </c>
      <c r="BC776" s="3" t="s">
        <v>9878</v>
      </c>
      <c r="BD776" s="3" t="s">
        <v>9879</v>
      </c>
    </row>
    <row r="777" spans="1:56" ht="51" customHeight="1" x14ac:dyDescent="0.25">
      <c r="A777" s="7" t="s">
        <v>58</v>
      </c>
      <c r="B777" s="2" t="s">
        <v>9880</v>
      </c>
      <c r="C777" s="2" t="s">
        <v>9881</v>
      </c>
      <c r="D777" s="2" t="s">
        <v>9882</v>
      </c>
      <c r="F777" s="3" t="s">
        <v>58</v>
      </c>
      <c r="G777" s="3" t="s">
        <v>59</v>
      </c>
      <c r="H777" s="3" t="s">
        <v>58</v>
      </c>
      <c r="I777" s="3" t="s">
        <v>58</v>
      </c>
      <c r="J777" s="3" t="s">
        <v>60</v>
      </c>
      <c r="L777" s="2" t="s">
        <v>9883</v>
      </c>
      <c r="M777" s="3" t="s">
        <v>423</v>
      </c>
      <c r="O777" s="3" t="s">
        <v>63</v>
      </c>
      <c r="P777" s="3" t="s">
        <v>584</v>
      </c>
      <c r="Q777" s="2" t="s">
        <v>9884</v>
      </c>
      <c r="R777" s="3" t="s">
        <v>65</v>
      </c>
      <c r="S777" s="4">
        <v>5</v>
      </c>
      <c r="T777" s="4">
        <v>5</v>
      </c>
      <c r="U777" s="5" t="s">
        <v>9885</v>
      </c>
      <c r="V777" s="5" t="s">
        <v>9885</v>
      </c>
      <c r="W777" s="5" t="s">
        <v>4339</v>
      </c>
      <c r="X777" s="5" t="s">
        <v>4339</v>
      </c>
      <c r="Y777" s="4">
        <v>223</v>
      </c>
      <c r="Z777" s="4">
        <v>160</v>
      </c>
      <c r="AA777" s="4">
        <v>162</v>
      </c>
      <c r="AB777" s="4">
        <v>1</v>
      </c>
      <c r="AC777" s="4">
        <v>1</v>
      </c>
      <c r="AD777" s="4">
        <v>10</v>
      </c>
      <c r="AE777" s="4">
        <v>10</v>
      </c>
      <c r="AF777" s="4">
        <v>2</v>
      </c>
      <c r="AG777" s="4">
        <v>2</v>
      </c>
      <c r="AH777" s="4">
        <v>4</v>
      </c>
      <c r="AI777" s="4">
        <v>4</v>
      </c>
      <c r="AJ777" s="4">
        <v>7</v>
      </c>
      <c r="AK777" s="4">
        <v>7</v>
      </c>
      <c r="AL777" s="4">
        <v>0</v>
      </c>
      <c r="AM777" s="4">
        <v>0</v>
      </c>
      <c r="AN777" s="4">
        <v>0</v>
      </c>
      <c r="AO777" s="4">
        <v>0</v>
      </c>
      <c r="AP777" s="3" t="s">
        <v>58</v>
      </c>
      <c r="AQ777" s="3" t="s">
        <v>58</v>
      </c>
      <c r="AS777" s="6" t="str">
        <f>HYPERLINK("https://creighton-primo.hosted.exlibrisgroup.com/primo-explore/search?tab=default_tab&amp;search_scope=EVERYTHING&amp;vid=01CRU&amp;lang=en_US&amp;offset=0&amp;query=any,contains,991002740679702656","Catalog Record")</f>
        <v>Catalog Record</v>
      </c>
      <c r="AT777" s="6" t="str">
        <f>HYPERLINK("http://www.worldcat.org/oclc/35990274","WorldCat Record")</f>
        <v>WorldCat Record</v>
      </c>
      <c r="AU777" s="3" t="s">
        <v>9886</v>
      </c>
      <c r="AV777" s="3" t="s">
        <v>9887</v>
      </c>
      <c r="AW777" s="3" t="s">
        <v>9888</v>
      </c>
      <c r="AX777" s="3" t="s">
        <v>9888</v>
      </c>
      <c r="AY777" s="3" t="s">
        <v>9889</v>
      </c>
      <c r="AZ777" s="3" t="s">
        <v>73</v>
      </c>
      <c r="BB777" s="3" t="s">
        <v>9890</v>
      </c>
      <c r="BC777" s="3" t="s">
        <v>9891</v>
      </c>
      <c r="BD777" s="3" t="s">
        <v>9892</v>
      </c>
    </row>
    <row r="778" spans="1:56" ht="51" customHeight="1" x14ac:dyDescent="0.25">
      <c r="A778" s="7" t="s">
        <v>58</v>
      </c>
      <c r="B778" s="2" t="s">
        <v>9893</v>
      </c>
      <c r="C778" s="2" t="s">
        <v>9894</v>
      </c>
      <c r="D778" s="2" t="s">
        <v>9895</v>
      </c>
      <c r="F778" s="3" t="s">
        <v>58</v>
      </c>
      <c r="G778" s="3" t="s">
        <v>59</v>
      </c>
      <c r="H778" s="3" t="s">
        <v>58</v>
      </c>
      <c r="I778" s="3" t="s">
        <v>58</v>
      </c>
      <c r="J778" s="3" t="s">
        <v>60</v>
      </c>
      <c r="K778" s="2" t="s">
        <v>9896</v>
      </c>
      <c r="L778" s="2" t="s">
        <v>9897</v>
      </c>
      <c r="M778" s="3" t="s">
        <v>815</v>
      </c>
      <c r="O778" s="3" t="s">
        <v>63</v>
      </c>
      <c r="P778" s="3" t="s">
        <v>214</v>
      </c>
      <c r="R778" s="3" t="s">
        <v>65</v>
      </c>
      <c r="S778" s="4">
        <v>3</v>
      </c>
      <c r="T778" s="4">
        <v>3</v>
      </c>
      <c r="U778" s="5" t="s">
        <v>9898</v>
      </c>
      <c r="V778" s="5" t="s">
        <v>9898</v>
      </c>
      <c r="W778" s="5" t="s">
        <v>9899</v>
      </c>
      <c r="X778" s="5" t="s">
        <v>9899</v>
      </c>
      <c r="Y778" s="4">
        <v>1461</v>
      </c>
      <c r="Z778" s="4">
        <v>1350</v>
      </c>
      <c r="AA778" s="4">
        <v>1537</v>
      </c>
      <c r="AB778" s="4">
        <v>9</v>
      </c>
      <c r="AC778" s="4">
        <v>13</v>
      </c>
      <c r="AD778" s="4">
        <v>38</v>
      </c>
      <c r="AE778" s="4">
        <v>41</v>
      </c>
      <c r="AF778" s="4">
        <v>20</v>
      </c>
      <c r="AG778" s="4">
        <v>21</v>
      </c>
      <c r="AH778" s="4">
        <v>6</v>
      </c>
      <c r="AI778" s="4">
        <v>6</v>
      </c>
      <c r="AJ778" s="4">
        <v>13</v>
      </c>
      <c r="AK778" s="4">
        <v>14</v>
      </c>
      <c r="AL778" s="4">
        <v>7</v>
      </c>
      <c r="AM778" s="4">
        <v>9</v>
      </c>
      <c r="AN778" s="4">
        <v>0</v>
      </c>
      <c r="AO778" s="4">
        <v>0</v>
      </c>
      <c r="AP778" s="3" t="s">
        <v>58</v>
      </c>
      <c r="AQ778" s="3" t="s">
        <v>58</v>
      </c>
      <c r="AS778" s="6" t="str">
        <f>HYPERLINK("https://creighton-primo.hosted.exlibrisgroup.com/primo-explore/search?tab=default_tab&amp;search_scope=EVERYTHING&amp;vid=01CRU&amp;lang=en_US&amp;offset=0&amp;query=any,contains,991005313629702656","Catalog Record")</f>
        <v>Catalog Record</v>
      </c>
      <c r="AT778" s="6" t="str">
        <f>HYPERLINK("http://www.worldcat.org/oclc/182779666","WorldCat Record")</f>
        <v>WorldCat Record</v>
      </c>
      <c r="AU778" s="3" t="s">
        <v>9900</v>
      </c>
      <c r="AV778" s="3" t="s">
        <v>9901</v>
      </c>
      <c r="AW778" s="3" t="s">
        <v>9902</v>
      </c>
      <c r="AX778" s="3" t="s">
        <v>9902</v>
      </c>
      <c r="AY778" s="3" t="s">
        <v>9903</v>
      </c>
      <c r="AZ778" s="3" t="s">
        <v>73</v>
      </c>
      <c r="BB778" s="3" t="s">
        <v>9904</v>
      </c>
      <c r="BC778" s="3" t="s">
        <v>9905</v>
      </c>
      <c r="BD778" s="3" t="s">
        <v>9906</v>
      </c>
    </row>
    <row r="779" spans="1:56" ht="51" customHeight="1" x14ac:dyDescent="0.25">
      <c r="A779" s="7" t="s">
        <v>58</v>
      </c>
      <c r="B779" s="2" t="s">
        <v>9907</v>
      </c>
      <c r="C779" s="2" t="s">
        <v>9908</v>
      </c>
      <c r="D779" s="2" t="s">
        <v>9909</v>
      </c>
      <c r="F779" s="3" t="s">
        <v>58</v>
      </c>
      <c r="G779" s="3" t="s">
        <v>59</v>
      </c>
      <c r="H779" s="3" t="s">
        <v>58</v>
      </c>
      <c r="I779" s="3" t="s">
        <v>58</v>
      </c>
      <c r="J779" s="3" t="s">
        <v>60</v>
      </c>
      <c r="K779" s="2" t="s">
        <v>9910</v>
      </c>
      <c r="L779" s="2" t="s">
        <v>9911</v>
      </c>
      <c r="M779" s="3" t="s">
        <v>62</v>
      </c>
      <c r="O779" s="3" t="s">
        <v>63</v>
      </c>
      <c r="P779" s="3" t="s">
        <v>584</v>
      </c>
      <c r="R779" s="3" t="s">
        <v>65</v>
      </c>
      <c r="S779" s="4">
        <v>3</v>
      </c>
      <c r="T779" s="4">
        <v>3</v>
      </c>
      <c r="U779" s="5" t="s">
        <v>9912</v>
      </c>
      <c r="V779" s="5" t="s">
        <v>9912</v>
      </c>
      <c r="W779" s="5" t="s">
        <v>2616</v>
      </c>
      <c r="X779" s="5" t="s">
        <v>2616</v>
      </c>
      <c r="Y779" s="4">
        <v>432</v>
      </c>
      <c r="Z779" s="4">
        <v>305</v>
      </c>
      <c r="AA779" s="4">
        <v>602</v>
      </c>
      <c r="AB779" s="4">
        <v>2</v>
      </c>
      <c r="AC779" s="4">
        <v>3</v>
      </c>
      <c r="AD779" s="4">
        <v>7</v>
      </c>
      <c r="AE779" s="4">
        <v>21</v>
      </c>
      <c r="AF779" s="4">
        <v>2</v>
      </c>
      <c r="AG779" s="4">
        <v>8</v>
      </c>
      <c r="AH779" s="4">
        <v>0</v>
      </c>
      <c r="AI779" s="4">
        <v>4</v>
      </c>
      <c r="AJ779" s="4">
        <v>4</v>
      </c>
      <c r="AK779" s="4">
        <v>10</v>
      </c>
      <c r="AL779" s="4">
        <v>1</v>
      </c>
      <c r="AM779" s="4">
        <v>2</v>
      </c>
      <c r="AN779" s="4">
        <v>0</v>
      </c>
      <c r="AO779" s="4">
        <v>0</v>
      </c>
      <c r="AP779" s="3" t="s">
        <v>58</v>
      </c>
      <c r="AQ779" s="3" t="s">
        <v>58</v>
      </c>
      <c r="AS779" s="6" t="str">
        <f>HYPERLINK("https://creighton-primo.hosted.exlibrisgroup.com/primo-explore/search?tab=default_tab&amp;search_scope=EVERYTHING&amp;vid=01CRU&amp;lang=en_US&amp;offset=0&amp;query=any,contains,991000829239702656","Catalog Record")</f>
        <v>Catalog Record</v>
      </c>
      <c r="AT779" s="6" t="str">
        <f>HYPERLINK("http://www.worldcat.org/oclc/147054","WorldCat Record")</f>
        <v>WorldCat Record</v>
      </c>
      <c r="AU779" s="3" t="s">
        <v>9913</v>
      </c>
      <c r="AV779" s="3" t="s">
        <v>9914</v>
      </c>
      <c r="AW779" s="3" t="s">
        <v>9915</v>
      </c>
      <c r="AX779" s="3" t="s">
        <v>9915</v>
      </c>
      <c r="AY779" s="3" t="s">
        <v>9916</v>
      </c>
      <c r="AZ779" s="3" t="s">
        <v>73</v>
      </c>
      <c r="BB779" s="3" t="s">
        <v>9917</v>
      </c>
      <c r="BC779" s="3" t="s">
        <v>9918</v>
      </c>
      <c r="BD779" s="3" t="s">
        <v>9919</v>
      </c>
    </row>
    <row r="780" spans="1:56" ht="51" customHeight="1" x14ac:dyDescent="0.25">
      <c r="A780" s="7" t="s">
        <v>58</v>
      </c>
      <c r="B780" s="2" t="s">
        <v>9920</v>
      </c>
      <c r="C780" s="2" t="s">
        <v>9921</v>
      </c>
      <c r="D780" s="2" t="s">
        <v>9922</v>
      </c>
      <c r="F780" s="3" t="s">
        <v>58</v>
      </c>
      <c r="G780" s="3" t="s">
        <v>59</v>
      </c>
      <c r="H780" s="3" t="s">
        <v>58</v>
      </c>
      <c r="I780" s="3" t="s">
        <v>58</v>
      </c>
      <c r="J780" s="3" t="s">
        <v>60</v>
      </c>
      <c r="K780" s="2" t="s">
        <v>9923</v>
      </c>
      <c r="L780" s="2" t="s">
        <v>9924</v>
      </c>
      <c r="M780" s="3" t="s">
        <v>552</v>
      </c>
      <c r="O780" s="3" t="s">
        <v>63</v>
      </c>
      <c r="P780" s="3" t="s">
        <v>2630</v>
      </c>
      <c r="R780" s="3" t="s">
        <v>65</v>
      </c>
      <c r="S780" s="4">
        <v>4</v>
      </c>
      <c r="T780" s="4">
        <v>4</v>
      </c>
      <c r="U780" s="5" t="s">
        <v>9925</v>
      </c>
      <c r="V780" s="5" t="s">
        <v>9925</v>
      </c>
      <c r="W780" s="5" t="s">
        <v>9926</v>
      </c>
      <c r="X780" s="5" t="s">
        <v>9926</v>
      </c>
      <c r="Y780" s="4">
        <v>454</v>
      </c>
      <c r="Z780" s="4">
        <v>367</v>
      </c>
      <c r="AA780" s="4">
        <v>374</v>
      </c>
      <c r="AB780" s="4">
        <v>2</v>
      </c>
      <c r="AC780" s="4">
        <v>2</v>
      </c>
      <c r="AD780" s="4">
        <v>20</v>
      </c>
      <c r="AE780" s="4">
        <v>20</v>
      </c>
      <c r="AF780" s="4">
        <v>7</v>
      </c>
      <c r="AG780" s="4">
        <v>7</v>
      </c>
      <c r="AH780" s="4">
        <v>7</v>
      </c>
      <c r="AI780" s="4">
        <v>7</v>
      </c>
      <c r="AJ780" s="4">
        <v>10</v>
      </c>
      <c r="AK780" s="4">
        <v>10</v>
      </c>
      <c r="AL780" s="4">
        <v>1</v>
      </c>
      <c r="AM780" s="4">
        <v>1</v>
      </c>
      <c r="AN780" s="4">
        <v>0</v>
      </c>
      <c r="AO780" s="4">
        <v>0</v>
      </c>
      <c r="AP780" s="3" t="s">
        <v>58</v>
      </c>
      <c r="AQ780" s="3" t="s">
        <v>58</v>
      </c>
      <c r="AS780" s="6" t="str">
        <f>HYPERLINK("https://creighton-primo.hosted.exlibrisgroup.com/primo-explore/search?tab=default_tab&amp;search_scope=EVERYTHING&amp;vid=01CRU&amp;lang=en_US&amp;offset=0&amp;query=any,contains,991001563449702656","Catalog Record")</f>
        <v>Catalog Record</v>
      </c>
      <c r="AT780" s="6" t="str">
        <f>HYPERLINK("http://www.worldcat.org/oclc/20319164","WorldCat Record")</f>
        <v>WorldCat Record</v>
      </c>
      <c r="AU780" s="3" t="s">
        <v>9927</v>
      </c>
      <c r="AV780" s="3" t="s">
        <v>9928</v>
      </c>
      <c r="AW780" s="3" t="s">
        <v>9929</v>
      </c>
      <c r="AX780" s="3" t="s">
        <v>9929</v>
      </c>
      <c r="AY780" s="3" t="s">
        <v>9930</v>
      </c>
      <c r="AZ780" s="3" t="s">
        <v>73</v>
      </c>
      <c r="BB780" s="3" t="s">
        <v>9931</v>
      </c>
      <c r="BC780" s="3" t="s">
        <v>9932</v>
      </c>
      <c r="BD780" s="3" t="s">
        <v>9933</v>
      </c>
    </row>
    <row r="781" spans="1:56" ht="51" customHeight="1" x14ac:dyDescent="0.25">
      <c r="A781" s="7" t="s">
        <v>58</v>
      </c>
      <c r="B781" s="2" t="s">
        <v>9934</v>
      </c>
      <c r="C781" s="2" t="s">
        <v>9935</v>
      </c>
      <c r="D781" s="2" t="s">
        <v>9936</v>
      </c>
      <c r="F781" s="3" t="s">
        <v>58</v>
      </c>
      <c r="G781" s="3" t="s">
        <v>59</v>
      </c>
      <c r="H781" s="3" t="s">
        <v>58</v>
      </c>
      <c r="I781" s="3" t="s">
        <v>58</v>
      </c>
      <c r="J781" s="3" t="s">
        <v>60</v>
      </c>
      <c r="K781" s="2" t="s">
        <v>9937</v>
      </c>
      <c r="L781" s="2" t="s">
        <v>9938</v>
      </c>
      <c r="M781" s="3" t="s">
        <v>2214</v>
      </c>
      <c r="O781" s="3" t="s">
        <v>63</v>
      </c>
      <c r="P781" s="3" t="s">
        <v>816</v>
      </c>
      <c r="Q781" s="2" t="s">
        <v>9939</v>
      </c>
      <c r="R781" s="3" t="s">
        <v>65</v>
      </c>
      <c r="S781" s="4">
        <v>7</v>
      </c>
      <c r="T781" s="4">
        <v>7</v>
      </c>
      <c r="U781" s="5" t="s">
        <v>9940</v>
      </c>
      <c r="V781" s="5" t="s">
        <v>9940</v>
      </c>
      <c r="W781" s="5" t="s">
        <v>9941</v>
      </c>
      <c r="X781" s="5" t="s">
        <v>9941</v>
      </c>
      <c r="Y781" s="4">
        <v>585</v>
      </c>
      <c r="Z781" s="4">
        <v>543</v>
      </c>
      <c r="AA781" s="4">
        <v>775</v>
      </c>
      <c r="AB781" s="4">
        <v>6</v>
      </c>
      <c r="AC781" s="4">
        <v>8</v>
      </c>
      <c r="AD781" s="4">
        <v>27</v>
      </c>
      <c r="AE781" s="4">
        <v>35</v>
      </c>
      <c r="AF781" s="4">
        <v>12</v>
      </c>
      <c r="AG781" s="4">
        <v>14</v>
      </c>
      <c r="AH781" s="4">
        <v>5</v>
      </c>
      <c r="AI781" s="4">
        <v>9</v>
      </c>
      <c r="AJ781" s="4">
        <v>10</v>
      </c>
      <c r="AK781" s="4">
        <v>12</v>
      </c>
      <c r="AL781" s="4">
        <v>5</v>
      </c>
      <c r="AM781" s="4">
        <v>7</v>
      </c>
      <c r="AN781" s="4">
        <v>0</v>
      </c>
      <c r="AO781" s="4">
        <v>0</v>
      </c>
      <c r="AP781" s="3" t="s">
        <v>58</v>
      </c>
      <c r="AQ781" s="3" t="s">
        <v>58</v>
      </c>
      <c r="AS781" s="6" t="str">
        <f>HYPERLINK("https://creighton-primo.hosted.exlibrisgroup.com/primo-explore/search?tab=default_tab&amp;search_scope=EVERYTHING&amp;vid=01CRU&amp;lang=en_US&amp;offset=0&amp;query=any,contains,991004853679702656","Catalog Record")</f>
        <v>Catalog Record</v>
      </c>
      <c r="AT781" s="6" t="str">
        <f>HYPERLINK("http://www.worldcat.org/oclc/54805969","WorldCat Record")</f>
        <v>WorldCat Record</v>
      </c>
      <c r="AU781" s="3" t="s">
        <v>9942</v>
      </c>
      <c r="AV781" s="3" t="s">
        <v>9943</v>
      </c>
      <c r="AW781" s="3" t="s">
        <v>9944</v>
      </c>
      <c r="AX781" s="3" t="s">
        <v>9944</v>
      </c>
      <c r="AY781" s="3" t="s">
        <v>9945</v>
      </c>
      <c r="AZ781" s="3" t="s">
        <v>73</v>
      </c>
      <c r="BB781" s="3" t="s">
        <v>9946</v>
      </c>
      <c r="BC781" s="3" t="s">
        <v>9947</v>
      </c>
      <c r="BD781" s="3" t="s">
        <v>9948</v>
      </c>
    </row>
    <row r="782" spans="1:56" ht="51" customHeight="1" x14ac:dyDescent="0.25">
      <c r="A782" s="7" t="s">
        <v>58</v>
      </c>
      <c r="B782" s="2" t="s">
        <v>9949</v>
      </c>
      <c r="C782" s="2" t="s">
        <v>9950</v>
      </c>
      <c r="D782" s="2" t="s">
        <v>9951</v>
      </c>
      <c r="F782" s="3" t="s">
        <v>58</v>
      </c>
      <c r="G782" s="3" t="s">
        <v>59</v>
      </c>
      <c r="H782" s="3" t="s">
        <v>58</v>
      </c>
      <c r="I782" s="3" t="s">
        <v>58</v>
      </c>
      <c r="J782" s="3" t="s">
        <v>60</v>
      </c>
      <c r="K782" s="2" t="s">
        <v>9952</v>
      </c>
      <c r="L782" s="2" t="s">
        <v>9953</v>
      </c>
      <c r="M782" s="3" t="s">
        <v>9174</v>
      </c>
      <c r="O782" s="3" t="s">
        <v>63</v>
      </c>
      <c r="P782" s="3" t="s">
        <v>571</v>
      </c>
      <c r="Q782" s="2" t="s">
        <v>9954</v>
      </c>
      <c r="R782" s="3" t="s">
        <v>65</v>
      </c>
      <c r="S782" s="4">
        <v>6</v>
      </c>
      <c r="T782" s="4">
        <v>6</v>
      </c>
      <c r="U782" s="5" t="s">
        <v>9955</v>
      </c>
      <c r="V782" s="5" t="s">
        <v>9955</v>
      </c>
      <c r="W782" s="5" t="s">
        <v>2616</v>
      </c>
      <c r="X782" s="5" t="s">
        <v>2616</v>
      </c>
      <c r="Y782" s="4">
        <v>301</v>
      </c>
      <c r="Z782" s="4">
        <v>259</v>
      </c>
      <c r="AA782" s="4">
        <v>285</v>
      </c>
      <c r="AB782" s="4">
        <v>2</v>
      </c>
      <c r="AC782" s="4">
        <v>2</v>
      </c>
      <c r="AD782" s="4">
        <v>10</v>
      </c>
      <c r="AE782" s="4">
        <v>11</v>
      </c>
      <c r="AF782" s="4">
        <v>1</v>
      </c>
      <c r="AG782" s="4">
        <v>1</v>
      </c>
      <c r="AH782" s="4">
        <v>5</v>
      </c>
      <c r="AI782" s="4">
        <v>5</v>
      </c>
      <c r="AJ782" s="4">
        <v>5</v>
      </c>
      <c r="AK782" s="4">
        <v>6</v>
      </c>
      <c r="AL782" s="4">
        <v>1</v>
      </c>
      <c r="AM782" s="4">
        <v>1</v>
      </c>
      <c r="AN782" s="4">
        <v>0</v>
      </c>
      <c r="AO782" s="4">
        <v>0</v>
      </c>
      <c r="AP782" s="3" t="s">
        <v>58</v>
      </c>
      <c r="AQ782" s="3" t="s">
        <v>68</v>
      </c>
      <c r="AR782" s="6" t="str">
        <f>HYPERLINK("http://catalog.hathitrust.org/Record/010092064","HathiTrust Record")</f>
        <v>HathiTrust Record</v>
      </c>
      <c r="AS782" s="6" t="str">
        <f>HYPERLINK("https://creighton-primo.hosted.exlibrisgroup.com/primo-explore/search?tab=default_tab&amp;search_scope=EVERYTHING&amp;vid=01CRU&amp;lang=en_US&amp;offset=0&amp;query=any,contains,991003256589702656","Catalog Record")</f>
        <v>Catalog Record</v>
      </c>
      <c r="AT782" s="6" t="str">
        <f>HYPERLINK("http://www.worldcat.org/oclc/781970","WorldCat Record")</f>
        <v>WorldCat Record</v>
      </c>
      <c r="AU782" s="3" t="s">
        <v>9956</v>
      </c>
      <c r="AV782" s="3" t="s">
        <v>9957</v>
      </c>
      <c r="AW782" s="3" t="s">
        <v>9958</v>
      </c>
      <c r="AX782" s="3" t="s">
        <v>9958</v>
      </c>
      <c r="AY782" s="3" t="s">
        <v>9959</v>
      </c>
      <c r="AZ782" s="3" t="s">
        <v>73</v>
      </c>
      <c r="BB782" s="3" t="s">
        <v>9960</v>
      </c>
      <c r="BC782" s="3" t="s">
        <v>9961</v>
      </c>
      <c r="BD782" s="3" t="s">
        <v>9962</v>
      </c>
    </row>
    <row r="783" spans="1:56" ht="51" customHeight="1" x14ac:dyDescent="0.25">
      <c r="A783" s="7" t="s">
        <v>58</v>
      </c>
      <c r="B783" s="2" t="s">
        <v>9963</v>
      </c>
      <c r="C783" s="2" t="s">
        <v>9964</v>
      </c>
      <c r="D783" s="2" t="s">
        <v>9965</v>
      </c>
      <c r="F783" s="3" t="s">
        <v>68</v>
      </c>
      <c r="G783" s="3" t="s">
        <v>59</v>
      </c>
      <c r="H783" s="3" t="s">
        <v>68</v>
      </c>
      <c r="I783" s="3" t="s">
        <v>58</v>
      </c>
      <c r="J783" s="3" t="s">
        <v>60</v>
      </c>
      <c r="K783" s="2" t="s">
        <v>9966</v>
      </c>
      <c r="L783" s="2" t="s">
        <v>9967</v>
      </c>
      <c r="M783" s="3" t="s">
        <v>538</v>
      </c>
      <c r="N783" s="2" t="s">
        <v>9968</v>
      </c>
      <c r="O783" s="3" t="s">
        <v>63</v>
      </c>
      <c r="P783" s="3" t="s">
        <v>214</v>
      </c>
      <c r="R783" s="3" t="s">
        <v>65</v>
      </c>
      <c r="S783" s="4">
        <v>5</v>
      </c>
      <c r="T783" s="4">
        <v>7</v>
      </c>
      <c r="U783" s="5" t="s">
        <v>9969</v>
      </c>
      <c r="V783" s="5" t="s">
        <v>9969</v>
      </c>
      <c r="W783" s="5" t="s">
        <v>2616</v>
      </c>
      <c r="X783" s="5" t="s">
        <v>2616</v>
      </c>
      <c r="Y783" s="4">
        <v>204</v>
      </c>
      <c r="Z783" s="4">
        <v>194</v>
      </c>
      <c r="AA783" s="4">
        <v>196</v>
      </c>
      <c r="AB783" s="4">
        <v>3</v>
      </c>
      <c r="AC783" s="4">
        <v>3</v>
      </c>
      <c r="AD783" s="4">
        <v>4</v>
      </c>
      <c r="AE783" s="4">
        <v>4</v>
      </c>
      <c r="AF783" s="4">
        <v>1</v>
      </c>
      <c r="AG783" s="4">
        <v>1</v>
      </c>
      <c r="AH783" s="4">
        <v>0</v>
      </c>
      <c r="AI783" s="4">
        <v>0</v>
      </c>
      <c r="AJ783" s="4">
        <v>1</v>
      </c>
      <c r="AK783" s="4">
        <v>1</v>
      </c>
      <c r="AL783" s="4">
        <v>2</v>
      </c>
      <c r="AM783" s="4">
        <v>2</v>
      </c>
      <c r="AN783" s="4">
        <v>0</v>
      </c>
      <c r="AO783" s="4">
        <v>0</v>
      </c>
      <c r="AP783" s="3" t="s">
        <v>58</v>
      </c>
      <c r="AQ783" s="3" t="s">
        <v>68</v>
      </c>
      <c r="AR783" s="6" t="str">
        <f>HYPERLINK("http://catalog.hathitrust.org/Record/009907792","HathiTrust Record")</f>
        <v>HathiTrust Record</v>
      </c>
      <c r="AS783" s="6" t="str">
        <f>HYPERLINK("https://creighton-primo.hosted.exlibrisgroup.com/primo-explore/search?tab=default_tab&amp;search_scope=EVERYTHING&amp;vid=01CRU&amp;lang=en_US&amp;offset=0&amp;query=any,contains,991000087679702656","Catalog Record")</f>
        <v>Catalog Record</v>
      </c>
      <c r="AT783" s="6" t="str">
        <f>HYPERLINK("http://www.worldcat.org/oclc/34317","WorldCat Record")</f>
        <v>WorldCat Record</v>
      </c>
      <c r="AU783" s="3" t="s">
        <v>9970</v>
      </c>
      <c r="AV783" s="3" t="s">
        <v>9971</v>
      </c>
      <c r="AW783" s="3" t="s">
        <v>9972</v>
      </c>
      <c r="AX783" s="3" t="s">
        <v>9972</v>
      </c>
      <c r="AY783" s="3" t="s">
        <v>9973</v>
      </c>
      <c r="AZ783" s="3" t="s">
        <v>73</v>
      </c>
      <c r="BC783" s="3" t="s">
        <v>9974</v>
      </c>
      <c r="BD783" s="3" t="s">
        <v>9975</v>
      </c>
    </row>
    <row r="784" spans="1:56" ht="51" customHeight="1" x14ac:dyDescent="0.25">
      <c r="A784" s="7" t="s">
        <v>58</v>
      </c>
      <c r="B784" s="2" t="s">
        <v>9976</v>
      </c>
      <c r="C784" s="2" t="s">
        <v>9977</v>
      </c>
      <c r="D784" s="2" t="s">
        <v>9965</v>
      </c>
      <c r="E784" s="3" t="s">
        <v>9079</v>
      </c>
      <c r="F784" s="3" t="s">
        <v>68</v>
      </c>
      <c r="G784" s="3" t="s">
        <v>59</v>
      </c>
      <c r="H784" s="3" t="s">
        <v>58</v>
      </c>
      <c r="I784" s="3" t="s">
        <v>58</v>
      </c>
      <c r="J784" s="3" t="s">
        <v>60</v>
      </c>
      <c r="K784" s="2" t="s">
        <v>9966</v>
      </c>
      <c r="L784" s="2" t="s">
        <v>9967</v>
      </c>
      <c r="M784" s="3" t="s">
        <v>538</v>
      </c>
      <c r="N784" s="2" t="s">
        <v>9968</v>
      </c>
      <c r="O784" s="3" t="s">
        <v>63</v>
      </c>
      <c r="P784" s="3" t="s">
        <v>214</v>
      </c>
      <c r="R784" s="3" t="s">
        <v>65</v>
      </c>
      <c r="S784" s="4">
        <v>2</v>
      </c>
      <c r="T784" s="4">
        <v>7</v>
      </c>
      <c r="U784" s="5" t="s">
        <v>9978</v>
      </c>
      <c r="V784" s="5" t="s">
        <v>9969</v>
      </c>
      <c r="W784" s="5" t="s">
        <v>2616</v>
      </c>
      <c r="X784" s="5" t="s">
        <v>2616</v>
      </c>
      <c r="Y784" s="4">
        <v>204</v>
      </c>
      <c r="Z784" s="4">
        <v>194</v>
      </c>
      <c r="AA784" s="4">
        <v>196</v>
      </c>
      <c r="AB784" s="4">
        <v>3</v>
      </c>
      <c r="AC784" s="4">
        <v>3</v>
      </c>
      <c r="AD784" s="4">
        <v>4</v>
      </c>
      <c r="AE784" s="4">
        <v>4</v>
      </c>
      <c r="AF784" s="4">
        <v>1</v>
      </c>
      <c r="AG784" s="4">
        <v>1</v>
      </c>
      <c r="AH784" s="4">
        <v>0</v>
      </c>
      <c r="AI784" s="4">
        <v>0</v>
      </c>
      <c r="AJ784" s="4">
        <v>1</v>
      </c>
      <c r="AK784" s="4">
        <v>1</v>
      </c>
      <c r="AL784" s="4">
        <v>2</v>
      </c>
      <c r="AM784" s="4">
        <v>2</v>
      </c>
      <c r="AN784" s="4">
        <v>0</v>
      </c>
      <c r="AO784" s="4">
        <v>0</v>
      </c>
      <c r="AP784" s="3" t="s">
        <v>58</v>
      </c>
      <c r="AQ784" s="3" t="s">
        <v>68</v>
      </c>
      <c r="AR784" s="6" t="str">
        <f>HYPERLINK("http://catalog.hathitrust.org/Record/009907792","HathiTrust Record")</f>
        <v>HathiTrust Record</v>
      </c>
      <c r="AS784" s="6" t="str">
        <f>HYPERLINK("https://creighton-primo.hosted.exlibrisgroup.com/primo-explore/search?tab=default_tab&amp;search_scope=EVERYTHING&amp;vid=01CRU&amp;lang=en_US&amp;offset=0&amp;query=any,contains,991000087679702656","Catalog Record")</f>
        <v>Catalog Record</v>
      </c>
      <c r="AT784" s="6" t="str">
        <f>HYPERLINK("http://www.worldcat.org/oclc/34317","WorldCat Record")</f>
        <v>WorldCat Record</v>
      </c>
      <c r="AU784" s="3" t="s">
        <v>9970</v>
      </c>
      <c r="AV784" s="3" t="s">
        <v>9971</v>
      </c>
      <c r="AW784" s="3" t="s">
        <v>9972</v>
      </c>
      <c r="AX784" s="3" t="s">
        <v>9972</v>
      </c>
      <c r="AY784" s="3" t="s">
        <v>9973</v>
      </c>
      <c r="AZ784" s="3" t="s">
        <v>73</v>
      </c>
      <c r="BC784" s="3" t="s">
        <v>9979</v>
      </c>
      <c r="BD784" s="3" t="s">
        <v>9980</v>
      </c>
    </row>
    <row r="785" spans="1:56" ht="51" customHeight="1" x14ac:dyDescent="0.25">
      <c r="A785" s="7" t="s">
        <v>58</v>
      </c>
      <c r="B785" s="2" t="s">
        <v>9981</v>
      </c>
      <c r="C785" s="2" t="s">
        <v>9982</v>
      </c>
      <c r="D785" s="2" t="s">
        <v>9983</v>
      </c>
      <c r="F785" s="3" t="s">
        <v>58</v>
      </c>
      <c r="G785" s="3" t="s">
        <v>59</v>
      </c>
      <c r="H785" s="3" t="s">
        <v>58</v>
      </c>
      <c r="I785" s="3" t="s">
        <v>58</v>
      </c>
      <c r="J785" s="3" t="s">
        <v>60</v>
      </c>
      <c r="K785" s="2" t="s">
        <v>9984</v>
      </c>
      <c r="L785" s="2" t="s">
        <v>9985</v>
      </c>
      <c r="M785" s="3" t="s">
        <v>2186</v>
      </c>
      <c r="O785" s="3" t="s">
        <v>63</v>
      </c>
      <c r="P785" s="3" t="s">
        <v>584</v>
      </c>
      <c r="R785" s="3" t="s">
        <v>65</v>
      </c>
      <c r="S785" s="4">
        <v>4</v>
      </c>
      <c r="T785" s="4">
        <v>4</v>
      </c>
      <c r="U785" s="5" t="s">
        <v>9940</v>
      </c>
      <c r="V785" s="5" t="s">
        <v>9940</v>
      </c>
      <c r="W785" s="5" t="s">
        <v>9986</v>
      </c>
      <c r="X785" s="5" t="s">
        <v>9986</v>
      </c>
      <c r="Y785" s="4">
        <v>318</v>
      </c>
      <c r="Z785" s="4">
        <v>245</v>
      </c>
      <c r="AA785" s="4">
        <v>261</v>
      </c>
      <c r="AB785" s="4">
        <v>1</v>
      </c>
      <c r="AC785" s="4">
        <v>1</v>
      </c>
      <c r="AD785" s="4">
        <v>12</v>
      </c>
      <c r="AE785" s="4">
        <v>12</v>
      </c>
      <c r="AF785" s="4">
        <v>7</v>
      </c>
      <c r="AG785" s="4">
        <v>7</v>
      </c>
      <c r="AH785" s="4">
        <v>3</v>
      </c>
      <c r="AI785" s="4">
        <v>3</v>
      </c>
      <c r="AJ785" s="4">
        <v>7</v>
      </c>
      <c r="AK785" s="4">
        <v>7</v>
      </c>
      <c r="AL785" s="4">
        <v>0</v>
      </c>
      <c r="AM785" s="4">
        <v>0</v>
      </c>
      <c r="AN785" s="4">
        <v>0</v>
      </c>
      <c r="AO785" s="4">
        <v>0</v>
      </c>
      <c r="AP785" s="3" t="s">
        <v>58</v>
      </c>
      <c r="AQ785" s="3" t="s">
        <v>58</v>
      </c>
      <c r="AS785" s="6" t="str">
        <f>HYPERLINK("https://creighton-primo.hosted.exlibrisgroup.com/primo-explore/search?tab=default_tab&amp;search_scope=EVERYTHING&amp;vid=01CRU&amp;lang=en_US&amp;offset=0&amp;query=any,contains,991005281929702656","Catalog Record")</f>
        <v>Catalog Record</v>
      </c>
      <c r="AT785" s="6" t="str">
        <f>HYPERLINK("http://www.worldcat.org/oclc/76936414","WorldCat Record")</f>
        <v>WorldCat Record</v>
      </c>
      <c r="AU785" s="3" t="s">
        <v>9987</v>
      </c>
      <c r="AV785" s="3" t="s">
        <v>9988</v>
      </c>
      <c r="AW785" s="3" t="s">
        <v>9989</v>
      </c>
      <c r="AX785" s="3" t="s">
        <v>9989</v>
      </c>
      <c r="AY785" s="3" t="s">
        <v>9990</v>
      </c>
      <c r="AZ785" s="3" t="s">
        <v>73</v>
      </c>
      <c r="BB785" s="3" t="s">
        <v>9991</v>
      </c>
      <c r="BC785" s="3" t="s">
        <v>9992</v>
      </c>
      <c r="BD785" s="3" t="s">
        <v>9993</v>
      </c>
    </row>
    <row r="786" spans="1:56" ht="51" customHeight="1" x14ac:dyDescent="0.25">
      <c r="A786" s="7" t="s">
        <v>58</v>
      </c>
      <c r="B786" s="2" t="s">
        <v>9994</v>
      </c>
      <c r="C786" s="2" t="s">
        <v>9995</v>
      </c>
      <c r="D786" s="2" t="s">
        <v>9996</v>
      </c>
      <c r="F786" s="3" t="s">
        <v>58</v>
      </c>
      <c r="G786" s="3" t="s">
        <v>59</v>
      </c>
      <c r="H786" s="3" t="s">
        <v>68</v>
      </c>
      <c r="I786" s="3" t="s">
        <v>58</v>
      </c>
      <c r="J786" s="3" t="s">
        <v>60</v>
      </c>
      <c r="K786" s="2" t="s">
        <v>9997</v>
      </c>
      <c r="L786" s="2" t="s">
        <v>9998</v>
      </c>
      <c r="M786" s="3" t="s">
        <v>1385</v>
      </c>
      <c r="O786" s="3" t="s">
        <v>63</v>
      </c>
      <c r="P786" s="3" t="s">
        <v>2061</v>
      </c>
      <c r="R786" s="3" t="s">
        <v>65</v>
      </c>
      <c r="S786" s="4">
        <v>3</v>
      </c>
      <c r="T786" s="4">
        <v>3</v>
      </c>
      <c r="U786" s="5" t="s">
        <v>9999</v>
      </c>
      <c r="V786" s="5" t="s">
        <v>9999</v>
      </c>
      <c r="W786" s="5" t="s">
        <v>9546</v>
      </c>
      <c r="X786" s="5" t="s">
        <v>10000</v>
      </c>
      <c r="Y786" s="4">
        <v>611</v>
      </c>
      <c r="Z786" s="4">
        <v>484</v>
      </c>
      <c r="AA786" s="4">
        <v>486</v>
      </c>
      <c r="AB786" s="4">
        <v>5</v>
      </c>
      <c r="AC786" s="4">
        <v>5</v>
      </c>
      <c r="AD786" s="4">
        <v>25</v>
      </c>
      <c r="AE786" s="4">
        <v>25</v>
      </c>
      <c r="AF786" s="4">
        <v>9</v>
      </c>
      <c r="AG786" s="4">
        <v>9</v>
      </c>
      <c r="AH786" s="4">
        <v>7</v>
      </c>
      <c r="AI786" s="4">
        <v>7</v>
      </c>
      <c r="AJ786" s="4">
        <v>11</v>
      </c>
      <c r="AK786" s="4">
        <v>11</v>
      </c>
      <c r="AL786" s="4">
        <v>3</v>
      </c>
      <c r="AM786" s="4">
        <v>3</v>
      </c>
      <c r="AN786" s="4">
        <v>0</v>
      </c>
      <c r="AO786" s="4">
        <v>0</v>
      </c>
      <c r="AP786" s="3" t="s">
        <v>58</v>
      </c>
      <c r="AQ786" s="3" t="s">
        <v>68</v>
      </c>
      <c r="AR786" s="6" t="str">
        <f>HYPERLINK("http://catalog.hathitrust.org/Record/001248815","HathiTrust Record")</f>
        <v>HathiTrust Record</v>
      </c>
      <c r="AS786" s="6" t="str">
        <f>HYPERLINK("https://creighton-primo.hosted.exlibrisgroup.com/primo-explore/search?tab=default_tab&amp;search_scope=EVERYTHING&amp;vid=01CRU&amp;lang=en_US&amp;offset=0&amp;query=any,contains,991001699579702656","Catalog Record")</f>
        <v>Catalog Record</v>
      </c>
      <c r="AT786" s="6" t="str">
        <f>HYPERLINK("http://www.worldcat.org/oclc/1219525","WorldCat Record")</f>
        <v>WorldCat Record</v>
      </c>
      <c r="AU786" s="3" t="s">
        <v>10001</v>
      </c>
      <c r="AV786" s="3" t="s">
        <v>10002</v>
      </c>
      <c r="AW786" s="3" t="s">
        <v>10003</v>
      </c>
      <c r="AX786" s="3" t="s">
        <v>10003</v>
      </c>
      <c r="AY786" s="3" t="s">
        <v>10004</v>
      </c>
      <c r="AZ786" s="3" t="s">
        <v>73</v>
      </c>
      <c r="BB786" s="3" t="s">
        <v>10005</v>
      </c>
      <c r="BC786" s="3" t="s">
        <v>10006</v>
      </c>
      <c r="BD786" s="3" t="s">
        <v>10007</v>
      </c>
    </row>
    <row r="787" spans="1:56" ht="51" customHeight="1" x14ac:dyDescent="0.25">
      <c r="A787" s="7" t="s">
        <v>58</v>
      </c>
      <c r="B787" s="2" t="s">
        <v>10008</v>
      </c>
      <c r="C787" s="2" t="s">
        <v>10009</v>
      </c>
      <c r="D787" s="2" t="s">
        <v>10010</v>
      </c>
      <c r="F787" s="3" t="s">
        <v>58</v>
      </c>
      <c r="G787" s="3" t="s">
        <v>59</v>
      </c>
      <c r="H787" s="3" t="s">
        <v>58</v>
      </c>
      <c r="I787" s="3" t="s">
        <v>58</v>
      </c>
      <c r="J787" s="3" t="s">
        <v>60</v>
      </c>
      <c r="K787" s="2" t="s">
        <v>10011</v>
      </c>
      <c r="L787" s="2" t="s">
        <v>10012</v>
      </c>
      <c r="M787" s="3" t="s">
        <v>10013</v>
      </c>
      <c r="O787" s="3" t="s">
        <v>63</v>
      </c>
      <c r="P787" s="3" t="s">
        <v>214</v>
      </c>
      <c r="R787" s="3" t="s">
        <v>65</v>
      </c>
      <c r="S787" s="4">
        <v>1</v>
      </c>
      <c r="T787" s="4">
        <v>1</v>
      </c>
      <c r="U787" s="5" t="s">
        <v>10014</v>
      </c>
      <c r="V787" s="5" t="s">
        <v>10014</v>
      </c>
      <c r="W787" s="5" t="s">
        <v>10015</v>
      </c>
      <c r="X787" s="5" t="s">
        <v>10015</v>
      </c>
      <c r="Y787" s="4">
        <v>321</v>
      </c>
      <c r="Z787" s="4">
        <v>255</v>
      </c>
      <c r="AA787" s="4">
        <v>256</v>
      </c>
      <c r="AB787" s="4">
        <v>3</v>
      </c>
      <c r="AC787" s="4">
        <v>3</v>
      </c>
      <c r="AD787" s="4">
        <v>11</v>
      </c>
      <c r="AE787" s="4">
        <v>11</v>
      </c>
      <c r="AF787" s="4">
        <v>1</v>
      </c>
      <c r="AG787" s="4">
        <v>1</v>
      </c>
      <c r="AH787" s="4">
        <v>3</v>
      </c>
      <c r="AI787" s="4">
        <v>3</v>
      </c>
      <c r="AJ787" s="4">
        <v>7</v>
      </c>
      <c r="AK787" s="4">
        <v>7</v>
      </c>
      <c r="AL787" s="4">
        <v>2</v>
      </c>
      <c r="AM787" s="4">
        <v>2</v>
      </c>
      <c r="AN787" s="4">
        <v>1</v>
      </c>
      <c r="AO787" s="4">
        <v>1</v>
      </c>
      <c r="AP787" s="3" t="s">
        <v>58</v>
      </c>
      <c r="AQ787" s="3" t="s">
        <v>58</v>
      </c>
      <c r="AS787" s="6" t="str">
        <f>HYPERLINK("https://creighton-primo.hosted.exlibrisgroup.com/primo-explore/search?tab=default_tab&amp;search_scope=EVERYTHING&amp;vid=01CRU&amp;lang=en_US&amp;offset=0&amp;query=any,contains,991003644519702656","Catalog Record")</f>
        <v>Catalog Record</v>
      </c>
      <c r="AT787" s="6" t="str">
        <f>HYPERLINK("http://www.worldcat.org/oclc/1244038","WorldCat Record")</f>
        <v>WorldCat Record</v>
      </c>
      <c r="AU787" s="3" t="s">
        <v>10016</v>
      </c>
      <c r="AV787" s="3" t="s">
        <v>10017</v>
      </c>
      <c r="AW787" s="3" t="s">
        <v>10018</v>
      </c>
      <c r="AX787" s="3" t="s">
        <v>10018</v>
      </c>
      <c r="AY787" s="3" t="s">
        <v>10019</v>
      </c>
      <c r="AZ787" s="3" t="s">
        <v>73</v>
      </c>
      <c r="BC787" s="3" t="s">
        <v>10020</v>
      </c>
      <c r="BD787" s="3" t="s">
        <v>10021</v>
      </c>
    </row>
    <row r="788" spans="1:56" ht="51" customHeight="1" x14ac:dyDescent="0.25">
      <c r="A788" s="7" t="s">
        <v>58</v>
      </c>
      <c r="B788" s="2" t="s">
        <v>10022</v>
      </c>
      <c r="C788" s="2" t="s">
        <v>10023</v>
      </c>
      <c r="D788" s="2" t="s">
        <v>10024</v>
      </c>
      <c r="F788" s="3" t="s">
        <v>58</v>
      </c>
      <c r="G788" s="3" t="s">
        <v>59</v>
      </c>
      <c r="H788" s="3" t="s">
        <v>58</v>
      </c>
      <c r="I788" s="3" t="s">
        <v>58</v>
      </c>
      <c r="J788" s="3" t="s">
        <v>60</v>
      </c>
      <c r="K788" s="2" t="s">
        <v>10025</v>
      </c>
      <c r="L788" s="2" t="s">
        <v>10026</v>
      </c>
      <c r="M788" s="3" t="s">
        <v>353</v>
      </c>
      <c r="N788" s="2" t="s">
        <v>338</v>
      </c>
      <c r="O788" s="3" t="s">
        <v>63</v>
      </c>
      <c r="P788" s="3" t="s">
        <v>214</v>
      </c>
      <c r="R788" s="3" t="s">
        <v>65</v>
      </c>
      <c r="S788" s="4">
        <v>7</v>
      </c>
      <c r="T788" s="4">
        <v>7</v>
      </c>
      <c r="U788" s="5" t="s">
        <v>9042</v>
      </c>
      <c r="V788" s="5" t="s">
        <v>9042</v>
      </c>
      <c r="W788" s="5" t="s">
        <v>8127</v>
      </c>
      <c r="X788" s="5" t="s">
        <v>8127</v>
      </c>
      <c r="Y788" s="4">
        <v>26</v>
      </c>
      <c r="Z788" s="4">
        <v>21</v>
      </c>
      <c r="AA788" s="4">
        <v>23</v>
      </c>
      <c r="AB788" s="4">
        <v>1</v>
      </c>
      <c r="AC788" s="4">
        <v>1</v>
      </c>
      <c r="AD788" s="4">
        <v>0</v>
      </c>
      <c r="AE788" s="4">
        <v>0</v>
      </c>
      <c r="AF788" s="4">
        <v>0</v>
      </c>
      <c r="AG788" s="4">
        <v>0</v>
      </c>
      <c r="AH788" s="4">
        <v>0</v>
      </c>
      <c r="AI788" s="4">
        <v>0</v>
      </c>
      <c r="AJ788" s="4">
        <v>0</v>
      </c>
      <c r="AK788" s="4">
        <v>0</v>
      </c>
      <c r="AL788" s="4">
        <v>0</v>
      </c>
      <c r="AM788" s="4">
        <v>0</v>
      </c>
      <c r="AN788" s="4">
        <v>0</v>
      </c>
      <c r="AO788" s="4">
        <v>0</v>
      </c>
      <c r="AP788" s="3" t="s">
        <v>58</v>
      </c>
      <c r="AQ788" s="3" t="s">
        <v>68</v>
      </c>
      <c r="AR788" s="6" t="str">
        <f>HYPERLINK("http://catalog.hathitrust.org/Record/006041347","HathiTrust Record")</f>
        <v>HathiTrust Record</v>
      </c>
      <c r="AS788" s="6" t="str">
        <f>HYPERLINK("https://creighton-primo.hosted.exlibrisgroup.com/primo-explore/search?tab=default_tab&amp;search_scope=EVERYTHING&amp;vid=01CRU&amp;lang=en_US&amp;offset=0&amp;query=any,contains,991001303749702656","Catalog Record")</f>
        <v>Catalog Record</v>
      </c>
      <c r="AT788" s="6" t="str">
        <f>HYPERLINK("http://www.worldcat.org/oclc/18078333","WorldCat Record")</f>
        <v>WorldCat Record</v>
      </c>
      <c r="AU788" s="3" t="s">
        <v>10027</v>
      </c>
      <c r="AV788" s="3" t="s">
        <v>10028</v>
      </c>
      <c r="AW788" s="3" t="s">
        <v>10029</v>
      </c>
      <c r="AX788" s="3" t="s">
        <v>10029</v>
      </c>
      <c r="AY788" s="3" t="s">
        <v>10030</v>
      </c>
      <c r="AZ788" s="3" t="s">
        <v>73</v>
      </c>
      <c r="BC788" s="3" t="s">
        <v>10031</v>
      </c>
      <c r="BD788" s="3" t="s">
        <v>10032</v>
      </c>
    </row>
    <row r="789" spans="1:56" ht="51" customHeight="1" x14ac:dyDescent="0.25">
      <c r="A789" s="7" t="s">
        <v>58</v>
      </c>
      <c r="B789" s="2" t="s">
        <v>10033</v>
      </c>
      <c r="C789" s="2" t="s">
        <v>10034</v>
      </c>
      <c r="D789" s="2" t="s">
        <v>10035</v>
      </c>
      <c r="F789" s="3" t="s">
        <v>58</v>
      </c>
      <c r="G789" s="3" t="s">
        <v>59</v>
      </c>
      <c r="H789" s="3" t="s">
        <v>58</v>
      </c>
      <c r="I789" s="3" t="s">
        <v>58</v>
      </c>
      <c r="J789" s="3" t="s">
        <v>60</v>
      </c>
      <c r="K789" s="2" t="s">
        <v>10036</v>
      </c>
      <c r="L789" s="2" t="s">
        <v>10037</v>
      </c>
      <c r="M789" s="3" t="s">
        <v>138</v>
      </c>
      <c r="N789" s="2" t="s">
        <v>338</v>
      </c>
      <c r="O789" s="3" t="s">
        <v>63</v>
      </c>
      <c r="P789" s="3" t="s">
        <v>214</v>
      </c>
      <c r="Q789" s="2" t="s">
        <v>3418</v>
      </c>
      <c r="R789" s="3" t="s">
        <v>65</v>
      </c>
      <c r="S789" s="4">
        <v>10</v>
      </c>
      <c r="T789" s="4">
        <v>10</v>
      </c>
      <c r="U789" s="5" t="s">
        <v>10038</v>
      </c>
      <c r="V789" s="5" t="s">
        <v>10038</v>
      </c>
      <c r="W789" s="5" t="s">
        <v>6475</v>
      </c>
      <c r="X789" s="5" t="s">
        <v>6475</v>
      </c>
      <c r="Y789" s="4">
        <v>693</v>
      </c>
      <c r="Z789" s="4">
        <v>584</v>
      </c>
      <c r="AA789" s="4">
        <v>586</v>
      </c>
      <c r="AB789" s="4">
        <v>3</v>
      </c>
      <c r="AC789" s="4">
        <v>3</v>
      </c>
      <c r="AD789" s="4">
        <v>28</v>
      </c>
      <c r="AE789" s="4">
        <v>28</v>
      </c>
      <c r="AF789" s="4">
        <v>11</v>
      </c>
      <c r="AG789" s="4">
        <v>11</v>
      </c>
      <c r="AH789" s="4">
        <v>7</v>
      </c>
      <c r="AI789" s="4">
        <v>7</v>
      </c>
      <c r="AJ789" s="4">
        <v>12</v>
      </c>
      <c r="AK789" s="4">
        <v>12</v>
      </c>
      <c r="AL789" s="4">
        <v>2</v>
      </c>
      <c r="AM789" s="4">
        <v>2</v>
      </c>
      <c r="AN789" s="4">
        <v>2</v>
      </c>
      <c r="AO789" s="4">
        <v>2</v>
      </c>
      <c r="AP789" s="3" t="s">
        <v>58</v>
      </c>
      <c r="AQ789" s="3" t="s">
        <v>68</v>
      </c>
      <c r="AR789" s="6" t="str">
        <f>HYPERLINK("http://catalog.hathitrust.org/Record/000192986","HathiTrust Record")</f>
        <v>HathiTrust Record</v>
      </c>
      <c r="AS789" s="6" t="str">
        <f>HYPERLINK("https://creighton-primo.hosted.exlibrisgroup.com/primo-explore/search?tab=default_tab&amp;search_scope=EVERYTHING&amp;vid=01CRU&amp;lang=en_US&amp;offset=0&amp;query=any,contains,991000044339702656","Catalog Record")</f>
        <v>Catalog Record</v>
      </c>
      <c r="AT789" s="6" t="str">
        <f>HYPERLINK("http://www.worldcat.org/oclc/8667511","WorldCat Record")</f>
        <v>WorldCat Record</v>
      </c>
      <c r="AU789" s="3" t="s">
        <v>10039</v>
      </c>
      <c r="AV789" s="3" t="s">
        <v>10040</v>
      </c>
      <c r="AW789" s="3" t="s">
        <v>10041</v>
      </c>
      <c r="AX789" s="3" t="s">
        <v>10041</v>
      </c>
      <c r="AY789" s="3" t="s">
        <v>10042</v>
      </c>
      <c r="AZ789" s="3" t="s">
        <v>73</v>
      </c>
      <c r="BB789" s="3" t="s">
        <v>10043</v>
      </c>
      <c r="BC789" s="3" t="s">
        <v>10044</v>
      </c>
      <c r="BD789" s="3" t="s">
        <v>10045</v>
      </c>
    </row>
    <row r="790" spans="1:56" ht="51" customHeight="1" x14ac:dyDescent="0.25">
      <c r="A790" s="7" t="s">
        <v>58</v>
      </c>
      <c r="B790" s="2" t="s">
        <v>10046</v>
      </c>
      <c r="C790" s="2" t="s">
        <v>10047</v>
      </c>
      <c r="D790" s="2" t="s">
        <v>10048</v>
      </c>
      <c r="F790" s="3" t="s">
        <v>58</v>
      </c>
      <c r="G790" s="3" t="s">
        <v>59</v>
      </c>
      <c r="H790" s="3" t="s">
        <v>58</v>
      </c>
      <c r="I790" s="3" t="s">
        <v>58</v>
      </c>
      <c r="J790" s="3" t="s">
        <v>60</v>
      </c>
      <c r="K790" s="2" t="s">
        <v>10049</v>
      </c>
      <c r="L790" s="2" t="s">
        <v>10050</v>
      </c>
      <c r="M790" s="3" t="s">
        <v>479</v>
      </c>
      <c r="O790" s="3" t="s">
        <v>63</v>
      </c>
      <c r="P790" s="3" t="s">
        <v>3109</v>
      </c>
      <c r="Q790" s="2" t="s">
        <v>10051</v>
      </c>
      <c r="R790" s="3" t="s">
        <v>65</v>
      </c>
      <c r="S790" s="4">
        <v>2</v>
      </c>
      <c r="T790" s="4">
        <v>2</v>
      </c>
      <c r="U790" s="5" t="s">
        <v>10052</v>
      </c>
      <c r="V790" s="5" t="s">
        <v>10052</v>
      </c>
      <c r="W790" s="5" t="s">
        <v>10053</v>
      </c>
      <c r="X790" s="5" t="s">
        <v>10053</v>
      </c>
      <c r="Y790" s="4">
        <v>428</v>
      </c>
      <c r="Z790" s="4">
        <v>324</v>
      </c>
      <c r="AA790" s="4">
        <v>325</v>
      </c>
      <c r="AB790" s="4">
        <v>3</v>
      </c>
      <c r="AC790" s="4">
        <v>3</v>
      </c>
      <c r="AD790" s="4">
        <v>19</v>
      </c>
      <c r="AE790" s="4">
        <v>19</v>
      </c>
      <c r="AF790" s="4">
        <v>5</v>
      </c>
      <c r="AG790" s="4">
        <v>5</v>
      </c>
      <c r="AH790" s="4">
        <v>5</v>
      </c>
      <c r="AI790" s="4">
        <v>5</v>
      </c>
      <c r="AJ790" s="4">
        <v>14</v>
      </c>
      <c r="AK790" s="4">
        <v>14</v>
      </c>
      <c r="AL790" s="4">
        <v>2</v>
      </c>
      <c r="AM790" s="4">
        <v>2</v>
      </c>
      <c r="AN790" s="4">
        <v>0</v>
      </c>
      <c r="AO790" s="4">
        <v>0</v>
      </c>
      <c r="AP790" s="3" t="s">
        <v>58</v>
      </c>
      <c r="AQ790" s="3" t="s">
        <v>68</v>
      </c>
      <c r="AR790" s="6" t="str">
        <f>HYPERLINK("http://catalog.hathitrust.org/Record/002893404","HathiTrust Record")</f>
        <v>HathiTrust Record</v>
      </c>
      <c r="AS790" s="6" t="str">
        <f>HYPERLINK("https://creighton-primo.hosted.exlibrisgroup.com/primo-explore/search?tab=default_tab&amp;search_scope=EVERYTHING&amp;vid=01CRU&amp;lang=en_US&amp;offset=0&amp;query=any,contains,991002236909702656","Catalog Record")</f>
        <v>Catalog Record</v>
      </c>
      <c r="AT790" s="6" t="str">
        <f>HYPERLINK("http://www.worldcat.org/oclc/28848513","WorldCat Record")</f>
        <v>WorldCat Record</v>
      </c>
      <c r="AU790" s="3" t="s">
        <v>10054</v>
      </c>
      <c r="AV790" s="3" t="s">
        <v>10055</v>
      </c>
      <c r="AW790" s="3" t="s">
        <v>10056</v>
      </c>
      <c r="AX790" s="3" t="s">
        <v>10056</v>
      </c>
      <c r="AY790" s="3" t="s">
        <v>10057</v>
      </c>
      <c r="AZ790" s="3" t="s">
        <v>73</v>
      </c>
      <c r="BB790" s="3" t="s">
        <v>10058</v>
      </c>
      <c r="BC790" s="3" t="s">
        <v>10059</v>
      </c>
      <c r="BD790" s="3" t="s">
        <v>10060</v>
      </c>
    </row>
    <row r="791" spans="1:56" ht="51" customHeight="1" x14ac:dyDescent="0.25">
      <c r="A791" s="7" t="s">
        <v>58</v>
      </c>
      <c r="B791" s="2" t="s">
        <v>10061</v>
      </c>
      <c r="C791" s="2" t="s">
        <v>10062</v>
      </c>
      <c r="D791" s="2" t="s">
        <v>10063</v>
      </c>
      <c r="F791" s="3" t="s">
        <v>58</v>
      </c>
      <c r="G791" s="3" t="s">
        <v>59</v>
      </c>
      <c r="H791" s="3" t="s">
        <v>58</v>
      </c>
      <c r="I791" s="3" t="s">
        <v>58</v>
      </c>
      <c r="J791" s="3" t="s">
        <v>60</v>
      </c>
      <c r="K791" s="2" t="s">
        <v>10064</v>
      </c>
      <c r="L791" s="2" t="s">
        <v>10065</v>
      </c>
      <c r="M791" s="3" t="s">
        <v>1399</v>
      </c>
      <c r="O791" s="3" t="s">
        <v>63</v>
      </c>
      <c r="P791" s="3" t="s">
        <v>214</v>
      </c>
      <c r="R791" s="3" t="s">
        <v>65</v>
      </c>
      <c r="S791" s="4">
        <v>5</v>
      </c>
      <c r="T791" s="4">
        <v>5</v>
      </c>
      <c r="U791" s="5" t="s">
        <v>10066</v>
      </c>
      <c r="V791" s="5" t="s">
        <v>10066</v>
      </c>
      <c r="W791" s="5" t="s">
        <v>3151</v>
      </c>
      <c r="X791" s="5" t="s">
        <v>3151</v>
      </c>
      <c r="Y791" s="4">
        <v>867</v>
      </c>
      <c r="Z791" s="4">
        <v>728</v>
      </c>
      <c r="AA791" s="4">
        <v>734</v>
      </c>
      <c r="AB791" s="4">
        <v>3</v>
      </c>
      <c r="AC791" s="4">
        <v>3</v>
      </c>
      <c r="AD791" s="4">
        <v>23</v>
      </c>
      <c r="AE791" s="4">
        <v>23</v>
      </c>
      <c r="AF791" s="4">
        <v>7</v>
      </c>
      <c r="AG791" s="4">
        <v>7</v>
      </c>
      <c r="AH791" s="4">
        <v>7</v>
      </c>
      <c r="AI791" s="4">
        <v>7</v>
      </c>
      <c r="AJ791" s="4">
        <v>14</v>
      </c>
      <c r="AK791" s="4">
        <v>14</v>
      </c>
      <c r="AL791" s="4">
        <v>2</v>
      </c>
      <c r="AM791" s="4">
        <v>2</v>
      </c>
      <c r="AN791" s="4">
        <v>0</v>
      </c>
      <c r="AO791" s="4">
        <v>0</v>
      </c>
      <c r="AP791" s="3" t="s">
        <v>58</v>
      </c>
      <c r="AQ791" s="3" t="s">
        <v>68</v>
      </c>
      <c r="AR791" s="6" t="str">
        <f>HYPERLINK("http://catalog.hathitrust.org/Record/000919388","HathiTrust Record")</f>
        <v>HathiTrust Record</v>
      </c>
      <c r="AS791" s="6" t="str">
        <f>HYPERLINK("https://creighton-primo.hosted.exlibrisgroup.com/primo-explore/search?tab=default_tab&amp;search_scope=EVERYTHING&amp;vid=01CRU&amp;lang=en_US&amp;offset=0&amp;query=any,contains,991001206999702656","Catalog Record")</f>
        <v>Catalog Record</v>
      </c>
      <c r="AT791" s="6" t="str">
        <f>HYPERLINK("http://www.worldcat.org/oclc/17354195","WorldCat Record")</f>
        <v>WorldCat Record</v>
      </c>
      <c r="AU791" s="3" t="s">
        <v>10067</v>
      </c>
      <c r="AV791" s="3" t="s">
        <v>10068</v>
      </c>
      <c r="AW791" s="3" t="s">
        <v>10069</v>
      </c>
      <c r="AX791" s="3" t="s">
        <v>10069</v>
      </c>
      <c r="AY791" s="3" t="s">
        <v>10070</v>
      </c>
      <c r="AZ791" s="3" t="s">
        <v>73</v>
      </c>
      <c r="BB791" s="3" t="s">
        <v>10071</v>
      </c>
      <c r="BC791" s="3" t="s">
        <v>10072</v>
      </c>
      <c r="BD791" s="3" t="s">
        <v>10073</v>
      </c>
    </row>
    <row r="792" spans="1:56" ht="51" customHeight="1" x14ac:dyDescent="0.25">
      <c r="A792" s="7" t="s">
        <v>58</v>
      </c>
      <c r="B792" s="2" t="s">
        <v>10074</v>
      </c>
      <c r="C792" s="2" t="s">
        <v>10075</v>
      </c>
      <c r="D792" s="2" t="s">
        <v>10076</v>
      </c>
      <c r="F792" s="3" t="s">
        <v>58</v>
      </c>
      <c r="G792" s="3" t="s">
        <v>59</v>
      </c>
      <c r="H792" s="3" t="s">
        <v>58</v>
      </c>
      <c r="I792" s="3" t="s">
        <v>58</v>
      </c>
      <c r="J792" s="3" t="s">
        <v>60</v>
      </c>
      <c r="K792" s="2" t="s">
        <v>10077</v>
      </c>
      <c r="L792" s="2" t="s">
        <v>10078</v>
      </c>
      <c r="M792" s="3" t="s">
        <v>1499</v>
      </c>
      <c r="O792" s="3" t="s">
        <v>63</v>
      </c>
      <c r="P792" s="3" t="s">
        <v>214</v>
      </c>
      <c r="R792" s="3" t="s">
        <v>65</v>
      </c>
      <c r="S792" s="4">
        <v>3</v>
      </c>
      <c r="T792" s="4">
        <v>3</v>
      </c>
      <c r="U792" s="5" t="s">
        <v>10079</v>
      </c>
      <c r="V792" s="5" t="s">
        <v>10079</v>
      </c>
      <c r="W792" s="5" t="s">
        <v>2616</v>
      </c>
      <c r="X792" s="5" t="s">
        <v>2616</v>
      </c>
      <c r="Y792" s="4">
        <v>318</v>
      </c>
      <c r="Z792" s="4">
        <v>276</v>
      </c>
      <c r="AA792" s="4">
        <v>545</v>
      </c>
      <c r="AB792" s="4">
        <v>2</v>
      </c>
      <c r="AC792" s="4">
        <v>2</v>
      </c>
      <c r="AD792" s="4">
        <v>15</v>
      </c>
      <c r="AE792" s="4">
        <v>19</v>
      </c>
      <c r="AF792" s="4">
        <v>6</v>
      </c>
      <c r="AG792" s="4">
        <v>8</v>
      </c>
      <c r="AH792" s="4">
        <v>5</v>
      </c>
      <c r="AI792" s="4">
        <v>6</v>
      </c>
      <c r="AJ792" s="4">
        <v>7</v>
      </c>
      <c r="AK792" s="4">
        <v>9</v>
      </c>
      <c r="AL792" s="4">
        <v>1</v>
      </c>
      <c r="AM792" s="4">
        <v>1</v>
      </c>
      <c r="AN792" s="4">
        <v>0</v>
      </c>
      <c r="AO792" s="4">
        <v>0</v>
      </c>
      <c r="AP792" s="3" t="s">
        <v>58</v>
      </c>
      <c r="AQ792" s="3" t="s">
        <v>68</v>
      </c>
      <c r="AR792" s="6" t="str">
        <f>HYPERLINK("http://catalog.hathitrust.org/Record/010092066","HathiTrust Record")</f>
        <v>HathiTrust Record</v>
      </c>
      <c r="AS792" s="6" t="str">
        <f>HYPERLINK("https://creighton-primo.hosted.exlibrisgroup.com/primo-explore/search?tab=default_tab&amp;search_scope=EVERYTHING&amp;vid=01CRU&amp;lang=en_US&amp;offset=0&amp;query=any,contains,991005435119702656","Catalog Record")</f>
        <v>Catalog Record</v>
      </c>
      <c r="AT792" s="6" t="str">
        <f>HYPERLINK("http://www.worldcat.org/oclc/2833","WorldCat Record")</f>
        <v>WorldCat Record</v>
      </c>
      <c r="AU792" s="3" t="s">
        <v>10080</v>
      </c>
      <c r="AV792" s="3" t="s">
        <v>10081</v>
      </c>
      <c r="AW792" s="3" t="s">
        <v>10082</v>
      </c>
      <c r="AX792" s="3" t="s">
        <v>10082</v>
      </c>
      <c r="AY792" s="3" t="s">
        <v>10083</v>
      </c>
      <c r="AZ792" s="3" t="s">
        <v>73</v>
      </c>
      <c r="BC792" s="3" t="s">
        <v>10084</v>
      </c>
      <c r="BD792" s="3" t="s">
        <v>10085</v>
      </c>
    </row>
    <row r="793" spans="1:56" ht="51" customHeight="1" x14ac:dyDescent="0.25">
      <c r="A793" s="7" t="s">
        <v>58</v>
      </c>
      <c r="B793" s="2" t="s">
        <v>10086</v>
      </c>
      <c r="C793" s="2" t="s">
        <v>10087</v>
      </c>
      <c r="D793" s="2" t="s">
        <v>10088</v>
      </c>
      <c r="F793" s="3" t="s">
        <v>58</v>
      </c>
      <c r="G793" s="3" t="s">
        <v>59</v>
      </c>
      <c r="H793" s="3" t="s">
        <v>58</v>
      </c>
      <c r="I793" s="3" t="s">
        <v>58</v>
      </c>
      <c r="J793" s="3" t="s">
        <v>60</v>
      </c>
      <c r="K793" s="2" t="s">
        <v>10089</v>
      </c>
      <c r="L793" s="2" t="s">
        <v>10090</v>
      </c>
      <c r="M793" s="3" t="s">
        <v>353</v>
      </c>
      <c r="O793" s="3" t="s">
        <v>63</v>
      </c>
      <c r="P793" s="3" t="s">
        <v>786</v>
      </c>
      <c r="R793" s="3" t="s">
        <v>65</v>
      </c>
      <c r="S793" s="4">
        <v>2</v>
      </c>
      <c r="T793" s="4">
        <v>2</v>
      </c>
      <c r="U793" s="5" t="s">
        <v>10091</v>
      </c>
      <c r="V793" s="5" t="s">
        <v>10091</v>
      </c>
      <c r="W793" s="5" t="s">
        <v>10092</v>
      </c>
      <c r="X793" s="5" t="s">
        <v>10092</v>
      </c>
      <c r="Y793" s="4">
        <v>111</v>
      </c>
      <c r="Z793" s="4">
        <v>72</v>
      </c>
      <c r="AA793" s="4">
        <v>73</v>
      </c>
      <c r="AB793" s="4">
        <v>1</v>
      </c>
      <c r="AC793" s="4">
        <v>1</v>
      </c>
      <c r="AD793" s="4">
        <v>1</v>
      </c>
      <c r="AE793" s="4">
        <v>1</v>
      </c>
      <c r="AF793" s="4">
        <v>1</v>
      </c>
      <c r="AG793" s="4">
        <v>1</v>
      </c>
      <c r="AH793" s="4">
        <v>0</v>
      </c>
      <c r="AI793" s="4">
        <v>0</v>
      </c>
      <c r="AJ793" s="4">
        <v>1</v>
      </c>
      <c r="AK793" s="4">
        <v>1</v>
      </c>
      <c r="AL793" s="4">
        <v>0</v>
      </c>
      <c r="AM793" s="4">
        <v>0</v>
      </c>
      <c r="AN793" s="4">
        <v>0</v>
      </c>
      <c r="AO793" s="4">
        <v>0</v>
      </c>
      <c r="AP793" s="3" t="s">
        <v>58</v>
      </c>
      <c r="AQ793" s="3" t="s">
        <v>58</v>
      </c>
      <c r="AS793" s="6" t="str">
        <f>HYPERLINK("https://creighton-primo.hosted.exlibrisgroup.com/primo-explore/search?tab=default_tab&amp;search_scope=EVERYTHING&amp;vid=01CRU&amp;lang=en_US&amp;offset=0&amp;query=any,contains,991001460519702656","Catalog Record")</f>
        <v>Catalog Record</v>
      </c>
      <c r="AT793" s="6" t="str">
        <f>HYPERLINK("http://www.worldcat.org/oclc/19452660","WorldCat Record")</f>
        <v>WorldCat Record</v>
      </c>
      <c r="AU793" s="3" t="s">
        <v>10093</v>
      </c>
      <c r="AV793" s="3" t="s">
        <v>10094</v>
      </c>
      <c r="AW793" s="3" t="s">
        <v>10095</v>
      </c>
      <c r="AX793" s="3" t="s">
        <v>10095</v>
      </c>
      <c r="AY793" s="3" t="s">
        <v>10096</v>
      </c>
      <c r="AZ793" s="3" t="s">
        <v>73</v>
      </c>
      <c r="BB793" s="3" t="s">
        <v>10097</v>
      </c>
      <c r="BC793" s="3" t="s">
        <v>10098</v>
      </c>
      <c r="BD793" s="3" t="s">
        <v>10099</v>
      </c>
    </row>
    <row r="794" spans="1:56" ht="51" customHeight="1" x14ac:dyDescent="0.25">
      <c r="A794" s="7" t="s">
        <v>58</v>
      </c>
      <c r="B794" s="2" t="s">
        <v>10100</v>
      </c>
      <c r="C794" s="2" t="s">
        <v>10101</v>
      </c>
      <c r="D794" s="2" t="s">
        <v>10102</v>
      </c>
      <c r="F794" s="3" t="s">
        <v>58</v>
      </c>
      <c r="G794" s="3" t="s">
        <v>59</v>
      </c>
      <c r="H794" s="3" t="s">
        <v>58</v>
      </c>
      <c r="I794" s="3" t="s">
        <v>58</v>
      </c>
      <c r="J794" s="3" t="s">
        <v>60</v>
      </c>
      <c r="K794" s="2" t="s">
        <v>10103</v>
      </c>
      <c r="L794" s="2" t="s">
        <v>10104</v>
      </c>
      <c r="M794" s="3" t="s">
        <v>1399</v>
      </c>
      <c r="O794" s="3" t="s">
        <v>63</v>
      </c>
      <c r="P794" s="3" t="s">
        <v>786</v>
      </c>
      <c r="R794" s="3" t="s">
        <v>65</v>
      </c>
      <c r="S794" s="4">
        <v>1</v>
      </c>
      <c r="T794" s="4">
        <v>1</v>
      </c>
      <c r="U794" s="5" t="s">
        <v>10105</v>
      </c>
      <c r="V794" s="5" t="s">
        <v>10105</v>
      </c>
      <c r="W794" s="5" t="s">
        <v>10092</v>
      </c>
      <c r="X794" s="5" t="s">
        <v>10092</v>
      </c>
      <c r="Y794" s="4">
        <v>101</v>
      </c>
      <c r="Z794" s="4">
        <v>64</v>
      </c>
      <c r="AA794" s="4">
        <v>65</v>
      </c>
      <c r="AB794" s="4">
        <v>1</v>
      </c>
      <c r="AC794" s="4">
        <v>1</v>
      </c>
      <c r="AD794" s="4">
        <v>1</v>
      </c>
      <c r="AE794" s="4">
        <v>1</v>
      </c>
      <c r="AF794" s="4">
        <v>1</v>
      </c>
      <c r="AG794" s="4">
        <v>1</v>
      </c>
      <c r="AH794" s="4">
        <v>0</v>
      </c>
      <c r="AI794" s="4">
        <v>0</v>
      </c>
      <c r="AJ794" s="4">
        <v>1</v>
      </c>
      <c r="AK794" s="4">
        <v>1</v>
      </c>
      <c r="AL794" s="4">
        <v>0</v>
      </c>
      <c r="AM794" s="4">
        <v>0</v>
      </c>
      <c r="AN794" s="4">
        <v>0</v>
      </c>
      <c r="AO794" s="4">
        <v>0</v>
      </c>
      <c r="AP794" s="3" t="s">
        <v>58</v>
      </c>
      <c r="AQ794" s="3" t="s">
        <v>58</v>
      </c>
      <c r="AS794" s="6" t="str">
        <f>HYPERLINK("https://creighton-primo.hosted.exlibrisgroup.com/primo-explore/search?tab=default_tab&amp;search_scope=EVERYTHING&amp;vid=01CRU&amp;lang=en_US&amp;offset=0&amp;query=any,contains,991001579829702656","Catalog Record")</f>
        <v>Catalog Record</v>
      </c>
      <c r="AT794" s="6" t="str">
        <f>HYPERLINK("http://www.worldcat.org/oclc/20477758","WorldCat Record")</f>
        <v>WorldCat Record</v>
      </c>
      <c r="AU794" s="3" t="s">
        <v>10106</v>
      </c>
      <c r="AV794" s="3" t="s">
        <v>10107</v>
      </c>
      <c r="AW794" s="3" t="s">
        <v>10108</v>
      </c>
      <c r="AX794" s="3" t="s">
        <v>10108</v>
      </c>
      <c r="AY794" s="3" t="s">
        <v>10109</v>
      </c>
      <c r="AZ794" s="3" t="s">
        <v>73</v>
      </c>
      <c r="BB794" s="3" t="s">
        <v>10110</v>
      </c>
      <c r="BC794" s="3" t="s">
        <v>10111</v>
      </c>
      <c r="BD794" s="3" t="s">
        <v>10112</v>
      </c>
    </row>
    <row r="795" spans="1:56" ht="51" customHeight="1" x14ac:dyDescent="0.25">
      <c r="A795" s="7" t="s">
        <v>58</v>
      </c>
      <c r="B795" s="2" t="s">
        <v>10113</v>
      </c>
      <c r="C795" s="2" t="s">
        <v>10114</v>
      </c>
      <c r="D795" s="2" t="s">
        <v>10115</v>
      </c>
      <c r="F795" s="3" t="s">
        <v>58</v>
      </c>
      <c r="G795" s="3" t="s">
        <v>59</v>
      </c>
      <c r="H795" s="3" t="s">
        <v>58</v>
      </c>
      <c r="I795" s="3" t="s">
        <v>58</v>
      </c>
      <c r="J795" s="3" t="s">
        <v>60</v>
      </c>
      <c r="K795" s="2" t="s">
        <v>10116</v>
      </c>
      <c r="L795" s="2" t="s">
        <v>10117</v>
      </c>
      <c r="M795" s="3" t="s">
        <v>261</v>
      </c>
      <c r="O795" s="3" t="s">
        <v>63</v>
      </c>
      <c r="P795" s="3" t="s">
        <v>584</v>
      </c>
      <c r="Q795" s="2" t="s">
        <v>10118</v>
      </c>
      <c r="R795" s="3" t="s">
        <v>65</v>
      </c>
      <c r="S795" s="4">
        <v>5</v>
      </c>
      <c r="T795" s="4">
        <v>5</v>
      </c>
      <c r="U795" s="5" t="s">
        <v>10119</v>
      </c>
      <c r="V795" s="5" t="s">
        <v>10119</v>
      </c>
      <c r="W795" s="5" t="s">
        <v>3630</v>
      </c>
      <c r="X795" s="5" t="s">
        <v>3630</v>
      </c>
      <c r="Y795" s="4">
        <v>324</v>
      </c>
      <c r="Z795" s="4">
        <v>151</v>
      </c>
      <c r="AA795" s="4">
        <v>625</v>
      </c>
      <c r="AB795" s="4">
        <v>3</v>
      </c>
      <c r="AC795" s="4">
        <v>4</v>
      </c>
      <c r="AD795" s="4">
        <v>9</v>
      </c>
      <c r="AE795" s="4">
        <v>25</v>
      </c>
      <c r="AF795" s="4">
        <v>1</v>
      </c>
      <c r="AG795" s="4">
        <v>9</v>
      </c>
      <c r="AH795" s="4">
        <v>2</v>
      </c>
      <c r="AI795" s="4">
        <v>7</v>
      </c>
      <c r="AJ795" s="4">
        <v>6</v>
      </c>
      <c r="AK795" s="4">
        <v>13</v>
      </c>
      <c r="AL795" s="4">
        <v>2</v>
      </c>
      <c r="AM795" s="4">
        <v>2</v>
      </c>
      <c r="AN795" s="4">
        <v>0</v>
      </c>
      <c r="AO795" s="4">
        <v>0</v>
      </c>
      <c r="AP795" s="3" t="s">
        <v>58</v>
      </c>
      <c r="AQ795" s="3" t="s">
        <v>68</v>
      </c>
      <c r="AR795" s="6" t="str">
        <f>HYPERLINK("http://catalog.hathitrust.org/Record/000729000","HathiTrust Record")</f>
        <v>HathiTrust Record</v>
      </c>
      <c r="AS795" s="6" t="str">
        <f>HYPERLINK("https://creighton-primo.hosted.exlibrisgroup.com/primo-explore/search?tab=default_tab&amp;search_scope=EVERYTHING&amp;vid=01CRU&amp;lang=en_US&amp;offset=0&amp;query=any,contains,991003783669702656","Catalog Record")</f>
        <v>Catalog Record</v>
      </c>
      <c r="AT795" s="6" t="str">
        <f>HYPERLINK("http://www.worldcat.org/oclc/1498904","WorldCat Record")</f>
        <v>WorldCat Record</v>
      </c>
      <c r="AU795" s="3" t="s">
        <v>10120</v>
      </c>
      <c r="AV795" s="3" t="s">
        <v>10121</v>
      </c>
      <c r="AW795" s="3" t="s">
        <v>10122</v>
      </c>
      <c r="AX795" s="3" t="s">
        <v>10122</v>
      </c>
      <c r="AY795" s="3" t="s">
        <v>10123</v>
      </c>
      <c r="AZ795" s="3" t="s">
        <v>73</v>
      </c>
      <c r="BB795" s="3" t="s">
        <v>10124</v>
      </c>
      <c r="BC795" s="3" t="s">
        <v>10125</v>
      </c>
      <c r="BD795" s="3" t="s">
        <v>10126</v>
      </c>
    </row>
    <row r="796" spans="1:56" ht="51" customHeight="1" x14ac:dyDescent="0.25">
      <c r="A796" s="7" t="s">
        <v>58</v>
      </c>
      <c r="B796" s="2" t="s">
        <v>10127</v>
      </c>
      <c r="C796" s="2" t="s">
        <v>10128</v>
      </c>
      <c r="D796" s="2" t="s">
        <v>10129</v>
      </c>
      <c r="F796" s="3" t="s">
        <v>58</v>
      </c>
      <c r="G796" s="3" t="s">
        <v>59</v>
      </c>
      <c r="H796" s="3" t="s">
        <v>58</v>
      </c>
      <c r="I796" s="3" t="s">
        <v>58</v>
      </c>
      <c r="J796" s="3" t="s">
        <v>60</v>
      </c>
      <c r="K796" s="2" t="s">
        <v>10130</v>
      </c>
      <c r="L796" s="2" t="s">
        <v>10131</v>
      </c>
      <c r="M796" s="3" t="s">
        <v>898</v>
      </c>
      <c r="O796" s="3" t="s">
        <v>63</v>
      </c>
      <c r="P796" s="3" t="s">
        <v>584</v>
      </c>
      <c r="Q796" s="2" t="s">
        <v>10132</v>
      </c>
      <c r="R796" s="3" t="s">
        <v>65</v>
      </c>
      <c r="S796" s="4">
        <v>3</v>
      </c>
      <c r="T796" s="4">
        <v>3</v>
      </c>
      <c r="U796" s="5" t="s">
        <v>10133</v>
      </c>
      <c r="V796" s="5" t="s">
        <v>10133</v>
      </c>
      <c r="W796" s="5" t="s">
        <v>1976</v>
      </c>
      <c r="X796" s="5" t="s">
        <v>1976</v>
      </c>
      <c r="Y796" s="4">
        <v>226</v>
      </c>
      <c r="Z796" s="4">
        <v>169</v>
      </c>
      <c r="AA796" s="4">
        <v>886</v>
      </c>
      <c r="AB796" s="4">
        <v>2</v>
      </c>
      <c r="AC796" s="4">
        <v>18</v>
      </c>
      <c r="AD796" s="4">
        <v>11</v>
      </c>
      <c r="AE796" s="4">
        <v>29</v>
      </c>
      <c r="AF796" s="4">
        <v>1</v>
      </c>
      <c r="AG796" s="4">
        <v>7</v>
      </c>
      <c r="AH796" s="4">
        <v>4</v>
      </c>
      <c r="AI796" s="4">
        <v>7</v>
      </c>
      <c r="AJ796" s="4">
        <v>8</v>
      </c>
      <c r="AK796" s="4">
        <v>10</v>
      </c>
      <c r="AL796" s="4">
        <v>1</v>
      </c>
      <c r="AM796" s="4">
        <v>11</v>
      </c>
      <c r="AN796" s="4">
        <v>0</v>
      </c>
      <c r="AO796" s="4">
        <v>0</v>
      </c>
      <c r="AP796" s="3" t="s">
        <v>58</v>
      </c>
      <c r="AQ796" s="3" t="s">
        <v>58</v>
      </c>
      <c r="AS796" s="6" t="str">
        <f>HYPERLINK("https://creighton-primo.hosted.exlibrisgroup.com/primo-explore/search?tab=default_tab&amp;search_scope=EVERYTHING&amp;vid=01CRU&amp;lang=en_US&amp;offset=0&amp;query=any,contains,991005066129702656","Catalog Record")</f>
        <v>Catalog Record</v>
      </c>
      <c r="AT796" s="6" t="str">
        <f>HYPERLINK("http://www.worldcat.org/oclc/60838413","WorldCat Record")</f>
        <v>WorldCat Record</v>
      </c>
      <c r="AU796" s="3" t="s">
        <v>10134</v>
      </c>
      <c r="AV796" s="3" t="s">
        <v>10135</v>
      </c>
      <c r="AW796" s="3" t="s">
        <v>10136</v>
      </c>
      <c r="AX796" s="3" t="s">
        <v>10136</v>
      </c>
      <c r="AY796" s="3" t="s">
        <v>10137</v>
      </c>
      <c r="AZ796" s="3" t="s">
        <v>73</v>
      </c>
      <c r="BB796" s="3" t="s">
        <v>10138</v>
      </c>
      <c r="BC796" s="3" t="s">
        <v>10139</v>
      </c>
      <c r="BD796" s="3" t="s">
        <v>10140</v>
      </c>
    </row>
    <row r="797" spans="1:56" ht="51" customHeight="1" x14ac:dyDescent="0.25">
      <c r="A797" s="7" t="s">
        <v>58</v>
      </c>
      <c r="B797" s="2" t="s">
        <v>10141</v>
      </c>
      <c r="C797" s="2" t="s">
        <v>10142</v>
      </c>
      <c r="D797" s="2" t="s">
        <v>10143</v>
      </c>
      <c r="F797" s="3" t="s">
        <v>58</v>
      </c>
      <c r="G797" s="3" t="s">
        <v>59</v>
      </c>
      <c r="H797" s="3" t="s">
        <v>58</v>
      </c>
      <c r="I797" s="3" t="s">
        <v>58</v>
      </c>
      <c r="J797" s="3" t="s">
        <v>60</v>
      </c>
      <c r="K797" s="2" t="s">
        <v>10144</v>
      </c>
      <c r="L797" s="2" t="s">
        <v>10145</v>
      </c>
      <c r="M797" s="3" t="s">
        <v>759</v>
      </c>
      <c r="O797" s="3" t="s">
        <v>63</v>
      </c>
      <c r="P797" s="3" t="s">
        <v>584</v>
      </c>
      <c r="R797" s="3" t="s">
        <v>65</v>
      </c>
      <c r="S797" s="4">
        <v>2</v>
      </c>
      <c r="T797" s="4">
        <v>2</v>
      </c>
      <c r="U797" s="5" t="s">
        <v>10146</v>
      </c>
      <c r="V797" s="5" t="s">
        <v>10146</v>
      </c>
      <c r="W797" s="5" t="s">
        <v>8127</v>
      </c>
      <c r="X797" s="5" t="s">
        <v>8127</v>
      </c>
      <c r="Y797" s="4">
        <v>619</v>
      </c>
      <c r="Z797" s="4">
        <v>488</v>
      </c>
      <c r="AA797" s="4">
        <v>500</v>
      </c>
      <c r="AB797" s="4">
        <v>3</v>
      </c>
      <c r="AC797" s="4">
        <v>3</v>
      </c>
      <c r="AD797" s="4">
        <v>18</v>
      </c>
      <c r="AE797" s="4">
        <v>19</v>
      </c>
      <c r="AF797" s="4">
        <v>7</v>
      </c>
      <c r="AG797" s="4">
        <v>7</v>
      </c>
      <c r="AH797" s="4">
        <v>6</v>
      </c>
      <c r="AI797" s="4">
        <v>6</v>
      </c>
      <c r="AJ797" s="4">
        <v>6</v>
      </c>
      <c r="AK797" s="4">
        <v>7</v>
      </c>
      <c r="AL797" s="4">
        <v>2</v>
      </c>
      <c r="AM797" s="4">
        <v>2</v>
      </c>
      <c r="AN797" s="4">
        <v>0</v>
      </c>
      <c r="AO797" s="4">
        <v>0</v>
      </c>
      <c r="AP797" s="3" t="s">
        <v>58</v>
      </c>
      <c r="AQ797" s="3" t="s">
        <v>58</v>
      </c>
      <c r="AS797" s="6" t="str">
        <f>HYPERLINK("https://creighton-primo.hosted.exlibrisgroup.com/primo-explore/search?tab=default_tab&amp;search_scope=EVERYTHING&amp;vid=01CRU&amp;lang=en_US&amp;offset=0&amp;query=any,contains,991004826209702656","Catalog Record")</f>
        <v>Catalog Record</v>
      </c>
      <c r="AT797" s="6" t="str">
        <f>HYPERLINK("http://www.worldcat.org/oclc/5354386","WorldCat Record")</f>
        <v>WorldCat Record</v>
      </c>
      <c r="AU797" s="3" t="s">
        <v>10147</v>
      </c>
      <c r="AV797" s="3" t="s">
        <v>10148</v>
      </c>
      <c r="AW797" s="3" t="s">
        <v>10149</v>
      </c>
      <c r="AX797" s="3" t="s">
        <v>10149</v>
      </c>
      <c r="AY797" s="3" t="s">
        <v>10150</v>
      </c>
      <c r="AZ797" s="3" t="s">
        <v>73</v>
      </c>
      <c r="BB797" s="3" t="s">
        <v>10151</v>
      </c>
      <c r="BC797" s="3" t="s">
        <v>10152</v>
      </c>
      <c r="BD797" s="3" t="s">
        <v>10153</v>
      </c>
    </row>
    <row r="798" spans="1:56" ht="51" customHeight="1" x14ac:dyDescent="0.25">
      <c r="A798" s="7" t="s">
        <v>58</v>
      </c>
      <c r="B798" s="2" t="s">
        <v>10154</v>
      </c>
      <c r="C798" s="2" t="s">
        <v>10155</v>
      </c>
      <c r="D798" s="2" t="s">
        <v>10156</v>
      </c>
      <c r="E798" s="3" t="s">
        <v>10157</v>
      </c>
      <c r="F798" s="3" t="s">
        <v>58</v>
      </c>
      <c r="G798" s="3" t="s">
        <v>59</v>
      </c>
      <c r="H798" s="3" t="s">
        <v>58</v>
      </c>
      <c r="I798" s="3" t="s">
        <v>58</v>
      </c>
      <c r="J798" s="3" t="s">
        <v>60</v>
      </c>
      <c r="K798" s="2" t="s">
        <v>10158</v>
      </c>
      <c r="L798" s="2" t="s">
        <v>10159</v>
      </c>
      <c r="M798" s="3" t="s">
        <v>552</v>
      </c>
      <c r="O798" s="3" t="s">
        <v>63</v>
      </c>
      <c r="P798" s="3" t="s">
        <v>10160</v>
      </c>
      <c r="Q798" s="2" t="s">
        <v>10161</v>
      </c>
      <c r="R798" s="3" t="s">
        <v>65</v>
      </c>
      <c r="S798" s="4">
        <v>5</v>
      </c>
      <c r="T798" s="4">
        <v>5</v>
      </c>
      <c r="U798" s="5" t="s">
        <v>10162</v>
      </c>
      <c r="V798" s="5" t="s">
        <v>10162</v>
      </c>
      <c r="W798" s="5" t="s">
        <v>3749</v>
      </c>
      <c r="X798" s="5" t="s">
        <v>3749</v>
      </c>
      <c r="Y798" s="4">
        <v>392</v>
      </c>
      <c r="Z798" s="4">
        <v>301</v>
      </c>
      <c r="AA798" s="4">
        <v>798</v>
      </c>
      <c r="AB798" s="4">
        <v>2</v>
      </c>
      <c r="AC798" s="4">
        <v>2</v>
      </c>
      <c r="AD798" s="4">
        <v>15</v>
      </c>
      <c r="AE798" s="4">
        <v>18</v>
      </c>
      <c r="AF798" s="4">
        <v>5</v>
      </c>
      <c r="AG798" s="4">
        <v>8</v>
      </c>
      <c r="AH798" s="4">
        <v>5</v>
      </c>
      <c r="AI798" s="4">
        <v>5</v>
      </c>
      <c r="AJ798" s="4">
        <v>10</v>
      </c>
      <c r="AK798" s="4">
        <v>10</v>
      </c>
      <c r="AL798" s="4">
        <v>1</v>
      </c>
      <c r="AM798" s="4">
        <v>1</v>
      </c>
      <c r="AN798" s="4">
        <v>0</v>
      </c>
      <c r="AO798" s="4">
        <v>0</v>
      </c>
      <c r="AP798" s="3" t="s">
        <v>58</v>
      </c>
      <c r="AQ798" s="3" t="s">
        <v>68</v>
      </c>
      <c r="AR798" s="6" t="str">
        <f>HYPERLINK("http://catalog.hathitrust.org/Record/002208547","HathiTrust Record")</f>
        <v>HathiTrust Record</v>
      </c>
      <c r="AS798" s="6" t="str">
        <f>HYPERLINK("https://creighton-primo.hosted.exlibrisgroup.com/primo-explore/search?tab=default_tab&amp;search_scope=EVERYTHING&amp;vid=01CRU&amp;lang=en_US&amp;offset=0&amp;query=any,contains,991001624009702656","Catalog Record")</f>
        <v>Catalog Record</v>
      </c>
      <c r="AT798" s="6" t="str">
        <f>HYPERLINK("http://www.worldcat.org/oclc/20827339","WorldCat Record")</f>
        <v>WorldCat Record</v>
      </c>
      <c r="AU798" s="3" t="s">
        <v>10163</v>
      </c>
      <c r="AV798" s="3" t="s">
        <v>10164</v>
      </c>
      <c r="AW798" s="3" t="s">
        <v>10165</v>
      </c>
      <c r="AX798" s="3" t="s">
        <v>10165</v>
      </c>
      <c r="AY798" s="3" t="s">
        <v>10166</v>
      </c>
      <c r="AZ798" s="3" t="s">
        <v>73</v>
      </c>
      <c r="BB798" s="3" t="s">
        <v>10167</v>
      </c>
      <c r="BC798" s="3" t="s">
        <v>10168</v>
      </c>
      <c r="BD798" s="3" t="s">
        <v>10169</v>
      </c>
    </row>
    <row r="799" spans="1:56" ht="51" customHeight="1" x14ac:dyDescent="0.25">
      <c r="A799" s="7" t="s">
        <v>58</v>
      </c>
      <c r="B799" s="2" t="s">
        <v>10170</v>
      </c>
      <c r="C799" s="2" t="s">
        <v>10171</v>
      </c>
      <c r="D799" s="2" t="s">
        <v>10172</v>
      </c>
      <c r="F799" s="3" t="s">
        <v>58</v>
      </c>
      <c r="G799" s="3" t="s">
        <v>59</v>
      </c>
      <c r="H799" s="3" t="s">
        <v>58</v>
      </c>
      <c r="I799" s="3" t="s">
        <v>58</v>
      </c>
      <c r="J799" s="3" t="s">
        <v>60</v>
      </c>
      <c r="K799" s="2" t="s">
        <v>10173</v>
      </c>
      <c r="L799" s="2" t="s">
        <v>10174</v>
      </c>
      <c r="M799" s="3" t="s">
        <v>154</v>
      </c>
      <c r="O799" s="3" t="s">
        <v>63</v>
      </c>
      <c r="P799" s="3" t="s">
        <v>584</v>
      </c>
      <c r="R799" s="3" t="s">
        <v>65</v>
      </c>
      <c r="S799" s="4">
        <v>1</v>
      </c>
      <c r="T799" s="4">
        <v>1</v>
      </c>
      <c r="U799" s="5" t="s">
        <v>10175</v>
      </c>
      <c r="V799" s="5" t="s">
        <v>10175</v>
      </c>
      <c r="W799" s="5" t="s">
        <v>3889</v>
      </c>
      <c r="X799" s="5" t="s">
        <v>3889</v>
      </c>
      <c r="Y799" s="4">
        <v>129</v>
      </c>
      <c r="Z799" s="4">
        <v>60</v>
      </c>
      <c r="AA799" s="4">
        <v>291</v>
      </c>
      <c r="AB799" s="4">
        <v>2</v>
      </c>
      <c r="AC799" s="4">
        <v>2</v>
      </c>
      <c r="AD799" s="4">
        <v>3</v>
      </c>
      <c r="AE799" s="4">
        <v>14</v>
      </c>
      <c r="AF799" s="4">
        <v>0</v>
      </c>
      <c r="AG799" s="4">
        <v>3</v>
      </c>
      <c r="AH799" s="4">
        <v>2</v>
      </c>
      <c r="AI799" s="4">
        <v>5</v>
      </c>
      <c r="AJ799" s="4">
        <v>1</v>
      </c>
      <c r="AK799" s="4">
        <v>7</v>
      </c>
      <c r="AL799" s="4">
        <v>1</v>
      </c>
      <c r="AM799" s="4">
        <v>1</v>
      </c>
      <c r="AN799" s="4">
        <v>0</v>
      </c>
      <c r="AO799" s="4">
        <v>0</v>
      </c>
      <c r="AP799" s="3" t="s">
        <v>58</v>
      </c>
      <c r="AQ799" s="3" t="s">
        <v>68</v>
      </c>
      <c r="AR799" s="6" t="str">
        <f>HYPERLINK("http://catalog.hathitrust.org/Record/001292558","HathiTrust Record")</f>
        <v>HathiTrust Record</v>
      </c>
      <c r="AS799" s="6" t="str">
        <f>HYPERLINK("https://creighton-primo.hosted.exlibrisgroup.com/primo-explore/search?tab=default_tab&amp;search_scope=EVERYTHING&amp;vid=01CRU&amp;lang=en_US&amp;offset=0&amp;query=any,contains,991001241349702656","Catalog Record")</f>
        <v>Catalog Record</v>
      </c>
      <c r="AT799" s="6" t="str">
        <f>HYPERLINK("http://www.worldcat.org/oclc/17619896","WorldCat Record")</f>
        <v>WorldCat Record</v>
      </c>
      <c r="AU799" s="3" t="s">
        <v>10176</v>
      </c>
      <c r="AV799" s="3" t="s">
        <v>10177</v>
      </c>
      <c r="AW799" s="3" t="s">
        <v>10178</v>
      </c>
      <c r="AX799" s="3" t="s">
        <v>10178</v>
      </c>
      <c r="AY799" s="3" t="s">
        <v>10179</v>
      </c>
      <c r="AZ799" s="3" t="s">
        <v>73</v>
      </c>
      <c r="BB799" s="3" t="s">
        <v>10180</v>
      </c>
      <c r="BC799" s="3" t="s">
        <v>10181</v>
      </c>
      <c r="BD799" s="3" t="s">
        <v>10182</v>
      </c>
    </row>
    <row r="800" spans="1:56" ht="51" customHeight="1" x14ac:dyDescent="0.25">
      <c r="A800" s="7" t="s">
        <v>58</v>
      </c>
      <c r="B800" s="2" t="s">
        <v>10183</v>
      </c>
      <c r="C800" s="2" t="s">
        <v>10184</v>
      </c>
      <c r="D800" s="2" t="s">
        <v>10185</v>
      </c>
      <c r="F800" s="3" t="s">
        <v>58</v>
      </c>
      <c r="G800" s="3" t="s">
        <v>59</v>
      </c>
      <c r="H800" s="3" t="s">
        <v>58</v>
      </c>
      <c r="I800" s="3" t="s">
        <v>58</v>
      </c>
      <c r="J800" s="3" t="s">
        <v>60</v>
      </c>
      <c r="K800" s="2" t="s">
        <v>10186</v>
      </c>
      <c r="L800" s="2" t="s">
        <v>10187</v>
      </c>
      <c r="M800" s="3" t="s">
        <v>231</v>
      </c>
      <c r="O800" s="3" t="s">
        <v>63</v>
      </c>
      <c r="P800" s="3" t="s">
        <v>816</v>
      </c>
      <c r="Q800" s="2" t="s">
        <v>10188</v>
      </c>
      <c r="R800" s="3" t="s">
        <v>65</v>
      </c>
      <c r="S800" s="4">
        <v>3</v>
      </c>
      <c r="T800" s="4">
        <v>3</v>
      </c>
      <c r="U800" s="5" t="s">
        <v>10189</v>
      </c>
      <c r="V800" s="5" t="s">
        <v>10189</v>
      </c>
      <c r="W800" s="5" t="s">
        <v>2616</v>
      </c>
      <c r="X800" s="5" t="s">
        <v>2616</v>
      </c>
      <c r="Y800" s="4">
        <v>403</v>
      </c>
      <c r="Z800" s="4">
        <v>333</v>
      </c>
      <c r="AA800" s="4">
        <v>507</v>
      </c>
      <c r="AB800" s="4">
        <v>4</v>
      </c>
      <c r="AC800" s="4">
        <v>5</v>
      </c>
      <c r="AD800" s="4">
        <v>19</v>
      </c>
      <c r="AE800" s="4">
        <v>27</v>
      </c>
      <c r="AF800" s="4">
        <v>8</v>
      </c>
      <c r="AG800" s="4">
        <v>12</v>
      </c>
      <c r="AH800" s="4">
        <v>3</v>
      </c>
      <c r="AI800" s="4">
        <v>3</v>
      </c>
      <c r="AJ800" s="4">
        <v>7</v>
      </c>
      <c r="AK800" s="4">
        <v>13</v>
      </c>
      <c r="AL800" s="4">
        <v>3</v>
      </c>
      <c r="AM800" s="4">
        <v>4</v>
      </c>
      <c r="AN800" s="4">
        <v>1</v>
      </c>
      <c r="AO800" s="4">
        <v>1</v>
      </c>
      <c r="AP800" s="3" t="s">
        <v>58</v>
      </c>
      <c r="AQ800" s="3" t="s">
        <v>58</v>
      </c>
      <c r="AR800" s="6" t="str">
        <f>HYPERLINK("http://catalog.hathitrust.org/Record/001248926","HathiTrust Record")</f>
        <v>HathiTrust Record</v>
      </c>
      <c r="AS800" s="6" t="str">
        <f>HYPERLINK("https://creighton-primo.hosted.exlibrisgroup.com/primo-explore/search?tab=default_tab&amp;search_scope=EVERYTHING&amp;vid=01CRU&amp;lang=en_US&amp;offset=0&amp;query=any,contains,991004967609702656","Catalog Record")</f>
        <v>Catalog Record</v>
      </c>
      <c r="AT800" s="6" t="str">
        <f>HYPERLINK("http://www.worldcat.org/oclc/6347640","WorldCat Record")</f>
        <v>WorldCat Record</v>
      </c>
      <c r="AU800" s="3" t="s">
        <v>10190</v>
      </c>
      <c r="AV800" s="3" t="s">
        <v>10191</v>
      </c>
      <c r="AW800" s="3" t="s">
        <v>10192</v>
      </c>
      <c r="AX800" s="3" t="s">
        <v>10192</v>
      </c>
      <c r="AY800" s="3" t="s">
        <v>10193</v>
      </c>
      <c r="AZ800" s="3" t="s">
        <v>73</v>
      </c>
      <c r="BC800" s="3" t="s">
        <v>10194</v>
      </c>
      <c r="BD800" s="3" t="s">
        <v>10195</v>
      </c>
    </row>
    <row r="801" spans="1:56" ht="51" customHeight="1" x14ac:dyDescent="0.25">
      <c r="A801" s="7" t="s">
        <v>58</v>
      </c>
      <c r="B801" s="2" t="s">
        <v>10196</v>
      </c>
      <c r="C801" s="2" t="s">
        <v>10197</v>
      </c>
      <c r="D801" s="2" t="s">
        <v>10198</v>
      </c>
      <c r="F801" s="3" t="s">
        <v>58</v>
      </c>
      <c r="G801" s="3" t="s">
        <v>59</v>
      </c>
      <c r="H801" s="3" t="s">
        <v>58</v>
      </c>
      <c r="I801" s="3" t="s">
        <v>58</v>
      </c>
      <c r="J801" s="3" t="s">
        <v>60</v>
      </c>
      <c r="L801" s="2" t="s">
        <v>10199</v>
      </c>
      <c r="M801" s="3" t="s">
        <v>83</v>
      </c>
      <c r="O801" s="3" t="s">
        <v>63</v>
      </c>
      <c r="P801" s="3" t="s">
        <v>2061</v>
      </c>
      <c r="Q801" s="2" t="s">
        <v>10200</v>
      </c>
      <c r="R801" s="3" t="s">
        <v>65</v>
      </c>
      <c r="S801" s="4">
        <v>4</v>
      </c>
      <c r="T801" s="4">
        <v>4</v>
      </c>
      <c r="U801" s="5" t="s">
        <v>2297</v>
      </c>
      <c r="V801" s="5" t="s">
        <v>2297</v>
      </c>
      <c r="W801" s="5" t="s">
        <v>8127</v>
      </c>
      <c r="X801" s="5" t="s">
        <v>8127</v>
      </c>
      <c r="Y801" s="4">
        <v>661</v>
      </c>
      <c r="Z801" s="4">
        <v>521</v>
      </c>
      <c r="AA801" s="4">
        <v>523</v>
      </c>
      <c r="AB801" s="4">
        <v>5</v>
      </c>
      <c r="AC801" s="4">
        <v>5</v>
      </c>
      <c r="AD801" s="4">
        <v>30</v>
      </c>
      <c r="AE801" s="4">
        <v>30</v>
      </c>
      <c r="AF801" s="4">
        <v>11</v>
      </c>
      <c r="AG801" s="4">
        <v>11</v>
      </c>
      <c r="AH801" s="4">
        <v>7</v>
      </c>
      <c r="AI801" s="4">
        <v>7</v>
      </c>
      <c r="AJ801" s="4">
        <v>15</v>
      </c>
      <c r="AK801" s="4">
        <v>15</v>
      </c>
      <c r="AL801" s="4">
        <v>4</v>
      </c>
      <c r="AM801" s="4">
        <v>4</v>
      </c>
      <c r="AN801" s="4">
        <v>0</v>
      </c>
      <c r="AO801" s="4">
        <v>0</v>
      </c>
      <c r="AP801" s="3" t="s">
        <v>58</v>
      </c>
      <c r="AQ801" s="3" t="s">
        <v>68</v>
      </c>
      <c r="AR801" s="6" t="str">
        <f>HYPERLINK("http://catalog.hathitrust.org/Record/000134712","HathiTrust Record")</f>
        <v>HathiTrust Record</v>
      </c>
      <c r="AS801" s="6" t="str">
        <f>HYPERLINK("https://creighton-primo.hosted.exlibrisgroup.com/primo-explore/search?tab=default_tab&amp;search_scope=EVERYTHING&amp;vid=01CRU&amp;lang=en_US&amp;offset=0&amp;query=any,contains,991004522449702656","Catalog Record")</f>
        <v>Catalog Record</v>
      </c>
      <c r="AT801" s="6" t="str">
        <f>HYPERLINK("http://www.worldcat.org/oclc/3828879","WorldCat Record")</f>
        <v>WorldCat Record</v>
      </c>
      <c r="AU801" s="3" t="s">
        <v>10201</v>
      </c>
      <c r="AV801" s="3" t="s">
        <v>10202</v>
      </c>
      <c r="AW801" s="3" t="s">
        <v>10203</v>
      </c>
      <c r="AX801" s="3" t="s">
        <v>10203</v>
      </c>
      <c r="AY801" s="3" t="s">
        <v>10204</v>
      </c>
      <c r="AZ801" s="3" t="s">
        <v>73</v>
      </c>
      <c r="BB801" s="3" t="s">
        <v>10205</v>
      </c>
      <c r="BC801" s="3" t="s">
        <v>10206</v>
      </c>
      <c r="BD801" s="3" t="s">
        <v>10207</v>
      </c>
    </row>
    <row r="802" spans="1:56" ht="51" customHeight="1" x14ac:dyDescent="0.25">
      <c r="A802" s="7" t="s">
        <v>58</v>
      </c>
      <c r="B802" s="2" t="s">
        <v>10208</v>
      </c>
      <c r="C802" s="2" t="s">
        <v>10209</v>
      </c>
      <c r="D802" s="2" t="s">
        <v>10210</v>
      </c>
      <c r="F802" s="3" t="s">
        <v>58</v>
      </c>
      <c r="G802" s="3" t="s">
        <v>59</v>
      </c>
      <c r="H802" s="3" t="s">
        <v>58</v>
      </c>
      <c r="I802" s="3" t="s">
        <v>58</v>
      </c>
      <c r="J802" s="3" t="s">
        <v>60</v>
      </c>
      <c r="K802" s="2" t="s">
        <v>10211</v>
      </c>
      <c r="L802" s="2" t="s">
        <v>10212</v>
      </c>
      <c r="M802" s="3" t="s">
        <v>842</v>
      </c>
      <c r="O802" s="3" t="s">
        <v>63</v>
      </c>
      <c r="P802" s="3" t="s">
        <v>510</v>
      </c>
      <c r="R802" s="3" t="s">
        <v>65</v>
      </c>
      <c r="S802" s="4">
        <v>9</v>
      </c>
      <c r="T802" s="4">
        <v>9</v>
      </c>
      <c r="U802" s="5" t="s">
        <v>10213</v>
      </c>
      <c r="V802" s="5" t="s">
        <v>10213</v>
      </c>
      <c r="W802" s="5" t="s">
        <v>8127</v>
      </c>
      <c r="X802" s="5" t="s">
        <v>8127</v>
      </c>
      <c r="Y802" s="4">
        <v>1309</v>
      </c>
      <c r="Z802" s="4">
        <v>1090</v>
      </c>
      <c r="AA802" s="4">
        <v>1092</v>
      </c>
      <c r="AB802" s="4">
        <v>6</v>
      </c>
      <c r="AC802" s="4">
        <v>6</v>
      </c>
      <c r="AD802" s="4">
        <v>43</v>
      </c>
      <c r="AE802" s="4">
        <v>43</v>
      </c>
      <c r="AF802" s="4">
        <v>17</v>
      </c>
      <c r="AG802" s="4">
        <v>17</v>
      </c>
      <c r="AH802" s="4">
        <v>10</v>
      </c>
      <c r="AI802" s="4">
        <v>10</v>
      </c>
      <c r="AJ802" s="4">
        <v>23</v>
      </c>
      <c r="AK802" s="4">
        <v>23</v>
      </c>
      <c r="AL802" s="4">
        <v>5</v>
      </c>
      <c r="AM802" s="4">
        <v>5</v>
      </c>
      <c r="AN802" s="4">
        <v>0</v>
      </c>
      <c r="AO802" s="4">
        <v>0</v>
      </c>
      <c r="AP802" s="3" t="s">
        <v>58</v>
      </c>
      <c r="AQ802" s="3" t="s">
        <v>58</v>
      </c>
      <c r="AS802" s="6" t="str">
        <f>HYPERLINK("https://creighton-primo.hosted.exlibrisgroup.com/primo-explore/search?tab=default_tab&amp;search_scope=EVERYTHING&amp;vid=01CRU&amp;lang=en_US&amp;offset=0&amp;query=any,contains,991005127639702656","Catalog Record")</f>
        <v>Catalog Record</v>
      </c>
      <c r="AT802" s="6" t="str">
        <f>HYPERLINK("http://www.worldcat.org/oclc/7554626","WorldCat Record")</f>
        <v>WorldCat Record</v>
      </c>
      <c r="AU802" s="3" t="s">
        <v>10214</v>
      </c>
      <c r="AV802" s="3" t="s">
        <v>10215</v>
      </c>
      <c r="AW802" s="3" t="s">
        <v>10216</v>
      </c>
      <c r="AX802" s="3" t="s">
        <v>10216</v>
      </c>
      <c r="AY802" s="3" t="s">
        <v>10217</v>
      </c>
      <c r="AZ802" s="3" t="s">
        <v>73</v>
      </c>
      <c r="BB802" s="3" t="s">
        <v>10218</v>
      </c>
      <c r="BC802" s="3" t="s">
        <v>10219</v>
      </c>
      <c r="BD802" s="3" t="s">
        <v>10220</v>
      </c>
    </row>
    <row r="803" spans="1:56" ht="51" customHeight="1" x14ac:dyDescent="0.25">
      <c r="A803" s="7" t="s">
        <v>58</v>
      </c>
      <c r="B803" s="2" t="s">
        <v>10221</v>
      </c>
      <c r="C803" s="2" t="s">
        <v>10222</v>
      </c>
      <c r="D803" s="2" t="s">
        <v>10223</v>
      </c>
      <c r="F803" s="3" t="s">
        <v>58</v>
      </c>
      <c r="G803" s="3" t="s">
        <v>59</v>
      </c>
      <c r="H803" s="3" t="s">
        <v>58</v>
      </c>
      <c r="I803" s="3" t="s">
        <v>58</v>
      </c>
      <c r="J803" s="3" t="s">
        <v>60</v>
      </c>
      <c r="K803" s="2" t="s">
        <v>10211</v>
      </c>
      <c r="L803" s="2" t="s">
        <v>10224</v>
      </c>
      <c r="M803" s="3" t="s">
        <v>2295</v>
      </c>
      <c r="O803" s="3" t="s">
        <v>63</v>
      </c>
      <c r="P803" s="3" t="s">
        <v>510</v>
      </c>
      <c r="R803" s="3" t="s">
        <v>65</v>
      </c>
      <c r="S803" s="4">
        <v>9</v>
      </c>
      <c r="T803" s="4">
        <v>9</v>
      </c>
      <c r="U803" s="5" t="s">
        <v>10225</v>
      </c>
      <c r="V803" s="5" t="s">
        <v>10225</v>
      </c>
      <c r="W803" s="5" t="s">
        <v>10226</v>
      </c>
      <c r="X803" s="5" t="s">
        <v>10226</v>
      </c>
      <c r="Y803" s="4">
        <v>981</v>
      </c>
      <c r="Z803" s="4">
        <v>825</v>
      </c>
      <c r="AA803" s="4">
        <v>1172</v>
      </c>
      <c r="AB803" s="4">
        <v>6</v>
      </c>
      <c r="AC803" s="4">
        <v>7</v>
      </c>
      <c r="AD803" s="4">
        <v>42</v>
      </c>
      <c r="AE803" s="4">
        <v>51</v>
      </c>
      <c r="AF803" s="4">
        <v>19</v>
      </c>
      <c r="AG803" s="4">
        <v>23</v>
      </c>
      <c r="AH803" s="4">
        <v>9</v>
      </c>
      <c r="AI803" s="4">
        <v>10</v>
      </c>
      <c r="AJ803" s="4">
        <v>17</v>
      </c>
      <c r="AK803" s="4">
        <v>22</v>
      </c>
      <c r="AL803" s="4">
        <v>5</v>
      </c>
      <c r="AM803" s="4">
        <v>6</v>
      </c>
      <c r="AN803" s="4">
        <v>2</v>
      </c>
      <c r="AO803" s="4">
        <v>2</v>
      </c>
      <c r="AP803" s="3" t="s">
        <v>58</v>
      </c>
      <c r="AQ803" s="3" t="s">
        <v>58</v>
      </c>
      <c r="AS803" s="6" t="str">
        <f>HYPERLINK("https://creighton-primo.hosted.exlibrisgroup.com/primo-explore/search?tab=default_tab&amp;search_scope=EVERYTHING&amp;vid=01CRU&amp;lang=en_US&amp;offset=0&amp;query=any,contains,991004284599702656","Catalog Record")</f>
        <v>Catalog Record</v>
      </c>
      <c r="AT803" s="6" t="str">
        <f>HYPERLINK("http://www.worldcat.org/oclc/52203239","WorldCat Record")</f>
        <v>WorldCat Record</v>
      </c>
      <c r="AU803" s="3" t="s">
        <v>10227</v>
      </c>
      <c r="AV803" s="3" t="s">
        <v>10228</v>
      </c>
      <c r="AW803" s="3" t="s">
        <v>10229</v>
      </c>
      <c r="AX803" s="3" t="s">
        <v>10229</v>
      </c>
      <c r="AY803" s="3" t="s">
        <v>10230</v>
      </c>
      <c r="AZ803" s="3" t="s">
        <v>73</v>
      </c>
      <c r="BB803" s="3" t="s">
        <v>10231</v>
      </c>
      <c r="BC803" s="3" t="s">
        <v>10232</v>
      </c>
      <c r="BD803" s="3" t="s">
        <v>10233</v>
      </c>
    </row>
    <row r="804" spans="1:56" ht="51" customHeight="1" x14ac:dyDescent="0.25">
      <c r="A804" s="7" t="s">
        <v>58</v>
      </c>
      <c r="B804" s="2" t="s">
        <v>10234</v>
      </c>
      <c r="C804" s="2" t="s">
        <v>10235</v>
      </c>
      <c r="D804" s="2" t="s">
        <v>10236</v>
      </c>
      <c r="F804" s="3" t="s">
        <v>58</v>
      </c>
      <c r="G804" s="3" t="s">
        <v>59</v>
      </c>
      <c r="H804" s="3" t="s">
        <v>58</v>
      </c>
      <c r="I804" s="3" t="s">
        <v>58</v>
      </c>
      <c r="J804" s="3" t="s">
        <v>60</v>
      </c>
      <c r="K804" s="2" t="s">
        <v>10237</v>
      </c>
      <c r="L804" s="2" t="s">
        <v>10238</v>
      </c>
      <c r="M804" s="3" t="s">
        <v>898</v>
      </c>
      <c r="O804" s="3" t="s">
        <v>63</v>
      </c>
      <c r="P804" s="3" t="s">
        <v>584</v>
      </c>
      <c r="R804" s="3" t="s">
        <v>65</v>
      </c>
      <c r="S804" s="4">
        <v>5</v>
      </c>
      <c r="T804" s="4">
        <v>5</v>
      </c>
      <c r="U804" s="5" t="s">
        <v>10239</v>
      </c>
      <c r="V804" s="5" t="s">
        <v>10239</v>
      </c>
      <c r="W804" s="5" t="s">
        <v>9941</v>
      </c>
      <c r="X804" s="5" t="s">
        <v>9941</v>
      </c>
      <c r="Y804" s="4">
        <v>760</v>
      </c>
      <c r="Z804" s="4">
        <v>672</v>
      </c>
      <c r="AA804" s="4">
        <v>862</v>
      </c>
      <c r="AB804" s="4">
        <v>5</v>
      </c>
      <c r="AC804" s="4">
        <v>5</v>
      </c>
      <c r="AD804" s="4">
        <v>24</v>
      </c>
      <c r="AE804" s="4">
        <v>26</v>
      </c>
      <c r="AF804" s="4">
        <v>10</v>
      </c>
      <c r="AG804" s="4">
        <v>10</v>
      </c>
      <c r="AH804" s="4">
        <v>6</v>
      </c>
      <c r="AI804" s="4">
        <v>8</v>
      </c>
      <c r="AJ804" s="4">
        <v>10</v>
      </c>
      <c r="AK804" s="4">
        <v>11</v>
      </c>
      <c r="AL804" s="4">
        <v>3</v>
      </c>
      <c r="AM804" s="4">
        <v>3</v>
      </c>
      <c r="AN804" s="4">
        <v>0</v>
      </c>
      <c r="AO804" s="4">
        <v>0</v>
      </c>
      <c r="AP804" s="3" t="s">
        <v>58</v>
      </c>
      <c r="AQ804" s="3" t="s">
        <v>58</v>
      </c>
      <c r="AS804" s="6" t="str">
        <f>HYPERLINK("https://creighton-primo.hosted.exlibrisgroup.com/primo-explore/search?tab=default_tab&amp;search_scope=EVERYTHING&amp;vid=01CRU&amp;lang=en_US&amp;offset=0&amp;query=any,contains,991004859779702656","Catalog Record")</f>
        <v>Catalog Record</v>
      </c>
      <c r="AT804" s="6" t="str">
        <f>HYPERLINK("http://www.worldcat.org/oclc/62281868","WorldCat Record")</f>
        <v>WorldCat Record</v>
      </c>
      <c r="AU804" s="3" t="s">
        <v>10240</v>
      </c>
      <c r="AV804" s="3" t="s">
        <v>10241</v>
      </c>
      <c r="AW804" s="3" t="s">
        <v>10242</v>
      </c>
      <c r="AX804" s="3" t="s">
        <v>10242</v>
      </c>
      <c r="AY804" s="3" t="s">
        <v>10243</v>
      </c>
      <c r="AZ804" s="3" t="s">
        <v>73</v>
      </c>
      <c r="BB804" s="3" t="s">
        <v>10244</v>
      </c>
      <c r="BC804" s="3" t="s">
        <v>10245</v>
      </c>
      <c r="BD804" s="3" t="s">
        <v>10246</v>
      </c>
    </row>
    <row r="805" spans="1:56" ht="51" customHeight="1" x14ac:dyDescent="0.25">
      <c r="A805" s="7" t="s">
        <v>58</v>
      </c>
      <c r="B805" s="2" t="s">
        <v>10247</v>
      </c>
      <c r="C805" s="2" t="s">
        <v>10248</v>
      </c>
      <c r="D805" s="2" t="s">
        <v>10249</v>
      </c>
      <c r="F805" s="3" t="s">
        <v>58</v>
      </c>
      <c r="G805" s="3" t="s">
        <v>59</v>
      </c>
      <c r="H805" s="3" t="s">
        <v>58</v>
      </c>
      <c r="I805" s="3" t="s">
        <v>58</v>
      </c>
      <c r="J805" s="3" t="s">
        <v>60</v>
      </c>
      <c r="K805" s="2" t="s">
        <v>10250</v>
      </c>
      <c r="L805" s="2" t="s">
        <v>10251</v>
      </c>
      <c r="M805" s="3" t="s">
        <v>382</v>
      </c>
      <c r="N805" s="2" t="s">
        <v>10252</v>
      </c>
      <c r="O805" s="3" t="s">
        <v>63</v>
      </c>
      <c r="P805" s="3" t="s">
        <v>584</v>
      </c>
      <c r="R805" s="3" t="s">
        <v>65</v>
      </c>
      <c r="S805" s="4">
        <v>1</v>
      </c>
      <c r="T805" s="4">
        <v>1</v>
      </c>
      <c r="U805" s="5" t="s">
        <v>10253</v>
      </c>
      <c r="V805" s="5" t="s">
        <v>10253</v>
      </c>
      <c r="W805" s="5" t="s">
        <v>9661</v>
      </c>
      <c r="X805" s="5" t="s">
        <v>9661</v>
      </c>
      <c r="Y805" s="4">
        <v>146</v>
      </c>
      <c r="Z805" s="4">
        <v>107</v>
      </c>
      <c r="AA805" s="4">
        <v>701</v>
      </c>
      <c r="AB805" s="4">
        <v>1</v>
      </c>
      <c r="AC805" s="4">
        <v>4</v>
      </c>
      <c r="AD805" s="4">
        <v>10</v>
      </c>
      <c r="AE805" s="4">
        <v>29</v>
      </c>
      <c r="AF805" s="4">
        <v>6</v>
      </c>
      <c r="AG805" s="4">
        <v>14</v>
      </c>
      <c r="AH805" s="4">
        <v>2</v>
      </c>
      <c r="AI805" s="4">
        <v>8</v>
      </c>
      <c r="AJ805" s="4">
        <v>3</v>
      </c>
      <c r="AK805" s="4">
        <v>11</v>
      </c>
      <c r="AL805" s="4">
        <v>0</v>
      </c>
      <c r="AM805" s="4">
        <v>3</v>
      </c>
      <c r="AN805" s="4">
        <v>0</v>
      </c>
      <c r="AO805" s="4">
        <v>0</v>
      </c>
      <c r="AP805" s="3" t="s">
        <v>58</v>
      </c>
      <c r="AQ805" s="3" t="s">
        <v>68</v>
      </c>
      <c r="AR805" s="6" t="str">
        <f>HYPERLINK("http://catalog.hathitrust.org/Record/004071090","HathiTrust Record")</f>
        <v>HathiTrust Record</v>
      </c>
      <c r="AS805" s="6" t="str">
        <f>HYPERLINK("https://creighton-primo.hosted.exlibrisgroup.com/primo-explore/search?tab=default_tab&amp;search_scope=EVERYTHING&amp;vid=01CRU&amp;lang=en_US&amp;offset=0&amp;query=any,contains,991003214399702656","Catalog Record")</f>
        <v>Catalog Record</v>
      </c>
      <c r="AT805" s="6" t="str">
        <f>HYPERLINK("http://www.worldcat.org/oclc/42703506","WorldCat Record")</f>
        <v>WorldCat Record</v>
      </c>
      <c r="AU805" s="3" t="s">
        <v>10254</v>
      </c>
      <c r="AV805" s="3" t="s">
        <v>10255</v>
      </c>
      <c r="AW805" s="3" t="s">
        <v>10256</v>
      </c>
      <c r="AX805" s="3" t="s">
        <v>10256</v>
      </c>
      <c r="AY805" s="3" t="s">
        <v>10257</v>
      </c>
      <c r="AZ805" s="3" t="s">
        <v>73</v>
      </c>
      <c r="BB805" s="3" t="s">
        <v>10258</v>
      </c>
      <c r="BC805" s="3" t="s">
        <v>10259</v>
      </c>
      <c r="BD805" s="3" t="s">
        <v>10260</v>
      </c>
    </row>
    <row r="806" spans="1:56" ht="51" customHeight="1" x14ac:dyDescent="0.25">
      <c r="A806" s="7" t="s">
        <v>58</v>
      </c>
      <c r="B806" s="2" t="s">
        <v>10261</v>
      </c>
      <c r="C806" s="2" t="s">
        <v>10262</v>
      </c>
      <c r="D806" s="2" t="s">
        <v>10263</v>
      </c>
      <c r="F806" s="3" t="s">
        <v>58</v>
      </c>
      <c r="G806" s="3" t="s">
        <v>59</v>
      </c>
      <c r="H806" s="3" t="s">
        <v>58</v>
      </c>
      <c r="I806" s="3" t="s">
        <v>58</v>
      </c>
      <c r="J806" s="3" t="s">
        <v>60</v>
      </c>
      <c r="K806" s="2" t="s">
        <v>10264</v>
      </c>
      <c r="L806" s="2" t="s">
        <v>10265</v>
      </c>
      <c r="M806" s="3" t="s">
        <v>423</v>
      </c>
      <c r="O806" s="3" t="s">
        <v>63</v>
      </c>
      <c r="P806" s="3" t="s">
        <v>584</v>
      </c>
      <c r="R806" s="3" t="s">
        <v>65</v>
      </c>
      <c r="S806" s="4">
        <v>3</v>
      </c>
      <c r="T806" s="4">
        <v>3</v>
      </c>
      <c r="U806" s="5" t="s">
        <v>3944</v>
      </c>
      <c r="V806" s="5" t="s">
        <v>3944</v>
      </c>
      <c r="W806" s="5" t="s">
        <v>9661</v>
      </c>
      <c r="X806" s="5" t="s">
        <v>9661</v>
      </c>
      <c r="Y806" s="4">
        <v>300</v>
      </c>
      <c r="Z806" s="4">
        <v>240</v>
      </c>
      <c r="AA806" s="4">
        <v>305</v>
      </c>
      <c r="AB806" s="4">
        <v>2</v>
      </c>
      <c r="AC806" s="4">
        <v>2</v>
      </c>
      <c r="AD806" s="4">
        <v>11</v>
      </c>
      <c r="AE806" s="4">
        <v>15</v>
      </c>
      <c r="AF806" s="4">
        <v>1</v>
      </c>
      <c r="AG806" s="4">
        <v>3</v>
      </c>
      <c r="AH806" s="4">
        <v>6</v>
      </c>
      <c r="AI806" s="4">
        <v>6</v>
      </c>
      <c r="AJ806" s="4">
        <v>5</v>
      </c>
      <c r="AK806" s="4">
        <v>8</v>
      </c>
      <c r="AL806" s="4">
        <v>1</v>
      </c>
      <c r="AM806" s="4">
        <v>1</v>
      </c>
      <c r="AN806" s="4">
        <v>0</v>
      </c>
      <c r="AO806" s="4">
        <v>0</v>
      </c>
      <c r="AP806" s="3" t="s">
        <v>58</v>
      </c>
      <c r="AQ806" s="3" t="s">
        <v>68</v>
      </c>
      <c r="AR806" s="6" t="str">
        <f>HYPERLINK("http://catalog.hathitrust.org/Record/004000176","HathiTrust Record")</f>
        <v>HathiTrust Record</v>
      </c>
      <c r="AS806" s="6" t="str">
        <f>HYPERLINK("https://creighton-primo.hosted.exlibrisgroup.com/primo-explore/search?tab=default_tab&amp;search_scope=EVERYTHING&amp;vid=01CRU&amp;lang=en_US&amp;offset=0&amp;query=any,contains,991003214279702656","Catalog Record")</f>
        <v>Catalog Record</v>
      </c>
      <c r="AT806" s="6" t="str">
        <f>HYPERLINK("http://www.worldcat.org/oclc/40517452","WorldCat Record")</f>
        <v>WorldCat Record</v>
      </c>
      <c r="AU806" s="3" t="s">
        <v>10266</v>
      </c>
      <c r="AV806" s="3" t="s">
        <v>10267</v>
      </c>
      <c r="AW806" s="3" t="s">
        <v>10268</v>
      </c>
      <c r="AX806" s="3" t="s">
        <v>10268</v>
      </c>
      <c r="AY806" s="3" t="s">
        <v>10269</v>
      </c>
      <c r="AZ806" s="3" t="s">
        <v>73</v>
      </c>
      <c r="BB806" s="3" t="s">
        <v>10270</v>
      </c>
      <c r="BC806" s="3" t="s">
        <v>10271</v>
      </c>
      <c r="BD806" s="3" t="s">
        <v>10272</v>
      </c>
    </row>
    <row r="807" spans="1:56" ht="51" customHeight="1" x14ac:dyDescent="0.25">
      <c r="A807" s="7" t="s">
        <v>58</v>
      </c>
      <c r="B807" s="2" t="s">
        <v>10273</v>
      </c>
      <c r="C807" s="2" t="s">
        <v>10274</v>
      </c>
      <c r="D807" s="2" t="s">
        <v>10275</v>
      </c>
      <c r="F807" s="3" t="s">
        <v>58</v>
      </c>
      <c r="G807" s="3" t="s">
        <v>59</v>
      </c>
      <c r="H807" s="3" t="s">
        <v>58</v>
      </c>
      <c r="I807" s="3" t="s">
        <v>58</v>
      </c>
      <c r="J807" s="3" t="s">
        <v>60</v>
      </c>
      <c r="K807" s="2" t="s">
        <v>10276</v>
      </c>
      <c r="L807" s="2" t="s">
        <v>10277</v>
      </c>
      <c r="M807" s="3" t="s">
        <v>1399</v>
      </c>
      <c r="O807" s="3" t="s">
        <v>63</v>
      </c>
      <c r="P807" s="3" t="s">
        <v>214</v>
      </c>
      <c r="R807" s="3" t="s">
        <v>65</v>
      </c>
      <c r="S807" s="4">
        <v>4</v>
      </c>
      <c r="T807" s="4">
        <v>4</v>
      </c>
      <c r="U807" s="5" t="s">
        <v>3944</v>
      </c>
      <c r="V807" s="5" t="s">
        <v>3944</v>
      </c>
      <c r="W807" s="5" t="s">
        <v>2282</v>
      </c>
      <c r="X807" s="5" t="s">
        <v>2282</v>
      </c>
      <c r="Y807" s="4">
        <v>1035</v>
      </c>
      <c r="Z807" s="4">
        <v>966</v>
      </c>
      <c r="AA807" s="4">
        <v>1007</v>
      </c>
      <c r="AB807" s="4">
        <v>6</v>
      </c>
      <c r="AC807" s="4">
        <v>6</v>
      </c>
      <c r="AD807" s="4">
        <v>24</v>
      </c>
      <c r="AE807" s="4">
        <v>25</v>
      </c>
      <c r="AF807" s="4">
        <v>8</v>
      </c>
      <c r="AG807" s="4">
        <v>9</v>
      </c>
      <c r="AH807" s="4">
        <v>5</v>
      </c>
      <c r="AI807" s="4">
        <v>5</v>
      </c>
      <c r="AJ807" s="4">
        <v>14</v>
      </c>
      <c r="AK807" s="4">
        <v>14</v>
      </c>
      <c r="AL807" s="4">
        <v>2</v>
      </c>
      <c r="AM807" s="4">
        <v>2</v>
      </c>
      <c r="AN807" s="4">
        <v>0</v>
      </c>
      <c r="AO807" s="4">
        <v>0</v>
      </c>
      <c r="AP807" s="3" t="s">
        <v>58</v>
      </c>
      <c r="AQ807" s="3" t="s">
        <v>68</v>
      </c>
      <c r="AR807" s="6" t="str">
        <f>HYPERLINK("http://catalog.hathitrust.org/Record/001096300","HathiTrust Record")</f>
        <v>HathiTrust Record</v>
      </c>
      <c r="AS807" s="6" t="str">
        <f>HYPERLINK("https://creighton-primo.hosted.exlibrisgroup.com/primo-explore/search?tab=default_tab&amp;search_scope=EVERYTHING&amp;vid=01CRU&amp;lang=en_US&amp;offset=0&amp;query=any,contains,991001281259702656","Catalog Record")</f>
        <v>Catalog Record</v>
      </c>
      <c r="AT807" s="6" t="str">
        <f>HYPERLINK("http://www.worldcat.org/oclc/17918074","WorldCat Record")</f>
        <v>WorldCat Record</v>
      </c>
      <c r="AU807" s="3" t="s">
        <v>10278</v>
      </c>
      <c r="AV807" s="3" t="s">
        <v>10279</v>
      </c>
      <c r="AW807" s="3" t="s">
        <v>10280</v>
      </c>
      <c r="AX807" s="3" t="s">
        <v>10280</v>
      </c>
      <c r="AY807" s="3" t="s">
        <v>10281</v>
      </c>
      <c r="AZ807" s="3" t="s">
        <v>73</v>
      </c>
      <c r="BB807" s="3" t="s">
        <v>10282</v>
      </c>
      <c r="BC807" s="3" t="s">
        <v>10283</v>
      </c>
      <c r="BD807" s="3" t="s">
        <v>10284</v>
      </c>
    </row>
    <row r="808" spans="1:56" ht="51" customHeight="1" x14ac:dyDescent="0.25">
      <c r="A808" s="7" t="s">
        <v>58</v>
      </c>
      <c r="B808" s="2" t="s">
        <v>10285</v>
      </c>
      <c r="C808" s="2" t="s">
        <v>10286</v>
      </c>
      <c r="D808" s="2" t="s">
        <v>10287</v>
      </c>
      <c r="F808" s="3" t="s">
        <v>58</v>
      </c>
      <c r="G808" s="3" t="s">
        <v>59</v>
      </c>
      <c r="H808" s="3" t="s">
        <v>58</v>
      </c>
      <c r="I808" s="3" t="s">
        <v>58</v>
      </c>
      <c r="J808" s="3" t="s">
        <v>60</v>
      </c>
      <c r="K808" s="2" t="s">
        <v>10288</v>
      </c>
      <c r="L808" s="2" t="s">
        <v>10289</v>
      </c>
      <c r="M808" s="3" t="s">
        <v>261</v>
      </c>
      <c r="N808" s="2" t="s">
        <v>338</v>
      </c>
      <c r="O808" s="3" t="s">
        <v>63</v>
      </c>
      <c r="P808" s="3" t="s">
        <v>214</v>
      </c>
      <c r="Q808" s="2" t="s">
        <v>10290</v>
      </c>
      <c r="R808" s="3" t="s">
        <v>65</v>
      </c>
      <c r="S808" s="4">
        <v>1</v>
      </c>
      <c r="T808" s="4">
        <v>1</v>
      </c>
      <c r="U808" s="5" t="s">
        <v>3944</v>
      </c>
      <c r="V808" s="5" t="s">
        <v>3944</v>
      </c>
      <c r="W808" s="5" t="s">
        <v>10291</v>
      </c>
      <c r="X808" s="5" t="s">
        <v>10291</v>
      </c>
      <c r="Y808" s="4">
        <v>410</v>
      </c>
      <c r="Z808" s="4">
        <v>345</v>
      </c>
      <c r="AA808" s="4">
        <v>352</v>
      </c>
      <c r="AB808" s="4">
        <v>3</v>
      </c>
      <c r="AC808" s="4">
        <v>3</v>
      </c>
      <c r="AD808" s="4">
        <v>17</v>
      </c>
      <c r="AE808" s="4">
        <v>17</v>
      </c>
      <c r="AF808" s="4">
        <v>5</v>
      </c>
      <c r="AG808" s="4">
        <v>5</v>
      </c>
      <c r="AH808" s="4">
        <v>8</v>
      </c>
      <c r="AI808" s="4">
        <v>8</v>
      </c>
      <c r="AJ808" s="4">
        <v>8</v>
      </c>
      <c r="AK808" s="4">
        <v>8</v>
      </c>
      <c r="AL808" s="4">
        <v>2</v>
      </c>
      <c r="AM808" s="4">
        <v>2</v>
      </c>
      <c r="AN808" s="4">
        <v>0</v>
      </c>
      <c r="AO808" s="4">
        <v>0</v>
      </c>
      <c r="AP808" s="3" t="s">
        <v>58</v>
      </c>
      <c r="AQ808" s="3" t="s">
        <v>58</v>
      </c>
      <c r="AS808" s="6" t="str">
        <f>HYPERLINK("https://creighton-primo.hosted.exlibrisgroup.com/primo-explore/search?tab=default_tab&amp;search_scope=EVERYTHING&amp;vid=01CRU&amp;lang=en_US&amp;offset=0&amp;query=any,contains,991003821019702656","Catalog Record")</f>
        <v>Catalog Record</v>
      </c>
      <c r="AT808" s="6" t="str">
        <f>HYPERLINK("http://www.worldcat.org/oclc/1558429","WorldCat Record")</f>
        <v>WorldCat Record</v>
      </c>
      <c r="AU808" s="3" t="s">
        <v>10292</v>
      </c>
      <c r="AV808" s="3" t="s">
        <v>10293</v>
      </c>
      <c r="AW808" s="3" t="s">
        <v>10294</v>
      </c>
      <c r="AX808" s="3" t="s">
        <v>10294</v>
      </c>
      <c r="AY808" s="3" t="s">
        <v>10295</v>
      </c>
      <c r="AZ808" s="3" t="s">
        <v>73</v>
      </c>
      <c r="BB808" s="3" t="s">
        <v>10296</v>
      </c>
      <c r="BC808" s="3" t="s">
        <v>10297</v>
      </c>
      <c r="BD808" s="3" t="s">
        <v>10298</v>
      </c>
    </row>
    <row r="809" spans="1:56" ht="51" customHeight="1" x14ac:dyDescent="0.25">
      <c r="A809" s="7" t="s">
        <v>58</v>
      </c>
      <c r="B809" s="2" t="s">
        <v>10299</v>
      </c>
      <c r="C809" s="2" t="s">
        <v>10300</v>
      </c>
      <c r="D809" s="2" t="s">
        <v>10301</v>
      </c>
      <c r="F809" s="3" t="s">
        <v>58</v>
      </c>
      <c r="G809" s="3" t="s">
        <v>59</v>
      </c>
      <c r="H809" s="3" t="s">
        <v>58</v>
      </c>
      <c r="I809" s="3" t="s">
        <v>58</v>
      </c>
      <c r="J809" s="3" t="s">
        <v>60</v>
      </c>
      <c r="K809" s="2" t="s">
        <v>10302</v>
      </c>
      <c r="L809" s="2" t="s">
        <v>10303</v>
      </c>
      <c r="M809" s="3" t="s">
        <v>154</v>
      </c>
      <c r="O809" s="3" t="s">
        <v>63</v>
      </c>
      <c r="P809" s="3" t="s">
        <v>214</v>
      </c>
      <c r="R809" s="3" t="s">
        <v>65</v>
      </c>
      <c r="S809" s="4">
        <v>4</v>
      </c>
      <c r="T809" s="4">
        <v>4</v>
      </c>
      <c r="U809" s="5" t="s">
        <v>10253</v>
      </c>
      <c r="V809" s="5" t="s">
        <v>10253</v>
      </c>
      <c r="W809" s="5" t="s">
        <v>10304</v>
      </c>
      <c r="X809" s="5" t="s">
        <v>10304</v>
      </c>
      <c r="Y809" s="4">
        <v>284</v>
      </c>
      <c r="Z809" s="4">
        <v>257</v>
      </c>
      <c r="AA809" s="4">
        <v>295</v>
      </c>
      <c r="AB809" s="4">
        <v>1</v>
      </c>
      <c r="AC809" s="4">
        <v>3</v>
      </c>
      <c r="AD809" s="4">
        <v>9</v>
      </c>
      <c r="AE809" s="4">
        <v>11</v>
      </c>
      <c r="AF809" s="4">
        <v>1</v>
      </c>
      <c r="AG809" s="4">
        <v>1</v>
      </c>
      <c r="AH809" s="4">
        <v>4</v>
      </c>
      <c r="AI809" s="4">
        <v>4</v>
      </c>
      <c r="AJ809" s="4">
        <v>6</v>
      </c>
      <c r="AK809" s="4">
        <v>6</v>
      </c>
      <c r="AL809" s="4">
        <v>0</v>
      </c>
      <c r="AM809" s="4">
        <v>2</v>
      </c>
      <c r="AN809" s="4">
        <v>0</v>
      </c>
      <c r="AO809" s="4">
        <v>0</v>
      </c>
      <c r="AP809" s="3" t="s">
        <v>58</v>
      </c>
      <c r="AQ809" s="3" t="s">
        <v>58</v>
      </c>
      <c r="AS809" s="6" t="str">
        <f>HYPERLINK("https://creighton-primo.hosted.exlibrisgroup.com/primo-explore/search?tab=default_tab&amp;search_scope=EVERYTHING&amp;vid=01CRU&amp;lang=en_US&amp;offset=0&amp;query=any,contains,991001467069702656","Catalog Record")</f>
        <v>Catalog Record</v>
      </c>
      <c r="AT809" s="6" t="str">
        <f>HYPERLINK("http://www.worldcat.org/oclc/19514392","WorldCat Record")</f>
        <v>WorldCat Record</v>
      </c>
      <c r="AU809" s="3" t="s">
        <v>10305</v>
      </c>
      <c r="AV809" s="3" t="s">
        <v>10306</v>
      </c>
      <c r="AW809" s="3" t="s">
        <v>10307</v>
      </c>
      <c r="AX809" s="3" t="s">
        <v>10307</v>
      </c>
      <c r="AY809" s="3" t="s">
        <v>10308</v>
      </c>
      <c r="AZ809" s="3" t="s">
        <v>73</v>
      </c>
      <c r="BB809" s="3" t="s">
        <v>10309</v>
      </c>
      <c r="BC809" s="3" t="s">
        <v>10310</v>
      </c>
      <c r="BD809" s="3" t="s">
        <v>10311</v>
      </c>
    </row>
    <row r="810" spans="1:56" ht="51" customHeight="1" x14ac:dyDescent="0.25">
      <c r="A810" s="7" t="s">
        <v>58</v>
      </c>
      <c r="B810" s="2" t="s">
        <v>10312</v>
      </c>
      <c r="C810" s="2" t="s">
        <v>10313</v>
      </c>
      <c r="D810" s="2" t="s">
        <v>10314</v>
      </c>
      <c r="F810" s="3" t="s">
        <v>58</v>
      </c>
      <c r="G810" s="3" t="s">
        <v>59</v>
      </c>
      <c r="H810" s="3" t="s">
        <v>58</v>
      </c>
      <c r="I810" s="3" t="s">
        <v>58</v>
      </c>
      <c r="J810" s="3" t="s">
        <v>60</v>
      </c>
      <c r="K810" s="2" t="s">
        <v>10315</v>
      </c>
      <c r="L810" s="2" t="s">
        <v>10316</v>
      </c>
      <c r="M810" s="3" t="s">
        <v>183</v>
      </c>
      <c r="N810" s="2" t="s">
        <v>338</v>
      </c>
      <c r="O810" s="3" t="s">
        <v>63</v>
      </c>
      <c r="P810" s="3" t="s">
        <v>214</v>
      </c>
      <c r="R810" s="3" t="s">
        <v>65</v>
      </c>
      <c r="S810" s="4">
        <v>2</v>
      </c>
      <c r="T810" s="4">
        <v>2</v>
      </c>
      <c r="U810" s="5" t="s">
        <v>9753</v>
      </c>
      <c r="V810" s="5" t="s">
        <v>9753</v>
      </c>
      <c r="W810" s="5" t="s">
        <v>2616</v>
      </c>
      <c r="X810" s="5" t="s">
        <v>2616</v>
      </c>
      <c r="Y810" s="4">
        <v>473</v>
      </c>
      <c r="Z810" s="4">
        <v>416</v>
      </c>
      <c r="AA810" s="4">
        <v>418</v>
      </c>
      <c r="AB810" s="4">
        <v>5</v>
      </c>
      <c r="AC810" s="4">
        <v>5</v>
      </c>
      <c r="AD810" s="4">
        <v>18</v>
      </c>
      <c r="AE810" s="4">
        <v>18</v>
      </c>
      <c r="AF810" s="4">
        <v>6</v>
      </c>
      <c r="AG810" s="4">
        <v>6</v>
      </c>
      <c r="AH810" s="4">
        <v>5</v>
      </c>
      <c r="AI810" s="4">
        <v>5</v>
      </c>
      <c r="AJ810" s="4">
        <v>5</v>
      </c>
      <c r="AK810" s="4">
        <v>5</v>
      </c>
      <c r="AL810" s="4">
        <v>4</v>
      </c>
      <c r="AM810" s="4">
        <v>4</v>
      </c>
      <c r="AN810" s="4">
        <v>0</v>
      </c>
      <c r="AO810" s="4">
        <v>0</v>
      </c>
      <c r="AP810" s="3" t="s">
        <v>58</v>
      </c>
      <c r="AQ810" s="3" t="s">
        <v>68</v>
      </c>
      <c r="AR810" s="6" t="str">
        <f>HYPERLINK("http://catalog.hathitrust.org/Record/000214067","HathiTrust Record")</f>
        <v>HathiTrust Record</v>
      </c>
      <c r="AS810" s="6" t="str">
        <f>HYPERLINK("https://creighton-primo.hosted.exlibrisgroup.com/primo-explore/search?tab=default_tab&amp;search_scope=EVERYTHING&amp;vid=01CRU&amp;lang=en_US&amp;offset=0&amp;query=any,contains,991004300029702656","Catalog Record")</f>
        <v>Catalog Record</v>
      </c>
      <c r="AT810" s="6" t="str">
        <f>HYPERLINK("http://www.worldcat.org/oclc/2967799","WorldCat Record")</f>
        <v>WorldCat Record</v>
      </c>
      <c r="AU810" s="3" t="s">
        <v>10317</v>
      </c>
      <c r="AV810" s="3" t="s">
        <v>10318</v>
      </c>
      <c r="AW810" s="3" t="s">
        <v>10319</v>
      </c>
      <c r="AX810" s="3" t="s">
        <v>10319</v>
      </c>
      <c r="AY810" s="3" t="s">
        <v>10320</v>
      </c>
      <c r="AZ810" s="3" t="s">
        <v>73</v>
      </c>
      <c r="BB810" s="3" t="s">
        <v>10321</v>
      </c>
      <c r="BC810" s="3" t="s">
        <v>10322</v>
      </c>
      <c r="BD810" s="3" t="s">
        <v>10323</v>
      </c>
    </row>
    <row r="811" spans="1:56" ht="51" customHeight="1" x14ac:dyDescent="0.25">
      <c r="A811" s="7" t="s">
        <v>58</v>
      </c>
      <c r="B811" s="2" t="s">
        <v>10324</v>
      </c>
      <c r="C811" s="2" t="s">
        <v>10325</v>
      </c>
      <c r="D811" s="2" t="s">
        <v>10326</v>
      </c>
      <c r="F811" s="3" t="s">
        <v>58</v>
      </c>
      <c r="G811" s="3" t="s">
        <v>59</v>
      </c>
      <c r="H811" s="3" t="s">
        <v>58</v>
      </c>
      <c r="I811" s="3" t="s">
        <v>58</v>
      </c>
      <c r="J811" s="3" t="s">
        <v>60</v>
      </c>
      <c r="K811" s="2" t="s">
        <v>10327</v>
      </c>
      <c r="L811" s="2" t="s">
        <v>10328</v>
      </c>
      <c r="M811" s="3" t="s">
        <v>759</v>
      </c>
      <c r="O811" s="3" t="s">
        <v>63</v>
      </c>
      <c r="P811" s="3" t="s">
        <v>214</v>
      </c>
      <c r="R811" s="3" t="s">
        <v>65</v>
      </c>
      <c r="S811" s="4">
        <v>2</v>
      </c>
      <c r="T811" s="4">
        <v>2</v>
      </c>
      <c r="U811" s="5" t="s">
        <v>10329</v>
      </c>
      <c r="V811" s="5" t="s">
        <v>10329</v>
      </c>
      <c r="W811" s="5" t="s">
        <v>8127</v>
      </c>
      <c r="X811" s="5" t="s">
        <v>8127</v>
      </c>
      <c r="Y811" s="4">
        <v>1150</v>
      </c>
      <c r="Z811" s="4">
        <v>1090</v>
      </c>
      <c r="AA811" s="4">
        <v>1136</v>
      </c>
      <c r="AB811" s="4">
        <v>10</v>
      </c>
      <c r="AC811" s="4">
        <v>10</v>
      </c>
      <c r="AD811" s="4">
        <v>22</v>
      </c>
      <c r="AE811" s="4">
        <v>23</v>
      </c>
      <c r="AF811" s="4">
        <v>8</v>
      </c>
      <c r="AG811" s="4">
        <v>8</v>
      </c>
      <c r="AH811" s="4">
        <v>6</v>
      </c>
      <c r="AI811" s="4">
        <v>6</v>
      </c>
      <c r="AJ811" s="4">
        <v>9</v>
      </c>
      <c r="AK811" s="4">
        <v>10</v>
      </c>
      <c r="AL811" s="4">
        <v>3</v>
      </c>
      <c r="AM811" s="4">
        <v>3</v>
      </c>
      <c r="AN811" s="4">
        <v>0</v>
      </c>
      <c r="AO811" s="4">
        <v>0</v>
      </c>
      <c r="AP811" s="3" t="s">
        <v>58</v>
      </c>
      <c r="AQ811" s="3" t="s">
        <v>68</v>
      </c>
      <c r="AR811" s="6" t="str">
        <f>HYPERLINK("http://catalog.hathitrust.org/Record/000689471","HathiTrust Record")</f>
        <v>HathiTrust Record</v>
      </c>
      <c r="AS811" s="6" t="str">
        <f>HYPERLINK("https://creighton-primo.hosted.exlibrisgroup.com/primo-explore/search?tab=default_tab&amp;search_scope=EVERYTHING&amp;vid=01CRU&amp;lang=en_US&amp;offset=0&amp;query=any,contains,991004910979702656","Catalog Record")</f>
        <v>Catalog Record</v>
      </c>
      <c r="AT811" s="6" t="str">
        <f>HYPERLINK("http://www.worldcat.org/oclc/5992123","WorldCat Record")</f>
        <v>WorldCat Record</v>
      </c>
      <c r="AU811" s="3" t="s">
        <v>10330</v>
      </c>
      <c r="AV811" s="3" t="s">
        <v>10331</v>
      </c>
      <c r="AW811" s="3" t="s">
        <v>10332</v>
      </c>
      <c r="AX811" s="3" t="s">
        <v>10332</v>
      </c>
      <c r="AY811" s="3" t="s">
        <v>10333</v>
      </c>
      <c r="AZ811" s="3" t="s">
        <v>73</v>
      </c>
      <c r="BB811" s="3" t="s">
        <v>10334</v>
      </c>
      <c r="BC811" s="3" t="s">
        <v>10335</v>
      </c>
      <c r="BD811" s="3" t="s">
        <v>10336</v>
      </c>
    </row>
    <row r="812" spans="1:56" ht="51" customHeight="1" x14ac:dyDescent="0.25">
      <c r="A812" s="7" t="s">
        <v>58</v>
      </c>
      <c r="B812" s="2" t="s">
        <v>10337</v>
      </c>
      <c r="C812" s="2" t="s">
        <v>10338</v>
      </c>
      <c r="D812" s="2" t="s">
        <v>10339</v>
      </c>
      <c r="F812" s="3" t="s">
        <v>58</v>
      </c>
      <c r="G812" s="3" t="s">
        <v>59</v>
      </c>
      <c r="H812" s="3" t="s">
        <v>58</v>
      </c>
      <c r="I812" s="3" t="s">
        <v>58</v>
      </c>
      <c r="J812" s="3" t="s">
        <v>60</v>
      </c>
      <c r="K812" s="2" t="s">
        <v>10340</v>
      </c>
      <c r="L812" s="2" t="s">
        <v>10341</v>
      </c>
      <c r="M812" s="3" t="s">
        <v>397</v>
      </c>
      <c r="O812" s="3" t="s">
        <v>63</v>
      </c>
      <c r="P812" s="3" t="s">
        <v>214</v>
      </c>
      <c r="R812" s="3" t="s">
        <v>65</v>
      </c>
      <c r="S812" s="4">
        <v>6</v>
      </c>
      <c r="T812" s="4">
        <v>6</v>
      </c>
      <c r="U812" s="5" t="s">
        <v>10342</v>
      </c>
      <c r="V812" s="5" t="s">
        <v>10342</v>
      </c>
      <c r="W812" s="5" t="s">
        <v>6475</v>
      </c>
      <c r="X812" s="5" t="s">
        <v>6475</v>
      </c>
      <c r="Y812" s="4">
        <v>275</v>
      </c>
      <c r="Z812" s="4">
        <v>256</v>
      </c>
      <c r="AA812" s="4">
        <v>317</v>
      </c>
      <c r="AB812" s="4">
        <v>1</v>
      </c>
      <c r="AC812" s="4">
        <v>3</v>
      </c>
      <c r="AD812" s="4">
        <v>14</v>
      </c>
      <c r="AE812" s="4">
        <v>17</v>
      </c>
      <c r="AF812" s="4">
        <v>6</v>
      </c>
      <c r="AG812" s="4">
        <v>6</v>
      </c>
      <c r="AH812" s="4">
        <v>6</v>
      </c>
      <c r="AI812" s="4">
        <v>6</v>
      </c>
      <c r="AJ812" s="4">
        <v>8</v>
      </c>
      <c r="AK812" s="4">
        <v>9</v>
      </c>
      <c r="AL812" s="4">
        <v>0</v>
      </c>
      <c r="AM812" s="4">
        <v>2</v>
      </c>
      <c r="AN812" s="4">
        <v>0</v>
      </c>
      <c r="AO812" s="4">
        <v>0</v>
      </c>
      <c r="AP812" s="3" t="s">
        <v>58</v>
      </c>
      <c r="AQ812" s="3" t="s">
        <v>58</v>
      </c>
      <c r="AS812" s="6" t="str">
        <f>HYPERLINK("https://creighton-primo.hosted.exlibrisgroup.com/primo-explore/search?tab=default_tab&amp;search_scope=EVERYTHING&amp;vid=01CRU&amp;lang=en_US&amp;offset=0&amp;query=any,contains,991000601509702656","Catalog Record")</f>
        <v>Catalog Record</v>
      </c>
      <c r="AT812" s="6" t="str">
        <f>HYPERLINK("http://www.worldcat.org/oclc/11841591","WorldCat Record")</f>
        <v>WorldCat Record</v>
      </c>
      <c r="AU812" s="3" t="s">
        <v>10343</v>
      </c>
      <c r="AV812" s="3" t="s">
        <v>10344</v>
      </c>
      <c r="AW812" s="3" t="s">
        <v>10345</v>
      </c>
      <c r="AX812" s="3" t="s">
        <v>10345</v>
      </c>
      <c r="AY812" s="3" t="s">
        <v>10346</v>
      </c>
      <c r="AZ812" s="3" t="s">
        <v>73</v>
      </c>
      <c r="BB812" s="3" t="s">
        <v>10347</v>
      </c>
      <c r="BC812" s="3" t="s">
        <v>10348</v>
      </c>
      <c r="BD812" s="3" t="s">
        <v>10349</v>
      </c>
    </row>
    <row r="813" spans="1:56" ht="51" customHeight="1" x14ac:dyDescent="0.25">
      <c r="A813" s="7" t="s">
        <v>58</v>
      </c>
      <c r="B813" s="2" t="s">
        <v>10350</v>
      </c>
      <c r="C813" s="2" t="s">
        <v>10351</v>
      </c>
      <c r="D813" s="2" t="s">
        <v>10352</v>
      </c>
      <c r="F813" s="3" t="s">
        <v>58</v>
      </c>
      <c r="G813" s="3" t="s">
        <v>59</v>
      </c>
      <c r="H813" s="3" t="s">
        <v>58</v>
      </c>
      <c r="I813" s="3" t="s">
        <v>58</v>
      </c>
      <c r="J813" s="3" t="s">
        <v>60</v>
      </c>
      <c r="L813" s="2" t="s">
        <v>10353</v>
      </c>
      <c r="M813" s="3" t="s">
        <v>83</v>
      </c>
      <c r="O813" s="3" t="s">
        <v>63</v>
      </c>
      <c r="P813" s="3" t="s">
        <v>2061</v>
      </c>
      <c r="Q813" s="2" t="s">
        <v>10354</v>
      </c>
      <c r="R813" s="3" t="s">
        <v>65</v>
      </c>
      <c r="S813" s="4">
        <v>5</v>
      </c>
      <c r="T813" s="4">
        <v>5</v>
      </c>
      <c r="U813" s="5" t="s">
        <v>10355</v>
      </c>
      <c r="V813" s="5" t="s">
        <v>10355</v>
      </c>
      <c r="W813" s="5" t="s">
        <v>8127</v>
      </c>
      <c r="X813" s="5" t="s">
        <v>8127</v>
      </c>
      <c r="Y813" s="4">
        <v>156</v>
      </c>
      <c r="Z813" s="4">
        <v>122</v>
      </c>
      <c r="AA813" s="4">
        <v>124</v>
      </c>
      <c r="AB813" s="4">
        <v>1</v>
      </c>
      <c r="AC813" s="4">
        <v>1</v>
      </c>
      <c r="AD813" s="4">
        <v>5</v>
      </c>
      <c r="AE813" s="4">
        <v>5</v>
      </c>
      <c r="AF813" s="4">
        <v>2</v>
      </c>
      <c r="AG813" s="4">
        <v>2</v>
      </c>
      <c r="AH813" s="4">
        <v>2</v>
      </c>
      <c r="AI813" s="4">
        <v>2</v>
      </c>
      <c r="AJ813" s="4">
        <v>3</v>
      </c>
      <c r="AK813" s="4">
        <v>3</v>
      </c>
      <c r="AL813" s="4">
        <v>0</v>
      </c>
      <c r="AM813" s="4">
        <v>0</v>
      </c>
      <c r="AN813" s="4">
        <v>0</v>
      </c>
      <c r="AO813" s="4">
        <v>0</v>
      </c>
      <c r="AP813" s="3" t="s">
        <v>58</v>
      </c>
      <c r="AQ813" s="3" t="s">
        <v>68</v>
      </c>
      <c r="AR813" s="6" t="str">
        <f>HYPERLINK("http://catalog.hathitrust.org/Record/000719277","HathiTrust Record")</f>
        <v>HathiTrust Record</v>
      </c>
      <c r="AS813" s="6" t="str">
        <f>HYPERLINK("https://creighton-primo.hosted.exlibrisgroup.com/primo-explore/search?tab=default_tab&amp;search_scope=EVERYTHING&amp;vid=01CRU&amp;lang=en_US&amp;offset=0&amp;query=any,contains,991004711079702656","Catalog Record")</f>
        <v>Catalog Record</v>
      </c>
      <c r="AT813" s="6" t="str">
        <f>HYPERLINK("http://www.worldcat.org/oclc/4767949","WorldCat Record")</f>
        <v>WorldCat Record</v>
      </c>
      <c r="AU813" s="3" t="s">
        <v>10356</v>
      </c>
      <c r="AV813" s="3" t="s">
        <v>10357</v>
      </c>
      <c r="AW813" s="3" t="s">
        <v>10358</v>
      </c>
      <c r="AX813" s="3" t="s">
        <v>10358</v>
      </c>
      <c r="AY813" s="3" t="s">
        <v>10359</v>
      </c>
      <c r="AZ813" s="3" t="s">
        <v>73</v>
      </c>
      <c r="BC813" s="3" t="s">
        <v>10360</v>
      </c>
      <c r="BD813" s="3" t="s">
        <v>10361</v>
      </c>
    </row>
    <row r="814" spans="1:56" ht="51" customHeight="1" x14ac:dyDescent="0.25">
      <c r="A814" s="7" t="s">
        <v>58</v>
      </c>
      <c r="B814" s="2" t="s">
        <v>10362</v>
      </c>
      <c r="C814" s="2" t="s">
        <v>10363</v>
      </c>
      <c r="D814" s="2" t="s">
        <v>10364</v>
      </c>
      <c r="F814" s="3" t="s">
        <v>58</v>
      </c>
      <c r="G814" s="3" t="s">
        <v>59</v>
      </c>
      <c r="H814" s="3" t="s">
        <v>58</v>
      </c>
      <c r="I814" s="3" t="s">
        <v>58</v>
      </c>
      <c r="J814" s="3" t="s">
        <v>60</v>
      </c>
      <c r="K814" s="2" t="s">
        <v>10365</v>
      </c>
      <c r="L814" s="2" t="s">
        <v>10366</v>
      </c>
      <c r="M814" s="3" t="s">
        <v>2295</v>
      </c>
      <c r="O814" s="3" t="s">
        <v>63</v>
      </c>
      <c r="P814" s="3" t="s">
        <v>354</v>
      </c>
      <c r="R814" s="3" t="s">
        <v>65</v>
      </c>
      <c r="S814" s="4">
        <v>13</v>
      </c>
      <c r="T814" s="4">
        <v>13</v>
      </c>
      <c r="U814" s="5" t="s">
        <v>10253</v>
      </c>
      <c r="V814" s="5" t="s">
        <v>10253</v>
      </c>
      <c r="W814" s="5" t="s">
        <v>10367</v>
      </c>
      <c r="X814" s="5" t="s">
        <v>10367</v>
      </c>
      <c r="Y814" s="4">
        <v>1883</v>
      </c>
      <c r="Z814" s="4">
        <v>1655</v>
      </c>
      <c r="AA814" s="4">
        <v>1909</v>
      </c>
      <c r="AB814" s="4">
        <v>10</v>
      </c>
      <c r="AC814" s="4">
        <v>14</v>
      </c>
      <c r="AD814" s="4">
        <v>44</v>
      </c>
      <c r="AE814" s="4">
        <v>49</v>
      </c>
      <c r="AF814" s="4">
        <v>19</v>
      </c>
      <c r="AG814" s="4">
        <v>20</v>
      </c>
      <c r="AH814" s="4">
        <v>6</v>
      </c>
      <c r="AI814" s="4">
        <v>7</v>
      </c>
      <c r="AJ814" s="4">
        <v>21</v>
      </c>
      <c r="AK814" s="4">
        <v>22</v>
      </c>
      <c r="AL814" s="4">
        <v>6</v>
      </c>
      <c r="AM814" s="4">
        <v>9</v>
      </c>
      <c r="AN814" s="4">
        <v>1</v>
      </c>
      <c r="AO814" s="4">
        <v>1</v>
      </c>
      <c r="AP814" s="3" t="s">
        <v>58</v>
      </c>
      <c r="AQ814" s="3" t="s">
        <v>68</v>
      </c>
      <c r="AR814" s="6" t="str">
        <f>HYPERLINK("http://catalog.hathitrust.org/Record/004332865","HathiTrust Record")</f>
        <v>HathiTrust Record</v>
      </c>
      <c r="AS814" s="6" t="str">
        <f>HYPERLINK("https://creighton-primo.hosted.exlibrisgroup.com/primo-explore/search?tab=default_tab&amp;search_scope=EVERYTHING&amp;vid=01CRU&amp;lang=en_US&amp;offset=0&amp;query=any,contains,991004360429702656","Catalog Record")</f>
        <v>Catalog Record</v>
      </c>
      <c r="AT814" s="6" t="str">
        <f>HYPERLINK("http://www.worldcat.org/oclc/52165724","WorldCat Record")</f>
        <v>WorldCat Record</v>
      </c>
      <c r="AU814" s="3" t="s">
        <v>10368</v>
      </c>
      <c r="AV814" s="3" t="s">
        <v>10369</v>
      </c>
      <c r="AW814" s="3" t="s">
        <v>10370</v>
      </c>
      <c r="AX814" s="3" t="s">
        <v>10370</v>
      </c>
      <c r="AY814" s="3" t="s">
        <v>10371</v>
      </c>
      <c r="AZ814" s="3" t="s">
        <v>73</v>
      </c>
      <c r="BB814" s="3" t="s">
        <v>10372</v>
      </c>
      <c r="BC814" s="3" t="s">
        <v>10373</v>
      </c>
      <c r="BD814" s="3" t="s">
        <v>10374</v>
      </c>
    </row>
    <row r="815" spans="1:56" ht="51" customHeight="1" x14ac:dyDescent="0.25">
      <c r="A815" s="7" t="s">
        <v>58</v>
      </c>
      <c r="B815" s="2" t="s">
        <v>10375</v>
      </c>
      <c r="C815" s="2" t="s">
        <v>10376</v>
      </c>
      <c r="D815" s="2" t="s">
        <v>10377</v>
      </c>
      <c r="F815" s="3" t="s">
        <v>58</v>
      </c>
      <c r="G815" s="3" t="s">
        <v>59</v>
      </c>
      <c r="H815" s="3" t="s">
        <v>58</v>
      </c>
      <c r="I815" s="3" t="s">
        <v>58</v>
      </c>
      <c r="J815" s="3" t="s">
        <v>60</v>
      </c>
      <c r="K815" s="2" t="s">
        <v>10378</v>
      </c>
      <c r="L815" s="2" t="s">
        <v>10379</v>
      </c>
      <c r="M815" s="3" t="s">
        <v>759</v>
      </c>
      <c r="O815" s="3" t="s">
        <v>63</v>
      </c>
      <c r="P815" s="3" t="s">
        <v>214</v>
      </c>
      <c r="R815" s="3" t="s">
        <v>65</v>
      </c>
      <c r="S815" s="4">
        <v>4</v>
      </c>
      <c r="T815" s="4">
        <v>4</v>
      </c>
      <c r="U815" s="5" t="s">
        <v>9925</v>
      </c>
      <c r="V815" s="5" t="s">
        <v>9925</v>
      </c>
      <c r="W815" s="5" t="s">
        <v>8127</v>
      </c>
      <c r="X815" s="5" t="s">
        <v>8127</v>
      </c>
      <c r="Y815" s="4">
        <v>1196</v>
      </c>
      <c r="Z815" s="4">
        <v>1130</v>
      </c>
      <c r="AA815" s="4">
        <v>1168</v>
      </c>
      <c r="AB815" s="4">
        <v>8</v>
      </c>
      <c r="AC815" s="4">
        <v>8</v>
      </c>
      <c r="AD815" s="4">
        <v>32</v>
      </c>
      <c r="AE815" s="4">
        <v>34</v>
      </c>
      <c r="AF815" s="4">
        <v>12</v>
      </c>
      <c r="AG815" s="4">
        <v>12</v>
      </c>
      <c r="AH815" s="4">
        <v>4</v>
      </c>
      <c r="AI815" s="4">
        <v>5</v>
      </c>
      <c r="AJ815" s="4">
        <v>16</v>
      </c>
      <c r="AK815" s="4">
        <v>17</v>
      </c>
      <c r="AL815" s="4">
        <v>4</v>
      </c>
      <c r="AM815" s="4">
        <v>4</v>
      </c>
      <c r="AN815" s="4">
        <v>0</v>
      </c>
      <c r="AO815" s="4">
        <v>0</v>
      </c>
      <c r="AP815" s="3" t="s">
        <v>58</v>
      </c>
      <c r="AQ815" s="3" t="s">
        <v>58</v>
      </c>
      <c r="AS815" s="6" t="str">
        <f>HYPERLINK("https://creighton-primo.hosted.exlibrisgroup.com/primo-explore/search?tab=default_tab&amp;search_scope=EVERYTHING&amp;vid=01CRU&amp;lang=en_US&amp;offset=0&amp;query=any,contains,991005025739702656","Catalog Record")</f>
        <v>Catalog Record</v>
      </c>
      <c r="AT815" s="6" t="str">
        <f>HYPERLINK("http://www.worldcat.org/oclc/6695257","WorldCat Record")</f>
        <v>WorldCat Record</v>
      </c>
      <c r="AU815" s="3" t="s">
        <v>10380</v>
      </c>
      <c r="AV815" s="3" t="s">
        <v>10381</v>
      </c>
      <c r="AW815" s="3" t="s">
        <v>10382</v>
      </c>
      <c r="AX815" s="3" t="s">
        <v>10382</v>
      </c>
      <c r="AY815" s="3" t="s">
        <v>10383</v>
      </c>
      <c r="AZ815" s="3" t="s">
        <v>73</v>
      </c>
      <c r="BC815" s="3" t="s">
        <v>10384</v>
      </c>
      <c r="BD815" s="3" t="s">
        <v>10385</v>
      </c>
    </row>
    <row r="816" spans="1:56" ht="51" customHeight="1" x14ac:dyDescent="0.25">
      <c r="A816" s="7" t="s">
        <v>58</v>
      </c>
      <c r="B816" s="2" t="s">
        <v>10386</v>
      </c>
      <c r="C816" s="2" t="s">
        <v>10387</v>
      </c>
      <c r="D816" s="2" t="s">
        <v>10388</v>
      </c>
      <c r="F816" s="3" t="s">
        <v>58</v>
      </c>
      <c r="G816" s="3" t="s">
        <v>59</v>
      </c>
      <c r="H816" s="3" t="s">
        <v>58</v>
      </c>
      <c r="I816" s="3" t="s">
        <v>58</v>
      </c>
      <c r="J816" s="3" t="s">
        <v>60</v>
      </c>
      <c r="K816" s="2" t="s">
        <v>10378</v>
      </c>
      <c r="L816" s="2" t="s">
        <v>10389</v>
      </c>
      <c r="M816" s="3" t="s">
        <v>231</v>
      </c>
      <c r="O816" s="3" t="s">
        <v>63</v>
      </c>
      <c r="P816" s="3" t="s">
        <v>571</v>
      </c>
      <c r="R816" s="3" t="s">
        <v>65</v>
      </c>
      <c r="S816" s="4">
        <v>3</v>
      </c>
      <c r="T816" s="4">
        <v>3</v>
      </c>
      <c r="U816" s="5" t="s">
        <v>111</v>
      </c>
      <c r="V816" s="5" t="s">
        <v>111</v>
      </c>
      <c r="W816" s="5" t="s">
        <v>8127</v>
      </c>
      <c r="X816" s="5" t="s">
        <v>8127</v>
      </c>
      <c r="Y816" s="4">
        <v>77</v>
      </c>
      <c r="Z816" s="4">
        <v>66</v>
      </c>
      <c r="AA816" s="4">
        <v>446</v>
      </c>
      <c r="AB816" s="4">
        <v>1</v>
      </c>
      <c r="AC816" s="4">
        <v>2</v>
      </c>
      <c r="AD816" s="4">
        <v>4</v>
      </c>
      <c r="AE816" s="4">
        <v>13</v>
      </c>
      <c r="AF816" s="4">
        <v>0</v>
      </c>
      <c r="AG816" s="4">
        <v>3</v>
      </c>
      <c r="AH816" s="4">
        <v>2</v>
      </c>
      <c r="AI816" s="4">
        <v>5</v>
      </c>
      <c r="AJ816" s="4">
        <v>3</v>
      </c>
      <c r="AK816" s="4">
        <v>7</v>
      </c>
      <c r="AL816" s="4">
        <v>0</v>
      </c>
      <c r="AM816" s="4">
        <v>1</v>
      </c>
      <c r="AN816" s="4">
        <v>0</v>
      </c>
      <c r="AO816" s="4">
        <v>0</v>
      </c>
      <c r="AP816" s="3" t="s">
        <v>58</v>
      </c>
      <c r="AQ816" s="3" t="s">
        <v>58</v>
      </c>
      <c r="AS816" s="6" t="str">
        <f>HYPERLINK("https://creighton-primo.hosted.exlibrisgroup.com/primo-explore/search?tab=default_tab&amp;search_scope=EVERYTHING&amp;vid=01CRU&amp;lang=en_US&amp;offset=0&amp;query=any,contains,991004235929702656","Catalog Record")</f>
        <v>Catalog Record</v>
      </c>
      <c r="AT816" s="6" t="str">
        <f>HYPERLINK("http://www.worldcat.org/oclc/2768440","WorldCat Record")</f>
        <v>WorldCat Record</v>
      </c>
      <c r="AU816" s="3" t="s">
        <v>10390</v>
      </c>
      <c r="AV816" s="3" t="s">
        <v>10391</v>
      </c>
      <c r="AW816" s="3" t="s">
        <v>10392</v>
      </c>
      <c r="AX816" s="3" t="s">
        <v>10392</v>
      </c>
      <c r="AY816" s="3" t="s">
        <v>10393</v>
      </c>
      <c r="AZ816" s="3" t="s">
        <v>73</v>
      </c>
      <c r="BC816" s="3" t="s">
        <v>10394</v>
      </c>
      <c r="BD816" s="3" t="s">
        <v>10395</v>
      </c>
    </row>
    <row r="817" spans="1:56" ht="51" customHeight="1" x14ac:dyDescent="0.25">
      <c r="A817" s="7" t="s">
        <v>58</v>
      </c>
      <c r="B817" s="2" t="s">
        <v>10396</v>
      </c>
      <c r="C817" s="2" t="s">
        <v>10397</v>
      </c>
      <c r="D817" s="2" t="s">
        <v>10398</v>
      </c>
      <c r="F817" s="3" t="s">
        <v>58</v>
      </c>
      <c r="G817" s="3" t="s">
        <v>59</v>
      </c>
      <c r="H817" s="3" t="s">
        <v>58</v>
      </c>
      <c r="I817" s="3" t="s">
        <v>58</v>
      </c>
      <c r="J817" s="3" t="s">
        <v>60</v>
      </c>
      <c r="K817" s="2" t="s">
        <v>10399</v>
      </c>
      <c r="L817" s="2" t="s">
        <v>10400</v>
      </c>
      <c r="M817" s="3" t="s">
        <v>552</v>
      </c>
      <c r="O817" s="3" t="s">
        <v>63</v>
      </c>
      <c r="P817" s="3" t="s">
        <v>2630</v>
      </c>
      <c r="Q817" s="2" t="s">
        <v>9491</v>
      </c>
      <c r="R817" s="3" t="s">
        <v>65</v>
      </c>
      <c r="S817" s="4">
        <v>8</v>
      </c>
      <c r="T817" s="4">
        <v>8</v>
      </c>
      <c r="U817" s="5" t="s">
        <v>10401</v>
      </c>
      <c r="V817" s="5" t="s">
        <v>10401</v>
      </c>
      <c r="W817" s="5" t="s">
        <v>3215</v>
      </c>
      <c r="X817" s="5" t="s">
        <v>3215</v>
      </c>
      <c r="Y817" s="4">
        <v>175</v>
      </c>
      <c r="Z817" s="4">
        <v>159</v>
      </c>
      <c r="AA817" s="4">
        <v>245</v>
      </c>
      <c r="AB817" s="4">
        <v>1</v>
      </c>
      <c r="AC817" s="4">
        <v>1</v>
      </c>
      <c r="AD817" s="4">
        <v>7</v>
      </c>
      <c r="AE817" s="4">
        <v>8</v>
      </c>
      <c r="AF817" s="4">
        <v>2</v>
      </c>
      <c r="AG817" s="4">
        <v>2</v>
      </c>
      <c r="AH817" s="4">
        <v>4</v>
      </c>
      <c r="AI817" s="4">
        <v>5</v>
      </c>
      <c r="AJ817" s="4">
        <v>4</v>
      </c>
      <c r="AK817" s="4">
        <v>5</v>
      </c>
      <c r="AL817" s="4">
        <v>0</v>
      </c>
      <c r="AM817" s="4">
        <v>0</v>
      </c>
      <c r="AN817" s="4">
        <v>0</v>
      </c>
      <c r="AO817" s="4">
        <v>0</v>
      </c>
      <c r="AP817" s="3" t="s">
        <v>58</v>
      </c>
      <c r="AQ817" s="3" t="s">
        <v>58</v>
      </c>
      <c r="AS817" s="6" t="str">
        <f>HYPERLINK("https://creighton-primo.hosted.exlibrisgroup.com/primo-explore/search?tab=default_tab&amp;search_scope=EVERYTHING&amp;vid=01CRU&amp;lang=en_US&amp;offset=0&amp;query=any,contains,991001051459702656","Catalog Record")</f>
        <v>Catalog Record</v>
      </c>
      <c r="AT817" s="6" t="str">
        <f>HYPERLINK("http://www.worldcat.org/oclc/15654928","WorldCat Record")</f>
        <v>WorldCat Record</v>
      </c>
      <c r="AU817" s="3" t="s">
        <v>10402</v>
      </c>
      <c r="AV817" s="3" t="s">
        <v>10403</v>
      </c>
      <c r="AW817" s="3" t="s">
        <v>10404</v>
      </c>
      <c r="AX817" s="3" t="s">
        <v>10404</v>
      </c>
      <c r="AY817" s="3" t="s">
        <v>10405</v>
      </c>
      <c r="AZ817" s="3" t="s">
        <v>73</v>
      </c>
      <c r="BB817" s="3" t="s">
        <v>10406</v>
      </c>
      <c r="BC817" s="3" t="s">
        <v>10407</v>
      </c>
      <c r="BD817" s="3" t="s">
        <v>10408</v>
      </c>
    </row>
    <row r="818" spans="1:56" ht="51" customHeight="1" x14ac:dyDescent="0.25">
      <c r="A818" s="7" t="s">
        <v>58</v>
      </c>
      <c r="B818" s="2" t="s">
        <v>10409</v>
      </c>
      <c r="C818" s="2" t="s">
        <v>10410</v>
      </c>
      <c r="D818" s="2" t="s">
        <v>10411</v>
      </c>
      <c r="F818" s="3" t="s">
        <v>58</v>
      </c>
      <c r="G818" s="3" t="s">
        <v>59</v>
      </c>
      <c r="H818" s="3" t="s">
        <v>58</v>
      </c>
      <c r="I818" s="3" t="s">
        <v>58</v>
      </c>
      <c r="J818" s="3" t="s">
        <v>60</v>
      </c>
      <c r="K818" s="2" t="s">
        <v>10412</v>
      </c>
      <c r="L818" s="2" t="s">
        <v>10413</v>
      </c>
      <c r="M818" s="3" t="s">
        <v>138</v>
      </c>
      <c r="O818" s="3" t="s">
        <v>63</v>
      </c>
      <c r="P818" s="3" t="s">
        <v>411</v>
      </c>
      <c r="R818" s="3" t="s">
        <v>65</v>
      </c>
      <c r="S818" s="4">
        <v>1</v>
      </c>
      <c r="T818" s="4">
        <v>1</v>
      </c>
      <c r="U818" s="5" t="s">
        <v>10253</v>
      </c>
      <c r="V818" s="5" t="s">
        <v>10253</v>
      </c>
      <c r="W818" s="5" t="s">
        <v>5488</v>
      </c>
      <c r="X818" s="5" t="s">
        <v>5488</v>
      </c>
      <c r="Y818" s="4">
        <v>413</v>
      </c>
      <c r="Z818" s="4">
        <v>340</v>
      </c>
      <c r="AA818" s="4">
        <v>342</v>
      </c>
      <c r="AB818" s="4">
        <v>5</v>
      </c>
      <c r="AC818" s="4">
        <v>5</v>
      </c>
      <c r="AD818" s="4">
        <v>15</v>
      </c>
      <c r="AE818" s="4">
        <v>15</v>
      </c>
      <c r="AF818" s="4">
        <v>0</v>
      </c>
      <c r="AG818" s="4">
        <v>0</v>
      </c>
      <c r="AH818" s="4">
        <v>4</v>
      </c>
      <c r="AI818" s="4">
        <v>4</v>
      </c>
      <c r="AJ818" s="4">
        <v>8</v>
      </c>
      <c r="AK818" s="4">
        <v>8</v>
      </c>
      <c r="AL818" s="4">
        <v>4</v>
      </c>
      <c r="AM818" s="4">
        <v>4</v>
      </c>
      <c r="AN818" s="4">
        <v>0</v>
      </c>
      <c r="AO818" s="4">
        <v>0</v>
      </c>
      <c r="AP818" s="3" t="s">
        <v>58</v>
      </c>
      <c r="AQ818" s="3" t="s">
        <v>68</v>
      </c>
      <c r="AR818" s="6" t="str">
        <f>HYPERLINK("http://catalog.hathitrust.org/Record/000435730","HathiTrust Record")</f>
        <v>HathiTrust Record</v>
      </c>
      <c r="AS818" s="6" t="str">
        <f>HYPERLINK("https://creighton-primo.hosted.exlibrisgroup.com/primo-explore/search?tab=default_tab&amp;search_scope=EVERYTHING&amp;vid=01CRU&amp;lang=en_US&amp;offset=0&amp;query=any,contains,991005224599702656","Catalog Record")</f>
        <v>Catalog Record</v>
      </c>
      <c r="AT818" s="6" t="str">
        <f>HYPERLINK("http://www.worldcat.org/oclc/8277065","WorldCat Record")</f>
        <v>WorldCat Record</v>
      </c>
      <c r="AU818" s="3" t="s">
        <v>10414</v>
      </c>
      <c r="AV818" s="3" t="s">
        <v>10415</v>
      </c>
      <c r="AW818" s="3" t="s">
        <v>10416</v>
      </c>
      <c r="AX818" s="3" t="s">
        <v>10416</v>
      </c>
      <c r="AY818" s="3" t="s">
        <v>10417</v>
      </c>
      <c r="AZ818" s="3" t="s">
        <v>73</v>
      </c>
      <c r="BB818" s="3" t="s">
        <v>10418</v>
      </c>
      <c r="BC818" s="3" t="s">
        <v>10419</v>
      </c>
      <c r="BD818" s="3" t="s">
        <v>10420</v>
      </c>
    </row>
    <row r="819" spans="1:56" ht="51" customHeight="1" x14ac:dyDescent="0.25">
      <c r="A819" s="7" t="s">
        <v>58</v>
      </c>
      <c r="B819" s="2" t="s">
        <v>10421</v>
      </c>
      <c r="C819" s="2" t="s">
        <v>10422</v>
      </c>
      <c r="D819" s="2" t="s">
        <v>10423</v>
      </c>
      <c r="F819" s="3" t="s">
        <v>58</v>
      </c>
      <c r="G819" s="3" t="s">
        <v>59</v>
      </c>
      <c r="H819" s="3" t="s">
        <v>58</v>
      </c>
      <c r="I819" s="3" t="s">
        <v>58</v>
      </c>
      <c r="J819" s="3" t="s">
        <v>60</v>
      </c>
      <c r="K819" s="2" t="s">
        <v>10424</v>
      </c>
      <c r="L819" s="2" t="s">
        <v>10425</v>
      </c>
      <c r="M819" s="3" t="s">
        <v>101</v>
      </c>
      <c r="O819" s="3" t="s">
        <v>63</v>
      </c>
      <c r="P819" s="3" t="s">
        <v>214</v>
      </c>
      <c r="Q819" s="2" t="s">
        <v>10426</v>
      </c>
      <c r="R819" s="3" t="s">
        <v>65</v>
      </c>
      <c r="S819" s="4">
        <v>5</v>
      </c>
      <c r="T819" s="4">
        <v>5</v>
      </c>
      <c r="U819" s="5" t="s">
        <v>2297</v>
      </c>
      <c r="V819" s="5" t="s">
        <v>2297</v>
      </c>
      <c r="W819" s="5" t="s">
        <v>2799</v>
      </c>
      <c r="X819" s="5" t="s">
        <v>2799</v>
      </c>
      <c r="Y819" s="4">
        <v>715</v>
      </c>
      <c r="Z819" s="4">
        <v>578</v>
      </c>
      <c r="AA819" s="4">
        <v>587</v>
      </c>
      <c r="AB819" s="4">
        <v>3</v>
      </c>
      <c r="AC819" s="4">
        <v>3</v>
      </c>
      <c r="AD819" s="4">
        <v>21</v>
      </c>
      <c r="AE819" s="4">
        <v>21</v>
      </c>
      <c r="AF819" s="4">
        <v>5</v>
      </c>
      <c r="AG819" s="4">
        <v>5</v>
      </c>
      <c r="AH819" s="4">
        <v>6</v>
      </c>
      <c r="AI819" s="4">
        <v>6</v>
      </c>
      <c r="AJ819" s="4">
        <v>14</v>
      </c>
      <c r="AK819" s="4">
        <v>14</v>
      </c>
      <c r="AL819" s="4">
        <v>2</v>
      </c>
      <c r="AM819" s="4">
        <v>2</v>
      </c>
      <c r="AN819" s="4">
        <v>0</v>
      </c>
      <c r="AO819" s="4">
        <v>0</v>
      </c>
      <c r="AP819" s="3" t="s">
        <v>58</v>
      </c>
      <c r="AQ819" s="3" t="s">
        <v>58</v>
      </c>
      <c r="AS819" s="6" t="str">
        <f>HYPERLINK("https://creighton-primo.hosted.exlibrisgroup.com/primo-explore/search?tab=default_tab&amp;search_scope=EVERYTHING&amp;vid=01CRU&amp;lang=en_US&amp;offset=0&amp;query=any,contains,991000301449702656","Catalog Record")</f>
        <v>Catalog Record</v>
      </c>
      <c r="AT819" s="6" t="str">
        <f>HYPERLINK("http://www.worldcat.org/oclc/10022790","WorldCat Record")</f>
        <v>WorldCat Record</v>
      </c>
      <c r="AU819" s="3" t="s">
        <v>10427</v>
      </c>
      <c r="AV819" s="3" t="s">
        <v>10428</v>
      </c>
      <c r="AW819" s="3" t="s">
        <v>10429</v>
      </c>
      <c r="AX819" s="3" t="s">
        <v>10429</v>
      </c>
      <c r="AY819" s="3" t="s">
        <v>10430</v>
      </c>
      <c r="AZ819" s="3" t="s">
        <v>73</v>
      </c>
      <c r="BB819" s="3" t="s">
        <v>10431</v>
      </c>
      <c r="BC819" s="3" t="s">
        <v>10432</v>
      </c>
      <c r="BD819" s="3" t="s">
        <v>10433</v>
      </c>
    </row>
    <row r="820" spans="1:56" ht="51" customHeight="1" x14ac:dyDescent="0.25">
      <c r="A820" s="7" t="s">
        <v>58</v>
      </c>
      <c r="B820" s="2" t="s">
        <v>10434</v>
      </c>
      <c r="C820" s="2" t="s">
        <v>10435</v>
      </c>
      <c r="D820" s="2" t="s">
        <v>10436</v>
      </c>
      <c r="F820" s="3" t="s">
        <v>58</v>
      </c>
      <c r="G820" s="3" t="s">
        <v>59</v>
      </c>
      <c r="H820" s="3" t="s">
        <v>58</v>
      </c>
      <c r="I820" s="3" t="s">
        <v>58</v>
      </c>
      <c r="J820" s="3" t="s">
        <v>60</v>
      </c>
      <c r="K820" s="2" t="s">
        <v>10437</v>
      </c>
      <c r="L820" s="2" t="s">
        <v>10438</v>
      </c>
      <c r="M820" s="3" t="s">
        <v>1544</v>
      </c>
      <c r="O820" s="3" t="s">
        <v>63</v>
      </c>
      <c r="P820" s="3" t="s">
        <v>214</v>
      </c>
      <c r="Q820" s="2" t="s">
        <v>10439</v>
      </c>
      <c r="R820" s="3" t="s">
        <v>65</v>
      </c>
      <c r="S820" s="4">
        <v>8</v>
      </c>
      <c r="T820" s="4">
        <v>8</v>
      </c>
      <c r="U820" s="5" t="s">
        <v>5514</v>
      </c>
      <c r="V820" s="5" t="s">
        <v>5514</v>
      </c>
      <c r="W820" s="5" t="s">
        <v>10440</v>
      </c>
      <c r="X820" s="5" t="s">
        <v>10440</v>
      </c>
      <c r="Y820" s="4">
        <v>538</v>
      </c>
      <c r="Z820" s="4">
        <v>440</v>
      </c>
      <c r="AA820" s="4">
        <v>932</v>
      </c>
      <c r="AB820" s="4">
        <v>2</v>
      </c>
      <c r="AC820" s="4">
        <v>17</v>
      </c>
      <c r="AD820" s="4">
        <v>22</v>
      </c>
      <c r="AE820" s="4">
        <v>35</v>
      </c>
      <c r="AF820" s="4">
        <v>10</v>
      </c>
      <c r="AG820" s="4">
        <v>13</v>
      </c>
      <c r="AH820" s="4">
        <v>5</v>
      </c>
      <c r="AI820" s="4">
        <v>6</v>
      </c>
      <c r="AJ820" s="4">
        <v>11</v>
      </c>
      <c r="AK820" s="4">
        <v>13</v>
      </c>
      <c r="AL820" s="4">
        <v>1</v>
      </c>
      <c r="AM820" s="4">
        <v>9</v>
      </c>
      <c r="AN820" s="4">
        <v>1</v>
      </c>
      <c r="AO820" s="4">
        <v>1</v>
      </c>
      <c r="AP820" s="3" t="s">
        <v>58</v>
      </c>
      <c r="AQ820" s="3" t="s">
        <v>68</v>
      </c>
      <c r="AR820" s="6" t="str">
        <f>HYPERLINK("http://catalog.hathitrust.org/Record/002562333","HathiTrust Record")</f>
        <v>HathiTrust Record</v>
      </c>
      <c r="AS820" s="6" t="str">
        <f>HYPERLINK("https://creighton-primo.hosted.exlibrisgroup.com/primo-explore/search?tab=default_tab&amp;search_scope=EVERYTHING&amp;vid=01CRU&amp;lang=en_US&amp;offset=0&amp;query=any,contains,991001988039702656","Catalog Record")</f>
        <v>Catalog Record</v>
      </c>
      <c r="AT820" s="6" t="str">
        <f>HYPERLINK("http://www.worldcat.org/oclc/25247197","WorldCat Record")</f>
        <v>WorldCat Record</v>
      </c>
      <c r="AU820" s="3" t="s">
        <v>10441</v>
      </c>
      <c r="AV820" s="3" t="s">
        <v>10442</v>
      </c>
      <c r="AW820" s="3" t="s">
        <v>10443</v>
      </c>
      <c r="AX820" s="3" t="s">
        <v>10443</v>
      </c>
      <c r="AY820" s="3" t="s">
        <v>10444</v>
      </c>
      <c r="AZ820" s="3" t="s">
        <v>73</v>
      </c>
      <c r="BB820" s="3" t="s">
        <v>10445</v>
      </c>
      <c r="BC820" s="3" t="s">
        <v>10446</v>
      </c>
      <c r="BD820" s="3" t="s">
        <v>10447</v>
      </c>
    </row>
    <row r="821" spans="1:56" ht="51" customHeight="1" x14ac:dyDescent="0.25">
      <c r="A821" s="7" t="s">
        <v>58</v>
      </c>
      <c r="B821" s="2" t="s">
        <v>10448</v>
      </c>
      <c r="C821" s="2" t="s">
        <v>10449</v>
      </c>
      <c r="D821" s="2" t="s">
        <v>10450</v>
      </c>
      <c r="F821" s="3" t="s">
        <v>58</v>
      </c>
      <c r="G821" s="3" t="s">
        <v>59</v>
      </c>
      <c r="H821" s="3" t="s">
        <v>58</v>
      </c>
      <c r="I821" s="3" t="s">
        <v>58</v>
      </c>
      <c r="J821" s="3" t="s">
        <v>60</v>
      </c>
      <c r="L821" s="2" t="s">
        <v>10451</v>
      </c>
      <c r="M821" s="3" t="s">
        <v>524</v>
      </c>
      <c r="N821" s="2" t="s">
        <v>10452</v>
      </c>
      <c r="O821" s="3" t="s">
        <v>63</v>
      </c>
      <c r="P821" s="3" t="s">
        <v>214</v>
      </c>
      <c r="Q821" s="2" t="s">
        <v>3418</v>
      </c>
      <c r="R821" s="3" t="s">
        <v>65</v>
      </c>
      <c r="S821" s="4">
        <v>2</v>
      </c>
      <c r="T821" s="4">
        <v>2</v>
      </c>
      <c r="U821" s="5" t="s">
        <v>216</v>
      </c>
      <c r="V821" s="5" t="s">
        <v>216</v>
      </c>
      <c r="W821" s="5" t="s">
        <v>5446</v>
      </c>
      <c r="X821" s="5" t="s">
        <v>5446</v>
      </c>
      <c r="Y821" s="4">
        <v>400</v>
      </c>
      <c r="Z821" s="4">
        <v>327</v>
      </c>
      <c r="AA821" s="4">
        <v>338</v>
      </c>
      <c r="AB821" s="4">
        <v>3</v>
      </c>
      <c r="AC821" s="4">
        <v>3</v>
      </c>
      <c r="AD821" s="4">
        <v>19</v>
      </c>
      <c r="AE821" s="4">
        <v>20</v>
      </c>
      <c r="AF821" s="4">
        <v>4</v>
      </c>
      <c r="AG821" s="4">
        <v>5</v>
      </c>
      <c r="AH821" s="4">
        <v>6</v>
      </c>
      <c r="AI821" s="4">
        <v>6</v>
      </c>
      <c r="AJ821" s="4">
        <v>12</v>
      </c>
      <c r="AK821" s="4">
        <v>13</v>
      </c>
      <c r="AL821" s="4">
        <v>2</v>
      </c>
      <c r="AM821" s="4">
        <v>2</v>
      </c>
      <c r="AN821" s="4">
        <v>1</v>
      </c>
      <c r="AO821" s="4">
        <v>1</v>
      </c>
      <c r="AP821" s="3" t="s">
        <v>58</v>
      </c>
      <c r="AQ821" s="3" t="s">
        <v>68</v>
      </c>
      <c r="AR821" s="6" t="str">
        <f>HYPERLINK("http://catalog.hathitrust.org/Record/000490642","HathiTrust Record")</f>
        <v>HathiTrust Record</v>
      </c>
      <c r="AS821" s="6" t="str">
        <f>HYPERLINK("https://creighton-primo.hosted.exlibrisgroup.com/primo-explore/search?tab=default_tab&amp;search_scope=EVERYTHING&amp;vid=01CRU&amp;lang=en_US&amp;offset=0&amp;query=any,contains,991005225679702656","Catalog Record")</f>
        <v>Catalog Record</v>
      </c>
      <c r="AT821" s="6" t="str">
        <f>HYPERLINK("http://www.worldcat.org/oclc/13903363","WorldCat Record")</f>
        <v>WorldCat Record</v>
      </c>
      <c r="AU821" s="3" t="s">
        <v>10453</v>
      </c>
      <c r="AV821" s="3" t="s">
        <v>10454</v>
      </c>
      <c r="AW821" s="3" t="s">
        <v>10455</v>
      </c>
      <c r="AX821" s="3" t="s">
        <v>10455</v>
      </c>
      <c r="AY821" s="3" t="s">
        <v>10456</v>
      </c>
      <c r="AZ821" s="3" t="s">
        <v>73</v>
      </c>
      <c r="BB821" s="3" t="s">
        <v>10457</v>
      </c>
      <c r="BC821" s="3" t="s">
        <v>10458</v>
      </c>
      <c r="BD821" s="3" t="s">
        <v>10459</v>
      </c>
    </row>
    <row r="822" spans="1:56" ht="51" customHeight="1" x14ac:dyDescent="0.25">
      <c r="A822" s="7" t="s">
        <v>58</v>
      </c>
      <c r="B822" s="2" t="s">
        <v>10460</v>
      </c>
      <c r="C822" s="2" t="s">
        <v>10461</v>
      </c>
      <c r="D822" s="2" t="s">
        <v>10462</v>
      </c>
      <c r="F822" s="3" t="s">
        <v>58</v>
      </c>
      <c r="G822" s="3" t="s">
        <v>59</v>
      </c>
      <c r="H822" s="3" t="s">
        <v>58</v>
      </c>
      <c r="I822" s="3" t="s">
        <v>58</v>
      </c>
      <c r="J822" s="3" t="s">
        <v>60</v>
      </c>
      <c r="K822" s="2" t="s">
        <v>10463</v>
      </c>
      <c r="L822" s="2" t="s">
        <v>10464</v>
      </c>
      <c r="M822" s="3" t="s">
        <v>4023</v>
      </c>
      <c r="O822" s="3" t="s">
        <v>63</v>
      </c>
      <c r="P822" s="3" t="s">
        <v>816</v>
      </c>
      <c r="R822" s="3" t="s">
        <v>65</v>
      </c>
      <c r="S822" s="4">
        <v>5</v>
      </c>
      <c r="T822" s="4">
        <v>5</v>
      </c>
      <c r="U822" s="5" t="s">
        <v>10225</v>
      </c>
      <c r="V822" s="5" t="s">
        <v>10225</v>
      </c>
      <c r="W822" s="5" t="s">
        <v>10465</v>
      </c>
      <c r="X822" s="5" t="s">
        <v>10465</v>
      </c>
      <c r="Y822" s="4">
        <v>709</v>
      </c>
      <c r="Z822" s="4">
        <v>587</v>
      </c>
      <c r="AA822" s="4">
        <v>637</v>
      </c>
      <c r="AB822" s="4">
        <v>4</v>
      </c>
      <c r="AC822" s="4">
        <v>4</v>
      </c>
      <c r="AD822" s="4">
        <v>31</v>
      </c>
      <c r="AE822" s="4">
        <v>34</v>
      </c>
      <c r="AF822" s="4">
        <v>15</v>
      </c>
      <c r="AG822" s="4">
        <v>18</v>
      </c>
      <c r="AH822" s="4">
        <v>6</v>
      </c>
      <c r="AI822" s="4">
        <v>8</v>
      </c>
      <c r="AJ822" s="4">
        <v>15</v>
      </c>
      <c r="AK822" s="4">
        <v>15</v>
      </c>
      <c r="AL822" s="4">
        <v>3</v>
      </c>
      <c r="AM822" s="4">
        <v>3</v>
      </c>
      <c r="AN822" s="4">
        <v>0</v>
      </c>
      <c r="AO822" s="4">
        <v>0</v>
      </c>
      <c r="AP822" s="3" t="s">
        <v>58</v>
      </c>
      <c r="AQ822" s="3" t="s">
        <v>68</v>
      </c>
      <c r="AR822" s="6" t="str">
        <f>HYPERLINK("http://catalog.hathitrust.org/Record/004366349","HathiTrust Record")</f>
        <v>HathiTrust Record</v>
      </c>
      <c r="AS822" s="6" t="str">
        <f>HYPERLINK("https://creighton-primo.hosted.exlibrisgroup.com/primo-explore/search?tab=default_tab&amp;search_scope=EVERYTHING&amp;vid=01CRU&amp;lang=en_US&amp;offset=0&amp;query=any,contains,991004463039702656","Catalog Record")</f>
        <v>Catalog Record</v>
      </c>
      <c r="AT822" s="6" t="str">
        <f>HYPERLINK("http://www.worldcat.org/oclc/53306064","WorldCat Record")</f>
        <v>WorldCat Record</v>
      </c>
      <c r="AU822" s="3" t="s">
        <v>10466</v>
      </c>
      <c r="AV822" s="3" t="s">
        <v>10467</v>
      </c>
      <c r="AW822" s="3" t="s">
        <v>10468</v>
      </c>
      <c r="AX822" s="3" t="s">
        <v>10468</v>
      </c>
      <c r="AY822" s="3" t="s">
        <v>10469</v>
      </c>
      <c r="AZ822" s="3" t="s">
        <v>73</v>
      </c>
      <c r="BB822" s="3" t="s">
        <v>10470</v>
      </c>
      <c r="BC822" s="3" t="s">
        <v>10471</v>
      </c>
      <c r="BD822" s="3" t="s">
        <v>10472</v>
      </c>
    </row>
    <row r="823" spans="1:56" ht="51" customHeight="1" x14ac:dyDescent="0.25">
      <c r="A823" s="7" t="s">
        <v>58</v>
      </c>
      <c r="B823" s="2" t="s">
        <v>10473</v>
      </c>
      <c r="C823" s="2" t="s">
        <v>10474</v>
      </c>
      <c r="D823" s="2" t="s">
        <v>10475</v>
      </c>
      <c r="F823" s="3" t="s">
        <v>58</v>
      </c>
      <c r="G823" s="3" t="s">
        <v>59</v>
      </c>
      <c r="H823" s="3" t="s">
        <v>58</v>
      </c>
      <c r="I823" s="3" t="s">
        <v>58</v>
      </c>
      <c r="J823" s="3" t="s">
        <v>60</v>
      </c>
      <c r="K823" s="2" t="s">
        <v>9017</v>
      </c>
      <c r="L823" s="2" t="s">
        <v>10476</v>
      </c>
      <c r="M823" s="3" t="s">
        <v>196</v>
      </c>
      <c r="O823" s="3" t="s">
        <v>63</v>
      </c>
      <c r="P823" s="3" t="s">
        <v>214</v>
      </c>
      <c r="R823" s="3" t="s">
        <v>65</v>
      </c>
      <c r="S823" s="4">
        <v>9</v>
      </c>
      <c r="T823" s="4">
        <v>9</v>
      </c>
      <c r="U823" s="5" t="s">
        <v>10477</v>
      </c>
      <c r="V823" s="5" t="s">
        <v>10477</v>
      </c>
      <c r="W823" s="5" t="s">
        <v>10478</v>
      </c>
      <c r="X823" s="5" t="s">
        <v>10478</v>
      </c>
      <c r="Y823" s="4">
        <v>1282</v>
      </c>
      <c r="Z823" s="4">
        <v>1187</v>
      </c>
      <c r="AA823" s="4">
        <v>1199</v>
      </c>
      <c r="AB823" s="4">
        <v>10</v>
      </c>
      <c r="AC823" s="4">
        <v>10</v>
      </c>
      <c r="AD823" s="4">
        <v>30</v>
      </c>
      <c r="AE823" s="4">
        <v>30</v>
      </c>
      <c r="AF823" s="4">
        <v>8</v>
      </c>
      <c r="AG823" s="4">
        <v>8</v>
      </c>
      <c r="AH823" s="4">
        <v>8</v>
      </c>
      <c r="AI823" s="4">
        <v>8</v>
      </c>
      <c r="AJ823" s="4">
        <v>16</v>
      </c>
      <c r="AK823" s="4">
        <v>16</v>
      </c>
      <c r="AL823" s="4">
        <v>5</v>
      </c>
      <c r="AM823" s="4">
        <v>5</v>
      </c>
      <c r="AN823" s="4">
        <v>0</v>
      </c>
      <c r="AO823" s="4">
        <v>0</v>
      </c>
      <c r="AP823" s="3" t="s">
        <v>58</v>
      </c>
      <c r="AQ823" s="3" t="s">
        <v>68</v>
      </c>
      <c r="AR823" s="6" t="str">
        <f>HYPERLINK("http://catalog.hathitrust.org/Record/003062153","HathiTrust Record")</f>
        <v>HathiTrust Record</v>
      </c>
      <c r="AS823" s="6" t="str">
        <f>HYPERLINK("https://creighton-primo.hosted.exlibrisgroup.com/primo-explore/search?tab=default_tab&amp;search_scope=EVERYTHING&amp;vid=01CRU&amp;lang=en_US&amp;offset=0&amp;query=any,contains,991002558279702656","Catalog Record")</f>
        <v>Catalog Record</v>
      </c>
      <c r="AT823" s="6" t="str">
        <f>HYPERLINK("http://www.worldcat.org/oclc/33245278","WorldCat Record")</f>
        <v>WorldCat Record</v>
      </c>
      <c r="AU823" s="3" t="s">
        <v>10479</v>
      </c>
      <c r="AV823" s="3" t="s">
        <v>10480</v>
      </c>
      <c r="AW823" s="3" t="s">
        <v>10481</v>
      </c>
      <c r="AX823" s="3" t="s">
        <v>10481</v>
      </c>
      <c r="AY823" s="3" t="s">
        <v>10482</v>
      </c>
      <c r="AZ823" s="3" t="s">
        <v>73</v>
      </c>
      <c r="BB823" s="3" t="s">
        <v>10483</v>
      </c>
      <c r="BC823" s="3" t="s">
        <v>10484</v>
      </c>
      <c r="BD823" s="3" t="s">
        <v>10485</v>
      </c>
    </row>
    <row r="824" spans="1:56" ht="51" customHeight="1" x14ac:dyDescent="0.25">
      <c r="A824" s="7" t="s">
        <v>58</v>
      </c>
      <c r="B824" s="2" t="s">
        <v>10486</v>
      </c>
      <c r="C824" s="2" t="s">
        <v>10487</v>
      </c>
      <c r="D824" s="2" t="s">
        <v>10488</v>
      </c>
      <c r="F824" s="3" t="s">
        <v>58</v>
      </c>
      <c r="G824" s="3" t="s">
        <v>59</v>
      </c>
      <c r="H824" s="3" t="s">
        <v>58</v>
      </c>
      <c r="I824" s="3" t="s">
        <v>58</v>
      </c>
      <c r="J824" s="3" t="s">
        <v>60</v>
      </c>
      <c r="L824" s="2" t="s">
        <v>10489</v>
      </c>
      <c r="M824" s="3" t="s">
        <v>759</v>
      </c>
      <c r="N824" s="2" t="s">
        <v>10490</v>
      </c>
      <c r="O824" s="3" t="s">
        <v>63</v>
      </c>
      <c r="P824" s="3" t="s">
        <v>495</v>
      </c>
      <c r="R824" s="3" t="s">
        <v>65</v>
      </c>
      <c r="S824" s="4">
        <v>6</v>
      </c>
      <c r="T824" s="4">
        <v>6</v>
      </c>
      <c r="U824" s="5" t="s">
        <v>10491</v>
      </c>
      <c r="V824" s="5" t="s">
        <v>10491</v>
      </c>
      <c r="W824" s="5" t="s">
        <v>8127</v>
      </c>
      <c r="X824" s="5" t="s">
        <v>8127</v>
      </c>
      <c r="Y824" s="4">
        <v>313</v>
      </c>
      <c r="Z824" s="4">
        <v>293</v>
      </c>
      <c r="AA824" s="4">
        <v>418</v>
      </c>
      <c r="AB824" s="4">
        <v>2</v>
      </c>
      <c r="AC824" s="4">
        <v>4</v>
      </c>
      <c r="AD824" s="4">
        <v>9</v>
      </c>
      <c r="AE824" s="4">
        <v>17</v>
      </c>
      <c r="AF824" s="4">
        <v>3</v>
      </c>
      <c r="AG824" s="4">
        <v>5</v>
      </c>
      <c r="AH824" s="4">
        <v>3</v>
      </c>
      <c r="AI824" s="4">
        <v>5</v>
      </c>
      <c r="AJ824" s="4">
        <v>4</v>
      </c>
      <c r="AK824" s="4">
        <v>8</v>
      </c>
      <c r="AL824" s="4">
        <v>1</v>
      </c>
      <c r="AM824" s="4">
        <v>3</v>
      </c>
      <c r="AN824" s="4">
        <v>0</v>
      </c>
      <c r="AO824" s="4">
        <v>0</v>
      </c>
      <c r="AP824" s="3" t="s">
        <v>58</v>
      </c>
      <c r="AQ824" s="3" t="s">
        <v>68</v>
      </c>
      <c r="AR824" s="6" t="str">
        <f>HYPERLINK("http://catalog.hathitrust.org/Record/000224028","HathiTrust Record")</f>
        <v>HathiTrust Record</v>
      </c>
      <c r="AS824" s="6" t="str">
        <f>HYPERLINK("https://creighton-primo.hosted.exlibrisgroup.com/primo-explore/search?tab=default_tab&amp;search_scope=EVERYTHING&amp;vid=01CRU&amp;lang=en_US&amp;offset=0&amp;query=any,contains,991005075989702656","Catalog Record")</f>
        <v>Catalog Record</v>
      </c>
      <c r="AT824" s="6" t="str">
        <f>HYPERLINK("http://www.worldcat.org/oclc/7113501","WorldCat Record")</f>
        <v>WorldCat Record</v>
      </c>
      <c r="AU824" s="3" t="s">
        <v>10492</v>
      </c>
      <c r="AV824" s="3" t="s">
        <v>10493</v>
      </c>
      <c r="AW824" s="3" t="s">
        <v>10494</v>
      </c>
      <c r="AX824" s="3" t="s">
        <v>10494</v>
      </c>
      <c r="AY824" s="3" t="s">
        <v>10495</v>
      </c>
      <c r="AZ824" s="3" t="s">
        <v>73</v>
      </c>
      <c r="BB824" s="3" t="s">
        <v>10496</v>
      </c>
      <c r="BC824" s="3" t="s">
        <v>10497</v>
      </c>
      <c r="BD824" s="3" t="s">
        <v>10498</v>
      </c>
    </row>
    <row r="825" spans="1:56" ht="51" customHeight="1" x14ac:dyDescent="0.25">
      <c r="A825" s="7" t="s">
        <v>58</v>
      </c>
      <c r="B825" s="2" t="s">
        <v>10499</v>
      </c>
      <c r="C825" s="2" t="s">
        <v>10500</v>
      </c>
      <c r="D825" s="2" t="s">
        <v>10501</v>
      </c>
      <c r="F825" s="3" t="s">
        <v>58</v>
      </c>
      <c r="G825" s="3" t="s">
        <v>59</v>
      </c>
      <c r="H825" s="3" t="s">
        <v>58</v>
      </c>
      <c r="I825" s="3" t="s">
        <v>58</v>
      </c>
      <c r="J825" s="3" t="s">
        <v>60</v>
      </c>
      <c r="K825" s="2" t="s">
        <v>10412</v>
      </c>
      <c r="L825" s="2" t="s">
        <v>10502</v>
      </c>
      <c r="M825" s="3" t="s">
        <v>138</v>
      </c>
      <c r="O825" s="3" t="s">
        <v>63</v>
      </c>
      <c r="P825" s="3" t="s">
        <v>3109</v>
      </c>
      <c r="R825" s="3" t="s">
        <v>65</v>
      </c>
      <c r="S825" s="4">
        <v>11</v>
      </c>
      <c r="T825" s="4">
        <v>11</v>
      </c>
      <c r="U825" s="5" t="s">
        <v>10503</v>
      </c>
      <c r="V825" s="5" t="s">
        <v>10503</v>
      </c>
      <c r="W825" s="5" t="s">
        <v>8127</v>
      </c>
      <c r="X825" s="5" t="s">
        <v>8127</v>
      </c>
      <c r="Y825" s="4">
        <v>481</v>
      </c>
      <c r="Z825" s="4">
        <v>424</v>
      </c>
      <c r="AA825" s="4">
        <v>857</v>
      </c>
      <c r="AB825" s="4">
        <v>3</v>
      </c>
      <c r="AC825" s="4">
        <v>13</v>
      </c>
      <c r="AD825" s="4">
        <v>15</v>
      </c>
      <c r="AE825" s="4">
        <v>34</v>
      </c>
      <c r="AF825" s="4">
        <v>3</v>
      </c>
      <c r="AG825" s="4">
        <v>8</v>
      </c>
      <c r="AH825" s="4">
        <v>5</v>
      </c>
      <c r="AI825" s="4">
        <v>8</v>
      </c>
      <c r="AJ825" s="4">
        <v>9</v>
      </c>
      <c r="AK825" s="4">
        <v>12</v>
      </c>
      <c r="AL825" s="4">
        <v>2</v>
      </c>
      <c r="AM825" s="4">
        <v>11</v>
      </c>
      <c r="AN825" s="4">
        <v>0</v>
      </c>
      <c r="AO825" s="4">
        <v>1</v>
      </c>
      <c r="AP825" s="3" t="s">
        <v>58</v>
      </c>
      <c r="AQ825" s="3" t="s">
        <v>68</v>
      </c>
      <c r="AR825" s="6" t="str">
        <f>HYPERLINK("http://catalog.hathitrust.org/Record/000271407","HathiTrust Record")</f>
        <v>HathiTrust Record</v>
      </c>
      <c r="AS825" s="6" t="str">
        <f>HYPERLINK("https://creighton-primo.hosted.exlibrisgroup.com/primo-explore/search?tab=default_tab&amp;search_scope=EVERYTHING&amp;vid=01CRU&amp;lang=en_US&amp;offset=0&amp;query=any,contains,991005244279702656","Catalog Record")</f>
        <v>Catalog Record</v>
      </c>
      <c r="AT825" s="6" t="str">
        <f>HYPERLINK("http://www.worldcat.org/oclc/8451225","WorldCat Record")</f>
        <v>WorldCat Record</v>
      </c>
      <c r="AU825" s="3" t="s">
        <v>10504</v>
      </c>
      <c r="AV825" s="3" t="s">
        <v>10505</v>
      </c>
      <c r="AW825" s="3" t="s">
        <v>10506</v>
      </c>
      <c r="AX825" s="3" t="s">
        <v>10506</v>
      </c>
      <c r="AY825" s="3" t="s">
        <v>10507</v>
      </c>
      <c r="AZ825" s="3" t="s">
        <v>73</v>
      </c>
      <c r="BB825" s="3" t="s">
        <v>10508</v>
      </c>
      <c r="BC825" s="3" t="s">
        <v>10509</v>
      </c>
      <c r="BD825" s="3" t="s">
        <v>10510</v>
      </c>
    </row>
    <row r="826" spans="1:56" ht="51" customHeight="1" x14ac:dyDescent="0.25">
      <c r="A826" s="7" t="s">
        <v>58</v>
      </c>
      <c r="B826" s="2" t="s">
        <v>10511</v>
      </c>
      <c r="C826" s="2" t="s">
        <v>10512</v>
      </c>
      <c r="D826" s="2" t="s">
        <v>10513</v>
      </c>
      <c r="F826" s="3" t="s">
        <v>58</v>
      </c>
      <c r="G826" s="3" t="s">
        <v>59</v>
      </c>
      <c r="H826" s="3" t="s">
        <v>58</v>
      </c>
      <c r="I826" s="3" t="s">
        <v>58</v>
      </c>
      <c r="J826" s="3" t="s">
        <v>60</v>
      </c>
      <c r="K826" s="2" t="s">
        <v>10514</v>
      </c>
      <c r="L826" s="2" t="s">
        <v>10515</v>
      </c>
      <c r="M826" s="3" t="s">
        <v>2214</v>
      </c>
      <c r="N826" s="2" t="s">
        <v>338</v>
      </c>
      <c r="O826" s="3" t="s">
        <v>63</v>
      </c>
      <c r="P826" s="3" t="s">
        <v>2061</v>
      </c>
      <c r="R826" s="3" t="s">
        <v>65</v>
      </c>
      <c r="S826" s="4">
        <v>4</v>
      </c>
      <c r="T826" s="4">
        <v>4</v>
      </c>
      <c r="U826" s="5" t="s">
        <v>10516</v>
      </c>
      <c r="V826" s="5" t="s">
        <v>10516</v>
      </c>
      <c r="W826" s="5" t="s">
        <v>10517</v>
      </c>
      <c r="X826" s="5" t="s">
        <v>10517</v>
      </c>
      <c r="Y826" s="4">
        <v>41</v>
      </c>
      <c r="Z826" s="4">
        <v>40</v>
      </c>
      <c r="AA826" s="4">
        <v>41</v>
      </c>
      <c r="AB826" s="4">
        <v>1</v>
      </c>
      <c r="AC826" s="4">
        <v>1</v>
      </c>
      <c r="AD826" s="4">
        <v>3</v>
      </c>
      <c r="AE826" s="4">
        <v>3</v>
      </c>
      <c r="AF826" s="4">
        <v>0</v>
      </c>
      <c r="AG826" s="4">
        <v>0</v>
      </c>
      <c r="AH826" s="4">
        <v>3</v>
      </c>
      <c r="AI826" s="4">
        <v>3</v>
      </c>
      <c r="AJ826" s="4">
        <v>0</v>
      </c>
      <c r="AK826" s="4">
        <v>0</v>
      </c>
      <c r="AL826" s="4">
        <v>0</v>
      </c>
      <c r="AM826" s="4">
        <v>0</v>
      </c>
      <c r="AN826" s="4">
        <v>0</v>
      </c>
      <c r="AO826" s="4">
        <v>0</v>
      </c>
      <c r="AP826" s="3" t="s">
        <v>58</v>
      </c>
      <c r="AQ826" s="3" t="s">
        <v>58</v>
      </c>
      <c r="AS826" s="6" t="str">
        <f>HYPERLINK("https://creighton-primo.hosted.exlibrisgroup.com/primo-explore/search?tab=default_tab&amp;search_scope=EVERYTHING&amp;vid=01CRU&amp;lang=en_US&amp;offset=0&amp;query=any,contains,991004799669702656","Catalog Record")</f>
        <v>Catalog Record</v>
      </c>
      <c r="AT826" s="6" t="str">
        <f>HYPERLINK("http://www.worldcat.org/oclc/60791783","WorldCat Record")</f>
        <v>WorldCat Record</v>
      </c>
      <c r="AU826" s="3" t="s">
        <v>10518</v>
      </c>
      <c r="AV826" s="3" t="s">
        <v>10519</v>
      </c>
      <c r="AW826" s="3" t="s">
        <v>10520</v>
      </c>
      <c r="AX826" s="3" t="s">
        <v>10520</v>
      </c>
      <c r="AY826" s="3" t="s">
        <v>10521</v>
      </c>
      <c r="AZ826" s="3" t="s">
        <v>73</v>
      </c>
      <c r="BB826" s="3" t="s">
        <v>10522</v>
      </c>
      <c r="BC826" s="3" t="s">
        <v>10523</v>
      </c>
      <c r="BD826" s="3" t="s">
        <v>10524</v>
      </c>
    </row>
    <row r="827" spans="1:56" ht="51" customHeight="1" x14ac:dyDescent="0.25">
      <c r="A827" s="7" t="s">
        <v>58</v>
      </c>
      <c r="B827" s="2" t="s">
        <v>10525</v>
      </c>
      <c r="C827" s="2" t="s">
        <v>10526</v>
      </c>
      <c r="D827" s="2" t="s">
        <v>10527</v>
      </c>
      <c r="F827" s="3" t="s">
        <v>58</v>
      </c>
      <c r="G827" s="3" t="s">
        <v>59</v>
      </c>
      <c r="H827" s="3" t="s">
        <v>58</v>
      </c>
      <c r="I827" s="3" t="s">
        <v>58</v>
      </c>
      <c r="J827" s="3" t="s">
        <v>60</v>
      </c>
      <c r="L827" s="2" t="s">
        <v>10528</v>
      </c>
      <c r="M827" s="3" t="s">
        <v>1544</v>
      </c>
      <c r="O827" s="3" t="s">
        <v>63</v>
      </c>
      <c r="P827" s="3" t="s">
        <v>584</v>
      </c>
      <c r="R827" s="3" t="s">
        <v>65</v>
      </c>
      <c r="S827" s="4">
        <v>8</v>
      </c>
      <c r="T827" s="4">
        <v>8</v>
      </c>
      <c r="U827" s="5" t="s">
        <v>9384</v>
      </c>
      <c r="V827" s="5" t="s">
        <v>9384</v>
      </c>
      <c r="W827" s="5" t="s">
        <v>2966</v>
      </c>
      <c r="X827" s="5" t="s">
        <v>2966</v>
      </c>
      <c r="Y827" s="4">
        <v>286</v>
      </c>
      <c r="Z827" s="4">
        <v>194</v>
      </c>
      <c r="AA827" s="4">
        <v>229</v>
      </c>
      <c r="AB827" s="4">
        <v>2</v>
      </c>
      <c r="AC827" s="4">
        <v>2</v>
      </c>
      <c r="AD827" s="4">
        <v>15</v>
      </c>
      <c r="AE827" s="4">
        <v>15</v>
      </c>
      <c r="AF827" s="4">
        <v>5</v>
      </c>
      <c r="AG827" s="4">
        <v>5</v>
      </c>
      <c r="AH827" s="4">
        <v>5</v>
      </c>
      <c r="AI827" s="4">
        <v>5</v>
      </c>
      <c r="AJ827" s="4">
        <v>10</v>
      </c>
      <c r="AK827" s="4">
        <v>10</v>
      </c>
      <c r="AL827" s="4">
        <v>1</v>
      </c>
      <c r="AM827" s="4">
        <v>1</v>
      </c>
      <c r="AN827" s="4">
        <v>0</v>
      </c>
      <c r="AO827" s="4">
        <v>0</v>
      </c>
      <c r="AP827" s="3" t="s">
        <v>58</v>
      </c>
      <c r="AQ827" s="3" t="s">
        <v>58</v>
      </c>
      <c r="AS827" s="6" t="str">
        <f>HYPERLINK("https://creighton-primo.hosted.exlibrisgroup.com/primo-explore/search?tab=default_tab&amp;search_scope=EVERYTHING&amp;vid=01CRU&amp;lang=en_US&amp;offset=0&amp;query=any,contains,991001951359702656","Catalog Record")</f>
        <v>Catalog Record</v>
      </c>
      <c r="AT827" s="6" t="str">
        <f>HYPERLINK("http://www.worldcat.org/oclc/24668707","WorldCat Record")</f>
        <v>WorldCat Record</v>
      </c>
      <c r="AU827" s="3" t="s">
        <v>10529</v>
      </c>
      <c r="AV827" s="3" t="s">
        <v>10530</v>
      </c>
      <c r="AW827" s="3" t="s">
        <v>10531</v>
      </c>
      <c r="AX827" s="3" t="s">
        <v>10531</v>
      </c>
      <c r="AY827" s="3" t="s">
        <v>10532</v>
      </c>
      <c r="AZ827" s="3" t="s">
        <v>73</v>
      </c>
      <c r="BB827" s="3" t="s">
        <v>10533</v>
      </c>
      <c r="BC827" s="3" t="s">
        <v>10534</v>
      </c>
      <c r="BD827" s="3" t="s">
        <v>10535</v>
      </c>
    </row>
    <row r="828" spans="1:56" ht="51" customHeight="1" x14ac:dyDescent="0.25">
      <c r="A828" s="7" t="s">
        <v>58</v>
      </c>
      <c r="B828" s="2" t="s">
        <v>10536</v>
      </c>
      <c r="C828" s="2" t="s">
        <v>10537</v>
      </c>
      <c r="D828" s="2" t="s">
        <v>10538</v>
      </c>
      <c r="F828" s="3" t="s">
        <v>58</v>
      </c>
      <c r="G828" s="3" t="s">
        <v>59</v>
      </c>
      <c r="H828" s="3" t="s">
        <v>58</v>
      </c>
      <c r="I828" s="3" t="s">
        <v>58</v>
      </c>
      <c r="J828" s="3" t="s">
        <v>60</v>
      </c>
      <c r="K828" s="2" t="s">
        <v>10539</v>
      </c>
      <c r="L828" s="2" t="s">
        <v>10540</v>
      </c>
      <c r="M828" s="3" t="s">
        <v>815</v>
      </c>
      <c r="O828" s="3" t="s">
        <v>63</v>
      </c>
      <c r="P828" s="3" t="s">
        <v>1837</v>
      </c>
      <c r="Q828" s="2" t="s">
        <v>10541</v>
      </c>
      <c r="R828" s="3" t="s">
        <v>65</v>
      </c>
      <c r="S828" s="4">
        <v>1</v>
      </c>
      <c r="T828" s="4">
        <v>1</v>
      </c>
      <c r="U828" s="5" t="s">
        <v>10542</v>
      </c>
      <c r="V828" s="5" t="s">
        <v>10542</v>
      </c>
      <c r="W828" s="5" t="s">
        <v>10542</v>
      </c>
      <c r="X828" s="5" t="s">
        <v>10542</v>
      </c>
      <c r="Y828" s="4">
        <v>142</v>
      </c>
      <c r="Z828" s="4">
        <v>104</v>
      </c>
      <c r="AA828" s="4">
        <v>105</v>
      </c>
      <c r="AB828" s="4">
        <v>1</v>
      </c>
      <c r="AC828" s="4">
        <v>1</v>
      </c>
      <c r="AD828" s="4">
        <v>7</v>
      </c>
      <c r="AE828" s="4">
        <v>7</v>
      </c>
      <c r="AF828" s="4">
        <v>1</v>
      </c>
      <c r="AG828" s="4">
        <v>1</v>
      </c>
      <c r="AH828" s="4">
        <v>3</v>
      </c>
      <c r="AI828" s="4">
        <v>3</v>
      </c>
      <c r="AJ828" s="4">
        <v>5</v>
      </c>
      <c r="AK828" s="4">
        <v>5</v>
      </c>
      <c r="AL828" s="4">
        <v>0</v>
      </c>
      <c r="AM828" s="4">
        <v>0</v>
      </c>
      <c r="AN828" s="4">
        <v>1</v>
      </c>
      <c r="AO828" s="4">
        <v>1</v>
      </c>
      <c r="AP828" s="3" t="s">
        <v>58</v>
      </c>
      <c r="AQ828" s="3" t="s">
        <v>68</v>
      </c>
      <c r="AR828" s="6" t="str">
        <f>HYPERLINK("http://catalog.hathitrust.org/Record/005925603","HathiTrust Record")</f>
        <v>HathiTrust Record</v>
      </c>
      <c r="AS828" s="6" t="str">
        <f>HYPERLINK("https://creighton-primo.hosted.exlibrisgroup.com/primo-explore/search?tab=default_tab&amp;search_scope=EVERYTHING&amp;vid=01CRU&amp;lang=en_US&amp;offset=0&amp;query=any,contains,991000384829702656","Catalog Record")</f>
        <v>Catalog Record</v>
      </c>
      <c r="AT828" s="6" t="str">
        <f>HYPERLINK("http://www.worldcat.org/oclc/244695407","WorldCat Record")</f>
        <v>WorldCat Record</v>
      </c>
      <c r="AU828" s="3" t="s">
        <v>10543</v>
      </c>
      <c r="AV828" s="3" t="s">
        <v>10544</v>
      </c>
      <c r="AW828" s="3" t="s">
        <v>10545</v>
      </c>
      <c r="AX828" s="3" t="s">
        <v>10545</v>
      </c>
      <c r="AY828" s="3" t="s">
        <v>10546</v>
      </c>
      <c r="AZ828" s="3" t="s">
        <v>73</v>
      </c>
      <c r="BB828" s="3" t="s">
        <v>10547</v>
      </c>
      <c r="BC828" s="3" t="s">
        <v>10548</v>
      </c>
      <c r="BD828" s="3" t="s">
        <v>10549</v>
      </c>
    </row>
    <row r="829" spans="1:56" ht="51" customHeight="1" x14ac:dyDescent="0.25">
      <c r="A829" s="7" t="s">
        <v>58</v>
      </c>
      <c r="B829" s="2" t="s">
        <v>10550</v>
      </c>
      <c r="C829" s="2" t="s">
        <v>10551</v>
      </c>
      <c r="D829" s="2" t="s">
        <v>10552</v>
      </c>
      <c r="F829" s="3" t="s">
        <v>58</v>
      </c>
      <c r="G829" s="3" t="s">
        <v>59</v>
      </c>
      <c r="H829" s="3" t="s">
        <v>58</v>
      </c>
      <c r="I829" s="3" t="s">
        <v>58</v>
      </c>
      <c r="J829" s="3" t="s">
        <v>60</v>
      </c>
      <c r="L829" s="2" t="s">
        <v>10528</v>
      </c>
      <c r="M829" s="3" t="s">
        <v>1544</v>
      </c>
      <c r="O829" s="3" t="s">
        <v>63</v>
      </c>
      <c r="P829" s="3" t="s">
        <v>584</v>
      </c>
      <c r="R829" s="3" t="s">
        <v>65</v>
      </c>
      <c r="S829" s="4">
        <v>7</v>
      </c>
      <c r="T829" s="4">
        <v>7</v>
      </c>
      <c r="U829" s="5" t="s">
        <v>10553</v>
      </c>
      <c r="V829" s="5" t="s">
        <v>10553</v>
      </c>
      <c r="W829" s="5" t="s">
        <v>3283</v>
      </c>
      <c r="X829" s="5" t="s">
        <v>3283</v>
      </c>
      <c r="Y829" s="4">
        <v>247</v>
      </c>
      <c r="Z829" s="4">
        <v>179</v>
      </c>
      <c r="AA829" s="4">
        <v>314</v>
      </c>
      <c r="AB829" s="4">
        <v>1</v>
      </c>
      <c r="AC829" s="4">
        <v>1</v>
      </c>
      <c r="AD829" s="4">
        <v>13</v>
      </c>
      <c r="AE829" s="4">
        <v>14</v>
      </c>
      <c r="AF829" s="4">
        <v>4</v>
      </c>
      <c r="AG829" s="4">
        <v>4</v>
      </c>
      <c r="AH829" s="4">
        <v>5</v>
      </c>
      <c r="AI829" s="4">
        <v>5</v>
      </c>
      <c r="AJ829" s="4">
        <v>8</v>
      </c>
      <c r="AK829" s="4">
        <v>9</v>
      </c>
      <c r="AL829" s="4">
        <v>0</v>
      </c>
      <c r="AM829" s="4">
        <v>0</v>
      </c>
      <c r="AN829" s="4">
        <v>0</v>
      </c>
      <c r="AO829" s="4">
        <v>0</v>
      </c>
      <c r="AP829" s="3" t="s">
        <v>58</v>
      </c>
      <c r="AQ829" s="3" t="s">
        <v>58</v>
      </c>
      <c r="AS829" s="6" t="str">
        <f>HYPERLINK("https://creighton-primo.hosted.exlibrisgroup.com/primo-explore/search?tab=default_tab&amp;search_scope=EVERYTHING&amp;vid=01CRU&amp;lang=en_US&amp;offset=0&amp;query=any,contains,991002007029702656","Catalog Record")</f>
        <v>Catalog Record</v>
      </c>
      <c r="AT829" s="6" t="str">
        <f>HYPERLINK("http://www.worldcat.org/oclc/25509564","WorldCat Record")</f>
        <v>WorldCat Record</v>
      </c>
      <c r="AU829" s="3" t="s">
        <v>10554</v>
      </c>
      <c r="AV829" s="3" t="s">
        <v>10555</v>
      </c>
      <c r="AW829" s="3" t="s">
        <v>10556</v>
      </c>
      <c r="AX829" s="3" t="s">
        <v>10556</v>
      </c>
      <c r="AY829" s="3" t="s">
        <v>10557</v>
      </c>
      <c r="AZ829" s="3" t="s">
        <v>73</v>
      </c>
      <c r="BB829" s="3" t="s">
        <v>10558</v>
      </c>
      <c r="BC829" s="3" t="s">
        <v>10559</v>
      </c>
      <c r="BD829" s="3" t="s">
        <v>10560</v>
      </c>
    </row>
    <row r="830" spans="1:56" ht="51" customHeight="1" x14ac:dyDescent="0.25">
      <c r="A830" s="7" t="s">
        <v>58</v>
      </c>
      <c r="B830" s="2" t="s">
        <v>10561</v>
      </c>
      <c r="C830" s="2" t="s">
        <v>10562</v>
      </c>
      <c r="D830" s="2" t="s">
        <v>10563</v>
      </c>
      <c r="F830" s="3" t="s">
        <v>58</v>
      </c>
      <c r="G830" s="3" t="s">
        <v>59</v>
      </c>
      <c r="H830" s="3" t="s">
        <v>58</v>
      </c>
      <c r="I830" s="3" t="s">
        <v>58</v>
      </c>
      <c r="J830" s="3" t="s">
        <v>60</v>
      </c>
      <c r="K830" s="2" t="s">
        <v>10564</v>
      </c>
      <c r="L830" s="2" t="s">
        <v>10565</v>
      </c>
      <c r="M830" s="3" t="s">
        <v>898</v>
      </c>
      <c r="N830" s="2" t="s">
        <v>338</v>
      </c>
      <c r="O830" s="3" t="s">
        <v>63</v>
      </c>
      <c r="P830" s="3" t="s">
        <v>214</v>
      </c>
      <c r="R830" s="3" t="s">
        <v>65</v>
      </c>
      <c r="S830" s="4">
        <v>5</v>
      </c>
      <c r="T830" s="4">
        <v>5</v>
      </c>
      <c r="U830" s="5" t="s">
        <v>10566</v>
      </c>
      <c r="V830" s="5" t="s">
        <v>10566</v>
      </c>
      <c r="W830" s="5" t="s">
        <v>10567</v>
      </c>
      <c r="X830" s="5" t="s">
        <v>10567</v>
      </c>
      <c r="Y830" s="4">
        <v>737</v>
      </c>
      <c r="Z830" s="4">
        <v>643</v>
      </c>
      <c r="AA830" s="4">
        <v>705</v>
      </c>
      <c r="AB830" s="4">
        <v>4</v>
      </c>
      <c r="AC830" s="4">
        <v>5</v>
      </c>
      <c r="AD830" s="4">
        <v>18</v>
      </c>
      <c r="AE830" s="4">
        <v>19</v>
      </c>
      <c r="AF830" s="4">
        <v>5</v>
      </c>
      <c r="AG830" s="4">
        <v>5</v>
      </c>
      <c r="AH830" s="4">
        <v>5</v>
      </c>
      <c r="AI830" s="4">
        <v>5</v>
      </c>
      <c r="AJ830" s="4">
        <v>10</v>
      </c>
      <c r="AK830" s="4">
        <v>10</v>
      </c>
      <c r="AL830" s="4">
        <v>2</v>
      </c>
      <c r="AM830" s="4">
        <v>3</v>
      </c>
      <c r="AN830" s="4">
        <v>0</v>
      </c>
      <c r="AO830" s="4">
        <v>0</v>
      </c>
      <c r="AP830" s="3" t="s">
        <v>58</v>
      </c>
      <c r="AQ830" s="3" t="s">
        <v>58</v>
      </c>
      <c r="AS830" s="6" t="str">
        <f>HYPERLINK("https://creighton-primo.hosted.exlibrisgroup.com/primo-explore/search?tab=default_tab&amp;search_scope=EVERYTHING&amp;vid=01CRU&amp;lang=en_US&amp;offset=0&amp;query=any,contains,991004909459702656","Catalog Record")</f>
        <v>Catalog Record</v>
      </c>
      <c r="AT830" s="6" t="str">
        <f>HYPERLINK("http://www.worldcat.org/oclc/65400761","WorldCat Record")</f>
        <v>WorldCat Record</v>
      </c>
      <c r="AU830" s="3" t="s">
        <v>10568</v>
      </c>
      <c r="AV830" s="3" t="s">
        <v>10569</v>
      </c>
      <c r="AW830" s="3" t="s">
        <v>10570</v>
      </c>
      <c r="AX830" s="3" t="s">
        <v>10570</v>
      </c>
      <c r="AY830" s="3" t="s">
        <v>10571</v>
      </c>
      <c r="AZ830" s="3" t="s">
        <v>73</v>
      </c>
      <c r="BB830" s="3" t="s">
        <v>10572</v>
      </c>
      <c r="BC830" s="3" t="s">
        <v>10573</v>
      </c>
      <c r="BD830" s="3" t="s">
        <v>10574</v>
      </c>
    </row>
    <row r="831" spans="1:56" ht="51" customHeight="1" x14ac:dyDescent="0.25">
      <c r="A831" s="7" t="s">
        <v>58</v>
      </c>
      <c r="B831" s="2" t="s">
        <v>10575</v>
      </c>
      <c r="C831" s="2" t="s">
        <v>10576</v>
      </c>
      <c r="D831" s="2" t="s">
        <v>10577</v>
      </c>
      <c r="F831" s="3" t="s">
        <v>58</v>
      </c>
      <c r="G831" s="3" t="s">
        <v>59</v>
      </c>
      <c r="H831" s="3" t="s">
        <v>58</v>
      </c>
      <c r="I831" s="3" t="s">
        <v>58</v>
      </c>
      <c r="J831" s="3" t="s">
        <v>60</v>
      </c>
      <c r="L831" s="2" t="s">
        <v>10578</v>
      </c>
      <c r="M831" s="3" t="s">
        <v>815</v>
      </c>
      <c r="N831" s="2" t="s">
        <v>338</v>
      </c>
      <c r="O831" s="3" t="s">
        <v>63</v>
      </c>
      <c r="P831" s="3" t="s">
        <v>584</v>
      </c>
      <c r="R831" s="3" t="s">
        <v>65</v>
      </c>
      <c r="S831" s="4">
        <v>2</v>
      </c>
      <c r="T831" s="4">
        <v>2</v>
      </c>
      <c r="U831" s="5" t="s">
        <v>10516</v>
      </c>
      <c r="V831" s="5" t="s">
        <v>10516</v>
      </c>
      <c r="W831" s="5" t="s">
        <v>10579</v>
      </c>
      <c r="X831" s="5" t="s">
        <v>10579</v>
      </c>
      <c r="Y831" s="4">
        <v>213</v>
      </c>
      <c r="Z831" s="4">
        <v>142</v>
      </c>
      <c r="AA831" s="4">
        <v>870</v>
      </c>
      <c r="AB831" s="4">
        <v>1</v>
      </c>
      <c r="AC831" s="4">
        <v>9</v>
      </c>
      <c r="AD831" s="4">
        <v>10</v>
      </c>
      <c r="AE831" s="4">
        <v>34</v>
      </c>
      <c r="AF831" s="4">
        <v>6</v>
      </c>
      <c r="AG831" s="4">
        <v>10</v>
      </c>
      <c r="AH831" s="4">
        <v>3</v>
      </c>
      <c r="AI831" s="4">
        <v>7</v>
      </c>
      <c r="AJ831" s="4">
        <v>6</v>
      </c>
      <c r="AK831" s="4">
        <v>11</v>
      </c>
      <c r="AL831" s="4">
        <v>0</v>
      </c>
      <c r="AM831" s="4">
        <v>7</v>
      </c>
      <c r="AN831" s="4">
        <v>0</v>
      </c>
      <c r="AO831" s="4">
        <v>5</v>
      </c>
      <c r="AP831" s="3" t="s">
        <v>58</v>
      </c>
      <c r="AQ831" s="3" t="s">
        <v>58</v>
      </c>
      <c r="AS831" s="6" t="str">
        <f>HYPERLINK("https://creighton-primo.hosted.exlibrisgroup.com/primo-explore/search?tab=default_tab&amp;search_scope=EVERYTHING&amp;vid=01CRU&amp;lang=en_US&amp;offset=0&amp;query=any,contains,991005299969702656","Catalog Record")</f>
        <v>Catalog Record</v>
      </c>
      <c r="AT831" s="6" t="str">
        <f>HYPERLINK("http://www.worldcat.org/oclc/233705005","WorldCat Record")</f>
        <v>WorldCat Record</v>
      </c>
      <c r="AU831" s="3" t="s">
        <v>10580</v>
      </c>
      <c r="AV831" s="3" t="s">
        <v>10581</v>
      </c>
      <c r="AW831" s="3" t="s">
        <v>10582</v>
      </c>
      <c r="AX831" s="3" t="s">
        <v>10582</v>
      </c>
      <c r="AY831" s="3" t="s">
        <v>10583</v>
      </c>
      <c r="AZ831" s="3" t="s">
        <v>73</v>
      </c>
      <c r="BB831" s="3" t="s">
        <v>10584</v>
      </c>
      <c r="BC831" s="3" t="s">
        <v>10585</v>
      </c>
      <c r="BD831" s="3" t="s">
        <v>10586</v>
      </c>
    </row>
    <row r="832" spans="1:56" ht="51" customHeight="1" x14ac:dyDescent="0.25">
      <c r="A832" s="7" t="s">
        <v>58</v>
      </c>
      <c r="B832" s="2" t="s">
        <v>10587</v>
      </c>
      <c r="C832" s="2" t="s">
        <v>10588</v>
      </c>
      <c r="D832" s="2" t="s">
        <v>10589</v>
      </c>
      <c r="F832" s="3" t="s">
        <v>58</v>
      </c>
      <c r="G832" s="3" t="s">
        <v>59</v>
      </c>
      <c r="H832" s="3" t="s">
        <v>58</v>
      </c>
      <c r="I832" s="3" t="s">
        <v>58</v>
      </c>
      <c r="J832" s="3" t="s">
        <v>60</v>
      </c>
      <c r="K832" s="2" t="s">
        <v>10590</v>
      </c>
      <c r="L832" s="2" t="s">
        <v>10591</v>
      </c>
      <c r="M832" s="3" t="s">
        <v>397</v>
      </c>
      <c r="O832" s="3" t="s">
        <v>63</v>
      </c>
      <c r="P832" s="3" t="s">
        <v>584</v>
      </c>
      <c r="R832" s="3" t="s">
        <v>65</v>
      </c>
      <c r="S832" s="4">
        <v>6</v>
      </c>
      <c r="T832" s="4">
        <v>6</v>
      </c>
      <c r="U832" s="5" t="s">
        <v>2243</v>
      </c>
      <c r="V832" s="5" t="s">
        <v>2243</v>
      </c>
      <c r="W832" s="5" t="s">
        <v>5488</v>
      </c>
      <c r="X832" s="5" t="s">
        <v>5488</v>
      </c>
      <c r="Y832" s="4">
        <v>159</v>
      </c>
      <c r="Z832" s="4">
        <v>61</v>
      </c>
      <c r="AA832" s="4">
        <v>1041</v>
      </c>
      <c r="AB832" s="4">
        <v>3</v>
      </c>
      <c r="AC832" s="4">
        <v>6</v>
      </c>
      <c r="AD832" s="4">
        <v>2</v>
      </c>
      <c r="AE832" s="4">
        <v>27</v>
      </c>
      <c r="AF832" s="4">
        <v>0</v>
      </c>
      <c r="AG832" s="4">
        <v>10</v>
      </c>
      <c r="AH832" s="4">
        <v>0</v>
      </c>
      <c r="AI832" s="4">
        <v>5</v>
      </c>
      <c r="AJ832" s="4">
        <v>0</v>
      </c>
      <c r="AK832" s="4">
        <v>13</v>
      </c>
      <c r="AL832" s="4">
        <v>2</v>
      </c>
      <c r="AM832" s="4">
        <v>5</v>
      </c>
      <c r="AN832" s="4">
        <v>0</v>
      </c>
      <c r="AO832" s="4">
        <v>0</v>
      </c>
      <c r="AP832" s="3" t="s">
        <v>58</v>
      </c>
      <c r="AQ832" s="3" t="s">
        <v>68</v>
      </c>
      <c r="AR832" s="6" t="str">
        <f>HYPERLINK("http://catalog.hathitrust.org/Record/000379479","HathiTrust Record")</f>
        <v>HathiTrust Record</v>
      </c>
      <c r="AS832" s="6" t="str">
        <f>HYPERLINK("https://creighton-primo.hosted.exlibrisgroup.com/primo-explore/search?tab=default_tab&amp;search_scope=EVERYTHING&amp;vid=01CRU&amp;lang=en_US&amp;offset=0&amp;query=any,contains,991000625309702656","Catalog Record")</f>
        <v>Catalog Record</v>
      </c>
      <c r="AT832" s="6" t="str">
        <f>HYPERLINK("http://www.worldcat.org/oclc/59083775","WorldCat Record")</f>
        <v>WorldCat Record</v>
      </c>
      <c r="AU832" s="3" t="s">
        <v>10592</v>
      </c>
      <c r="AV832" s="3" t="s">
        <v>10593</v>
      </c>
      <c r="AW832" s="3" t="s">
        <v>10594</v>
      </c>
      <c r="AX832" s="3" t="s">
        <v>10594</v>
      </c>
      <c r="AY832" s="3" t="s">
        <v>10595</v>
      </c>
      <c r="AZ832" s="3" t="s">
        <v>73</v>
      </c>
      <c r="BB832" s="3" t="s">
        <v>10596</v>
      </c>
      <c r="BC832" s="3" t="s">
        <v>10597</v>
      </c>
      <c r="BD832" s="3" t="s">
        <v>10598</v>
      </c>
    </row>
    <row r="833" spans="1:56" ht="51" customHeight="1" x14ac:dyDescent="0.25">
      <c r="A833" s="7" t="s">
        <v>58</v>
      </c>
      <c r="B833" s="2" t="s">
        <v>10599</v>
      </c>
      <c r="C833" s="2" t="s">
        <v>10600</v>
      </c>
      <c r="D833" s="2" t="s">
        <v>10601</v>
      </c>
      <c r="F833" s="3" t="s">
        <v>58</v>
      </c>
      <c r="G833" s="3" t="s">
        <v>59</v>
      </c>
      <c r="H833" s="3" t="s">
        <v>58</v>
      </c>
      <c r="I833" s="3" t="s">
        <v>58</v>
      </c>
      <c r="J833" s="3" t="s">
        <v>60</v>
      </c>
      <c r="K833" s="2" t="s">
        <v>10602</v>
      </c>
      <c r="L833" s="2" t="s">
        <v>10603</v>
      </c>
      <c r="M833" s="3" t="s">
        <v>653</v>
      </c>
      <c r="O833" s="3" t="s">
        <v>63</v>
      </c>
      <c r="P833" s="3" t="s">
        <v>1837</v>
      </c>
      <c r="R833" s="3" t="s">
        <v>65</v>
      </c>
      <c r="S833" s="4">
        <v>5</v>
      </c>
      <c r="T833" s="4">
        <v>5</v>
      </c>
      <c r="U833" s="5" t="s">
        <v>10066</v>
      </c>
      <c r="V833" s="5" t="s">
        <v>10066</v>
      </c>
      <c r="W833" s="5" t="s">
        <v>10604</v>
      </c>
      <c r="X833" s="5" t="s">
        <v>10604</v>
      </c>
      <c r="Y833" s="4">
        <v>893</v>
      </c>
      <c r="Z833" s="4">
        <v>810</v>
      </c>
      <c r="AA833" s="4">
        <v>816</v>
      </c>
      <c r="AB833" s="4">
        <v>5</v>
      </c>
      <c r="AC833" s="4">
        <v>5</v>
      </c>
      <c r="AD833" s="4">
        <v>23</v>
      </c>
      <c r="AE833" s="4">
        <v>23</v>
      </c>
      <c r="AF833" s="4">
        <v>10</v>
      </c>
      <c r="AG833" s="4">
        <v>10</v>
      </c>
      <c r="AH833" s="4">
        <v>6</v>
      </c>
      <c r="AI833" s="4">
        <v>6</v>
      </c>
      <c r="AJ833" s="4">
        <v>8</v>
      </c>
      <c r="AK833" s="4">
        <v>8</v>
      </c>
      <c r="AL833" s="4">
        <v>4</v>
      </c>
      <c r="AM833" s="4">
        <v>4</v>
      </c>
      <c r="AN833" s="4">
        <v>0</v>
      </c>
      <c r="AO833" s="4">
        <v>0</v>
      </c>
      <c r="AP833" s="3" t="s">
        <v>58</v>
      </c>
      <c r="AQ833" s="3" t="s">
        <v>68</v>
      </c>
      <c r="AR833" s="6" t="str">
        <f>HYPERLINK("http://catalog.hathitrust.org/Record/002448241","HathiTrust Record")</f>
        <v>HathiTrust Record</v>
      </c>
      <c r="AS833" s="6" t="str">
        <f>HYPERLINK("https://creighton-primo.hosted.exlibrisgroup.com/primo-explore/search?tab=default_tab&amp;search_scope=EVERYTHING&amp;vid=01CRU&amp;lang=en_US&amp;offset=0&amp;query=any,contains,991001780289702656","Catalog Record")</f>
        <v>Catalog Record</v>
      </c>
      <c r="AT833" s="6" t="str">
        <f>HYPERLINK("http://www.worldcat.org/oclc/22452500","WorldCat Record")</f>
        <v>WorldCat Record</v>
      </c>
      <c r="AU833" s="3" t="s">
        <v>10605</v>
      </c>
      <c r="AV833" s="3" t="s">
        <v>10606</v>
      </c>
      <c r="AW833" s="3" t="s">
        <v>10607</v>
      </c>
      <c r="AX833" s="3" t="s">
        <v>10607</v>
      </c>
      <c r="AY833" s="3" t="s">
        <v>10608</v>
      </c>
      <c r="AZ833" s="3" t="s">
        <v>73</v>
      </c>
      <c r="BB833" s="3" t="s">
        <v>10609</v>
      </c>
      <c r="BC833" s="3" t="s">
        <v>10610</v>
      </c>
      <c r="BD833" s="3" t="s">
        <v>10611</v>
      </c>
    </row>
    <row r="834" spans="1:56" ht="51" customHeight="1" x14ac:dyDescent="0.25">
      <c r="A834" s="7" t="s">
        <v>58</v>
      </c>
      <c r="B834" s="2" t="s">
        <v>10612</v>
      </c>
      <c r="C834" s="2" t="s">
        <v>10613</v>
      </c>
      <c r="D834" s="2" t="s">
        <v>10614</v>
      </c>
      <c r="F834" s="3" t="s">
        <v>58</v>
      </c>
      <c r="G834" s="3" t="s">
        <v>59</v>
      </c>
      <c r="H834" s="3" t="s">
        <v>58</v>
      </c>
      <c r="I834" s="3" t="s">
        <v>58</v>
      </c>
      <c r="J834" s="3" t="s">
        <v>60</v>
      </c>
      <c r="K834" s="2" t="s">
        <v>10615</v>
      </c>
      <c r="L834" s="2" t="s">
        <v>10616</v>
      </c>
      <c r="M834" s="3" t="s">
        <v>154</v>
      </c>
      <c r="O834" s="3" t="s">
        <v>63</v>
      </c>
      <c r="P834" s="3" t="s">
        <v>584</v>
      </c>
      <c r="R834" s="3" t="s">
        <v>65</v>
      </c>
      <c r="S834" s="4">
        <v>10</v>
      </c>
      <c r="T834" s="4">
        <v>10</v>
      </c>
      <c r="U834" s="5" t="s">
        <v>1666</v>
      </c>
      <c r="V834" s="5" t="s">
        <v>1666</v>
      </c>
      <c r="W834" s="5" t="s">
        <v>10617</v>
      </c>
      <c r="X834" s="5" t="s">
        <v>10617</v>
      </c>
      <c r="Y834" s="4">
        <v>492</v>
      </c>
      <c r="Z834" s="4">
        <v>365</v>
      </c>
      <c r="AA834" s="4">
        <v>407</v>
      </c>
      <c r="AB834" s="4">
        <v>3</v>
      </c>
      <c r="AC834" s="4">
        <v>3</v>
      </c>
      <c r="AD834" s="4">
        <v>6</v>
      </c>
      <c r="AE834" s="4">
        <v>6</v>
      </c>
      <c r="AF834" s="4">
        <v>0</v>
      </c>
      <c r="AG834" s="4">
        <v>0</v>
      </c>
      <c r="AH834" s="4">
        <v>1</v>
      </c>
      <c r="AI834" s="4">
        <v>1</v>
      </c>
      <c r="AJ834" s="4">
        <v>3</v>
      </c>
      <c r="AK834" s="4">
        <v>3</v>
      </c>
      <c r="AL834" s="4">
        <v>2</v>
      </c>
      <c r="AM834" s="4">
        <v>2</v>
      </c>
      <c r="AN834" s="4">
        <v>1</v>
      </c>
      <c r="AO834" s="4">
        <v>1</v>
      </c>
      <c r="AP834" s="3" t="s">
        <v>58</v>
      </c>
      <c r="AQ834" s="3" t="s">
        <v>68</v>
      </c>
      <c r="AR834" s="6" t="str">
        <f>HYPERLINK("http://catalog.hathitrust.org/Record/001821783","HathiTrust Record")</f>
        <v>HathiTrust Record</v>
      </c>
      <c r="AS834" s="6" t="str">
        <f>HYPERLINK("https://creighton-primo.hosted.exlibrisgroup.com/primo-explore/search?tab=default_tab&amp;search_scope=EVERYTHING&amp;vid=01CRU&amp;lang=en_US&amp;offset=0&amp;query=any,contains,991001804869702656","Catalog Record")</f>
        <v>Catalog Record</v>
      </c>
      <c r="AT834" s="6" t="str">
        <f>HYPERLINK("http://www.worldcat.org/oclc/26096939","WorldCat Record")</f>
        <v>WorldCat Record</v>
      </c>
      <c r="AU834" s="3" t="s">
        <v>10618</v>
      </c>
      <c r="AV834" s="3" t="s">
        <v>10619</v>
      </c>
      <c r="AW834" s="3" t="s">
        <v>10620</v>
      </c>
      <c r="AX834" s="3" t="s">
        <v>10620</v>
      </c>
      <c r="AY834" s="3" t="s">
        <v>10621</v>
      </c>
      <c r="AZ834" s="3" t="s">
        <v>73</v>
      </c>
      <c r="BB834" s="3" t="s">
        <v>10622</v>
      </c>
      <c r="BC834" s="3" t="s">
        <v>10623</v>
      </c>
      <c r="BD834" s="3" t="s">
        <v>10624</v>
      </c>
    </row>
    <row r="835" spans="1:56" ht="51" customHeight="1" x14ac:dyDescent="0.25">
      <c r="A835" s="7" t="s">
        <v>58</v>
      </c>
      <c r="B835" s="2" t="s">
        <v>10625</v>
      </c>
      <c r="C835" s="2" t="s">
        <v>10626</v>
      </c>
      <c r="D835" s="2" t="s">
        <v>10627</v>
      </c>
      <c r="F835" s="3" t="s">
        <v>58</v>
      </c>
      <c r="G835" s="3" t="s">
        <v>59</v>
      </c>
      <c r="H835" s="3" t="s">
        <v>58</v>
      </c>
      <c r="I835" s="3" t="s">
        <v>58</v>
      </c>
      <c r="J835" s="3" t="s">
        <v>60</v>
      </c>
      <c r="K835" s="2" t="s">
        <v>10628</v>
      </c>
      <c r="L835" s="2" t="s">
        <v>10629</v>
      </c>
      <c r="M835" s="3" t="s">
        <v>1091</v>
      </c>
      <c r="O835" s="3" t="s">
        <v>63</v>
      </c>
      <c r="P835" s="3" t="s">
        <v>3109</v>
      </c>
      <c r="R835" s="3" t="s">
        <v>65</v>
      </c>
      <c r="S835" s="4">
        <v>4</v>
      </c>
      <c r="T835" s="4">
        <v>4</v>
      </c>
      <c r="U835" s="5" t="s">
        <v>3525</v>
      </c>
      <c r="V835" s="5" t="s">
        <v>3525</v>
      </c>
      <c r="W835" s="5" t="s">
        <v>10630</v>
      </c>
      <c r="X835" s="5" t="s">
        <v>10630</v>
      </c>
      <c r="Y835" s="4">
        <v>199</v>
      </c>
      <c r="Z835" s="4">
        <v>165</v>
      </c>
      <c r="AA835" s="4">
        <v>167</v>
      </c>
      <c r="AB835" s="4">
        <v>2</v>
      </c>
      <c r="AC835" s="4">
        <v>2</v>
      </c>
      <c r="AD835" s="4">
        <v>10</v>
      </c>
      <c r="AE835" s="4">
        <v>10</v>
      </c>
      <c r="AF835" s="4">
        <v>4</v>
      </c>
      <c r="AG835" s="4">
        <v>4</v>
      </c>
      <c r="AH835" s="4">
        <v>3</v>
      </c>
      <c r="AI835" s="4">
        <v>3</v>
      </c>
      <c r="AJ835" s="4">
        <v>4</v>
      </c>
      <c r="AK835" s="4">
        <v>4</v>
      </c>
      <c r="AL835" s="4">
        <v>1</v>
      </c>
      <c r="AM835" s="4">
        <v>1</v>
      </c>
      <c r="AN835" s="4">
        <v>0</v>
      </c>
      <c r="AO835" s="4">
        <v>0</v>
      </c>
      <c r="AP835" s="3" t="s">
        <v>58</v>
      </c>
      <c r="AQ835" s="3" t="s">
        <v>68</v>
      </c>
      <c r="AR835" s="6" t="str">
        <f>HYPERLINK("http://catalog.hathitrust.org/Record/004229906","HathiTrust Record")</f>
        <v>HathiTrust Record</v>
      </c>
      <c r="AS835" s="6" t="str">
        <f>HYPERLINK("https://creighton-primo.hosted.exlibrisgroup.com/primo-explore/search?tab=default_tab&amp;search_scope=EVERYTHING&amp;vid=01CRU&amp;lang=en_US&amp;offset=0&amp;query=any,contains,991003781469702656","Catalog Record")</f>
        <v>Catalog Record</v>
      </c>
      <c r="AT835" s="6" t="str">
        <f>HYPERLINK("http://www.worldcat.org/oclc/47927637","WorldCat Record")</f>
        <v>WorldCat Record</v>
      </c>
      <c r="AU835" s="3" t="s">
        <v>10631</v>
      </c>
      <c r="AV835" s="3" t="s">
        <v>10632</v>
      </c>
      <c r="AW835" s="3" t="s">
        <v>10633</v>
      </c>
      <c r="AX835" s="3" t="s">
        <v>10633</v>
      </c>
      <c r="AY835" s="3" t="s">
        <v>10634</v>
      </c>
      <c r="AZ835" s="3" t="s">
        <v>73</v>
      </c>
      <c r="BB835" s="3" t="s">
        <v>10635</v>
      </c>
      <c r="BC835" s="3" t="s">
        <v>10636</v>
      </c>
      <c r="BD835" s="3" t="s">
        <v>10637</v>
      </c>
    </row>
    <row r="836" spans="1:56" ht="51" customHeight="1" x14ac:dyDescent="0.25">
      <c r="A836" s="7" t="s">
        <v>58</v>
      </c>
      <c r="B836" s="2" t="s">
        <v>10638</v>
      </c>
      <c r="C836" s="2" t="s">
        <v>10639</v>
      </c>
      <c r="D836" s="2" t="s">
        <v>10640</v>
      </c>
      <c r="F836" s="3" t="s">
        <v>58</v>
      </c>
      <c r="G836" s="3" t="s">
        <v>59</v>
      </c>
      <c r="H836" s="3" t="s">
        <v>58</v>
      </c>
      <c r="I836" s="3" t="s">
        <v>58</v>
      </c>
      <c r="J836" s="3" t="s">
        <v>60</v>
      </c>
      <c r="K836" s="2" t="s">
        <v>10641</v>
      </c>
      <c r="L836" s="2" t="s">
        <v>10642</v>
      </c>
      <c r="M836" s="3" t="s">
        <v>2295</v>
      </c>
      <c r="N836" s="2" t="s">
        <v>338</v>
      </c>
      <c r="O836" s="3" t="s">
        <v>63</v>
      </c>
      <c r="P836" s="3" t="s">
        <v>214</v>
      </c>
      <c r="R836" s="3" t="s">
        <v>65</v>
      </c>
      <c r="S836" s="4">
        <v>2</v>
      </c>
      <c r="T836" s="4">
        <v>2</v>
      </c>
      <c r="U836" s="5" t="s">
        <v>9345</v>
      </c>
      <c r="V836" s="5" t="s">
        <v>9345</v>
      </c>
      <c r="W836" s="5" t="s">
        <v>10643</v>
      </c>
      <c r="X836" s="5" t="s">
        <v>10643</v>
      </c>
      <c r="Y836" s="4">
        <v>644</v>
      </c>
      <c r="Z836" s="4">
        <v>582</v>
      </c>
      <c r="AA836" s="4">
        <v>599</v>
      </c>
      <c r="AB836" s="4">
        <v>3</v>
      </c>
      <c r="AC836" s="4">
        <v>3</v>
      </c>
      <c r="AD836" s="4">
        <v>20</v>
      </c>
      <c r="AE836" s="4">
        <v>20</v>
      </c>
      <c r="AF836" s="4">
        <v>7</v>
      </c>
      <c r="AG836" s="4">
        <v>7</v>
      </c>
      <c r="AH836" s="4">
        <v>4</v>
      </c>
      <c r="AI836" s="4">
        <v>4</v>
      </c>
      <c r="AJ836" s="4">
        <v>13</v>
      </c>
      <c r="AK836" s="4">
        <v>13</v>
      </c>
      <c r="AL836" s="4">
        <v>2</v>
      </c>
      <c r="AM836" s="4">
        <v>2</v>
      </c>
      <c r="AN836" s="4">
        <v>0</v>
      </c>
      <c r="AO836" s="4">
        <v>0</v>
      </c>
      <c r="AP836" s="3" t="s">
        <v>58</v>
      </c>
      <c r="AQ836" s="3" t="s">
        <v>58</v>
      </c>
      <c r="AS836" s="6" t="str">
        <f>HYPERLINK("https://creighton-primo.hosted.exlibrisgroup.com/primo-explore/search?tab=default_tab&amp;search_scope=EVERYTHING&amp;vid=01CRU&amp;lang=en_US&amp;offset=0&amp;query=any,contains,991004058819702656","Catalog Record")</f>
        <v>Catalog Record</v>
      </c>
      <c r="AT836" s="6" t="str">
        <f>HYPERLINK("http://www.worldcat.org/oclc/50606444","WorldCat Record")</f>
        <v>WorldCat Record</v>
      </c>
      <c r="AU836" s="3" t="s">
        <v>10644</v>
      </c>
      <c r="AV836" s="3" t="s">
        <v>10645</v>
      </c>
      <c r="AW836" s="3" t="s">
        <v>10646</v>
      </c>
      <c r="AX836" s="3" t="s">
        <v>10646</v>
      </c>
      <c r="AY836" s="3" t="s">
        <v>10647</v>
      </c>
      <c r="AZ836" s="3" t="s">
        <v>73</v>
      </c>
      <c r="BB836" s="3" t="s">
        <v>10648</v>
      </c>
      <c r="BC836" s="3" t="s">
        <v>10649</v>
      </c>
      <c r="BD836" s="3" t="s">
        <v>10650</v>
      </c>
    </row>
    <row r="837" spans="1:56" ht="51" customHeight="1" x14ac:dyDescent="0.25">
      <c r="A837" s="7" t="s">
        <v>58</v>
      </c>
      <c r="B837" s="2" t="s">
        <v>10651</v>
      </c>
      <c r="C837" s="2" t="s">
        <v>10652</v>
      </c>
      <c r="D837" s="2" t="s">
        <v>10653</v>
      </c>
      <c r="F837" s="3" t="s">
        <v>58</v>
      </c>
      <c r="G837" s="3" t="s">
        <v>59</v>
      </c>
      <c r="H837" s="3" t="s">
        <v>58</v>
      </c>
      <c r="I837" s="3" t="s">
        <v>58</v>
      </c>
      <c r="J837" s="3" t="s">
        <v>60</v>
      </c>
      <c r="K837" s="2" t="s">
        <v>9776</v>
      </c>
      <c r="L837" s="2" t="s">
        <v>10654</v>
      </c>
      <c r="M837" s="3" t="s">
        <v>2186</v>
      </c>
      <c r="O837" s="3" t="s">
        <v>63</v>
      </c>
      <c r="P837" s="3" t="s">
        <v>214</v>
      </c>
      <c r="Q837" s="2" t="s">
        <v>10655</v>
      </c>
      <c r="R837" s="3" t="s">
        <v>65</v>
      </c>
      <c r="S837" s="4">
        <v>1</v>
      </c>
      <c r="T837" s="4">
        <v>1</v>
      </c>
      <c r="U837" s="5" t="s">
        <v>4509</v>
      </c>
      <c r="V837" s="5" t="s">
        <v>4509</v>
      </c>
      <c r="W837" s="5" t="s">
        <v>4509</v>
      </c>
      <c r="X837" s="5" t="s">
        <v>4509</v>
      </c>
      <c r="Y837" s="4">
        <v>365</v>
      </c>
      <c r="Z837" s="4">
        <v>321</v>
      </c>
      <c r="AA837" s="4">
        <v>326</v>
      </c>
      <c r="AB837" s="4">
        <v>1</v>
      </c>
      <c r="AC837" s="4">
        <v>1</v>
      </c>
      <c r="AD837" s="4">
        <v>11</v>
      </c>
      <c r="AE837" s="4">
        <v>11</v>
      </c>
      <c r="AF837" s="4">
        <v>4</v>
      </c>
      <c r="AG837" s="4">
        <v>4</v>
      </c>
      <c r="AH837" s="4">
        <v>5</v>
      </c>
      <c r="AI837" s="4">
        <v>5</v>
      </c>
      <c r="AJ837" s="4">
        <v>5</v>
      </c>
      <c r="AK837" s="4">
        <v>5</v>
      </c>
      <c r="AL837" s="4">
        <v>0</v>
      </c>
      <c r="AM837" s="4">
        <v>0</v>
      </c>
      <c r="AN837" s="4">
        <v>0</v>
      </c>
      <c r="AO837" s="4">
        <v>0</v>
      </c>
      <c r="AP837" s="3" t="s">
        <v>58</v>
      </c>
      <c r="AQ837" s="3" t="s">
        <v>58</v>
      </c>
      <c r="AS837" s="6" t="str">
        <f>HYPERLINK("https://creighton-primo.hosted.exlibrisgroup.com/primo-explore/search?tab=default_tab&amp;search_scope=EVERYTHING&amp;vid=01CRU&amp;lang=en_US&amp;offset=0&amp;query=any,contains,991005390569702656","Catalog Record")</f>
        <v>Catalog Record</v>
      </c>
      <c r="AT837" s="6" t="str">
        <f>HYPERLINK("http://www.worldcat.org/oclc/81150623","WorldCat Record")</f>
        <v>WorldCat Record</v>
      </c>
      <c r="AU837" s="3" t="s">
        <v>10656</v>
      </c>
      <c r="AV837" s="3" t="s">
        <v>10657</v>
      </c>
      <c r="AW837" s="3" t="s">
        <v>10658</v>
      </c>
      <c r="AX837" s="3" t="s">
        <v>10658</v>
      </c>
      <c r="AY837" s="3" t="s">
        <v>10659</v>
      </c>
      <c r="AZ837" s="3" t="s">
        <v>73</v>
      </c>
      <c r="BB837" s="3" t="s">
        <v>10660</v>
      </c>
      <c r="BC837" s="3" t="s">
        <v>10661</v>
      </c>
      <c r="BD837" s="3" t="s">
        <v>10662</v>
      </c>
    </row>
    <row r="838" spans="1:56" ht="51" customHeight="1" x14ac:dyDescent="0.25">
      <c r="A838" s="7" t="s">
        <v>58</v>
      </c>
      <c r="B838" s="2" t="s">
        <v>10663</v>
      </c>
      <c r="C838" s="2" t="s">
        <v>10664</v>
      </c>
      <c r="D838" s="2" t="s">
        <v>10665</v>
      </c>
      <c r="F838" s="3" t="s">
        <v>58</v>
      </c>
      <c r="G838" s="3" t="s">
        <v>59</v>
      </c>
      <c r="H838" s="3" t="s">
        <v>58</v>
      </c>
      <c r="I838" s="3" t="s">
        <v>58</v>
      </c>
      <c r="J838" s="3" t="s">
        <v>60</v>
      </c>
      <c r="K838" s="2" t="s">
        <v>10666</v>
      </c>
      <c r="L838" s="2" t="s">
        <v>10667</v>
      </c>
      <c r="M838" s="3" t="s">
        <v>2326</v>
      </c>
      <c r="O838" s="3" t="s">
        <v>63</v>
      </c>
      <c r="P838" s="3" t="s">
        <v>584</v>
      </c>
      <c r="Q838" s="2" t="s">
        <v>10668</v>
      </c>
      <c r="R838" s="3" t="s">
        <v>65</v>
      </c>
      <c r="S838" s="4">
        <v>2</v>
      </c>
      <c r="T838" s="4">
        <v>2</v>
      </c>
      <c r="U838" s="5" t="s">
        <v>10669</v>
      </c>
      <c r="V838" s="5" t="s">
        <v>10669</v>
      </c>
      <c r="W838" s="5" t="s">
        <v>10669</v>
      </c>
      <c r="X838" s="5" t="s">
        <v>10669</v>
      </c>
      <c r="Y838" s="4">
        <v>157</v>
      </c>
      <c r="Z838" s="4">
        <v>99</v>
      </c>
      <c r="AA838" s="4">
        <v>735</v>
      </c>
      <c r="AB838" s="4">
        <v>1</v>
      </c>
      <c r="AC838" s="4">
        <v>16</v>
      </c>
      <c r="AD838" s="4">
        <v>6</v>
      </c>
      <c r="AE838" s="4">
        <v>20</v>
      </c>
      <c r="AF838" s="4">
        <v>1</v>
      </c>
      <c r="AG838" s="4">
        <v>6</v>
      </c>
      <c r="AH838" s="4">
        <v>3</v>
      </c>
      <c r="AI838" s="4">
        <v>4</v>
      </c>
      <c r="AJ838" s="4">
        <v>5</v>
      </c>
      <c r="AK838" s="4">
        <v>6</v>
      </c>
      <c r="AL838" s="4">
        <v>0</v>
      </c>
      <c r="AM838" s="4">
        <v>9</v>
      </c>
      <c r="AN838" s="4">
        <v>0</v>
      </c>
      <c r="AO838" s="4">
        <v>0</v>
      </c>
      <c r="AP838" s="3" t="s">
        <v>58</v>
      </c>
      <c r="AQ838" s="3" t="s">
        <v>68</v>
      </c>
      <c r="AR838" s="6" t="str">
        <f>HYPERLINK("http://catalog.hathitrust.org/Record/007506688","HathiTrust Record")</f>
        <v>HathiTrust Record</v>
      </c>
      <c r="AS838" s="6" t="str">
        <f>HYPERLINK("https://creighton-primo.hosted.exlibrisgroup.com/primo-explore/search?tab=default_tab&amp;search_scope=EVERYTHING&amp;vid=01CRU&amp;lang=en_US&amp;offset=0&amp;query=any,contains,991005381259702656","Catalog Record")</f>
        <v>Catalog Record</v>
      </c>
      <c r="AT838" s="6" t="str">
        <f>HYPERLINK("http://www.worldcat.org/oclc/280430398","WorldCat Record")</f>
        <v>WorldCat Record</v>
      </c>
      <c r="AU838" s="3" t="s">
        <v>10670</v>
      </c>
      <c r="AV838" s="3" t="s">
        <v>10671</v>
      </c>
      <c r="AW838" s="3" t="s">
        <v>10672</v>
      </c>
      <c r="AX838" s="3" t="s">
        <v>10672</v>
      </c>
      <c r="AY838" s="3" t="s">
        <v>10673</v>
      </c>
      <c r="AZ838" s="3" t="s">
        <v>73</v>
      </c>
      <c r="BB838" s="3" t="s">
        <v>10674</v>
      </c>
      <c r="BC838" s="3" t="s">
        <v>10675</v>
      </c>
      <c r="BD838" s="3" t="s">
        <v>10676</v>
      </c>
    </row>
    <row r="839" spans="1:56" ht="51" customHeight="1" x14ac:dyDescent="0.25">
      <c r="A839" s="7" t="s">
        <v>58</v>
      </c>
      <c r="B839" s="2" t="s">
        <v>10677</v>
      </c>
      <c r="C839" s="2" t="s">
        <v>10678</v>
      </c>
      <c r="D839" s="2" t="s">
        <v>10679</v>
      </c>
      <c r="F839" s="3" t="s">
        <v>58</v>
      </c>
      <c r="G839" s="3" t="s">
        <v>59</v>
      </c>
      <c r="H839" s="3" t="s">
        <v>58</v>
      </c>
      <c r="I839" s="3" t="s">
        <v>58</v>
      </c>
      <c r="J839" s="3" t="s">
        <v>60</v>
      </c>
      <c r="K839" s="2" t="s">
        <v>10680</v>
      </c>
      <c r="L839" s="2" t="s">
        <v>10681</v>
      </c>
      <c r="M839" s="3" t="s">
        <v>745</v>
      </c>
      <c r="O839" s="3" t="s">
        <v>63</v>
      </c>
      <c r="P839" s="3" t="s">
        <v>2061</v>
      </c>
      <c r="R839" s="3" t="s">
        <v>65</v>
      </c>
      <c r="S839" s="4">
        <v>2</v>
      </c>
      <c r="T839" s="4">
        <v>2</v>
      </c>
      <c r="U839" s="5" t="s">
        <v>10682</v>
      </c>
      <c r="V839" s="5" t="s">
        <v>10682</v>
      </c>
      <c r="W839" s="5" t="s">
        <v>2616</v>
      </c>
      <c r="X839" s="5" t="s">
        <v>2616</v>
      </c>
      <c r="Y839" s="4">
        <v>691</v>
      </c>
      <c r="Z839" s="4">
        <v>545</v>
      </c>
      <c r="AA839" s="4">
        <v>547</v>
      </c>
      <c r="AB839" s="4">
        <v>4</v>
      </c>
      <c r="AC839" s="4">
        <v>4</v>
      </c>
      <c r="AD839" s="4">
        <v>25</v>
      </c>
      <c r="AE839" s="4">
        <v>25</v>
      </c>
      <c r="AF839" s="4">
        <v>9</v>
      </c>
      <c r="AG839" s="4">
        <v>9</v>
      </c>
      <c r="AH839" s="4">
        <v>7</v>
      </c>
      <c r="AI839" s="4">
        <v>7</v>
      </c>
      <c r="AJ839" s="4">
        <v>12</v>
      </c>
      <c r="AK839" s="4">
        <v>12</v>
      </c>
      <c r="AL839" s="4">
        <v>3</v>
      </c>
      <c r="AM839" s="4">
        <v>3</v>
      </c>
      <c r="AN839" s="4">
        <v>0</v>
      </c>
      <c r="AO839" s="4">
        <v>0</v>
      </c>
      <c r="AP839" s="3" t="s">
        <v>58</v>
      </c>
      <c r="AQ839" s="3" t="s">
        <v>58</v>
      </c>
      <c r="AS839" s="6" t="str">
        <f>HYPERLINK("https://creighton-primo.hosted.exlibrisgroup.com/primo-explore/search?tab=default_tab&amp;search_scope=EVERYTHING&amp;vid=01CRU&amp;lang=en_US&amp;offset=0&amp;query=any,contains,991003072299702656","Catalog Record")</f>
        <v>Catalog Record</v>
      </c>
      <c r="AT839" s="6" t="str">
        <f>HYPERLINK("http://www.worldcat.org/oclc/626554","WorldCat Record")</f>
        <v>WorldCat Record</v>
      </c>
      <c r="AU839" s="3" t="s">
        <v>10683</v>
      </c>
      <c r="AV839" s="3" t="s">
        <v>10684</v>
      </c>
      <c r="AW839" s="3" t="s">
        <v>10685</v>
      </c>
      <c r="AX839" s="3" t="s">
        <v>10685</v>
      </c>
      <c r="AY839" s="3" t="s">
        <v>10686</v>
      </c>
      <c r="AZ839" s="3" t="s">
        <v>73</v>
      </c>
      <c r="BC839" s="3" t="s">
        <v>10687</v>
      </c>
      <c r="BD839" s="3" t="s">
        <v>10688</v>
      </c>
    </row>
    <row r="840" spans="1:56" ht="51" customHeight="1" x14ac:dyDescent="0.25">
      <c r="A840" s="7" t="s">
        <v>58</v>
      </c>
      <c r="B840" s="2" t="s">
        <v>10689</v>
      </c>
      <c r="C840" s="2" t="s">
        <v>10690</v>
      </c>
      <c r="D840" s="2" t="s">
        <v>10691</v>
      </c>
      <c r="F840" s="3" t="s">
        <v>58</v>
      </c>
      <c r="G840" s="3" t="s">
        <v>59</v>
      </c>
      <c r="H840" s="3" t="s">
        <v>58</v>
      </c>
      <c r="I840" s="3" t="s">
        <v>58</v>
      </c>
      <c r="J840" s="3" t="s">
        <v>60</v>
      </c>
      <c r="L840" s="2" t="s">
        <v>10692</v>
      </c>
      <c r="M840" s="3" t="s">
        <v>996</v>
      </c>
      <c r="O840" s="3" t="s">
        <v>63</v>
      </c>
      <c r="P840" s="3" t="s">
        <v>214</v>
      </c>
      <c r="R840" s="3" t="s">
        <v>65</v>
      </c>
      <c r="S840" s="4">
        <v>1</v>
      </c>
      <c r="T840" s="4">
        <v>1</v>
      </c>
      <c r="U840" s="5" t="s">
        <v>5265</v>
      </c>
      <c r="V840" s="5" t="s">
        <v>5265</v>
      </c>
      <c r="W840" s="5" t="s">
        <v>2616</v>
      </c>
      <c r="X840" s="5" t="s">
        <v>2616</v>
      </c>
      <c r="Y840" s="4">
        <v>420</v>
      </c>
      <c r="Z840" s="4">
        <v>350</v>
      </c>
      <c r="AA840" s="4">
        <v>357</v>
      </c>
      <c r="AB840" s="4">
        <v>2</v>
      </c>
      <c r="AC840" s="4">
        <v>2</v>
      </c>
      <c r="AD840" s="4">
        <v>19</v>
      </c>
      <c r="AE840" s="4">
        <v>19</v>
      </c>
      <c r="AF840" s="4">
        <v>7</v>
      </c>
      <c r="AG840" s="4">
        <v>7</v>
      </c>
      <c r="AH840" s="4">
        <v>6</v>
      </c>
      <c r="AI840" s="4">
        <v>6</v>
      </c>
      <c r="AJ840" s="4">
        <v>10</v>
      </c>
      <c r="AK840" s="4">
        <v>10</v>
      </c>
      <c r="AL840" s="4">
        <v>1</v>
      </c>
      <c r="AM840" s="4">
        <v>1</v>
      </c>
      <c r="AN840" s="4">
        <v>1</v>
      </c>
      <c r="AO840" s="4">
        <v>1</v>
      </c>
      <c r="AP840" s="3" t="s">
        <v>58</v>
      </c>
      <c r="AQ840" s="3" t="s">
        <v>68</v>
      </c>
      <c r="AR840" s="6" t="str">
        <f>HYPERLINK("http://catalog.hathitrust.org/Record/001249034","HathiTrust Record")</f>
        <v>HathiTrust Record</v>
      </c>
      <c r="AS840" s="6" t="str">
        <f>HYPERLINK("https://creighton-primo.hosted.exlibrisgroup.com/primo-explore/search?tab=default_tab&amp;search_scope=EVERYTHING&amp;vid=01CRU&amp;lang=en_US&amp;offset=0&amp;query=any,contains,991002953169702656","Catalog Record")</f>
        <v>Catalog Record</v>
      </c>
      <c r="AT840" s="6" t="str">
        <f>HYPERLINK("http://www.worldcat.org/oclc/540040","WorldCat Record")</f>
        <v>WorldCat Record</v>
      </c>
      <c r="AU840" s="3" t="s">
        <v>10693</v>
      </c>
      <c r="AV840" s="3" t="s">
        <v>10694</v>
      </c>
      <c r="AW840" s="3" t="s">
        <v>10695</v>
      </c>
      <c r="AX840" s="3" t="s">
        <v>10695</v>
      </c>
      <c r="AY840" s="3" t="s">
        <v>10696</v>
      </c>
      <c r="AZ840" s="3" t="s">
        <v>73</v>
      </c>
      <c r="BB840" s="3" t="s">
        <v>10697</v>
      </c>
      <c r="BC840" s="3" t="s">
        <v>10698</v>
      </c>
      <c r="BD840" s="3" t="s">
        <v>10699</v>
      </c>
    </row>
    <row r="841" spans="1:56" ht="51" customHeight="1" x14ac:dyDescent="0.25">
      <c r="A841" s="7" t="s">
        <v>58</v>
      </c>
      <c r="B841" s="2" t="s">
        <v>10700</v>
      </c>
      <c r="C841" s="2" t="s">
        <v>10701</v>
      </c>
      <c r="D841" s="2" t="s">
        <v>10702</v>
      </c>
      <c r="F841" s="3" t="s">
        <v>58</v>
      </c>
      <c r="G841" s="3" t="s">
        <v>59</v>
      </c>
      <c r="H841" s="3" t="s">
        <v>58</v>
      </c>
      <c r="I841" s="3" t="s">
        <v>58</v>
      </c>
      <c r="J841" s="3" t="s">
        <v>60</v>
      </c>
      <c r="L841" s="2" t="s">
        <v>10703</v>
      </c>
      <c r="M841" s="3" t="s">
        <v>1399</v>
      </c>
      <c r="O841" s="3" t="s">
        <v>63</v>
      </c>
      <c r="P841" s="3" t="s">
        <v>584</v>
      </c>
      <c r="R841" s="3" t="s">
        <v>65</v>
      </c>
      <c r="S841" s="4">
        <v>11</v>
      </c>
      <c r="T841" s="4">
        <v>11</v>
      </c>
      <c r="U841" s="5" t="s">
        <v>10704</v>
      </c>
      <c r="V841" s="5" t="s">
        <v>10704</v>
      </c>
      <c r="W841" s="5" t="s">
        <v>8127</v>
      </c>
      <c r="X841" s="5" t="s">
        <v>8127</v>
      </c>
      <c r="Y841" s="4">
        <v>225</v>
      </c>
      <c r="Z841" s="4">
        <v>161</v>
      </c>
      <c r="AA841" s="4">
        <v>161</v>
      </c>
      <c r="AB841" s="4">
        <v>2</v>
      </c>
      <c r="AC841" s="4">
        <v>2</v>
      </c>
      <c r="AD841" s="4">
        <v>5</v>
      </c>
      <c r="AE841" s="4">
        <v>5</v>
      </c>
      <c r="AF841" s="4">
        <v>0</v>
      </c>
      <c r="AG841" s="4">
        <v>0</v>
      </c>
      <c r="AH841" s="4">
        <v>1</v>
      </c>
      <c r="AI841" s="4">
        <v>1</v>
      </c>
      <c r="AJ841" s="4">
        <v>4</v>
      </c>
      <c r="AK841" s="4">
        <v>4</v>
      </c>
      <c r="AL841" s="4">
        <v>1</v>
      </c>
      <c r="AM841" s="4">
        <v>1</v>
      </c>
      <c r="AN841" s="4">
        <v>0</v>
      </c>
      <c r="AO841" s="4">
        <v>0</v>
      </c>
      <c r="AP841" s="3" t="s">
        <v>58</v>
      </c>
      <c r="AQ841" s="3" t="s">
        <v>58</v>
      </c>
      <c r="AS841" s="6" t="str">
        <f>HYPERLINK("https://creighton-primo.hosted.exlibrisgroup.com/primo-explore/search?tab=default_tab&amp;search_scope=EVERYTHING&amp;vid=01CRU&amp;lang=en_US&amp;offset=0&amp;query=any,contains,991001269609702656","Catalog Record")</f>
        <v>Catalog Record</v>
      </c>
      <c r="AT841" s="6" t="str">
        <f>HYPERLINK("http://www.worldcat.org/oclc/17840689","WorldCat Record")</f>
        <v>WorldCat Record</v>
      </c>
      <c r="AU841" s="3" t="s">
        <v>10705</v>
      </c>
      <c r="AV841" s="3" t="s">
        <v>10706</v>
      </c>
      <c r="AW841" s="3" t="s">
        <v>10707</v>
      </c>
      <c r="AX841" s="3" t="s">
        <v>10707</v>
      </c>
      <c r="AY841" s="3" t="s">
        <v>10708</v>
      </c>
      <c r="AZ841" s="3" t="s">
        <v>73</v>
      </c>
      <c r="BB841" s="3" t="s">
        <v>10709</v>
      </c>
      <c r="BC841" s="3" t="s">
        <v>10710</v>
      </c>
      <c r="BD841" s="3" t="s">
        <v>10711</v>
      </c>
    </row>
    <row r="842" spans="1:56" ht="51" customHeight="1" x14ac:dyDescent="0.25">
      <c r="A842" s="7" t="s">
        <v>58</v>
      </c>
      <c r="B842" s="2" t="s">
        <v>10712</v>
      </c>
      <c r="C842" s="2" t="s">
        <v>10713</v>
      </c>
      <c r="D842" s="2" t="s">
        <v>10714</v>
      </c>
      <c r="F842" s="3" t="s">
        <v>58</v>
      </c>
      <c r="G842" s="3" t="s">
        <v>59</v>
      </c>
      <c r="H842" s="3" t="s">
        <v>58</v>
      </c>
      <c r="I842" s="3" t="s">
        <v>58</v>
      </c>
      <c r="J842" s="3" t="s">
        <v>60</v>
      </c>
      <c r="K842" s="2" t="s">
        <v>10715</v>
      </c>
      <c r="L842" s="2" t="s">
        <v>10716</v>
      </c>
      <c r="M842" s="3" t="s">
        <v>552</v>
      </c>
      <c r="O842" s="3" t="s">
        <v>63</v>
      </c>
      <c r="P842" s="3" t="s">
        <v>584</v>
      </c>
      <c r="R842" s="3" t="s">
        <v>65</v>
      </c>
      <c r="S842" s="4">
        <v>4</v>
      </c>
      <c r="T842" s="4">
        <v>4</v>
      </c>
      <c r="U842" s="5" t="s">
        <v>10717</v>
      </c>
      <c r="V842" s="5" t="s">
        <v>10717</v>
      </c>
      <c r="W842" s="5" t="s">
        <v>10718</v>
      </c>
      <c r="X842" s="5" t="s">
        <v>10718</v>
      </c>
      <c r="Y842" s="4">
        <v>371</v>
      </c>
      <c r="Z842" s="4">
        <v>286</v>
      </c>
      <c r="AA842" s="4">
        <v>475</v>
      </c>
      <c r="AB842" s="4">
        <v>1</v>
      </c>
      <c r="AC842" s="4">
        <v>2</v>
      </c>
      <c r="AD842" s="4">
        <v>8</v>
      </c>
      <c r="AE842" s="4">
        <v>17</v>
      </c>
      <c r="AF842" s="4">
        <v>3</v>
      </c>
      <c r="AG842" s="4">
        <v>7</v>
      </c>
      <c r="AH842" s="4">
        <v>1</v>
      </c>
      <c r="AI842" s="4">
        <v>3</v>
      </c>
      <c r="AJ842" s="4">
        <v>5</v>
      </c>
      <c r="AK842" s="4">
        <v>10</v>
      </c>
      <c r="AL842" s="4">
        <v>0</v>
      </c>
      <c r="AM842" s="4">
        <v>1</v>
      </c>
      <c r="AN842" s="4">
        <v>0</v>
      </c>
      <c r="AO842" s="4">
        <v>0</v>
      </c>
      <c r="AP842" s="3" t="s">
        <v>58</v>
      </c>
      <c r="AQ842" s="3" t="s">
        <v>68</v>
      </c>
      <c r="AR842" s="6" t="str">
        <f>HYPERLINK("http://catalog.hathitrust.org/Record/002455460","HathiTrust Record")</f>
        <v>HathiTrust Record</v>
      </c>
      <c r="AS842" s="6" t="str">
        <f>HYPERLINK("https://creighton-primo.hosted.exlibrisgroup.com/primo-explore/search?tab=default_tab&amp;search_scope=EVERYTHING&amp;vid=01CRU&amp;lang=en_US&amp;offset=0&amp;query=any,contains,991001888529702656","Catalog Record")</f>
        <v>Catalog Record</v>
      </c>
      <c r="AT842" s="6" t="str">
        <f>HYPERLINK("http://www.worldcat.org/oclc/23770173","WorldCat Record")</f>
        <v>WorldCat Record</v>
      </c>
      <c r="AU842" s="3" t="s">
        <v>10719</v>
      </c>
      <c r="AV842" s="3" t="s">
        <v>10720</v>
      </c>
      <c r="AW842" s="3" t="s">
        <v>10721</v>
      </c>
      <c r="AX842" s="3" t="s">
        <v>10721</v>
      </c>
      <c r="AY842" s="3" t="s">
        <v>10722</v>
      </c>
      <c r="AZ842" s="3" t="s">
        <v>73</v>
      </c>
      <c r="BB842" s="3" t="s">
        <v>10723</v>
      </c>
      <c r="BC842" s="3" t="s">
        <v>10724</v>
      </c>
      <c r="BD842" s="3" t="s">
        <v>10725</v>
      </c>
    </row>
    <row r="843" spans="1:56" ht="51" customHeight="1" x14ac:dyDescent="0.25">
      <c r="A843" s="7" t="s">
        <v>58</v>
      </c>
      <c r="B843" s="2" t="s">
        <v>10726</v>
      </c>
      <c r="C843" s="2" t="s">
        <v>10727</v>
      </c>
      <c r="D843" s="2" t="s">
        <v>10728</v>
      </c>
      <c r="F843" s="3" t="s">
        <v>58</v>
      </c>
      <c r="G843" s="3" t="s">
        <v>59</v>
      </c>
      <c r="H843" s="3" t="s">
        <v>58</v>
      </c>
      <c r="I843" s="3" t="s">
        <v>58</v>
      </c>
      <c r="J843" s="3" t="s">
        <v>60</v>
      </c>
      <c r="L843" s="2" t="s">
        <v>10729</v>
      </c>
      <c r="M843" s="3" t="s">
        <v>538</v>
      </c>
      <c r="O843" s="3" t="s">
        <v>63</v>
      </c>
      <c r="P843" s="3" t="s">
        <v>1837</v>
      </c>
      <c r="Q843" s="2" t="s">
        <v>10730</v>
      </c>
      <c r="R843" s="3" t="s">
        <v>65</v>
      </c>
      <c r="S843" s="4">
        <v>1</v>
      </c>
      <c r="T843" s="4">
        <v>1</v>
      </c>
      <c r="U843" s="5" t="s">
        <v>10731</v>
      </c>
      <c r="V843" s="5" t="s">
        <v>10731</v>
      </c>
      <c r="W843" s="5" t="s">
        <v>2616</v>
      </c>
      <c r="X843" s="5" t="s">
        <v>2616</v>
      </c>
      <c r="Y843" s="4">
        <v>288</v>
      </c>
      <c r="Z843" s="4">
        <v>238</v>
      </c>
      <c r="AA843" s="4">
        <v>240</v>
      </c>
      <c r="AB843" s="4">
        <v>2</v>
      </c>
      <c r="AC843" s="4">
        <v>2</v>
      </c>
      <c r="AD843" s="4">
        <v>9</v>
      </c>
      <c r="AE843" s="4">
        <v>9</v>
      </c>
      <c r="AF843" s="4">
        <v>3</v>
      </c>
      <c r="AG843" s="4">
        <v>3</v>
      </c>
      <c r="AH843" s="4">
        <v>3</v>
      </c>
      <c r="AI843" s="4">
        <v>3</v>
      </c>
      <c r="AJ843" s="4">
        <v>5</v>
      </c>
      <c r="AK843" s="4">
        <v>5</v>
      </c>
      <c r="AL843" s="4">
        <v>1</v>
      </c>
      <c r="AM843" s="4">
        <v>1</v>
      </c>
      <c r="AN843" s="4">
        <v>0</v>
      </c>
      <c r="AO843" s="4">
        <v>0</v>
      </c>
      <c r="AP843" s="3" t="s">
        <v>58</v>
      </c>
      <c r="AQ843" s="3" t="s">
        <v>68</v>
      </c>
      <c r="AR843" s="6" t="str">
        <f>HYPERLINK("http://catalog.hathitrust.org/Record/000763334","HathiTrust Record")</f>
        <v>HathiTrust Record</v>
      </c>
      <c r="AS843" s="6" t="str">
        <f>HYPERLINK("https://creighton-primo.hosted.exlibrisgroup.com/primo-explore/search?tab=default_tab&amp;search_scope=EVERYTHING&amp;vid=01CRU&amp;lang=en_US&amp;offset=0&amp;query=any,contains,991000654139702656","Catalog Record")</f>
        <v>Catalog Record</v>
      </c>
      <c r="AT843" s="6" t="str">
        <f>HYPERLINK("http://www.worldcat.org/oclc/114317","WorldCat Record")</f>
        <v>WorldCat Record</v>
      </c>
      <c r="AU843" s="3" t="s">
        <v>10732</v>
      </c>
      <c r="AV843" s="3" t="s">
        <v>10733</v>
      </c>
      <c r="AW843" s="3" t="s">
        <v>10734</v>
      </c>
      <c r="AX843" s="3" t="s">
        <v>10734</v>
      </c>
      <c r="AY843" s="3" t="s">
        <v>10735</v>
      </c>
      <c r="AZ843" s="3" t="s">
        <v>73</v>
      </c>
      <c r="BC843" s="3" t="s">
        <v>10736</v>
      </c>
      <c r="BD843" s="3" t="s">
        <v>10737</v>
      </c>
    </row>
    <row r="844" spans="1:56" ht="51" customHeight="1" x14ac:dyDescent="0.25">
      <c r="A844" s="7" t="s">
        <v>58</v>
      </c>
      <c r="B844" s="2" t="s">
        <v>10738</v>
      </c>
      <c r="C844" s="2" t="s">
        <v>10739</v>
      </c>
      <c r="D844" s="2" t="s">
        <v>10740</v>
      </c>
      <c r="F844" s="3" t="s">
        <v>58</v>
      </c>
      <c r="G844" s="3" t="s">
        <v>59</v>
      </c>
      <c r="H844" s="3" t="s">
        <v>58</v>
      </c>
      <c r="I844" s="3" t="s">
        <v>58</v>
      </c>
      <c r="J844" s="3" t="s">
        <v>60</v>
      </c>
      <c r="K844" s="2" t="s">
        <v>10741</v>
      </c>
      <c r="L844" s="2" t="s">
        <v>10742</v>
      </c>
      <c r="M844" s="3" t="s">
        <v>101</v>
      </c>
      <c r="O844" s="3" t="s">
        <v>63</v>
      </c>
      <c r="P844" s="3" t="s">
        <v>2061</v>
      </c>
      <c r="Q844" s="2" t="s">
        <v>10743</v>
      </c>
      <c r="R844" s="3" t="s">
        <v>65</v>
      </c>
      <c r="S844" s="4">
        <v>3</v>
      </c>
      <c r="T844" s="4">
        <v>3</v>
      </c>
      <c r="U844" s="5" t="s">
        <v>10744</v>
      </c>
      <c r="V844" s="5" t="s">
        <v>10744</v>
      </c>
      <c r="W844" s="5" t="s">
        <v>8127</v>
      </c>
      <c r="X844" s="5" t="s">
        <v>8127</v>
      </c>
      <c r="Y844" s="4">
        <v>304</v>
      </c>
      <c r="Z844" s="4">
        <v>246</v>
      </c>
      <c r="AA844" s="4">
        <v>252</v>
      </c>
      <c r="AB844" s="4">
        <v>4</v>
      </c>
      <c r="AC844" s="4">
        <v>4</v>
      </c>
      <c r="AD844" s="4">
        <v>13</v>
      </c>
      <c r="AE844" s="4">
        <v>13</v>
      </c>
      <c r="AF844" s="4">
        <v>5</v>
      </c>
      <c r="AG844" s="4">
        <v>5</v>
      </c>
      <c r="AH844" s="4">
        <v>4</v>
      </c>
      <c r="AI844" s="4">
        <v>4</v>
      </c>
      <c r="AJ844" s="4">
        <v>4</v>
      </c>
      <c r="AK844" s="4">
        <v>4</v>
      </c>
      <c r="AL844" s="4">
        <v>3</v>
      </c>
      <c r="AM844" s="4">
        <v>3</v>
      </c>
      <c r="AN844" s="4">
        <v>0</v>
      </c>
      <c r="AO844" s="4">
        <v>0</v>
      </c>
      <c r="AP844" s="3" t="s">
        <v>58</v>
      </c>
      <c r="AQ844" s="3" t="s">
        <v>68</v>
      </c>
      <c r="AR844" s="6" t="str">
        <f>HYPERLINK("http://catalog.hathitrust.org/Record/000364507","HathiTrust Record")</f>
        <v>HathiTrust Record</v>
      </c>
      <c r="AS844" s="6" t="str">
        <f>HYPERLINK("https://creighton-primo.hosted.exlibrisgroup.com/primo-explore/search?tab=default_tab&amp;search_scope=EVERYTHING&amp;vid=01CRU&amp;lang=en_US&amp;offset=0&amp;query=any,contains,991000429579702656","Catalog Record")</f>
        <v>Catalog Record</v>
      </c>
      <c r="AT844" s="6" t="str">
        <f>HYPERLINK("http://www.worldcat.org/oclc/10777844","WorldCat Record")</f>
        <v>WorldCat Record</v>
      </c>
      <c r="AU844" s="3" t="s">
        <v>10745</v>
      </c>
      <c r="AV844" s="3" t="s">
        <v>10746</v>
      </c>
      <c r="AW844" s="3" t="s">
        <v>10747</v>
      </c>
      <c r="AX844" s="3" t="s">
        <v>10747</v>
      </c>
      <c r="AY844" s="3" t="s">
        <v>10748</v>
      </c>
      <c r="AZ844" s="3" t="s">
        <v>73</v>
      </c>
      <c r="BB844" s="3" t="s">
        <v>10749</v>
      </c>
      <c r="BC844" s="3" t="s">
        <v>10750</v>
      </c>
      <c r="BD844" s="3" t="s">
        <v>10751</v>
      </c>
    </row>
    <row r="845" spans="1:56" ht="51" customHeight="1" x14ac:dyDescent="0.25">
      <c r="A845" s="7" t="s">
        <v>58</v>
      </c>
      <c r="B845" s="2" t="s">
        <v>10752</v>
      </c>
      <c r="C845" s="2" t="s">
        <v>10753</v>
      </c>
      <c r="D845" s="2" t="s">
        <v>10754</v>
      </c>
      <c r="F845" s="3" t="s">
        <v>58</v>
      </c>
      <c r="G845" s="3" t="s">
        <v>59</v>
      </c>
      <c r="H845" s="3" t="s">
        <v>58</v>
      </c>
      <c r="I845" s="3" t="s">
        <v>58</v>
      </c>
      <c r="J845" s="3" t="s">
        <v>60</v>
      </c>
      <c r="K845" s="2" t="s">
        <v>10755</v>
      </c>
      <c r="L845" s="2" t="s">
        <v>10756</v>
      </c>
      <c r="M845" s="3" t="s">
        <v>653</v>
      </c>
      <c r="O845" s="3" t="s">
        <v>63</v>
      </c>
      <c r="P845" s="3" t="s">
        <v>584</v>
      </c>
      <c r="R845" s="3" t="s">
        <v>65</v>
      </c>
      <c r="S845" s="4">
        <v>4</v>
      </c>
      <c r="T845" s="4">
        <v>4</v>
      </c>
      <c r="U845" s="5" t="s">
        <v>10757</v>
      </c>
      <c r="V845" s="5" t="s">
        <v>10757</v>
      </c>
      <c r="W845" s="5" t="s">
        <v>10758</v>
      </c>
      <c r="X845" s="5" t="s">
        <v>10758</v>
      </c>
      <c r="Y845" s="4">
        <v>148</v>
      </c>
      <c r="Z845" s="4">
        <v>142</v>
      </c>
      <c r="AA845" s="4">
        <v>142</v>
      </c>
      <c r="AB845" s="4">
        <v>4</v>
      </c>
      <c r="AC845" s="4">
        <v>4</v>
      </c>
      <c r="AD845" s="4">
        <v>1</v>
      </c>
      <c r="AE845" s="4">
        <v>1</v>
      </c>
      <c r="AF845" s="4">
        <v>0</v>
      </c>
      <c r="AG845" s="4">
        <v>0</v>
      </c>
      <c r="AH845" s="4">
        <v>0</v>
      </c>
      <c r="AI845" s="4">
        <v>0</v>
      </c>
      <c r="AJ845" s="4">
        <v>1</v>
      </c>
      <c r="AK845" s="4">
        <v>1</v>
      </c>
      <c r="AL845" s="4">
        <v>0</v>
      </c>
      <c r="AM845" s="4">
        <v>0</v>
      </c>
      <c r="AN845" s="4">
        <v>0</v>
      </c>
      <c r="AO845" s="4">
        <v>0</v>
      </c>
      <c r="AP845" s="3" t="s">
        <v>58</v>
      </c>
      <c r="AQ845" s="3" t="s">
        <v>58</v>
      </c>
      <c r="AS845" s="6" t="str">
        <f>HYPERLINK("https://creighton-primo.hosted.exlibrisgroup.com/primo-explore/search?tab=default_tab&amp;search_scope=EVERYTHING&amp;vid=01CRU&amp;lang=en_US&amp;offset=0&amp;query=any,contains,991001880109702656","Catalog Record")</f>
        <v>Catalog Record</v>
      </c>
      <c r="AT845" s="6" t="str">
        <f>HYPERLINK("http://www.worldcat.org/oclc/23728600","WorldCat Record")</f>
        <v>WorldCat Record</v>
      </c>
      <c r="AU845" s="3" t="s">
        <v>10759</v>
      </c>
      <c r="AV845" s="3" t="s">
        <v>10760</v>
      </c>
      <c r="AW845" s="3" t="s">
        <v>10761</v>
      </c>
      <c r="AX845" s="3" t="s">
        <v>10761</v>
      </c>
      <c r="AY845" s="3" t="s">
        <v>10762</v>
      </c>
      <c r="AZ845" s="3" t="s">
        <v>73</v>
      </c>
      <c r="BB845" s="3" t="s">
        <v>10763</v>
      </c>
      <c r="BC845" s="3" t="s">
        <v>10764</v>
      </c>
      <c r="BD845" s="3" t="s">
        <v>10765</v>
      </c>
    </row>
    <row r="846" spans="1:56" ht="51" customHeight="1" x14ac:dyDescent="0.25">
      <c r="A846" s="7" t="s">
        <v>58</v>
      </c>
      <c r="B846" s="2" t="s">
        <v>10766</v>
      </c>
      <c r="C846" s="2" t="s">
        <v>10767</v>
      </c>
      <c r="D846" s="2" t="s">
        <v>10768</v>
      </c>
      <c r="F846" s="3" t="s">
        <v>58</v>
      </c>
      <c r="G846" s="3" t="s">
        <v>59</v>
      </c>
      <c r="H846" s="3" t="s">
        <v>58</v>
      </c>
      <c r="I846" s="3" t="s">
        <v>58</v>
      </c>
      <c r="J846" s="3" t="s">
        <v>60</v>
      </c>
      <c r="K846" s="2" t="s">
        <v>10769</v>
      </c>
      <c r="L846" s="2" t="s">
        <v>10770</v>
      </c>
      <c r="M846" s="3" t="s">
        <v>1784</v>
      </c>
      <c r="O846" s="3" t="s">
        <v>63</v>
      </c>
      <c r="P846" s="3" t="s">
        <v>2061</v>
      </c>
      <c r="Q846" s="2" t="s">
        <v>10771</v>
      </c>
      <c r="R846" s="3" t="s">
        <v>65</v>
      </c>
      <c r="S846" s="4">
        <v>3</v>
      </c>
      <c r="T846" s="4">
        <v>3</v>
      </c>
      <c r="U846" s="5" t="s">
        <v>10744</v>
      </c>
      <c r="V846" s="5" t="s">
        <v>10744</v>
      </c>
      <c r="W846" s="5" t="s">
        <v>8127</v>
      </c>
      <c r="X846" s="5" t="s">
        <v>8127</v>
      </c>
      <c r="Y846" s="4">
        <v>342</v>
      </c>
      <c r="Z846" s="4">
        <v>271</v>
      </c>
      <c r="AA846" s="4">
        <v>273</v>
      </c>
      <c r="AB846" s="4">
        <v>4</v>
      </c>
      <c r="AC846" s="4">
        <v>4</v>
      </c>
      <c r="AD846" s="4">
        <v>14</v>
      </c>
      <c r="AE846" s="4">
        <v>14</v>
      </c>
      <c r="AF846" s="4">
        <v>2</v>
      </c>
      <c r="AG846" s="4">
        <v>2</v>
      </c>
      <c r="AH846" s="4">
        <v>3</v>
      </c>
      <c r="AI846" s="4">
        <v>3</v>
      </c>
      <c r="AJ846" s="4">
        <v>8</v>
      </c>
      <c r="AK846" s="4">
        <v>8</v>
      </c>
      <c r="AL846" s="4">
        <v>3</v>
      </c>
      <c r="AM846" s="4">
        <v>3</v>
      </c>
      <c r="AN846" s="4">
        <v>0</v>
      </c>
      <c r="AO846" s="4">
        <v>0</v>
      </c>
      <c r="AP846" s="3" t="s">
        <v>58</v>
      </c>
      <c r="AQ846" s="3" t="s">
        <v>68</v>
      </c>
      <c r="AR846" s="6" t="str">
        <f>HYPERLINK("http://catalog.hathitrust.org/Record/000754365","HathiTrust Record")</f>
        <v>HathiTrust Record</v>
      </c>
      <c r="AS846" s="6" t="str">
        <f>HYPERLINK("https://creighton-primo.hosted.exlibrisgroup.com/primo-explore/search?tab=default_tab&amp;search_scope=EVERYTHING&amp;vid=01CRU&amp;lang=en_US&amp;offset=0&amp;query=any,contains,991004787229702656","Catalog Record")</f>
        <v>Catalog Record</v>
      </c>
      <c r="AT846" s="6" t="str">
        <f>HYPERLINK("http://www.worldcat.org/oclc/5153395","WorldCat Record")</f>
        <v>WorldCat Record</v>
      </c>
      <c r="AU846" s="3" t="s">
        <v>10772</v>
      </c>
      <c r="AV846" s="3" t="s">
        <v>10773</v>
      </c>
      <c r="AW846" s="3" t="s">
        <v>10774</v>
      </c>
      <c r="AX846" s="3" t="s">
        <v>10774</v>
      </c>
      <c r="AY846" s="3" t="s">
        <v>10775</v>
      </c>
      <c r="AZ846" s="3" t="s">
        <v>73</v>
      </c>
      <c r="BB846" s="3" t="s">
        <v>10776</v>
      </c>
      <c r="BC846" s="3" t="s">
        <v>10777</v>
      </c>
      <c r="BD846" s="3" t="s">
        <v>10778</v>
      </c>
    </row>
    <row r="847" spans="1:56" ht="51" customHeight="1" x14ac:dyDescent="0.25">
      <c r="A847" s="7" t="s">
        <v>58</v>
      </c>
      <c r="B847" s="2" t="s">
        <v>10779</v>
      </c>
      <c r="C847" s="2" t="s">
        <v>10780</v>
      </c>
      <c r="D847" s="2" t="s">
        <v>10781</v>
      </c>
      <c r="F847" s="3" t="s">
        <v>58</v>
      </c>
      <c r="G847" s="3" t="s">
        <v>59</v>
      </c>
      <c r="H847" s="3" t="s">
        <v>58</v>
      </c>
      <c r="I847" s="3" t="s">
        <v>58</v>
      </c>
      <c r="J847" s="3" t="s">
        <v>60</v>
      </c>
      <c r="K847" s="2" t="s">
        <v>10782</v>
      </c>
      <c r="L847" s="2" t="s">
        <v>10783</v>
      </c>
      <c r="M847" s="3" t="s">
        <v>1544</v>
      </c>
      <c r="O847" s="3" t="s">
        <v>63</v>
      </c>
      <c r="P847" s="3" t="s">
        <v>214</v>
      </c>
      <c r="R847" s="3" t="s">
        <v>65</v>
      </c>
      <c r="S847" s="4">
        <v>3</v>
      </c>
      <c r="T847" s="4">
        <v>3</v>
      </c>
      <c r="U847" s="5" t="s">
        <v>10784</v>
      </c>
      <c r="V847" s="5" t="s">
        <v>10784</v>
      </c>
      <c r="W847" s="5" t="s">
        <v>10785</v>
      </c>
      <c r="X847" s="5" t="s">
        <v>10785</v>
      </c>
      <c r="Y847" s="4">
        <v>818</v>
      </c>
      <c r="Z847" s="4">
        <v>709</v>
      </c>
      <c r="AA847" s="4">
        <v>731</v>
      </c>
      <c r="AB847" s="4">
        <v>3</v>
      </c>
      <c r="AC847" s="4">
        <v>3</v>
      </c>
      <c r="AD847" s="4">
        <v>23</v>
      </c>
      <c r="AE847" s="4">
        <v>23</v>
      </c>
      <c r="AF847" s="4">
        <v>8</v>
      </c>
      <c r="AG847" s="4">
        <v>8</v>
      </c>
      <c r="AH847" s="4">
        <v>6</v>
      </c>
      <c r="AI847" s="4">
        <v>6</v>
      </c>
      <c r="AJ847" s="4">
        <v>14</v>
      </c>
      <c r="AK847" s="4">
        <v>14</v>
      </c>
      <c r="AL847" s="4">
        <v>2</v>
      </c>
      <c r="AM847" s="4">
        <v>2</v>
      </c>
      <c r="AN847" s="4">
        <v>0</v>
      </c>
      <c r="AO847" s="4">
        <v>0</v>
      </c>
      <c r="AP847" s="3" t="s">
        <v>58</v>
      </c>
      <c r="AQ847" s="3" t="s">
        <v>68</v>
      </c>
      <c r="AR847" s="6" t="str">
        <f>HYPERLINK("http://catalog.hathitrust.org/Record/002557768","HathiTrust Record")</f>
        <v>HathiTrust Record</v>
      </c>
      <c r="AS847" s="6" t="str">
        <f>HYPERLINK("https://creighton-primo.hosted.exlibrisgroup.com/primo-explore/search?tab=default_tab&amp;search_scope=EVERYTHING&amp;vid=01CRU&amp;lang=en_US&amp;offset=0&amp;query=any,contains,991002021469702656","Catalog Record")</f>
        <v>Catalog Record</v>
      </c>
      <c r="AT847" s="6" t="str">
        <f>HYPERLINK("http://www.worldcat.org/oclc/25712311","WorldCat Record")</f>
        <v>WorldCat Record</v>
      </c>
      <c r="AU847" s="3" t="s">
        <v>10786</v>
      </c>
      <c r="AV847" s="3" t="s">
        <v>10787</v>
      </c>
      <c r="AW847" s="3" t="s">
        <v>10788</v>
      </c>
      <c r="AX847" s="3" t="s">
        <v>10788</v>
      </c>
      <c r="AY847" s="3" t="s">
        <v>10789</v>
      </c>
      <c r="AZ847" s="3" t="s">
        <v>73</v>
      </c>
      <c r="BB847" s="3" t="s">
        <v>10790</v>
      </c>
      <c r="BC847" s="3" t="s">
        <v>10791</v>
      </c>
      <c r="BD847" s="3" t="s">
        <v>10792</v>
      </c>
    </row>
    <row r="848" spans="1:56" ht="51" customHeight="1" x14ac:dyDescent="0.25">
      <c r="A848" s="7" t="s">
        <v>58</v>
      </c>
      <c r="B848" s="2" t="s">
        <v>10793</v>
      </c>
      <c r="C848" s="2" t="s">
        <v>10794</v>
      </c>
      <c r="D848" s="2" t="s">
        <v>10795</v>
      </c>
      <c r="F848" s="3" t="s">
        <v>58</v>
      </c>
      <c r="G848" s="3" t="s">
        <v>59</v>
      </c>
      <c r="H848" s="3" t="s">
        <v>58</v>
      </c>
      <c r="I848" s="3" t="s">
        <v>58</v>
      </c>
      <c r="J848" s="3" t="s">
        <v>60</v>
      </c>
      <c r="K848" s="2" t="s">
        <v>10796</v>
      </c>
      <c r="L848" s="2" t="s">
        <v>10797</v>
      </c>
      <c r="M848" s="3" t="s">
        <v>2214</v>
      </c>
      <c r="O848" s="3" t="s">
        <v>63</v>
      </c>
      <c r="P848" s="3" t="s">
        <v>584</v>
      </c>
      <c r="Q848" s="2" t="s">
        <v>10798</v>
      </c>
      <c r="R848" s="3" t="s">
        <v>65</v>
      </c>
      <c r="S848" s="4">
        <v>1</v>
      </c>
      <c r="T848" s="4">
        <v>1</v>
      </c>
      <c r="U848" s="5" t="s">
        <v>10799</v>
      </c>
      <c r="V848" s="5" t="s">
        <v>10799</v>
      </c>
      <c r="W848" s="5" t="s">
        <v>10799</v>
      </c>
      <c r="X848" s="5" t="s">
        <v>10799</v>
      </c>
      <c r="Y848" s="4">
        <v>241</v>
      </c>
      <c r="Z848" s="4">
        <v>165</v>
      </c>
      <c r="AA848" s="4">
        <v>185</v>
      </c>
      <c r="AB848" s="4">
        <v>2</v>
      </c>
      <c r="AC848" s="4">
        <v>2</v>
      </c>
      <c r="AD848" s="4">
        <v>4</v>
      </c>
      <c r="AE848" s="4">
        <v>5</v>
      </c>
      <c r="AF848" s="4">
        <v>1</v>
      </c>
      <c r="AG848" s="4">
        <v>1</v>
      </c>
      <c r="AH848" s="4">
        <v>1</v>
      </c>
      <c r="AI848" s="4">
        <v>2</v>
      </c>
      <c r="AJ848" s="4">
        <v>2</v>
      </c>
      <c r="AK848" s="4">
        <v>3</v>
      </c>
      <c r="AL848" s="4">
        <v>1</v>
      </c>
      <c r="AM848" s="4">
        <v>1</v>
      </c>
      <c r="AN848" s="4">
        <v>0</v>
      </c>
      <c r="AO848" s="4">
        <v>0</v>
      </c>
      <c r="AP848" s="3" t="s">
        <v>58</v>
      </c>
      <c r="AQ848" s="3" t="s">
        <v>68</v>
      </c>
      <c r="AR848" s="6" t="str">
        <f>HYPERLINK("http://catalog.hathitrust.org/Record/004971141","HathiTrust Record")</f>
        <v>HathiTrust Record</v>
      </c>
      <c r="AS848" s="6" t="str">
        <f>HYPERLINK("https://creighton-primo.hosted.exlibrisgroup.com/primo-explore/search?tab=default_tab&amp;search_scope=EVERYTHING&amp;vid=01CRU&amp;lang=en_US&amp;offset=0&amp;query=any,contains,991005285449702656","Catalog Record")</f>
        <v>Catalog Record</v>
      </c>
      <c r="AT848" s="6" t="str">
        <f>HYPERLINK("http://www.worldcat.org/oclc/57010216","WorldCat Record")</f>
        <v>WorldCat Record</v>
      </c>
      <c r="AU848" s="3" t="s">
        <v>10800</v>
      </c>
      <c r="AV848" s="3" t="s">
        <v>10801</v>
      </c>
      <c r="AW848" s="3" t="s">
        <v>10802</v>
      </c>
      <c r="AX848" s="3" t="s">
        <v>10802</v>
      </c>
      <c r="AY848" s="3" t="s">
        <v>10803</v>
      </c>
      <c r="AZ848" s="3" t="s">
        <v>73</v>
      </c>
      <c r="BB848" s="3" t="s">
        <v>10804</v>
      </c>
      <c r="BC848" s="3" t="s">
        <v>10805</v>
      </c>
      <c r="BD848" s="3" t="s">
        <v>10806</v>
      </c>
    </row>
    <row r="849" spans="1:56" ht="51" customHeight="1" x14ac:dyDescent="0.25">
      <c r="A849" s="7" t="s">
        <v>58</v>
      </c>
      <c r="B849" s="2" t="s">
        <v>10807</v>
      </c>
      <c r="C849" s="2" t="s">
        <v>10808</v>
      </c>
      <c r="D849" s="2" t="s">
        <v>10809</v>
      </c>
      <c r="F849" s="3" t="s">
        <v>58</v>
      </c>
      <c r="G849" s="3" t="s">
        <v>59</v>
      </c>
      <c r="H849" s="3" t="s">
        <v>58</v>
      </c>
      <c r="I849" s="3" t="s">
        <v>58</v>
      </c>
      <c r="J849" s="3" t="s">
        <v>60</v>
      </c>
      <c r="L849" s="2" t="s">
        <v>10810</v>
      </c>
      <c r="M849" s="3" t="s">
        <v>759</v>
      </c>
      <c r="N849" s="2" t="s">
        <v>10811</v>
      </c>
      <c r="O849" s="3" t="s">
        <v>63</v>
      </c>
      <c r="P849" s="3" t="s">
        <v>3109</v>
      </c>
      <c r="R849" s="3" t="s">
        <v>65</v>
      </c>
      <c r="S849" s="4">
        <v>4</v>
      </c>
      <c r="T849" s="4">
        <v>4</v>
      </c>
      <c r="U849" s="5" t="s">
        <v>10812</v>
      </c>
      <c r="V849" s="5" t="s">
        <v>10812</v>
      </c>
      <c r="W849" s="5" t="s">
        <v>8127</v>
      </c>
      <c r="X849" s="5" t="s">
        <v>8127</v>
      </c>
      <c r="Y849" s="4">
        <v>1153</v>
      </c>
      <c r="Z849" s="4">
        <v>998</v>
      </c>
      <c r="AA849" s="4">
        <v>1013</v>
      </c>
      <c r="AB849" s="4">
        <v>5</v>
      </c>
      <c r="AC849" s="4">
        <v>5</v>
      </c>
      <c r="AD849" s="4">
        <v>34</v>
      </c>
      <c r="AE849" s="4">
        <v>34</v>
      </c>
      <c r="AF849" s="4">
        <v>13</v>
      </c>
      <c r="AG849" s="4">
        <v>13</v>
      </c>
      <c r="AH849" s="4">
        <v>9</v>
      </c>
      <c r="AI849" s="4">
        <v>9</v>
      </c>
      <c r="AJ849" s="4">
        <v>17</v>
      </c>
      <c r="AK849" s="4">
        <v>17</v>
      </c>
      <c r="AL849" s="4">
        <v>4</v>
      </c>
      <c r="AM849" s="4">
        <v>4</v>
      </c>
      <c r="AN849" s="4">
        <v>0</v>
      </c>
      <c r="AO849" s="4">
        <v>0</v>
      </c>
      <c r="AP849" s="3" t="s">
        <v>58</v>
      </c>
      <c r="AQ849" s="3" t="s">
        <v>68</v>
      </c>
      <c r="AR849" s="6" t="str">
        <f>HYPERLINK("http://catalog.hathitrust.org/Record/000743580","HathiTrust Record")</f>
        <v>HathiTrust Record</v>
      </c>
      <c r="AS849" s="6" t="str">
        <f>HYPERLINK("https://creighton-primo.hosted.exlibrisgroup.com/primo-explore/search?tab=default_tab&amp;search_scope=EVERYTHING&amp;vid=01CRU&amp;lang=en_US&amp;offset=0&amp;query=any,contains,991004816619702656","Catalog Record")</f>
        <v>Catalog Record</v>
      </c>
      <c r="AT849" s="6" t="str">
        <f>HYPERLINK("http://www.worldcat.org/oclc/5310646","WorldCat Record")</f>
        <v>WorldCat Record</v>
      </c>
      <c r="AU849" s="3" t="s">
        <v>10813</v>
      </c>
      <c r="AV849" s="3" t="s">
        <v>10814</v>
      </c>
      <c r="AW849" s="3" t="s">
        <v>10815</v>
      </c>
      <c r="AX849" s="3" t="s">
        <v>10815</v>
      </c>
      <c r="AY849" s="3" t="s">
        <v>10816</v>
      </c>
      <c r="AZ849" s="3" t="s">
        <v>73</v>
      </c>
      <c r="BB849" s="3" t="s">
        <v>10817</v>
      </c>
      <c r="BC849" s="3" t="s">
        <v>10818</v>
      </c>
      <c r="BD849" s="3" t="s">
        <v>10819</v>
      </c>
    </row>
    <row r="850" spans="1:56" ht="51" customHeight="1" x14ac:dyDescent="0.25">
      <c r="A850" s="7" t="s">
        <v>58</v>
      </c>
      <c r="B850" s="2" t="s">
        <v>10820</v>
      </c>
      <c r="C850" s="2" t="s">
        <v>10821</v>
      </c>
      <c r="D850" s="2" t="s">
        <v>10822</v>
      </c>
      <c r="F850" s="3" t="s">
        <v>58</v>
      </c>
      <c r="G850" s="3" t="s">
        <v>59</v>
      </c>
      <c r="H850" s="3" t="s">
        <v>58</v>
      </c>
      <c r="I850" s="3" t="s">
        <v>58</v>
      </c>
      <c r="J850" s="3" t="s">
        <v>60</v>
      </c>
      <c r="L850" s="2" t="s">
        <v>10823</v>
      </c>
      <c r="M850" s="3" t="s">
        <v>2326</v>
      </c>
      <c r="O850" s="3" t="s">
        <v>63</v>
      </c>
      <c r="P850" s="3" t="s">
        <v>214</v>
      </c>
      <c r="R850" s="3" t="s">
        <v>65</v>
      </c>
      <c r="S850" s="4">
        <v>1</v>
      </c>
      <c r="T850" s="4">
        <v>1</v>
      </c>
      <c r="U850" s="5" t="s">
        <v>9465</v>
      </c>
      <c r="V850" s="5" t="s">
        <v>9465</v>
      </c>
      <c r="W850" s="5" t="s">
        <v>9465</v>
      </c>
      <c r="X850" s="5" t="s">
        <v>9465</v>
      </c>
      <c r="Y850" s="4">
        <v>197</v>
      </c>
      <c r="Z850" s="4">
        <v>165</v>
      </c>
      <c r="AA850" s="4">
        <v>188</v>
      </c>
      <c r="AB850" s="4">
        <v>2</v>
      </c>
      <c r="AC850" s="4">
        <v>2</v>
      </c>
      <c r="AD850" s="4">
        <v>10</v>
      </c>
      <c r="AE850" s="4">
        <v>11</v>
      </c>
      <c r="AF850" s="4">
        <v>3</v>
      </c>
      <c r="AG850" s="4">
        <v>3</v>
      </c>
      <c r="AH850" s="4">
        <v>4</v>
      </c>
      <c r="AI850" s="4">
        <v>4</v>
      </c>
      <c r="AJ850" s="4">
        <v>5</v>
      </c>
      <c r="AK850" s="4">
        <v>6</v>
      </c>
      <c r="AL850" s="4">
        <v>1</v>
      </c>
      <c r="AM850" s="4">
        <v>1</v>
      </c>
      <c r="AN850" s="4">
        <v>0</v>
      </c>
      <c r="AO850" s="4">
        <v>0</v>
      </c>
      <c r="AP850" s="3" t="s">
        <v>58</v>
      </c>
      <c r="AQ850" s="3" t="s">
        <v>68</v>
      </c>
      <c r="AR850" s="6" t="str">
        <f>HYPERLINK("http://catalog.hathitrust.org/Record/006877095","HathiTrust Record")</f>
        <v>HathiTrust Record</v>
      </c>
      <c r="AS850" s="6" t="str">
        <f>HYPERLINK("https://creighton-primo.hosted.exlibrisgroup.com/primo-explore/search?tab=default_tab&amp;search_scope=EVERYTHING&amp;vid=01CRU&amp;lang=en_US&amp;offset=0&amp;query=any,contains,991005349599702656","Catalog Record")</f>
        <v>Catalog Record</v>
      </c>
      <c r="AT850" s="6" t="str">
        <f>HYPERLINK("http://www.worldcat.org/oclc/226360277","WorldCat Record")</f>
        <v>WorldCat Record</v>
      </c>
      <c r="AU850" s="3" t="s">
        <v>10824</v>
      </c>
      <c r="AV850" s="3" t="s">
        <v>10825</v>
      </c>
      <c r="AW850" s="3" t="s">
        <v>10826</v>
      </c>
      <c r="AX850" s="3" t="s">
        <v>10826</v>
      </c>
      <c r="AY850" s="3" t="s">
        <v>10827</v>
      </c>
      <c r="AZ850" s="3" t="s">
        <v>73</v>
      </c>
      <c r="BB850" s="3" t="s">
        <v>10828</v>
      </c>
      <c r="BC850" s="3" t="s">
        <v>10829</v>
      </c>
      <c r="BD850" s="3" t="s">
        <v>10830</v>
      </c>
    </row>
    <row r="851" spans="1:56" ht="51" customHeight="1" x14ac:dyDescent="0.25">
      <c r="A851" s="7" t="s">
        <v>58</v>
      </c>
      <c r="B851" s="2" t="s">
        <v>10831</v>
      </c>
      <c r="C851" s="2" t="s">
        <v>10832</v>
      </c>
      <c r="D851" s="2" t="s">
        <v>10833</v>
      </c>
      <c r="F851" s="3" t="s">
        <v>58</v>
      </c>
      <c r="G851" s="3" t="s">
        <v>59</v>
      </c>
      <c r="H851" s="3" t="s">
        <v>58</v>
      </c>
      <c r="I851" s="3" t="s">
        <v>58</v>
      </c>
      <c r="J851" s="3" t="s">
        <v>60</v>
      </c>
      <c r="K851" s="2" t="s">
        <v>10834</v>
      </c>
      <c r="L851" s="2" t="s">
        <v>10835</v>
      </c>
      <c r="M851" s="3" t="s">
        <v>800</v>
      </c>
      <c r="O851" s="3" t="s">
        <v>63</v>
      </c>
      <c r="P851" s="3" t="s">
        <v>510</v>
      </c>
      <c r="R851" s="3" t="s">
        <v>65</v>
      </c>
      <c r="S851" s="4">
        <v>4</v>
      </c>
      <c r="T851" s="4">
        <v>4</v>
      </c>
      <c r="U851" s="5" t="s">
        <v>10836</v>
      </c>
      <c r="V851" s="5" t="s">
        <v>10836</v>
      </c>
      <c r="W851" s="5" t="s">
        <v>6313</v>
      </c>
      <c r="X851" s="5" t="s">
        <v>6313</v>
      </c>
      <c r="Y851" s="4">
        <v>314</v>
      </c>
      <c r="Z851" s="4">
        <v>254</v>
      </c>
      <c r="AA851" s="4">
        <v>263</v>
      </c>
      <c r="AB851" s="4">
        <v>3</v>
      </c>
      <c r="AC851" s="4">
        <v>3</v>
      </c>
      <c r="AD851" s="4">
        <v>12</v>
      </c>
      <c r="AE851" s="4">
        <v>12</v>
      </c>
      <c r="AF851" s="4">
        <v>3</v>
      </c>
      <c r="AG851" s="4">
        <v>3</v>
      </c>
      <c r="AH851" s="4">
        <v>3</v>
      </c>
      <c r="AI851" s="4">
        <v>3</v>
      </c>
      <c r="AJ851" s="4">
        <v>8</v>
      </c>
      <c r="AK851" s="4">
        <v>8</v>
      </c>
      <c r="AL851" s="4">
        <v>2</v>
      </c>
      <c r="AM851" s="4">
        <v>2</v>
      </c>
      <c r="AN851" s="4">
        <v>0</v>
      </c>
      <c r="AO851" s="4">
        <v>0</v>
      </c>
      <c r="AP851" s="3" t="s">
        <v>58</v>
      </c>
      <c r="AQ851" s="3" t="s">
        <v>68</v>
      </c>
      <c r="AR851" s="6" t="str">
        <f>HYPERLINK("http://catalog.hathitrust.org/Record/002999375","HathiTrust Record")</f>
        <v>HathiTrust Record</v>
      </c>
      <c r="AS851" s="6" t="str">
        <f>HYPERLINK("https://creighton-primo.hosted.exlibrisgroup.com/primo-explore/search?tab=default_tab&amp;search_scope=EVERYTHING&amp;vid=01CRU&amp;lang=en_US&amp;offset=0&amp;query=any,contains,991002431729702656","Catalog Record")</f>
        <v>Catalog Record</v>
      </c>
      <c r="AT851" s="6" t="str">
        <f>HYPERLINK("http://www.worldcat.org/oclc/31708924","WorldCat Record")</f>
        <v>WorldCat Record</v>
      </c>
      <c r="AU851" s="3" t="s">
        <v>10837</v>
      </c>
      <c r="AV851" s="3" t="s">
        <v>10838</v>
      </c>
      <c r="AW851" s="3" t="s">
        <v>10839</v>
      </c>
      <c r="AX851" s="3" t="s">
        <v>10839</v>
      </c>
      <c r="AY851" s="3" t="s">
        <v>10840</v>
      </c>
      <c r="AZ851" s="3" t="s">
        <v>73</v>
      </c>
      <c r="BB851" s="3" t="s">
        <v>10841</v>
      </c>
      <c r="BC851" s="3" t="s">
        <v>10842</v>
      </c>
      <c r="BD851" s="3" t="s">
        <v>10843</v>
      </c>
    </row>
    <row r="852" spans="1:56" ht="51" customHeight="1" x14ac:dyDescent="0.25">
      <c r="A852" s="7" t="s">
        <v>58</v>
      </c>
      <c r="B852" s="2" t="s">
        <v>10844</v>
      </c>
      <c r="C852" s="2" t="s">
        <v>10845</v>
      </c>
      <c r="D852" s="2" t="s">
        <v>10846</v>
      </c>
      <c r="F852" s="3" t="s">
        <v>58</v>
      </c>
      <c r="G852" s="3" t="s">
        <v>59</v>
      </c>
      <c r="H852" s="3" t="s">
        <v>58</v>
      </c>
      <c r="I852" s="3" t="s">
        <v>58</v>
      </c>
      <c r="J852" s="3" t="s">
        <v>60</v>
      </c>
      <c r="K852" s="2" t="s">
        <v>10847</v>
      </c>
      <c r="L852" s="2" t="s">
        <v>10848</v>
      </c>
      <c r="M852" s="3" t="s">
        <v>183</v>
      </c>
      <c r="O852" s="3" t="s">
        <v>63</v>
      </c>
      <c r="P852" s="3" t="s">
        <v>584</v>
      </c>
      <c r="R852" s="3" t="s">
        <v>65</v>
      </c>
      <c r="S852" s="4">
        <v>1</v>
      </c>
      <c r="T852" s="4">
        <v>1</v>
      </c>
      <c r="U852" s="5" t="s">
        <v>10849</v>
      </c>
      <c r="V852" s="5" t="s">
        <v>10849</v>
      </c>
      <c r="W852" s="5" t="s">
        <v>8127</v>
      </c>
      <c r="X852" s="5" t="s">
        <v>8127</v>
      </c>
      <c r="Y852" s="4">
        <v>369</v>
      </c>
      <c r="Z852" s="4">
        <v>241</v>
      </c>
      <c r="AA852" s="4">
        <v>269</v>
      </c>
      <c r="AB852" s="4">
        <v>3</v>
      </c>
      <c r="AC852" s="4">
        <v>3</v>
      </c>
      <c r="AD852" s="4">
        <v>9</v>
      </c>
      <c r="AE852" s="4">
        <v>9</v>
      </c>
      <c r="AF852" s="4">
        <v>1</v>
      </c>
      <c r="AG852" s="4">
        <v>1</v>
      </c>
      <c r="AH852" s="4">
        <v>3</v>
      </c>
      <c r="AI852" s="4">
        <v>3</v>
      </c>
      <c r="AJ852" s="4">
        <v>5</v>
      </c>
      <c r="AK852" s="4">
        <v>5</v>
      </c>
      <c r="AL852" s="4">
        <v>2</v>
      </c>
      <c r="AM852" s="4">
        <v>2</v>
      </c>
      <c r="AN852" s="4">
        <v>0</v>
      </c>
      <c r="AO852" s="4">
        <v>0</v>
      </c>
      <c r="AP852" s="3" t="s">
        <v>58</v>
      </c>
      <c r="AQ852" s="3" t="s">
        <v>58</v>
      </c>
      <c r="AS852" s="6" t="str">
        <f>HYPERLINK("https://creighton-primo.hosted.exlibrisgroup.com/primo-explore/search?tab=default_tab&amp;search_scope=EVERYTHING&amp;vid=01CRU&amp;lang=en_US&amp;offset=0&amp;query=any,contains,991004332119702656","Catalog Record")</f>
        <v>Catalog Record</v>
      </c>
      <c r="AT852" s="6" t="str">
        <f>HYPERLINK("http://www.worldcat.org/oclc/3064436","WorldCat Record")</f>
        <v>WorldCat Record</v>
      </c>
      <c r="AU852" s="3" t="s">
        <v>10850</v>
      </c>
      <c r="AV852" s="3" t="s">
        <v>10851</v>
      </c>
      <c r="AW852" s="3" t="s">
        <v>10852</v>
      </c>
      <c r="AX852" s="3" t="s">
        <v>10852</v>
      </c>
      <c r="AY852" s="3" t="s">
        <v>10853</v>
      </c>
      <c r="AZ852" s="3" t="s">
        <v>73</v>
      </c>
      <c r="BB852" s="3" t="s">
        <v>10854</v>
      </c>
      <c r="BC852" s="3" t="s">
        <v>10855</v>
      </c>
      <c r="BD852" s="3" t="s">
        <v>10856</v>
      </c>
    </row>
    <row r="853" spans="1:56" ht="51" customHeight="1" x14ac:dyDescent="0.25">
      <c r="A853" s="7" t="s">
        <v>58</v>
      </c>
      <c r="B853" s="2" t="s">
        <v>10857</v>
      </c>
      <c r="C853" s="2" t="s">
        <v>10858</v>
      </c>
      <c r="D853" s="2" t="s">
        <v>10859</v>
      </c>
      <c r="F853" s="3" t="s">
        <v>58</v>
      </c>
      <c r="G853" s="3" t="s">
        <v>59</v>
      </c>
      <c r="H853" s="3" t="s">
        <v>58</v>
      </c>
      <c r="I853" s="3" t="s">
        <v>58</v>
      </c>
      <c r="J853" s="3" t="s">
        <v>60</v>
      </c>
      <c r="K853" s="2" t="s">
        <v>9607</v>
      </c>
      <c r="L853" s="2" t="s">
        <v>10860</v>
      </c>
      <c r="M853" s="3" t="s">
        <v>154</v>
      </c>
      <c r="O853" s="3" t="s">
        <v>63</v>
      </c>
      <c r="P853" s="3" t="s">
        <v>584</v>
      </c>
      <c r="Q853" s="2" t="s">
        <v>10861</v>
      </c>
      <c r="R853" s="3" t="s">
        <v>65</v>
      </c>
      <c r="S853" s="4">
        <v>13</v>
      </c>
      <c r="T853" s="4">
        <v>13</v>
      </c>
      <c r="U853" s="5" t="s">
        <v>10682</v>
      </c>
      <c r="V853" s="5" t="s">
        <v>10682</v>
      </c>
      <c r="W853" s="5" t="s">
        <v>3945</v>
      </c>
      <c r="X853" s="5" t="s">
        <v>3945</v>
      </c>
      <c r="Y853" s="4">
        <v>466</v>
      </c>
      <c r="Z853" s="4">
        <v>355</v>
      </c>
      <c r="AA853" s="4">
        <v>509</v>
      </c>
      <c r="AB853" s="4">
        <v>3</v>
      </c>
      <c r="AC853" s="4">
        <v>3</v>
      </c>
      <c r="AD853" s="4">
        <v>14</v>
      </c>
      <c r="AE853" s="4">
        <v>19</v>
      </c>
      <c r="AF853" s="4">
        <v>4</v>
      </c>
      <c r="AG853" s="4">
        <v>5</v>
      </c>
      <c r="AH853" s="4">
        <v>3</v>
      </c>
      <c r="AI853" s="4">
        <v>7</v>
      </c>
      <c r="AJ853" s="4">
        <v>8</v>
      </c>
      <c r="AK853" s="4">
        <v>10</v>
      </c>
      <c r="AL853" s="4">
        <v>2</v>
      </c>
      <c r="AM853" s="4">
        <v>2</v>
      </c>
      <c r="AN853" s="4">
        <v>0</v>
      </c>
      <c r="AO853" s="4">
        <v>0</v>
      </c>
      <c r="AP853" s="3" t="s">
        <v>58</v>
      </c>
      <c r="AQ853" s="3" t="s">
        <v>58</v>
      </c>
      <c r="AS853" s="6" t="str">
        <f>HYPERLINK("https://creighton-primo.hosted.exlibrisgroup.com/primo-explore/search?tab=default_tab&amp;search_scope=EVERYTHING&amp;vid=01CRU&amp;lang=en_US&amp;offset=0&amp;query=any,contains,991001505719702656","Catalog Record")</f>
        <v>Catalog Record</v>
      </c>
      <c r="AT853" s="6" t="str">
        <f>HYPERLINK("http://www.worldcat.org/oclc/20800343","WorldCat Record")</f>
        <v>WorldCat Record</v>
      </c>
      <c r="AU853" s="3" t="s">
        <v>10862</v>
      </c>
      <c r="AV853" s="3" t="s">
        <v>10863</v>
      </c>
      <c r="AW853" s="3" t="s">
        <v>10864</v>
      </c>
      <c r="AX853" s="3" t="s">
        <v>10864</v>
      </c>
      <c r="AY853" s="3" t="s">
        <v>10865</v>
      </c>
      <c r="AZ853" s="3" t="s">
        <v>73</v>
      </c>
      <c r="BB853" s="3" t="s">
        <v>10866</v>
      </c>
      <c r="BC853" s="3" t="s">
        <v>10867</v>
      </c>
      <c r="BD853" s="3" t="s">
        <v>10868</v>
      </c>
    </row>
    <row r="854" spans="1:56" ht="51" customHeight="1" x14ac:dyDescent="0.25">
      <c r="A854" s="7" t="s">
        <v>58</v>
      </c>
      <c r="B854" s="2" t="s">
        <v>10869</v>
      </c>
      <c r="C854" s="2" t="s">
        <v>10870</v>
      </c>
      <c r="D854" s="2" t="s">
        <v>10871</v>
      </c>
      <c r="F854" s="3" t="s">
        <v>58</v>
      </c>
      <c r="G854" s="3" t="s">
        <v>59</v>
      </c>
      <c r="H854" s="3" t="s">
        <v>58</v>
      </c>
      <c r="I854" s="3" t="s">
        <v>58</v>
      </c>
      <c r="J854" s="3" t="s">
        <v>60</v>
      </c>
      <c r="K854" s="2" t="s">
        <v>10872</v>
      </c>
      <c r="L854" s="2" t="s">
        <v>10873</v>
      </c>
      <c r="M854" s="3" t="s">
        <v>855</v>
      </c>
      <c r="O854" s="3" t="s">
        <v>63</v>
      </c>
      <c r="P854" s="3" t="s">
        <v>214</v>
      </c>
      <c r="R854" s="3" t="s">
        <v>65</v>
      </c>
      <c r="S854" s="4">
        <v>4</v>
      </c>
      <c r="T854" s="4">
        <v>4</v>
      </c>
      <c r="U854" s="5" t="s">
        <v>10874</v>
      </c>
      <c r="V854" s="5" t="s">
        <v>10874</v>
      </c>
      <c r="W854" s="5" t="s">
        <v>2633</v>
      </c>
      <c r="X854" s="5" t="s">
        <v>2633</v>
      </c>
      <c r="Y854" s="4">
        <v>293</v>
      </c>
      <c r="Z854" s="4">
        <v>255</v>
      </c>
      <c r="AA854" s="4">
        <v>310</v>
      </c>
      <c r="AB854" s="4">
        <v>3</v>
      </c>
      <c r="AC854" s="4">
        <v>3</v>
      </c>
      <c r="AD854" s="4">
        <v>15</v>
      </c>
      <c r="AE854" s="4">
        <v>18</v>
      </c>
      <c r="AF854" s="4">
        <v>3</v>
      </c>
      <c r="AG854" s="4">
        <v>4</v>
      </c>
      <c r="AH854" s="4">
        <v>6</v>
      </c>
      <c r="AI854" s="4">
        <v>7</v>
      </c>
      <c r="AJ854" s="4">
        <v>6</v>
      </c>
      <c r="AK854" s="4">
        <v>9</v>
      </c>
      <c r="AL854" s="4">
        <v>2</v>
      </c>
      <c r="AM854" s="4">
        <v>2</v>
      </c>
      <c r="AN854" s="4">
        <v>0</v>
      </c>
      <c r="AO854" s="4">
        <v>0</v>
      </c>
      <c r="AP854" s="3" t="s">
        <v>58</v>
      </c>
      <c r="AQ854" s="3" t="s">
        <v>58</v>
      </c>
      <c r="AS854" s="6" t="str">
        <f>HYPERLINK("https://creighton-primo.hosted.exlibrisgroup.com/primo-explore/search?tab=default_tab&amp;search_scope=EVERYTHING&amp;vid=01CRU&amp;lang=en_US&amp;offset=0&amp;query=any,contains,991002024559702656","Catalog Record")</f>
        <v>Catalog Record</v>
      </c>
      <c r="AT854" s="6" t="str">
        <f>HYPERLINK("http://www.worldcat.org/oclc/25748003","WorldCat Record")</f>
        <v>WorldCat Record</v>
      </c>
      <c r="AU854" s="3" t="s">
        <v>10875</v>
      </c>
      <c r="AV854" s="3" t="s">
        <v>10876</v>
      </c>
      <c r="AW854" s="3" t="s">
        <v>10877</v>
      </c>
      <c r="AX854" s="3" t="s">
        <v>10877</v>
      </c>
      <c r="AY854" s="3" t="s">
        <v>10878</v>
      </c>
      <c r="AZ854" s="3" t="s">
        <v>73</v>
      </c>
      <c r="BB854" s="3" t="s">
        <v>10879</v>
      </c>
      <c r="BC854" s="3" t="s">
        <v>10880</v>
      </c>
      <c r="BD854" s="3" t="s">
        <v>10881</v>
      </c>
    </row>
    <row r="855" spans="1:56" ht="51" customHeight="1" x14ac:dyDescent="0.25">
      <c r="A855" s="7" t="s">
        <v>58</v>
      </c>
      <c r="B855" s="2" t="s">
        <v>10882</v>
      </c>
      <c r="C855" s="2" t="s">
        <v>10883</v>
      </c>
      <c r="D855" s="2" t="s">
        <v>10884</v>
      </c>
      <c r="F855" s="3" t="s">
        <v>58</v>
      </c>
      <c r="G855" s="3" t="s">
        <v>59</v>
      </c>
      <c r="H855" s="3" t="s">
        <v>58</v>
      </c>
      <c r="I855" s="3" t="s">
        <v>58</v>
      </c>
      <c r="J855" s="3" t="s">
        <v>60</v>
      </c>
      <c r="K855" s="2" t="s">
        <v>10885</v>
      </c>
      <c r="L855" s="2" t="s">
        <v>10886</v>
      </c>
      <c r="M855" s="3" t="s">
        <v>4023</v>
      </c>
      <c r="O855" s="3" t="s">
        <v>63</v>
      </c>
      <c r="P855" s="3" t="s">
        <v>354</v>
      </c>
      <c r="R855" s="3" t="s">
        <v>65</v>
      </c>
      <c r="S855" s="4">
        <v>3</v>
      </c>
      <c r="T855" s="4">
        <v>3</v>
      </c>
      <c r="U855" s="5" t="s">
        <v>10874</v>
      </c>
      <c r="V855" s="5" t="s">
        <v>10874</v>
      </c>
      <c r="W855" s="5" t="s">
        <v>10887</v>
      </c>
      <c r="X855" s="5" t="s">
        <v>10887</v>
      </c>
      <c r="Y855" s="4">
        <v>455</v>
      </c>
      <c r="Z855" s="4">
        <v>399</v>
      </c>
      <c r="AA855" s="4">
        <v>435</v>
      </c>
      <c r="AB855" s="4">
        <v>1</v>
      </c>
      <c r="AC855" s="4">
        <v>1</v>
      </c>
      <c r="AD855" s="4">
        <v>17</v>
      </c>
      <c r="AE855" s="4">
        <v>17</v>
      </c>
      <c r="AF855" s="4">
        <v>6</v>
      </c>
      <c r="AG855" s="4">
        <v>6</v>
      </c>
      <c r="AH855" s="4">
        <v>5</v>
      </c>
      <c r="AI855" s="4">
        <v>5</v>
      </c>
      <c r="AJ855" s="4">
        <v>14</v>
      </c>
      <c r="AK855" s="4">
        <v>14</v>
      </c>
      <c r="AL855" s="4">
        <v>0</v>
      </c>
      <c r="AM855" s="4">
        <v>0</v>
      </c>
      <c r="AN855" s="4">
        <v>0</v>
      </c>
      <c r="AO855" s="4">
        <v>0</v>
      </c>
      <c r="AP855" s="3" t="s">
        <v>58</v>
      </c>
      <c r="AQ855" s="3" t="s">
        <v>58</v>
      </c>
      <c r="AS855" s="6" t="str">
        <f>HYPERLINK("https://creighton-primo.hosted.exlibrisgroup.com/primo-explore/search?tab=default_tab&amp;search_scope=EVERYTHING&amp;vid=01CRU&amp;lang=en_US&amp;offset=0&amp;query=any,contains,991004542959702656","Catalog Record")</f>
        <v>Catalog Record</v>
      </c>
      <c r="AT855" s="6" t="str">
        <f>HYPERLINK("http://www.worldcat.org/oclc/52348837","WorldCat Record")</f>
        <v>WorldCat Record</v>
      </c>
      <c r="AU855" s="3" t="s">
        <v>10888</v>
      </c>
      <c r="AV855" s="3" t="s">
        <v>10889</v>
      </c>
      <c r="AW855" s="3" t="s">
        <v>10890</v>
      </c>
      <c r="AX855" s="3" t="s">
        <v>10890</v>
      </c>
      <c r="AY855" s="3" t="s">
        <v>10891</v>
      </c>
      <c r="AZ855" s="3" t="s">
        <v>73</v>
      </c>
      <c r="BB855" s="3" t="s">
        <v>10892</v>
      </c>
      <c r="BC855" s="3" t="s">
        <v>10893</v>
      </c>
      <c r="BD855" s="3" t="s">
        <v>10894</v>
      </c>
    </row>
    <row r="856" spans="1:56" ht="51" customHeight="1" x14ac:dyDescent="0.25">
      <c r="A856" s="7" t="s">
        <v>58</v>
      </c>
      <c r="B856" s="2" t="s">
        <v>10895</v>
      </c>
      <c r="C856" s="2" t="s">
        <v>10896</v>
      </c>
      <c r="D856" s="2" t="s">
        <v>10897</v>
      </c>
      <c r="F856" s="3" t="s">
        <v>58</v>
      </c>
      <c r="G856" s="3" t="s">
        <v>59</v>
      </c>
      <c r="H856" s="3" t="s">
        <v>58</v>
      </c>
      <c r="I856" s="3" t="s">
        <v>58</v>
      </c>
      <c r="J856" s="3" t="s">
        <v>60</v>
      </c>
      <c r="K856" s="2" t="s">
        <v>10898</v>
      </c>
      <c r="L856" s="2" t="s">
        <v>10899</v>
      </c>
      <c r="M856" s="3" t="s">
        <v>1544</v>
      </c>
      <c r="O856" s="3" t="s">
        <v>63</v>
      </c>
      <c r="P856" s="3" t="s">
        <v>10900</v>
      </c>
      <c r="R856" s="3" t="s">
        <v>65</v>
      </c>
      <c r="S856" s="4">
        <v>2</v>
      </c>
      <c r="T856" s="4">
        <v>2</v>
      </c>
      <c r="U856" s="5" t="s">
        <v>10901</v>
      </c>
      <c r="V856" s="5" t="s">
        <v>10901</v>
      </c>
      <c r="W856" s="5" t="s">
        <v>10902</v>
      </c>
      <c r="X856" s="5" t="s">
        <v>10902</v>
      </c>
      <c r="Y856" s="4">
        <v>847</v>
      </c>
      <c r="Z856" s="4">
        <v>772</v>
      </c>
      <c r="AA856" s="4">
        <v>1088</v>
      </c>
      <c r="AB856" s="4">
        <v>6</v>
      </c>
      <c r="AC856" s="4">
        <v>8</v>
      </c>
      <c r="AD856" s="4">
        <v>27</v>
      </c>
      <c r="AE856" s="4">
        <v>40</v>
      </c>
      <c r="AF856" s="4">
        <v>9</v>
      </c>
      <c r="AG856" s="4">
        <v>15</v>
      </c>
      <c r="AH856" s="4">
        <v>7</v>
      </c>
      <c r="AI856" s="4">
        <v>9</v>
      </c>
      <c r="AJ856" s="4">
        <v>15</v>
      </c>
      <c r="AK856" s="4">
        <v>19</v>
      </c>
      <c r="AL856" s="4">
        <v>4</v>
      </c>
      <c r="AM856" s="4">
        <v>6</v>
      </c>
      <c r="AN856" s="4">
        <v>0</v>
      </c>
      <c r="AO856" s="4">
        <v>0</v>
      </c>
      <c r="AP856" s="3" t="s">
        <v>58</v>
      </c>
      <c r="AQ856" s="3" t="s">
        <v>58</v>
      </c>
      <c r="AS856" s="6" t="str">
        <f>HYPERLINK("https://creighton-primo.hosted.exlibrisgroup.com/primo-explore/search?tab=default_tab&amp;search_scope=EVERYTHING&amp;vid=01CRU&amp;lang=en_US&amp;offset=0&amp;query=any,contains,991002032349702656","Catalog Record")</f>
        <v>Catalog Record</v>
      </c>
      <c r="AT856" s="6" t="str">
        <f>HYPERLINK("http://www.worldcat.org/oclc/25873772","WorldCat Record")</f>
        <v>WorldCat Record</v>
      </c>
      <c r="AU856" s="3" t="s">
        <v>10903</v>
      </c>
      <c r="AV856" s="3" t="s">
        <v>10904</v>
      </c>
      <c r="AW856" s="3" t="s">
        <v>10905</v>
      </c>
      <c r="AX856" s="3" t="s">
        <v>10905</v>
      </c>
      <c r="AY856" s="3" t="s">
        <v>10906</v>
      </c>
      <c r="AZ856" s="3" t="s">
        <v>73</v>
      </c>
      <c r="BB856" s="3" t="s">
        <v>10907</v>
      </c>
      <c r="BC856" s="3" t="s">
        <v>10908</v>
      </c>
      <c r="BD856" s="3" t="s">
        <v>10909</v>
      </c>
    </row>
    <row r="857" spans="1:56" ht="51" customHeight="1" x14ac:dyDescent="0.25">
      <c r="A857" s="7" t="s">
        <v>58</v>
      </c>
      <c r="B857" s="2" t="s">
        <v>10910</v>
      </c>
      <c r="C857" s="2" t="s">
        <v>10911</v>
      </c>
      <c r="D857" s="2" t="s">
        <v>10912</v>
      </c>
      <c r="F857" s="3" t="s">
        <v>58</v>
      </c>
      <c r="G857" s="3" t="s">
        <v>59</v>
      </c>
      <c r="H857" s="3" t="s">
        <v>58</v>
      </c>
      <c r="I857" s="3" t="s">
        <v>58</v>
      </c>
      <c r="J857" s="3" t="s">
        <v>60</v>
      </c>
      <c r="K857" s="2" t="s">
        <v>10913</v>
      </c>
      <c r="L857" s="2" t="s">
        <v>10914</v>
      </c>
      <c r="M857" s="3" t="s">
        <v>2295</v>
      </c>
      <c r="N857" s="2" t="s">
        <v>338</v>
      </c>
      <c r="O857" s="3" t="s">
        <v>63</v>
      </c>
      <c r="P857" s="3" t="s">
        <v>214</v>
      </c>
      <c r="R857" s="3" t="s">
        <v>65</v>
      </c>
      <c r="S857" s="4">
        <v>3</v>
      </c>
      <c r="T857" s="4">
        <v>3</v>
      </c>
      <c r="U857" s="5" t="s">
        <v>10915</v>
      </c>
      <c r="V857" s="5" t="s">
        <v>10915</v>
      </c>
      <c r="W857" s="5" t="s">
        <v>10916</v>
      </c>
      <c r="X857" s="5" t="s">
        <v>10916</v>
      </c>
      <c r="Y857" s="4">
        <v>806</v>
      </c>
      <c r="Z857" s="4">
        <v>707</v>
      </c>
      <c r="AA857" s="4">
        <v>796</v>
      </c>
      <c r="AB857" s="4">
        <v>6</v>
      </c>
      <c r="AC857" s="4">
        <v>7</v>
      </c>
      <c r="AD857" s="4">
        <v>26</v>
      </c>
      <c r="AE857" s="4">
        <v>28</v>
      </c>
      <c r="AF857" s="4">
        <v>13</v>
      </c>
      <c r="AG857" s="4">
        <v>14</v>
      </c>
      <c r="AH857" s="4">
        <v>5</v>
      </c>
      <c r="AI857" s="4">
        <v>5</v>
      </c>
      <c r="AJ857" s="4">
        <v>12</v>
      </c>
      <c r="AK857" s="4">
        <v>12</v>
      </c>
      <c r="AL857" s="4">
        <v>3</v>
      </c>
      <c r="AM857" s="4">
        <v>4</v>
      </c>
      <c r="AN857" s="4">
        <v>0</v>
      </c>
      <c r="AO857" s="4">
        <v>0</v>
      </c>
      <c r="AP857" s="3" t="s">
        <v>58</v>
      </c>
      <c r="AQ857" s="3" t="s">
        <v>68</v>
      </c>
      <c r="AR857" s="6" t="str">
        <f>HYPERLINK("http://catalog.hathitrust.org/Record/004321273","HathiTrust Record")</f>
        <v>HathiTrust Record</v>
      </c>
      <c r="AS857" s="6" t="str">
        <f>HYPERLINK("https://creighton-primo.hosted.exlibrisgroup.com/primo-explore/search?tab=default_tab&amp;search_scope=EVERYTHING&amp;vid=01CRU&amp;lang=en_US&amp;offset=0&amp;query=any,contains,991004076949702656","Catalog Record")</f>
        <v>Catalog Record</v>
      </c>
      <c r="AT857" s="6" t="str">
        <f>HYPERLINK("http://www.worldcat.org/oclc/51216548","WorldCat Record")</f>
        <v>WorldCat Record</v>
      </c>
      <c r="AU857" s="3" t="s">
        <v>10917</v>
      </c>
      <c r="AV857" s="3" t="s">
        <v>10918</v>
      </c>
      <c r="AW857" s="3" t="s">
        <v>10919</v>
      </c>
      <c r="AX857" s="3" t="s">
        <v>10919</v>
      </c>
      <c r="AY857" s="3" t="s">
        <v>10920</v>
      </c>
      <c r="AZ857" s="3" t="s">
        <v>73</v>
      </c>
      <c r="BB857" s="3" t="s">
        <v>10921</v>
      </c>
      <c r="BC857" s="3" t="s">
        <v>10922</v>
      </c>
      <c r="BD857" s="3" t="s">
        <v>10923</v>
      </c>
    </row>
    <row r="858" spans="1:56" ht="51" customHeight="1" x14ac:dyDescent="0.25">
      <c r="A858" s="7" t="s">
        <v>58</v>
      </c>
      <c r="B858" s="2" t="s">
        <v>10924</v>
      </c>
      <c r="C858" s="2" t="s">
        <v>10925</v>
      </c>
      <c r="D858" s="2" t="s">
        <v>10926</v>
      </c>
      <c r="F858" s="3" t="s">
        <v>58</v>
      </c>
      <c r="G858" s="3" t="s">
        <v>59</v>
      </c>
      <c r="H858" s="3" t="s">
        <v>58</v>
      </c>
      <c r="I858" s="3" t="s">
        <v>58</v>
      </c>
      <c r="J858" s="3" t="s">
        <v>60</v>
      </c>
      <c r="L858" s="2" t="s">
        <v>10927</v>
      </c>
      <c r="M858" s="3" t="s">
        <v>479</v>
      </c>
      <c r="O858" s="3" t="s">
        <v>63</v>
      </c>
      <c r="P858" s="3" t="s">
        <v>1299</v>
      </c>
      <c r="R858" s="3" t="s">
        <v>65</v>
      </c>
      <c r="S858" s="4">
        <v>5</v>
      </c>
      <c r="T858" s="4">
        <v>5</v>
      </c>
      <c r="U858" s="5" t="s">
        <v>10928</v>
      </c>
      <c r="V858" s="5" t="s">
        <v>10928</v>
      </c>
      <c r="W858" s="5" t="s">
        <v>10929</v>
      </c>
      <c r="X858" s="5" t="s">
        <v>10929</v>
      </c>
      <c r="Y858" s="4">
        <v>351</v>
      </c>
      <c r="Z858" s="4">
        <v>293</v>
      </c>
      <c r="AA858" s="4">
        <v>317</v>
      </c>
      <c r="AB858" s="4">
        <v>3</v>
      </c>
      <c r="AC858" s="4">
        <v>3</v>
      </c>
      <c r="AD858" s="4">
        <v>13</v>
      </c>
      <c r="AE858" s="4">
        <v>13</v>
      </c>
      <c r="AF858" s="4">
        <v>3</v>
      </c>
      <c r="AG858" s="4">
        <v>3</v>
      </c>
      <c r="AH858" s="4">
        <v>5</v>
      </c>
      <c r="AI858" s="4">
        <v>5</v>
      </c>
      <c r="AJ858" s="4">
        <v>6</v>
      </c>
      <c r="AK858" s="4">
        <v>6</v>
      </c>
      <c r="AL858" s="4">
        <v>2</v>
      </c>
      <c r="AM858" s="4">
        <v>2</v>
      </c>
      <c r="AN858" s="4">
        <v>0</v>
      </c>
      <c r="AO858" s="4">
        <v>0</v>
      </c>
      <c r="AP858" s="3" t="s">
        <v>58</v>
      </c>
      <c r="AQ858" s="3" t="s">
        <v>58</v>
      </c>
      <c r="AS858" s="6" t="str">
        <f>HYPERLINK("https://creighton-primo.hosted.exlibrisgroup.com/primo-explore/search?tab=default_tab&amp;search_scope=EVERYTHING&amp;vid=01CRU&amp;lang=en_US&amp;offset=0&amp;query=any,contains,991002337839702656","Catalog Record")</f>
        <v>Catalog Record</v>
      </c>
      <c r="AT858" s="6" t="str">
        <f>HYPERLINK("http://www.worldcat.org/oclc/30436779","WorldCat Record")</f>
        <v>WorldCat Record</v>
      </c>
      <c r="AU858" s="3" t="s">
        <v>10930</v>
      </c>
      <c r="AV858" s="3" t="s">
        <v>10931</v>
      </c>
      <c r="AW858" s="3" t="s">
        <v>10932</v>
      </c>
      <c r="AX858" s="3" t="s">
        <v>10932</v>
      </c>
      <c r="AY858" s="3" t="s">
        <v>10933</v>
      </c>
      <c r="AZ858" s="3" t="s">
        <v>73</v>
      </c>
      <c r="BB858" s="3" t="s">
        <v>10934</v>
      </c>
      <c r="BC858" s="3" t="s">
        <v>10935</v>
      </c>
      <c r="BD858" s="3" t="s">
        <v>10936</v>
      </c>
    </row>
    <row r="859" spans="1:56" ht="51" customHeight="1" x14ac:dyDescent="0.25">
      <c r="A859" s="7" t="s">
        <v>58</v>
      </c>
      <c r="B859" s="2" t="s">
        <v>10937</v>
      </c>
      <c r="C859" s="2" t="s">
        <v>10938</v>
      </c>
      <c r="D859" s="2" t="s">
        <v>10939</v>
      </c>
      <c r="F859" s="3" t="s">
        <v>58</v>
      </c>
      <c r="G859" s="3" t="s">
        <v>59</v>
      </c>
      <c r="H859" s="3" t="s">
        <v>58</v>
      </c>
      <c r="I859" s="3" t="s">
        <v>58</v>
      </c>
      <c r="J859" s="3" t="s">
        <v>60</v>
      </c>
      <c r="K859" s="2" t="s">
        <v>10940</v>
      </c>
      <c r="L859" s="2" t="s">
        <v>10941</v>
      </c>
      <c r="M859" s="3" t="s">
        <v>538</v>
      </c>
      <c r="O859" s="3" t="s">
        <v>63</v>
      </c>
      <c r="P859" s="3" t="s">
        <v>214</v>
      </c>
      <c r="Q859" s="2" t="s">
        <v>10942</v>
      </c>
      <c r="R859" s="3" t="s">
        <v>65</v>
      </c>
      <c r="S859" s="4">
        <v>2</v>
      </c>
      <c r="T859" s="4">
        <v>2</v>
      </c>
      <c r="U859" s="5" t="s">
        <v>10943</v>
      </c>
      <c r="V859" s="5" t="s">
        <v>10943</v>
      </c>
      <c r="W859" s="5" t="s">
        <v>2616</v>
      </c>
      <c r="X859" s="5" t="s">
        <v>2616</v>
      </c>
      <c r="Y859" s="4">
        <v>145</v>
      </c>
      <c r="Z859" s="4">
        <v>135</v>
      </c>
      <c r="AA859" s="4">
        <v>138</v>
      </c>
      <c r="AB859" s="4">
        <v>2</v>
      </c>
      <c r="AC859" s="4">
        <v>2</v>
      </c>
      <c r="AD859" s="4">
        <v>7</v>
      </c>
      <c r="AE859" s="4">
        <v>7</v>
      </c>
      <c r="AF859" s="4">
        <v>2</v>
      </c>
      <c r="AG859" s="4">
        <v>2</v>
      </c>
      <c r="AH859" s="4">
        <v>1</v>
      </c>
      <c r="AI859" s="4">
        <v>1</v>
      </c>
      <c r="AJ859" s="4">
        <v>3</v>
      </c>
      <c r="AK859" s="4">
        <v>3</v>
      </c>
      <c r="AL859" s="4">
        <v>1</v>
      </c>
      <c r="AM859" s="4">
        <v>1</v>
      </c>
      <c r="AN859" s="4">
        <v>0</v>
      </c>
      <c r="AO859" s="4">
        <v>0</v>
      </c>
      <c r="AP859" s="3" t="s">
        <v>58</v>
      </c>
      <c r="AQ859" s="3" t="s">
        <v>68</v>
      </c>
      <c r="AR859" s="6" t="str">
        <f>HYPERLINK("http://catalog.hathitrust.org/Record/008869689","HathiTrust Record")</f>
        <v>HathiTrust Record</v>
      </c>
      <c r="AS859" s="6" t="str">
        <f>HYPERLINK("https://creighton-primo.hosted.exlibrisgroup.com/primo-explore/search?tab=default_tab&amp;search_scope=EVERYTHING&amp;vid=01CRU&amp;lang=en_US&amp;offset=0&amp;query=any,contains,991000101959702656","Catalog Record")</f>
        <v>Catalog Record</v>
      </c>
      <c r="AT859" s="6" t="str">
        <f>HYPERLINK("http://www.worldcat.org/oclc/44943","WorldCat Record")</f>
        <v>WorldCat Record</v>
      </c>
      <c r="AU859" s="3" t="s">
        <v>10944</v>
      </c>
      <c r="AV859" s="3" t="s">
        <v>10945</v>
      </c>
      <c r="AW859" s="3" t="s">
        <v>10946</v>
      </c>
      <c r="AX859" s="3" t="s">
        <v>10946</v>
      </c>
      <c r="AY859" s="3" t="s">
        <v>10947</v>
      </c>
      <c r="AZ859" s="3" t="s">
        <v>73</v>
      </c>
      <c r="BC859" s="3" t="s">
        <v>10948</v>
      </c>
      <c r="BD859" s="3" t="s">
        <v>10949</v>
      </c>
    </row>
    <row r="860" spans="1:56" ht="51" customHeight="1" x14ac:dyDescent="0.25">
      <c r="A860" s="7" t="s">
        <v>58</v>
      </c>
      <c r="B860" s="2" t="s">
        <v>10950</v>
      </c>
      <c r="C860" s="2" t="s">
        <v>10951</v>
      </c>
      <c r="D860" s="2" t="s">
        <v>10952</v>
      </c>
      <c r="F860" s="3" t="s">
        <v>58</v>
      </c>
      <c r="G860" s="3" t="s">
        <v>59</v>
      </c>
      <c r="H860" s="3" t="s">
        <v>58</v>
      </c>
      <c r="I860" s="3" t="s">
        <v>58</v>
      </c>
      <c r="J860" s="3" t="s">
        <v>60</v>
      </c>
      <c r="K860" s="2" t="s">
        <v>10953</v>
      </c>
      <c r="L860" s="2" t="s">
        <v>10954</v>
      </c>
      <c r="M860" s="3" t="s">
        <v>10955</v>
      </c>
      <c r="O860" s="3" t="s">
        <v>63</v>
      </c>
      <c r="P860" s="3" t="s">
        <v>411</v>
      </c>
      <c r="R860" s="3" t="s">
        <v>65</v>
      </c>
      <c r="S860" s="4">
        <v>2</v>
      </c>
      <c r="T860" s="4">
        <v>2</v>
      </c>
      <c r="U860" s="5" t="s">
        <v>10956</v>
      </c>
      <c r="V860" s="5" t="s">
        <v>10956</v>
      </c>
      <c r="W860" s="5" t="s">
        <v>2616</v>
      </c>
      <c r="X860" s="5" t="s">
        <v>2616</v>
      </c>
      <c r="Y860" s="4">
        <v>328</v>
      </c>
      <c r="Z860" s="4">
        <v>276</v>
      </c>
      <c r="AA860" s="4">
        <v>467</v>
      </c>
      <c r="AB860" s="4">
        <v>4</v>
      </c>
      <c r="AC860" s="4">
        <v>4</v>
      </c>
      <c r="AD860" s="4">
        <v>15</v>
      </c>
      <c r="AE860" s="4">
        <v>22</v>
      </c>
      <c r="AF860" s="4">
        <v>1</v>
      </c>
      <c r="AG860" s="4">
        <v>6</v>
      </c>
      <c r="AH860" s="4">
        <v>5</v>
      </c>
      <c r="AI860" s="4">
        <v>7</v>
      </c>
      <c r="AJ860" s="4">
        <v>8</v>
      </c>
      <c r="AK860" s="4">
        <v>13</v>
      </c>
      <c r="AL860" s="4">
        <v>3</v>
      </c>
      <c r="AM860" s="4">
        <v>3</v>
      </c>
      <c r="AN860" s="4">
        <v>0</v>
      </c>
      <c r="AO860" s="4">
        <v>0</v>
      </c>
      <c r="AP860" s="3" t="s">
        <v>68</v>
      </c>
      <c r="AQ860" s="3" t="s">
        <v>58</v>
      </c>
      <c r="AR860" s="6" t="str">
        <f>HYPERLINK("http://catalog.hathitrust.org/Record/001249057","HathiTrust Record")</f>
        <v>HathiTrust Record</v>
      </c>
      <c r="AS860" s="6" t="str">
        <f>HYPERLINK("https://creighton-primo.hosted.exlibrisgroup.com/primo-explore/search?tab=default_tab&amp;search_scope=EVERYTHING&amp;vid=01CRU&amp;lang=en_US&amp;offset=0&amp;query=any,contains,991004230409702656","Catalog Record")</f>
        <v>Catalog Record</v>
      </c>
      <c r="AT860" s="6" t="str">
        <f>HYPERLINK("http://www.worldcat.org/oclc/2745091","WorldCat Record")</f>
        <v>WorldCat Record</v>
      </c>
      <c r="AU860" s="3" t="s">
        <v>10957</v>
      </c>
      <c r="AV860" s="3" t="s">
        <v>10958</v>
      </c>
      <c r="AW860" s="3" t="s">
        <v>10959</v>
      </c>
      <c r="AX860" s="3" t="s">
        <v>10959</v>
      </c>
      <c r="AY860" s="3" t="s">
        <v>10960</v>
      </c>
      <c r="AZ860" s="3" t="s">
        <v>73</v>
      </c>
      <c r="BC860" s="3" t="s">
        <v>10961</v>
      </c>
      <c r="BD860" s="3" t="s">
        <v>10962</v>
      </c>
    </row>
    <row r="861" spans="1:56" ht="51" customHeight="1" x14ac:dyDescent="0.25">
      <c r="A861" s="7" t="s">
        <v>58</v>
      </c>
      <c r="B861" s="2" t="s">
        <v>10963</v>
      </c>
      <c r="C861" s="2" t="s">
        <v>10964</v>
      </c>
      <c r="D861" s="2" t="s">
        <v>10965</v>
      </c>
      <c r="F861" s="3" t="s">
        <v>58</v>
      </c>
      <c r="G861" s="3" t="s">
        <v>59</v>
      </c>
      <c r="H861" s="3" t="s">
        <v>58</v>
      </c>
      <c r="I861" s="3" t="s">
        <v>58</v>
      </c>
      <c r="J861" s="3" t="s">
        <v>60</v>
      </c>
      <c r="K861" s="2" t="s">
        <v>10966</v>
      </c>
      <c r="L861" s="2" t="s">
        <v>10967</v>
      </c>
      <c r="M861" s="3" t="s">
        <v>538</v>
      </c>
      <c r="O861" s="3" t="s">
        <v>63</v>
      </c>
      <c r="P861" s="3" t="s">
        <v>214</v>
      </c>
      <c r="R861" s="3" t="s">
        <v>65</v>
      </c>
      <c r="S861" s="4">
        <v>1</v>
      </c>
      <c r="T861" s="4">
        <v>1</v>
      </c>
      <c r="U861" s="5" t="s">
        <v>3998</v>
      </c>
      <c r="V861" s="5" t="s">
        <v>3998</v>
      </c>
      <c r="W861" s="5" t="s">
        <v>10968</v>
      </c>
      <c r="X861" s="5" t="s">
        <v>10968</v>
      </c>
      <c r="Y861" s="4">
        <v>317</v>
      </c>
      <c r="Z861" s="4">
        <v>288</v>
      </c>
      <c r="AA861" s="4">
        <v>295</v>
      </c>
      <c r="AB861" s="4">
        <v>2</v>
      </c>
      <c r="AC861" s="4">
        <v>2</v>
      </c>
      <c r="AD861" s="4">
        <v>16</v>
      </c>
      <c r="AE861" s="4">
        <v>16</v>
      </c>
      <c r="AF861" s="4">
        <v>6</v>
      </c>
      <c r="AG861" s="4">
        <v>6</v>
      </c>
      <c r="AH861" s="4">
        <v>1</v>
      </c>
      <c r="AI861" s="4">
        <v>1</v>
      </c>
      <c r="AJ861" s="4">
        <v>11</v>
      </c>
      <c r="AK861" s="4">
        <v>11</v>
      </c>
      <c r="AL861" s="4">
        <v>1</v>
      </c>
      <c r="AM861" s="4">
        <v>1</v>
      </c>
      <c r="AN861" s="4">
        <v>0</v>
      </c>
      <c r="AO861" s="4">
        <v>0</v>
      </c>
      <c r="AP861" s="3" t="s">
        <v>58</v>
      </c>
      <c r="AQ861" s="3" t="s">
        <v>68</v>
      </c>
      <c r="AR861" s="6" t="str">
        <f>HYPERLINK("http://catalog.hathitrust.org/Record/007480744","HathiTrust Record")</f>
        <v>HathiTrust Record</v>
      </c>
      <c r="AS861" s="6" t="str">
        <f>HYPERLINK("https://creighton-primo.hosted.exlibrisgroup.com/primo-explore/search?tab=default_tab&amp;search_scope=EVERYTHING&amp;vid=01CRU&amp;lang=en_US&amp;offset=0&amp;query=any,contains,991000011989702656","Catalog Record")</f>
        <v>Catalog Record</v>
      </c>
      <c r="AT861" s="6" t="str">
        <f>HYPERLINK("http://www.worldcat.org/oclc/15362","WorldCat Record")</f>
        <v>WorldCat Record</v>
      </c>
      <c r="AU861" s="3" t="s">
        <v>10969</v>
      </c>
      <c r="AV861" s="3" t="s">
        <v>10970</v>
      </c>
      <c r="AW861" s="3" t="s">
        <v>10971</v>
      </c>
      <c r="AX861" s="3" t="s">
        <v>10971</v>
      </c>
      <c r="AY861" s="3" t="s">
        <v>10972</v>
      </c>
      <c r="AZ861" s="3" t="s">
        <v>73</v>
      </c>
      <c r="BC861" s="3" t="s">
        <v>10973</v>
      </c>
      <c r="BD861" s="3" t="s">
        <v>10974</v>
      </c>
    </row>
    <row r="862" spans="1:56" ht="51" customHeight="1" x14ac:dyDescent="0.25">
      <c r="A862" s="7" t="s">
        <v>58</v>
      </c>
      <c r="B862" s="2" t="s">
        <v>10975</v>
      </c>
      <c r="C862" s="2" t="s">
        <v>10976</v>
      </c>
      <c r="D862" s="2" t="s">
        <v>10977</v>
      </c>
      <c r="F862" s="3" t="s">
        <v>58</v>
      </c>
      <c r="G862" s="3" t="s">
        <v>59</v>
      </c>
      <c r="H862" s="3" t="s">
        <v>58</v>
      </c>
      <c r="I862" s="3" t="s">
        <v>58</v>
      </c>
      <c r="J862" s="3" t="s">
        <v>60</v>
      </c>
      <c r="K862" s="2" t="s">
        <v>10978</v>
      </c>
      <c r="L862" s="2" t="s">
        <v>10979</v>
      </c>
      <c r="M862" s="3" t="s">
        <v>1544</v>
      </c>
      <c r="O862" s="3" t="s">
        <v>63</v>
      </c>
      <c r="P862" s="3" t="s">
        <v>64</v>
      </c>
      <c r="Q862" s="2" t="s">
        <v>10980</v>
      </c>
      <c r="R862" s="3" t="s">
        <v>65</v>
      </c>
      <c r="S862" s="4">
        <v>2</v>
      </c>
      <c r="T862" s="4">
        <v>2</v>
      </c>
      <c r="U862" s="5" t="s">
        <v>10981</v>
      </c>
      <c r="V862" s="5" t="s">
        <v>10981</v>
      </c>
      <c r="W862" s="5" t="s">
        <v>10982</v>
      </c>
      <c r="X862" s="5" t="s">
        <v>10982</v>
      </c>
      <c r="Y862" s="4">
        <v>155</v>
      </c>
      <c r="Z862" s="4">
        <v>74</v>
      </c>
      <c r="AA862" s="4">
        <v>74</v>
      </c>
      <c r="AB862" s="4">
        <v>1</v>
      </c>
      <c r="AC862" s="4">
        <v>1</v>
      </c>
      <c r="AD862" s="4">
        <v>4</v>
      </c>
      <c r="AE862" s="4">
        <v>4</v>
      </c>
      <c r="AF862" s="4">
        <v>1</v>
      </c>
      <c r="AG862" s="4">
        <v>1</v>
      </c>
      <c r="AH862" s="4">
        <v>2</v>
      </c>
      <c r="AI862" s="4">
        <v>2</v>
      </c>
      <c r="AJ862" s="4">
        <v>3</v>
      </c>
      <c r="AK862" s="4">
        <v>3</v>
      </c>
      <c r="AL862" s="4">
        <v>0</v>
      </c>
      <c r="AM862" s="4">
        <v>0</v>
      </c>
      <c r="AN862" s="4">
        <v>0</v>
      </c>
      <c r="AO862" s="4">
        <v>0</v>
      </c>
      <c r="AP862" s="3" t="s">
        <v>58</v>
      </c>
      <c r="AQ862" s="3" t="s">
        <v>58</v>
      </c>
      <c r="AS862" s="6" t="str">
        <f>HYPERLINK("https://creighton-primo.hosted.exlibrisgroup.com/primo-explore/search?tab=default_tab&amp;search_scope=EVERYTHING&amp;vid=01CRU&amp;lang=en_US&amp;offset=0&amp;query=any,contains,991002144419702656","Catalog Record")</f>
        <v>Catalog Record</v>
      </c>
      <c r="AT862" s="6" t="str">
        <f>HYPERLINK("http://www.worldcat.org/oclc/30700819","WorldCat Record")</f>
        <v>WorldCat Record</v>
      </c>
      <c r="AU862" s="3" t="s">
        <v>10983</v>
      </c>
      <c r="AV862" s="3" t="s">
        <v>10984</v>
      </c>
      <c r="AW862" s="3" t="s">
        <v>10985</v>
      </c>
      <c r="AX862" s="3" t="s">
        <v>10985</v>
      </c>
      <c r="AY862" s="3" t="s">
        <v>10986</v>
      </c>
      <c r="AZ862" s="3" t="s">
        <v>73</v>
      </c>
      <c r="BB862" s="3" t="s">
        <v>10987</v>
      </c>
      <c r="BC862" s="3" t="s">
        <v>10988</v>
      </c>
      <c r="BD862" s="3" t="s">
        <v>10989</v>
      </c>
    </row>
    <row r="863" spans="1:56" ht="51" customHeight="1" x14ac:dyDescent="0.25">
      <c r="A863" s="7" t="s">
        <v>58</v>
      </c>
      <c r="B863" s="2" t="s">
        <v>10990</v>
      </c>
      <c r="C863" s="2" t="s">
        <v>10991</v>
      </c>
      <c r="D863" s="2" t="s">
        <v>10992</v>
      </c>
      <c r="F863" s="3" t="s">
        <v>58</v>
      </c>
      <c r="G863" s="3" t="s">
        <v>59</v>
      </c>
      <c r="H863" s="3" t="s">
        <v>58</v>
      </c>
      <c r="I863" s="3" t="s">
        <v>58</v>
      </c>
      <c r="J863" s="3" t="s">
        <v>60</v>
      </c>
      <c r="L863" s="2" t="s">
        <v>10993</v>
      </c>
      <c r="M863" s="3" t="s">
        <v>2186</v>
      </c>
      <c r="O863" s="3" t="s">
        <v>63</v>
      </c>
      <c r="P863" s="3" t="s">
        <v>510</v>
      </c>
      <c r="Q863" s="2" t="s">
        <v>10994</v>
      </c>
      <c r="R863" s="3" t="s">
        <v>65</v>
      </c>
      <c r="S863" s="4">
        <v>1</v>
      </c>
      <c r="T863" s="4">
        <v>1</v>
      </c>
      <c r="U863" s="5" t="s">
        <v>10995</v>
      </c>
      <c r="V863" s="5" t="s">
        <v>10995</v>
      </c>
      <c r="W863" s="5" t="s">
        <v>10995</v>
      </c>
      <c r="X863" s="5" t="s">
        <v>10995</v>
      </c>
      <c r="Y863" s="4">
        <v>155</v>
      </c>
      <c r="Z863" s="4">
        <v>109</v>
      </c>
      <c r="AA863" s="4">
        <v>115</v>
      </c>
      <c r="AB863" s="4">
        <v>2</v>
      </c>
      <c r="AC863" s="4">
        <v>2</v>
      </c>
      <c r="AD863" s="4">
        <v>5</v>
      </c>
      <c r="AE863" s="4">
        <v>5</v>
      </c>
      <c r="AF863" s="4">
        <v>0</v>
      </c>
      <c r="AG863" s="4">
        <v>0</v>
      </c>
      <c r="AH863" s="4">
        <v>3</v>
      </c>
      <c r="AI863" s="4">
        <v>3</v>
      </c>
      <c r="AJ863" s="4">
        <v>2</v>
      </c>
      <c r="AK863" s="4">
        <v>2</v>
      </c>
      <c r="AL863" s="4">
        <v>1</v>
      </c>
      <c r="AM863" s="4">
        <v>1</v>
      </c>
      <c r="AN863" s="4">
        <v>0</v>
      </c>
      <c r="AO863" s="4">
        <v>0</v>
      </c>
      <c r="AP863" s="3" t="s">
        <v>58</v>
      </c>
      <c r="AQ863" s="3" t="s">
        <v>68</v>
      </c>
      <c r="AR863" s="6" t="str">
        <f>HYPERLINK("http://catalog.hathitrust.org/Record/005542336","HathiTrust Record")</f>
        <v>HathiTrust Record</v>
      </c>
      <c r="AS863" s="6" t="str">
        <f>HYPERLINK("https://creighton-primo.hosted.exlibrisgroup.com/primo-explore/search?tab=default_tab&amp;search_scope=EVERYTHING&amp;vid=01CRU&amp;lang=en_US&amp;offset=0&amp;query=any,contains,991005340899702656","Catalog Record")</f>
        <v>Catalog Record</v>
      </c>
      <c r="AT863" s="6" t="str">
        <f>HYPERLINK("http://www.worldcat.org/oclc/80331813","WorldCat Record")</f>
        <v>WorldCat Record</v>
      </c>
      <c r="AU863" s="3" t="s">
        <v>10996</v>
      </c>
      <c r="AV863" s="3" t="s">
        <v>10997</v>
      </c>
      <c r="AW863" s="3" t="s">
        <v>10998</v>
      </c>
      <c r="AX863" s="3" t="s">
        <v>10998</v>
      </c>
      <c r="AY863" s="3" t="s">
        <v>10999</v>
      </c>
      <c r="AZ863" s="3" t="s">
        <v>73</v>
      </c>
      <c r="BB863" s="3" t="s">
        <v>11000</v>
      </c>
      <c r="BC863" s="3" t="s">
        <v>11001</v>
      </c>
      <c r="BD863" s="3" t="s">
        <v>11002</v>
      </c>
    </row>
    <row r="864" spans="1:56" ht="51" customHeight="1" x14ac:dyDescent="0.25">
      <c r="A864" s="7" t="s">
        <v>58</v>
      </c>
      <c r="B864" s="2" t="s">
        <v>11003</v>
      </c>
      <c r="C864" s="2" t="s">
        <v>11004</v>
      </c>
      <c r="D864" s="2" t="s">
        <v>11005</v>
      </c>
      <c r="F864" s="3" t="s">
        <v>58</v>
      </c>
      <c r="G864" s="3" t="s">
        <v>59</v>
      </c>
      <c r="H864" s="3" t="s">
        <v>58</v>
      </c>
      <c r="I864" s="3" t="s">
        <v>58</v>
      </c>
      <c r="J864" s="3" t="s">
        <v>60</v>
      </c>
      <c r="K864" s="2" t="s">
        <v>11006</v>
      </c>
      <c r="L864" s="2" t="s">
        <v>11007</v>
      </c>
      <c r="M864" s="3" t="s">
        <v>4023</v>
      </c>
      <c r="O864" s="3" t="s">
        <v>63</v>
      </c>
      <c r="P864" s="3" t="s">
        <v>2061</v>
      </c>
      <c r="R864" s="3" t="s">
        <v>65</v>
      </c>
      <c r="S864" s="4">
        <v>3</v>
      </c>
      <c r="T864" s="4">
        <v>3</v>
      </c>
      <c r="U864" s="5" t="s">
        <v>11008</v>
      </c>
      <c r="V864" s="5" t="s">
        <v>11008</v>
      </c>
      <c r="W864" s="5" t="s">
        <v>11009</v>
      </c>
      <c r="X864" s="5" t="s">
        <v>11009</v>
      </c>
      <c r="Y864" s="4">
        <v>82</v>
      </c>
      <c r="Z864" s="4">
        <v>78</v>
      </c>
      <c r="AA864" s="4">
        <v>1088</v>
      </c>
      <c r="AB864" s="4">
        <v>1</v>
      </c>
      <c r="AC864" s="4">
        <v>9</v>
      </c>
      <c r="AD864" s="4">
        <v>3</v>
      </c>
      <c r="AE864" s="4">
        <v>47</v>
      </c>
      <c r="AF864" s="4">
        <v>2</v>
      </c>
      <c r="AG864" s="4">
        <v>20</v>
      </c>
      <c r="AH864" s="4">
        <v>0</v>
      </c>
      <c r="AI864" s="4">
        <v>10</v>
      </c>
      <c r="AJ864" s="4">
        <v>1</v>
      </c>
      <c r="AK864" s="4">
        <v>20</v>
      </c>
      <c r="AL864" s="4">
        <v>0</v>
      </c>
      <c r="AM864" s="4">
        <v>8</v>
      </c>
      <c r="AN864" s="4">
        <v>0</v>
      </c>
      <c r="AO864" s="4">
        <v>0</v>
      </c>
      <c r="AP864" s="3" t="s">
        <v>58</v>
      </c>
      <c r="AQ864" s="3" t="s">
        <v>58</v>
      </c>
      <c r="AS864" s="6" t="str">
        <f>HYPERLINK("https://creighton-primo.hosted.exlibrisgroup.com/primo-explore/search?tab=default_tab&amp;search_scope=EVERYTHING&amp;vid=01CRU&amp;lang=en_US&amp;offset=0&amp;query=any,contains,991004544059702656","Catalog Record")</f>
        <v>Catalog Record</v>
      </c>
      <c r="AT864" s="6" t="str">
        <f>HYPERLINK("http://www.worldcat.org/oclc/57724356","WorldCat Record")</f>
        <v>WorldCat Record</v>
      </c>
      <c r="AU864" s="3" t="s">
        <v>11010</v>
      </c>
      <c r="AV864" s="3" t="s">
        <v>11011</v>
      </c>
      <c r="AW864" s="3" t="s">
        <v>11012</v>
      </c>
      <c r="AX864" s="3" t="s">
        <v>11012</v>
      </c>
      <c r="AY864" s="3" t="s">
        <v>11013</v>
      </c>
      <c r="AZ864" s="3" t="s">
        <v>73</v>
      </c>
      <c r="BB864" s="3" t="s">
        <v>11014</v>
      </c>
      <c r="BC864" s="3" t="s">
        <v>11015</v>
      </c>
      <c r="BD864" s="3" t="s">
        <v>11016</v>
      </c>
    </row>
    <row r="865" spans="1:56" ht="51" customHeight="1" x14ac:dyDescent="0.25">
      <c r="A865" s="7" t="s">
        <v>58</v>
      </c>
      <c r="B865" s="2" t="s">
        <v>11017</v>
      </c>
      <c r="C865" s="2" t="s">
        <v>11018</v>
      </c>
      <c r="D865" s="2" t="s">
        <v>11019</v>
      </c>
      <c r="F865" s="3" t="s">
        <v>58</v>
      </c>
      <c r="G865" s="3" t="s">
        <v>59</v>
      </c>
      <c r="H865" s="3" t="s">
        <v>58</v>
      </c>
      <c r="I865" s="3" t="s">
        <v>58</v>
      </c>
      <c r="J865" s="3" t="s">
        <v>60</v>
      </c>
      <c r="K865" s="2" t="s">
        <v>11020</v>
      </c>
      <c r="L865" s="2" t="s">
        <v>11021</v>
      </c>
      <c r="M865" s="3" t="s">
        <v>524</v>
      </c>
      <c r="O865" s="3" t="s">
        <v>63</v>
      </c>
      <c r="P865" s="3" t="s">
        <v>584</v>
      </c>
      <c r="R865" s="3" t="s">
        <v>65</v>
      </c>
      <c r="S865" s="4">
        <v>7</v>
      </c>
      <c r="T865" s="4">
        <v>7</v>
      </c>
      <c r="U865" s="5" t="s">
        <v>7605</v>
      </c>
      <c r="V865" s="5" t="s">
        <v>7605</v>
      </c>
      <c r="W865" s="5" t="s">
        <v>10968</v>
      </c>
      <c r="X865" s="5" t="s">
        <v>10968</v>
      </c>
      <c r="Y865" s="4">
        <v>291</v>
      </c>
      <c r="Z865" s="4">
        <v>182</v>
      </c>
      <c r="AA865" s="4">
        <v>620</v>
      </c>
      <c r="AB865" s="4">
        <v>4</v>
      </c>
      <c r="AC865" s="4">
        <v>5</v>
      </c>
      <c r="AD865" s="4">
        <v>12</v>
      </c>
      <c r="AE865" s="4">
        <v>32</v>
      </c>
      <c r="AF865" s="4">
        <v>3</v>
      </c>
      <c r="AG865" s="4">
        <v>12</v>
      </c>
      <c r="AH865" s="4">
        <v>2</v>
      </c>
      <c r="AI865" s="4">
        <v>8</v>
      </c>
      <c r="AJ865" s="4">
        <v>7</v>
      </c>
      <c r="AK865" s="4">
        <v>15</v>
      </c>
      <c r="AL865" s="4">
        <v>3</v>
      </c>
      <c r="AM865" s="4">
        <v>4</v>
      </c>
      <c r="AN865" s="4">
        <v>0</v>
      </c>
      <c r="AO865" s="4">
        <v>1</v>
      </c>
      <c r="AP865" s="3" t="s">
        <v>58</v>
      </c>
      <c r="AQ865" s="3" t="s">
        <v>58</v>
      </c>
      <c r="AS865" s="6" t="str">
        <f>HYPERLINK("https://creighton-primo.hosted.exlibrisgroup.com/primo-explore/search?tab=default_tab&amp;search_scope=EVERYTHING&amp;vid=01CRU&amp;lang=en_US&amp;offset=0&amp;query=any,contains,991000799589702656","Catalog Record")</f>
        <v>Catalog Record</v>
      </c>
      <c r="AT865" s="6" t="str">
        <f>HYPERLINK("http://www.worldcat.org/oclc/13218081","WorldCat Record")</f>
        <v>WorldCat Record</v>
      </c>
      <c r="AU865" s="3" t="s">
        <v>11022</v>
      </c>
      <c r="AV865" s="3" t="s">
        <v>11023</v>
      </c>
      <c r="AW865" s="3" t="s">
        <v>11024</v>
      </c>
      <c r="AX865" s="3" t="s">
        <v>11024</v>
      </c>
      <c r="AY865" s="3" t="s">
        <v>11025</v>
      </c>
      <c r="AZ865" s="3" t="s">
        <v>73</v>
      </c>
      <c r="BB865" s="3" t="s">
        <v>11026</v>
      </c>
      <c r="BC865" s="3" t="s">
        <v>11027</v>
      </c>
      <c r="BD865" s="3" t="s">
        <v>11028</v>
      </c>
    </row>
    <row r="866" spans="1:56" ht="51" customHeight="1" x14ac:dyDescent="0.25">
      <c r="A866" s="7" t="s">
        <v>58</v>
      </c>
      <c r="B866" s="2" t="s">
        <v>11029</v>
      </c>
      <c r="C866" s="2" t="s">
        <v>11030</v>
      </c>
      <c r="D866" s="2" t="s">
        <v>11031</v>
      </c>
      <c r="F866" s="3" t="s">
        <v>58</v>
      </c>
      <c r="G866" s="3" t="s">
        <v>59</v>
      </c>
      <c r="H866" s="3" t="s">
        <v>58</v>
      </c>
      <c r="I866" s="3" t="s">
        <v>58</v>
      </c>
      <c r="J866" s="3" t="s">
        <v>60</v>
      </c>
      <c r="L866" s="2" t="s">
        <v>11032</v>
      </c>
      <c r="M866" s="3" t="s">
        <v>800</v>
      </c>
      <c r="N866" s="2" t="s">
        <v>338</v>
      </c>
      <c r="O866" s="3" t="s">
        <v>63</v>
      </c>
      <c r="P866" s="3" t="s">
        <v>214</v>
      </c>
      <c r="R866" s="3" t="s">
        <v>65</v>
      </c>
      <c r="S866" s="4">
        <v>4</v>
      </c>
      <c r="T866" s="4">
        <v>4</v>
      </c>
      <c r="U866" s="5" t="s">
        <v>3998</v>
      </c>
      <c r="V866" s="5" t="s">
        <v>3998</v>
      </c>
      <c r="W866" s="5" t="s">
        <v>11033</v>
      </c>
      <c r="X866" s="5" t="s">
        <v>11033</v>
      </c>
      <c r="Y866" s="4">
        <v>299</v>
      </c>
      <c r="Z866" s="4">
        <v>165</v>
      </c>
      <c r="AA866" s="4">
        <v>170</v>
      </c>
      <c r="AB866" s="4">
        <v>1</v>
      </c>
      <c r="AC866" s="4">
        <v>1</v>
      </c>
      <c r="AD866" s="4">
        <v>8</v>
      </c>
      <c r="AE866" s="4">
        <v>8</v>
      </c>
      <c r="AF866" s="4">
        <v>1</v>
      </c>
      <c r="AG866" s="4">
        <v>1</v>
      </c>
      <c r="AH866" s="4">
        <v>5</v>
      </c>
      <c r="AI866" s="4">
        <v>5</v>
      </c>
      <c r="AJ866" s="4">
        <v>4</v>
      </c>
      <c r="AK866" s="4">
        <v>4</v>
      </c>
      <c r="AL866" s="4">
        <v>0</v>
      </c>
      <c r="AM866" s="4">
        <v>0</v>
      </c>
      <c r="AN866" s="4">
        <v>0</v>
      </c>
      <c r="AO866" s="4">
        <v>0</v>
      </c>
      <c r="AP866" s="3" t="s">
        <v>58</v>
      </c>
      <c r="AQ866" s="3" t="s">
        <v>58</v>
      </c>
      <c r="AS866" s="6" t="str">
        <f>HYPERLINK("https://creighton-primo.hosted.exlibrisgroup.com/primo-explore/search?tab=default_tab&amp;search_scope=EVERYTHING&amp;vid=01CRU&amp;lang=en_US&amp;offset=0&amp;query=any,contains,991002491919702656","Catalog Record")</f>
        <v>Catalog Record</v>
      </c>
      <c r="AT866" s="6" t="str">
        <f>HYPERLINK("http://www.worldcat.org/oclc/32429563","WorldCat Record")</f>
        <v>WorldCat Record</v>
      </c>
      <c r="AU866" s="3" t="s">
        <v>11034</v>
      </c>
      <c r="AV866" s="3" t="s">
        <v>11035</v>
      </c>
      <c r="AW866" s="3" t="s">
        <v>11036</v>
      </c>
      <c r="AX866" s="3" t="s">
        <v>11036</v>
      </c>
      <c r="AY866" s="3" t="s">
        <v>11037</v>
      </c>
      <c r="AZ866" s="3" t="s">
        <v>73</v>
      </c>
      <c r="BB866" s="3" t="s">
        <v>11038</v>
      </c>
      <c r="BC866" s="3" t="s">
        <v>11039</v>
      </c>
      <c r="BD866" s="3" t="s">
        <v>11040</v>
      </c>
    </row>
    <row r="867" spans="1:56" ht="51" customHeight="1" x14ac:dyDescent="0.25">
      <c r="A867" s="7" t="s">
        <v>58</v>
      </c>
      <c r="B867" s="2" t="s">
        <v>11041</v>
      </c>
      <c r="C867" s="2" t="s">
        <v>11042</v>
      </c>
      <c r="D867" s="2" t="s">
        <v>11043</v>
      </c>
      <c r="F867" s="3" t="s">
        <v>58</v>
      </c>
      <c r="G867" s="3" t="s">
        <v>59</v>
      </c>
      <c r="H867" s="3" t="s">
        <v>58</v>
      </c>
      <c r="I867" s="3" t="s">
        <v>58</v>
      </c>
      <c r="J867" s="3" t="s">
        <v>60</v>
      </c>
      <c r="L867" s="2" t="s">
        <v>11044</v>
      </c>
      <c r="M867" s="3" t="s">
        <v>382</v>
      </c>
      <c r="O867" s="3" t="s">
        <v>63</v>
      </c>
      <c r="P867" s="3" t="s">
        <v>584</v>
      </c>
      <c r="Q867" s="2" t="s">
        <v>11045</v>
      </c>
      <c r="R867" s="3" t="s">
        <v>65</v>
      </c>
      <c r="S867" s="4">
        <v>1</v>
      </c>
      <c r="T867" s="4">
        <v>1</v>
      </c>
      <c r="U867" s="5" t="s">
        <v>11046</v>
      </c>
      <c r="V867" s="5" t="s">
        <v>11046</v>
      </c>
      <c r="W867" s="5" t="s">
        <v>11046</v>
      </c>
      <c r="X867" s="5" t="s">
        <v>11046</v>
      </c>
      <c r="Y867" s="4">
        <v>275</v>
      </c>
      <c r="Z867" s="4">
        <v>209</v>
      </c>
      <c r="AA867" s="4">
        <v>215</v>
      </c>
      <c r="AB867" s="4">
        <v>3</v>
      </c>
      <c r="AC867" s="4">
        <v>3</v>
      </c>
      <c r="AD867" s="4">
        <v>13</v>
      </c>
      <c r="AE867" s="4">
        <v>13</v>
      </c>
      <c r="AF867" s="4">
        <v>4</v>
      </c>
      <c r="AG867" s="4">
        <v>4</v>
      </c>
      <c r="AH867" s="4">
        <v>4</v>
      </c>
      <c r="AI867" s="4">
        <v>4</v>
      </c>
      <c r="AJ867" s="4">
        <v>7</v>
      </c>
      <c r="AK867" s="4">
        <v>7</v>
      </c>
      <c r="AL867" s="4">
        <v>2</v>
      </c>
      <c r="AM867" s="4">
        <v>2</v>
      </c>
      <c r="AN867" s="4">
        <v>0</v>
      </c>
      <c r="AO867" s="4">
        <v>0</v>
      </c>
      <c r="AP867" s="3" t="s">
        <v>58</v>
      </c>
      <c r="AQ867" s="3" t="s">
        <v>68</v>
      </c>
      <c r="AR867" s="6" t="str">
        <f>HYPERLINK("http://catalog.hathitrust.org/Record/004079848","HathiTrust Record")</f>
        <v>HathiTrust Record</v>
      </c>
      <c r="AS867" s="6" t="str">
        <f>HYPERLINK("https://creighton-primo.hosted.exlibrisgroup.com/primo-explore/search?tab=default_tab&amp;search_scope=EVERYTHING&amp;vid=01CRU&amp;lang=en_US&amp;offset=0&amp;query=any,contains,991003510879702656","Catalog Record")</f>
        <v>Catalog Record</v>
      </c>
      <c r="AT867" s="6" t="str">
        <f>HYPERLINK("http://www.worldcat.org/oclc/42786332","WorldCat Record")</f>
        <v>WorldCat Record</v>
      </c>
      <c r="AU867" s="3" t="s">
        <v>11047</v>
      </c>
      <c r="AV867" s="3" t="s">
        <v>11048</v>
      </c>
      <c r="AW867" s="3" t="s">
        <v>11049</v>
      </c>
      <c r="AX867" s="3" t="s">
        <v>11049</v>
      </c>
      <c r="AY867" s="3" t="s">
        <v>11050</v>
      </c>
      <c r="AZ867" s="3" t="s">
        <v>73</v>
      </c>
      <c r="BB867" s="3" t="s">
        <v>11051</v>
      </c>
      <c r="BC867" s="3" t="s">
        <v>11052</v>
      </c>
      <c r="BD867" s="3" t="s">
        <v>11053</v>
      </c>
    </row>
    <row r="868" spans="1:56" ht="51" customHeight="1" x14ac:dyDescent="0.25">
      <c r="A868" s="7" t="s">
        <v>58</v>
      </c>
      <c r="B868" s="2" t="s">
        <v>11054</v>
      </c>
      <c r="C868" s="2" t="s">
        <v>11055</v>
      </c>
      <c r="D868" s="2" t="s">
        <v>11056</v>
      </c>
      <c r="F868" s="3" t="s">
        <v>58</v>
      </c>
      <c r="G868" s="3" t="s">
        <v>59</v>
      </c>
      <c r="H868" s="3" t="s">
        <v>58</v>
      </c>
      <c r="I868" s="3" t="s">
        <v>58</v>
      </c>
      <c r="J868" s="3" t="s">
        <v>60</v>
      </c>
      <c r="L868" s="2" t="s">
        <v>11057</v>
      </c>
      <c r="M868" s="3" t="s">
        <v>951</v>
      </c>
      <c r="O868" s="3" t="s">
        <v>63</v>
      </c>
      <c r="P868" s="3" t="s">
        <v>816</v>
      </c>
      <c r="Q868" s="2" t="s">
        <v>11058</v>
      </c>
      <c r="R868" s="3" t="s">
        <v>65</v>
      </c>
      <c r="S868" s="4">
        <v>2</v>
      </c>
      <c r="T868" s="4">
        <v>2</v>
      </c>
      <c r="U868" s="5" t="s">
        <v>11059</v>
      </c>
      <c r="V868" s="5" t="s">
        <v>11059</v>
      </c>
      <c r="W868" s="5" t="s">
        <v>11060</v>
      </c>
      <c r="X868" s="5" t="s">
        <v>11060</v>
      </c>
      <c r="Y868" s="4">
        <v>337</v>
      </c>
      <c r="Z868" s="4">
        <v>247</v>
      </c>
      <c r="AA868" s="4">
        <v>252</v>
      </c>
      <c r="AB868" s="4">
        <v>1</v>
      </c>
      <c r="AC868" s="4">
        <v>1</v>
      </c>
      <c r="AD868" s="4">
        <v>11</v>
      </c>
      <c r="AE868" s="4">
        <v>11</v>
      </c>
      <c r="AF868" s="4">
        <v>2</v>
      </c>
      <c r="AG868" s="4">
        <v>2</v>
      </c>
      <c r="AH868" s="4">
        <v>4</v>
      </c>
      <c r="AI868" s="4">
        <v>4</v>
      </c>
      <c r="AJ868" s="4">
        <v>7</v>
      </c>
      <c r="AK868" s="4">
        <v>7</v>
      </c>
      <c r="AL868" s="4">
        <v>0</v>
      </c>
      <c r="AM868" s="4">
        <v>0</v>
      </c>
      <c r="AN868" s="4">
        <v>0</v>
      </c>
      <c r="AO868" s="4">
        <v>0</v>
      </c>
      <c r="AP868" s="3" t="s">
        <v>58</v>
      </c>
      <c r="AQ868" s="3" t="s">
        <v>58</v>
      </c>
      <c r="AS868" s="6" t="str">
        <f>HYPERLINK("https://creighton-primo.hosted.exlibrisgroup.com/primo-explore/search?tab=default_tab&amp;search_scope=EVERYTHING&amp;vid=01CRU&amp;lang=en_US&amp;offset=0&amp;query=any,contains,991003343059702656","Catalog Record")</f>
        <v>Catalog Record</v>
      </c>
      <c r="AT868" s="6" t="str">
        <f>HYPERLINK("http://www.worldcat.org/oclc/43930150","WorldCat Record")</f>
        <v>WorldCat Record</v>
      </c>
      <c r="AU868" s="3" t="s">
        <v>11061</v>
      </c>
      <c r="AV868" s="3" t="s">
        <v>11062</v>
      </c>
      <c r="AW868" s="3" t="s">
        <v>11063</v>
      </c>
      <c r="AX868" s="3" t="s">
        <v>11063</v>
      </c>
      <c r="AY868" s="3" t="s">
        <v>11064</v>
      </c>
      <c r="AZ868" s="3" t="s">
        <v>73</v>
      </c>
      <c r="BB868" s="3" t="s">
        <v>11065</v>
      </c>
      <c r="BC868" s="3" t="s">
        <v>11066</v>
      </c>
      <c r="BD868" s="3" t="s">
        <v>11067</v>
      </c>
    </row>
    <row r="869" spans="1:56" ht="51" customHeight="1" x14ac:dyDescent="0.25">
      <c r="A869" s="7" t="s">
        <v>58</v>
      </c>
      <c r="B869" s="2" t="s">
        <v>11068</v>
      </c>
      <c r="C869" s="2" t="s">
        <v>11069</v>
      </c>
      <c r="D869" s="2" t="s">
        <v>11070</v>
      </c>
      <c r="F869" s="3" t="s">
        <v>58</v>
      </c>
      <c r="G869" s="3" t="s">
        <v>59</v>
      </c>
      <c r="H869" s="3" t="s">
        <v>58</v>
      </c>
      <c r="I869" s="3" t="s">
        <v>58</v>
      </c>
      <c r="J869" s="3" t="s">
        <v>60</v>
      </c>
      <c r="L869" s="2" t="s">
        <v>11071</v>
      </c>
      <c r="M869" s="3" t="s">
        <v>1061</v>
      </c>
      <c r="O869" s="3" t="s">
        <v>63</v>
      </c>
      <c r="P869" s="3" t="s">
        <v>3109</v>
      </c>
      <c r="R869" s="3" t="s">
        <v>65</v>
      </c>
      <c r="S869" s="4">
        <v>5</v>
      </c>
      <c r="T869" s="4">
        <v>5</v>
      </c>
      <c r="U869" s="5" t="s">
        <v>11072</v>
      </c>
      <c r="V869" s="5" t="s">
        <v>11072</v>
      </c>
      <c r="W869" s="5" t="s">
        <v>7764</v>
      </c>
      <c r="X869" s="5" t="s">
        <v>7764</v>
      </c>
      <c r="Y869" s="4">
        <v>119</v>
      </c>
      <c r="Z869" s="4">
        <v>103</v>
      </c>
      <c r="AA869" s="4">
        <v>109</v>
      </c>
      <c r="AB869" s="4">
        <v>2</v>
      </c>
      <c r="AC869" s="4">
        <v>2</v>
      </c>
      <c r="AD869" s="4">
        <v>3</v>
      </c>
      <c r="AE869" s="4">
        <v>3</v>
      </c>
      <c r="AF869" s="4">
        <v>2</v>
      </c>
      <c r="AG869" s="4">
        <v>2</v>
      </c>
      <c r="AH869" s="4">
        <v>0</v>
      </c>
      <c r="AI869" s="4">
        <v>0</v>
      </c>
      <c r="AJ869" s="4">
        <v>0</v>
      </c>
      <c r="AK869" s="4">
        <v>0</v>
      </c>
      <c r="AL869" s="4">
        <v>1</v>
      </c>
      <c r="AM869" s="4">
        <v>1</v>
      </c>
      <c r="AN869" s="4">
        <v>0</v>
      </c>
      <c r="AO869" s="4">
        <v>0</v>
      </c>
      <c r="AP869" s="3" t="s">
        <v>58</v>
      </c>
      <c r="AQ869" s="3" t="s">
        <v>68</v>
      </c>
      <c r="AR869" s="6" t="str">
        <f>HYPERLINK("http://catalog.hathitrust.org/Record/003140293","HathiTrust Record")</f>
        <v>HathiTrust Record</v>
      </c>
      <c r="AS869" s="6" t="str">
        <f>HYPERLINK("https://creighton-primo.hosted.exlibrisgroup.com/primo-explore/search?tab=default_tab&amp;search_scope=EVERYTHING&amp;vid=01CRU&amp;lang=en_US&amp;offset=0&amp;query=any,contains,991002725149702656","Catalog Record")</f>
        <v>Catalog Record</v>
      </c>
      <c r="AT869" s="6" t="str">
        <f>HYPERLINK("http://www.worldcat.org/oclc/35742017","WorldCat Record")</f>
        <v>WorldCat Record</v>
      </c>
      <c r="AU869" s="3" t="s">
        <v>11073</v>
      </c>
      <c r="AV869" s="3" t="s">
        <v>11074</v>
      </c>
      <c r="AW869" s="3" t="s">
        <v>11075</v>
      </c>
      <c r="AX869" s="3" t="s">
        <v>11075</v>
      </c>
      <c r="AY869" s="3" t="s">
        <v>11076</v>
      </c>
      <c r="AZ869" s="3" t="s">
        <v>73</v>
      </c>
      <c r="BB869" s="3" t="s">
        <v>11077</v>
      </c>
      <c r="BC869" s="3" t="s">
        <v>11078</v>
      </c>
      <c r="BD869" s="3" t="s">
        <v>11079</v>
      </c>
    </row>
    <row r="870" spans="1:56" ht="51" customHeight="1" x14ac:dyDescent="0.25">
      <c r="A870" s="7" t="s">
        <v>58</v>
      </c>
      <c r="B870" s="2" t="s">
        <v>11080</v>
      </c>
      <c r="C870" s="2" t="s">
        <v>11081</v>
      </c>
      <c r="D870" s="2" t="s">
        <v>11082</v>
      </c>
      <c r="F870" s="3" t="s">
        <v>58</v>
      </c>
      <c r="G870" s="3" t="s">
        <v>59</v>
      </c>
      <c r="H870" s="3" t="s">
        <v>58</v>
      </c>
      <c r="I870" s="3" t="s">
        <v>58</v>
      </c>
      <c r="J870" s="3" t="s">
        <v>60</v>
      </c>
      <c r="K870" s="2" t="s">
        <v>11083</v>
      </c>
      <c r="L870" s="2" t="s">
        <v>11084</v>
      </c>
      <c r="M870" s="3" t="s">
        <v>1499</v>
      </c>
      <c r="O870" s="3" t="s">
        <v>63</v>
      </c>
      <c r="P870" s="3" t="s">
        <v>354</v>
      </c>
      <c r="R870" s="3" t="s">
        <v>65</v>
      </c>
      <c r="S870" s="4">
        <v>2</v>
      </c>
      <c r="T870" s="4">
        <v>2</v>
      </c>
      <c r="U870" s="5" t="s">
        <v>10901</v>
      </c>
      <c r="V870" s="5" t="s">
        <v>10901</v>
      </c>
      <c r="W870" s="5" t="s">
        <v>2616</v>
      </c>
      <c r="X870" s="5" t="s">
        <v>2616</v>
      </c>
      <c r="Y870" s="4">
        <v>627</v>
      </c>
      <c r="Z870" s="4">
        <v>501</v>
      </c>
      <c r="AA870" s="4">
        <v>681</v>
      </c>
      <c r="AB870" s="4">
        <v>4</v>
      </c>
      <c r="AC870" s="4">
        <v>4</v>
      </c>
      <c r="AD870" s="4">
        <v>23</v>
      </c>
      <c r="AE870" s="4">
        <v>29</v>
      </c>
      <c r="AF870" s="4">
        <v>7</v>
      </c>
      <c r="AG870" s="4">
        <v>12</v>
      </c>
      <c r="AH870" s="4">
        <v>6</v>
      </c>
      <c r="AI870" s="4">
        <v>7</v>
      </c>
      <c r="AJ870" s="4">
        <v>14</v>
      </c>
      <c r="AK870" s="4">
        <v>17</v>
      </c>
      <c r="AL870" s="4">
        <v>3</v>
      </c>
      <c r="AM870" s="4">
        <v>3</v>
      </c>
      <c r="AN870" s="4">
        <v>0</v>
      </c>
      <c r="AO870" s="4">
        <v>0</v>
      </c>
      <c r="AP870" s="3" t="s">
        <v>58</v>
      </c>
      <c r="AQ870" s="3" t="s">
        <v>68</v>
      </c>
      <c r="AR870" s="6" t="str">
        <f>HYPERLINK("http://catalog.hathitrust.org/Record/001170472","HathiTrust Record")</f>
        <v>HathiTrust Record</v>
      </c>
      <c r="AS870" s="6" t="str">
        <f>HYPERLINK("https://creighton-primo.hosted.exlibrisgroup.com/primo-explore/search?tab=default_tab&amp;search_scope=EVERYTHING&amp;vid=01CRU&amp;lang=en_US&amp;offset=0&amp;query=any,contains,991003022419702656","Catalog Record")</f>
        <v>Catalog Record</v>
      </c>
      <c r="AT870" s="6" t="str">
        <f>HYPERLINK("http://www.worldcat.org/oclc/587139","WorldCat Record")</f>
        <v>WorldCat Record</v>
      </c>
      <c r="AU870" s="3" t="s">
        <v>11085</v>
      </c>
      <c r="AV870" s="3" t="s">
        <v>11086</v>
      </c>
      <c r="AW870" s="3" t="s">
        <v>11087</v>
      </c>
      <c r="AX870" s="3" t="s">
        <v>11087</v>
      </c>
      <c r="AY870" s="3" t="s">
        <v>11088</v>
      </c>
      <c r="AZ870" s="3" t="s">
        <v>73</v>
      </c>
      <c r="BC870" s="3" t="s">
        <v>11089</v>
      </c>
      <c r="BD870" s="3" t="s">
        <v>11090</v>
      </c>
    </row>
    <row r="871" spans="1:56" ht="51" customHeight="1" x14ac:dyDescent="0.25">
      <c r="A871" s="7" t="s">
        <v>58</v>
      </c>
      <c r="B871" s="2" t="s">
        <v>11091</v>
      </c>
      <c r="C871" s="2" t="s">
        <v>11092</v>
      </c>
      <c r="D871" s="2" t="s">
        <v>11093</v>
      </c>
      <c r="F871" s="3" t="s">
        <v>58</v>
      </c>
      <c r="G871" s="3" t="s">
        <v>59</v>
      </c>
      <c r="H871" s="3" t="s">
        <v>58</v>
      </c>
      <c r="I871" s="3" t="s">
        <v>58</v>
      </c>
      <c r="J871" s="3" t="s">
        <v>60</v>
      </c>
      <c r="L871" s="2" t="s">
        <v>11094</v>
      </c>
      <c r="M871" s="3" t="s">
        <v>1784</v>
      </c>
      <c r="O871" s="3" t="s">
        <v>63</v>
      </c>
      <c r="P871" s="3" t="s">
        <v>584</v>
      </c>
      <c r="Q871" s="2" t="s">
        <v>11095</v>
      </c>
      <c r="R871" s="3" t="s">
        <v>65</v>
      </c>
      <c r="S871" s="4">
        <v>2</v>
      </c>
      <c r="T871" s="4">
        <v>2</v>
      </c>
      <c r="U871" s="5" t="s">
        <v>11096</v>
      </c>
      <c r="V871" s="5" t="s">
        <v>11096</v>
      </c>
      <c r="W871" s="5" t="s">
        <v>8127</v>
      </c>
      <c r="X871" s="5" t="s">
        <v>8127</v>
      </c>
      <c r="Y871" s="4">
        <v>188</v>
      </c>
      <c r="Z871" s="4">
        <v>125</v>
      </c>
      <c r="AA871" s="4">
        <v>133</v>
      </c>
      <c r="AB871" s="4">
        <v>2</v>
      </c>
      <c r="AC871" s="4">
        <v>2</v>
      </c>
      <c r="AD871" s="4">
        <v>5</v>
      </c>
      <c r="AE871" s="4">
        <v>5</v>
      </c>
      <c r="AF871" s="4">
        <v>0</v>
      </c>
      <c r="AG871" s="4">
        <v>0</v>
      </c>
      <c r="AH871" s="4">
        <v>3</v>
      </c>
      <c r="AI871" s="4">
        <v>3</v>
      </c>
      <c r="AJ871" s="4">
        <v>2</v>
      </c>
      <c r="AK871" s="4">
        <v>2</v>
      </c>
      <c r="AL871" s="4">
        <v>1</v>
      </c>
      <c r="AM871" s="4">
        <v>1</v>
      </c>
      <c r="AN871" s="4">
        <v>0</v>
      </c>
      <c r="AO871" s="4">
        <v>0</v>
      </c>
      <c r="AP871" s="3" t="s">
        <v>58</v>
      </c>
      <c r="AQ871" s="3" t="s">
        <v>68</v>
      </c>
      <c r="AR871" s="6" t="str">
        <f>HYPERLINK("http://catalog.hathitrust.org/Record/000156979","HathiTrust Record")</f>
        <v>HathiTrust Record</v>
      </c>
      <c r="AS871" s="6" t="str">
        <f>HYPERLINK("https://creighton-primo.hosted.exlibrisgroup.com/primo-explore/search?tab=default_tab&amp;search_scope=EVERYTHING&amp;vid=01CRU&amp;lang=en_US&amp;offset=0&amp;query=any,contains,991004977929702656","Catalog Record")</f>
        <v>Catalog Record</v>
      </c>
      <c r="AT871" s="6" t="str">
        <f>HYPERLINK("http://www.worldcat.org/oclc/6413788","WorldCat Record")</f>
        <v>WorldCat Record</v>
      </c>
      <c r="AU871" s="3" t="s">
        <v>11097</v>
      </c>
      <c r="AV871" s="3" t="s">
        <v>11098</v>
      </c>
      <c r="AW871" s="3" t="s">
        <v>11099</v>
      </c>
      <c r="AX871" s="3" t="s">
        <v>11099</v>
      </c>
      <c r="AY871" s="3" t="s">
        <v>11100</v>
      </c>
      <c r="AZ871" s="3" t="s">
        <v>73</v>
      </c>
      <c r="BB871" s="3" t="s">
        <v>11101</v>
      </c>
      <c r="BC871" s="3" t="s">
        <v>11102</v>
      </c>
      <c r="BD871" s="3" t="s">
        <v>11103</v>
      </c>
    </row>
    <row r="872" spans="1:56" ht="51" customHeight="1" x14ac:dyDescent="0.25">
      <c r="A872" s="7" t="s">
        <v>58</v>
      </c>
      <c r="B872" s="2" t="s">
        <v>11104</v>
      </c>
      <c r="C872" s="2" t="s">
        <v>11105</v>
      </c>
      <c r="D872" s="2" t="s">
        <v>11106</v>
      </c>
      <c r="F872" s="3" t="s">
        <v>58</v>
      </c>
      <c r="G872" s="3" t="s">
        <v>59</v>
      </c>
      <c r="H872" s="3" t="s">
        <v>58</v>
      </c>
      <c r="I872" s="3" t="s">
        <v>58</v>
      </c>
      <c r="J872" s="3" t="s">
        <v>60</v>
      </c>
      <c r="K872" s="2" t="s">
        <v>11107</v>
      </c>
      <c r="L872" s="2" t="s">
        <v>11108</v>
      </c>
      <c r="M872" s="3" t="s">
        <v>1153</v>
      </c>
      <c r="O872" s="3" t="s">
        <v>63</v>
      </c>
      <c r="P872" s="3" t="s">
        <v>1837</v>
      </c>
      <c r="Q872" s="2" t="s">
        <v>11109</v>
      </c>
      <c r="R872" s="3" t="s">
        <v>65</v>
      </c>
      <c r="S872" s="4">
        <v>2</v>
      </c>
      <c r="T872" s="4">
        <v>2</v>
      </c>
      <c r="U872" s="5" t="s">
        <v>11110</v>
      </c>
      <c r="V872" s="5" t="s">
        <v>11110</v>
      </c>
      <c r="W872" s="5" t="s">
        <v>2616</v>
      </c>
      <c r="X872" s="5" t="s">
        <v>2616</v>
      </c>
      <c r="Y872" s="4">
        <v>451</v>
      </c>
      <c r="Z872" s="4">
        <v>400</v>
      </c>
      <c r="AA872" s="4">
        <v>418</v>
      </c>
      <c r="AB872" s="4">
        <v>3</v>
      </c>
      <c r="AC872" s="4">
        <v>3</v>
      </c>
      <c r="AD872" s="4">
        <v>17</v>
      </c>
      <c r="AE872" s="4">
        <v>18</v>
      </c>
      <c r="AF872" s="4">
        <v>5</v>
      </c>
      <c r="AG872" s="4">
        <v>5</v>
      </c>
      <c r="AH872" s="4">
        <v>5</v>
      </c>
      <c r="AI872" s="4">
        <v>5</v>
      </c>
      <c r="AJ872" s="4">
        <v>8</v>
      </c>
      <c r="AK872" s="4">
        <v>8</v>
      </c>
      <c r="AL872" s="4">
        <v>2</v>
      </c>
      <c r="AM872" s="4">
        <v>2</v>
      </c>
      <c r="AN872" s="4">
        <v>2</v>
      </c>
      <c r="AO872" s="4">
        <v>3</v>
      </c>
      <c r="AP872" s="3" t="s">
        <v>58</v>
      </c>
      <c r="AQ872" s="3" t="s">
        <v>68</v>
      </c>
      <c r="AR872" s="6" t="str">
        <f>HYPERLINK("http://catalog.hathitrust.org/Record/001249087","HathiTrust Record")</f>
        <v>HathiTrust Record</v>
      </c>
      <c r="AS872" s="6" t="str">
        <f>HYPERLINK("https://creighton-primo.hosted.exlibrisgroup.com/primo-explore/search?tab=default_tab&amp;search_scope=EVERYTHING&amp;vid=01CRU&amp;lang=en_US&amp;offset=0&amp;query=any,contains,991003239499702656","Catalog Record")</f>
        <v>Catalog Record</v>
      </c>
      <c r="AT872" s="6" t="str">
        <f>HYPERLINK("http://www.worldcat.org/oclc/762826","WorldCat Record")</f>
        <v>WorldCat Record</v>
      </c>
      <c r="AU872" s="3" t="s">
        <v>11111</v>
      </c>
      <c r="AV872" s="3" t="s">
        <v>11112</v>
      </c>
      <c r="AW872" s="3" t="s">
        <v>11113</v>
      </c>
      <c r="AX872" s="3" t="s">
        <v>11113</v>
      </c>
      <c r="AY872" s="3" t="s">
        <v>11114</v>
      </c>
      <c r="AZ872" s="3" t="s">
        <v>73</v>
      </c>
      <c r="BB872" s="3" t="s">
        <v>11115</v>
      </c>
      <c r="BC872" s="3" t="s">
        <v>11116</v>
      </c>
      <c r="BD872" s="3" t="s">
        <v>11117</v>
      </c>
    </row>
    <row r="873" spans="1:56" ht="51" customHeight="1" x14ac:dyDescent="0.25">
      <c r="A873" s="7" t="s">
        <v>58</v>
      </c>
      <c r="B873" s="2" t="s">
        <v>11118</v>
      </c>
      <c r="C873" s="2" t="s">
        <v>11119</v>
      </c>
      <c r="D873" s="2" t="s">
        <v>11120</v>
      </c>
      <c r="F873" s="3" t="s">
        <v>58</v>
      </c>
      <c r="G873" s="3" t="s">
        <v>59</v>
      </c>
      <c r="H873" s="3" t="s">
        <v>58</v>
      </c>
      <c r="I873" s="3" t="s">
        <v>58</v>
      </c>
      <c r="J873" s="3" t="s">
        <v>60</v>
      </c>
      <c r="K873" s="2" t="s">
        <v>11121</v>
      </c>
      <c r="L873" s="2" t="s">
        <v>11122</v>
      </c>
      <c r="M873" s="3" t="s">
        <v>898</v>
      </c>
      <c r="N873" s="2" t="s">
        <v>338</v>
      </c>
      <c r="O873" s="3" t="s">
        <v>63</v>
      </c>
      <c r="P873" s="3" t="s">
        <v>214</v>
      </c>
      <c r="R873" s="3" t="s">
        <v>65</v>
      </c>
      <c r="S873" s="4">
        <v>8</v>
      </c>
      <c r="T873" s="4">
        <v>8</v>
      </c>
      <c r="U873" s="5" t="s">
        <v>11123</v>
      </c>
      <c r="V873" s="5" t="s">
        <v>11123</v>
      </c>
      <c r="W873" s="5" t="s">
        <v>11124</v>
      </c>
      <c r="X873" s="5" t="s">
        <v>11124</v>
      </c>
      <c r="Y873" s="4">
        <v>729</v>
      </c>
      <c r="Z873" s="4">
        <v>642</v>
      </c>
      <c r="AA873" s="4">
        <v>707</v>
      </c>
      <c r="AB873" s="4">
        <v>4</v>
      </c>
      <c r="AC873" s="4">
        <v>4</v>
      </c>
      <c r="AD873" s="4">
        <v>19</v>
      </c>
      <c r="AE873" s="4">
        <v>19</v>
      </c>
      <c r="AF873" s="4">
        <v>7</v>
      </c>
      <c r="AG873" s="4">
        <v>7</v>
      </c>
      <c r="AH873" s="4">
        <v>6</v>
      </c>
      <c r="AI873" s="4">
        <v>6</v>
      </c>
      <c r="AJ873" s="4">
        <v>10</v>
      </c>
      <c r="AK873" s="4">
        <v>10</v>
      </c>
      <c r="AL873" s="4">
        <v>1</v>
      </c>
      <c r="AM873" s="4">
        <v>1</v>
      </c>
      <c r="AN873" s="4">
        <v>0</v>
      </c>
      <c r="AO873" s="4">
        <v>0</v>
      </c>
      <c r="AP873" s="3" t="s">
        <v>58</v>
      </c>
      <c r="AQ873" s="3" t="s">
        <v>58</v>
      </c>
      <c r="AS873" s="6" t="str">
        <f>HYPERLINK("https://creighton-primo.hosted.exlibrisgroup.com/primo-explore/search?tab=default_tab&amp;search_scope=EVERYTHING&amp;vid=01CRU&amp;lang=en_US&amp;offset=0&amp;query=any,contains,991004833569702656","Catalog Record")</f>
        <v>Catalog Record</v>
      </c>
      <c r="AT873" s="6" t="str">
        <f>HYPERLINK("http://www.worldcat.org/oclc/67240266","WorldCat Record")</f>
        <v>WorldCat Record</v>
      </c>
      <c r="AU873" s="3" t="s">
        <v>11125</v>
      </c>
      <c r="AV873" s="3" t="s">
        <v>11126</v>
      </c>
      <c r="AW873" s="3" t="s">
        <v>11127</v>
      </c>
      <c r="AX873" s="3" t="s">
        <v>11127</v>
      </c>
      <c r="AY873" s="3" t="s">
        <v>11128</v>
      </c>
      <c r="AZ873" s="3" t="s">
        <v>73</v>
      </c>
      <c r="BB873" s="3" t="s">
        <v>11129</v>
      </c>
      <c r="BC873" s="3" t="s">
        <v>11130</v>
      </c>
      <c r="BD873" s="3" t="s">
        <v>11131</v>
      </c>
    </row>
    <row r="874" spans="1:56" ht="51" customHeight="1" x14ac:dyDescent="0.25">
      <c r="A874" s="7" t="s">
        <v>58</v>
      </c>
      <c r="B874" s="2" t="s">
        <v>11132</v>
      </c>
      <c r="C874" s="2" t="s">
        <v>11133</v>
      </c>
      <c r="D874" s="2" t="s">
        <v>11134</v>
      </c>
      <c r="F874" s="3" t="s">
        <v>58</v>
      </c>
      <c r="G874" s="3" t="s">
        <v>59</v>
      </c>
      <c r="H874" s="3" t="s">
        <v>58</v>
      </c>
      <c r="I874" s="3" t="s">
        <v>58</v>
      </c>
      <c r="J874" s="3" t="s">
        <v>60</v>
      </c>
      <c r="K874" s="2" t="s">
        <v>11135</v>
      </c>
      <c r="L874" s="2" t="s">
        <v>11136</v>
      </c>
      <c r="M874" s="3" t="s">
        <v>1499</v>
      </c>
      <c r="O874" s="3" t="s">
        <v>63</v>
      </c>
      <c r="P874" s="3" t="s">
        <v>571</v>
      </c>
      <c r="R874" s="3" t="s">
        <v>65</v>
      </c>
      <c r="S874" s="4">
        <v>3</v>
      </c>
      <c r="T874" s="4">
        <v>3</v>
      </c>
      <c r="U874" s="5" t="s">
        <v>11137</v>
      </c>
      <c r="V874" s="5" t="s">
        <v>11137</v>
      </c>
      <c r="W874" s="5" t="s">
        <v>733</v>
      </c>
      <c r="X874" s="5" t="s">
        <v>733</v>
      </c>
      <c r="Y874" s="4">
        <v>104</v>
      </c>
      <c r="Z874" s="4">
        <v>95</v>
      </c>
      <c r="AA874" s="4">
        <v>492</v>
      </c>
      <c r="AB874" s="4">
        <v>4</v>
      </c>
      <c r="AC874" s="4">
        <v>6</v>
      </c>
      <c r="AD874" s="4">
        <v>7</v>
      </c>
      <c r="AE874" s="4">
        <v>21</v>
      </c>
      <c r="AF874" s="4">
        <v>2</v>
      </c>
      <c r="AG874" s="4">
        <v>5</v>
      </c>
      <c r="AH874" s="4">
        <v>1</v>
      </c>
      <c r="AI874" s="4">
        <v>4</v>
      </c>
      <c r="AJ874" s="4">
        <v>2</v>
      </c>
      <c r="AK874" s="4">
        <v>10</v>
      </c>
      <c r="AL874" s="4">
        <v>3</v>
      </c>
      <c r="AM874" s="4">
        <v>5</v>
      </c>
      <c r="AN874" s="4">
        <v>0</v>
      </c>
      <c r="AO874" s="4">
        <v>0</v>
      </c>
      <c r="AP874" s="3" t="s">
        <v>58</v>
      </c>
      <c r="AQ874" s="3" t="s">
        <v>58</v>
      </c>
      <c r="AS874" s="6" t="str">
        <f>HYPERLINK("https://creighton-primo.hosted.exlibrisgroup.com/primo-explore/search?tab=default_tab&amp;search_scope=EVERYTHING&amp;vid=01CRU&amp;lang=en_US&amp;offset=0&amp;query=any,contains,991004213369702656","Catalog Record")</f>
        <v>Catalog Record</v>
      </c>
      <c r="AT874" s="6" t="str">
        <f>HYPERLINK("http://www.worldcat.org/oclc/2690712","WorldCat Record")</f>
        <v>WorldCat Record</v>
      </c>
      <c r="AU874" s="3" t="s">
        <v>11138</v>
      </c>
      <c r="AV874" s="3" t="s">
        <v>11139</v>
      </c>
      <c r="AW874" s="3" t="s">
        <v>11140</v>
      </c>
      <c r="AX874" s="3" t="s">
        <v>11140</v>
      </c>
      <c r="AY874" s="3" t="s">
        <v>11141</v>
      </c>
      <c r="AZ874" s="3" t="s">
        <v>73</v>
      </c>
      <c r="BC874" s="3" t="s">
        <v>11142</v>
      </c>
      <c r="BD874" s="3" t="s">
        <v>11143</v>
      </c>
    </row>
    <row r="875" spans="1:56" ht="51" customHeight="1" x14ac:dyDescent="0.25">
      <c r="A875" s="7" t="s">
        <v>58</v>
      </c>
      <c r="B875" s="2" t="s">
        <v>11144</v>
      </c>
      <c r="C875" s="2" t="s">
        <v>11145</v>
      </c>
      <c r="D875" s="2" t="s">
        <v>11146</v>
      </c>
      <c r="F875" s="3" t="s">
        <v>58</v>
      </c>
      <c r="G875" s="3" t="s">
        <v>59</v>
      </c>
      <c r="H875" s="3" t="s">
        <v>58</v>
      </c>
      <c r="I875" s="3" t="s">
        <v>58</v>
      </c>
      <c r="J875" s="3" t="s">
        <v>60</v>
      </c>
      <c r="L875" s="2" t="s">
        <v>11147</v>
      </c>
      <c r="M875" s="3" t="s">
        <v>1091</v>
      </c>
      <c r="O875" s="3" t="s">
        <v>63</v>
      </c>
      <c r="P875" s="3" t="s">
        <v>9271</v>
      </c>
      <c r="R875" s="3" t="s">
        <v>65</v>
      </c>
      <c r="S875" s="4">
        <v>3</v>
      </c>
      <c r="T875" s="4">
        <v>3</v>
      </c>
      <c r="U875" s="5" t="s">
        <v>11148</v>
      </c>
      <c r="V875" s="5" t="s">
        <v>11148</v>
      </c>
      <c r="W875" s="5" t="s">
        <v>11149</v>
      </c>
      <c r="X875" s="5" t="s">
        <v>11149</v>
      </c>
      <c r="Y875" s="4">
        <v>177</v>
      </c>
      <c r="Z875" s="4">
        <v>139</v>
      </c>
      <c r="AA875" s="4">
        <v>141</v>
      </c>
      <c r="AB875" s="4">
        <v>2</v>
      </c>
      <c r="AC875" s="4">
        <v>2</v>
      </c>
      <c r="AD875" s="4">
        <v>7</v>
      </c>
      <c r="AE875" s="4">
        <v>7</v>
      </c>
      <c r="AF875" s="4">
        <v>0</v>
      </c>
      <c r="AG875" s="4">
        <v>0</v>
      </c>
      <c r="AH875" s="4">
        <v>4</v>
      </c>
      <c r="AI875" s="4">
        <v>4</v>
      </c>
      <c r="AJ875" s="4">
        <v>4</v>
      </c>
      <c r="AK875" s="4">
        <v>4</v>
      </c>
      <c r="AL875" s="4">
        <v>1</v>
      </c>
      <c r="AM875" s="4">
        <v>1</v>
      </c>
      <c r="AN875" s="4">
        <v>0</v>
      </c>
      <c r="AO875" s="4">
        <v>0</v>
      </c>
      <c r="AP875" s="3" t="s">
        <v>58</v>
      </c>
      <c r="AQ875" s="3" t="s">
        <v>68</v>
      </c>
      <c r="AR875" s="6" t="str">
        <f>HYPERLINK("http://catalog.hathitrust.org/Record/003564625","HathiTrust Record")</f>
        <v>HathiTrust Record</v>
      </c>
      <c r="AS875" s="6" t="str">
        <f>HYPERLINK("https://creighton-primo.hosted.exlibrisgroup.com/primo-explore/search?tab=default_tab&amp;search_scope=EVERYTHING&amp;vid=01CRU&amp;lang=en_US&amp;offset=0&amp;query=any,contains,991003639529702656","Catalog Record")</f>
        <v>Catalog Record</v>
      </c>
      <c r="AT875" s="6" t="str">
        <f>HYPERLINK("http://www.worldcat.org/oclc/46872443","WorldCat Record")</f>
        <v>WorldCat Record</v>
      </c>
      <c r="AU875" s="3" t="s">
        <v>11150</v>
      </c>
      <c r="AV875" s="3" t="s">
        <v>11151</v>
      </c>
      <c r="AW875" s="3" t="s">
        <v>11152</v>
      </c>
      <c r="AX875" s="3" t="s">
        <v>11152</v>
      </c>
      <c r="AY875" s="3" t="s">
        <v>11153</v>
      </c>
      <c r="AZ875" s="3" t="s">
        <v>73</v>
      </c>
      <c r="BB875" s="3" t="s">
        <v>11154</v>
      </c>
      <c r="BC875" s="3" t="s">
        <v>11155</v>
      </c>
      <c r="BD875" s="3" t="s">
        <v>11156</v>
      </c>
    </row>
    <row r="876" spans="1:56" ht="51" customHeight="1" x14ac:dyDescent="0.25">
      <c r="A876" s="7" t="s">
        <v>58</v>
      </c>
      <c r="B876" s="2" t="s">
        <v>11157</v>
      </c>
      <c r="C876" s="2" t="s">
        <v>11158</v>
      </c>
      <c r="D876" s="2" t="s">
        <v>11159</v>
      </c>
      <c r="F876" s="3" t="s">
        <v>58</v>
      </c>
      <c r="G876" s="3" t="s">
        <v>59</v>
      </c>
      <c r="H876" s="3" t="s">
        <v>58</v>
      </c>
      <c r="I876" s="3" t="s">
        <v>58</v>
      </c>
      <c r="J876" s="3" t="s">
        <v>60</v>
      </c>
      <c r="L876" s="2" t="s">
        <v>11160</v>
      </c>
      <c r="M876" s="3" t="s">
        <v>423</v>
      </c>
      <c r="O876" s="3" t="s">
        <v>63</v>
      </c>
      <c r="P876" s="3" t="s">
        <v>214</v>
      </c>
      <c r="R876" s="3" t="s">
        <v>65</v>
      </c>
      <c r="S876" s="4">
        <v>1</v>
      </c>
      <c r="T876" s="4">
        <v>1</v>
      </c>
      <c r="U876" s="5" t="s">
        <v>11059</v>
      </c>
      <c r="V876" s="5" t="s">
        <v>11059</v>
      </c>
      <c r="W876" s="5" t="s">
        <v>7699</v>
      </c>
      <c r="X876" s="5" t="s">
        <v>7699</v>
      </c>
      <c r="Y876" s="4">
        <v>292</v>
      </c>
      <c r="Z876" s="4">
        <v>264</v>
      </c>
      <c r="AA876" s="4">
        <v>1231</v>
      </c>
      <c r="AB876" s="4">
        <v>3</v>
      </c>
      <c r="AC876" s="4">
        <v>6</v>
      </c>
      <c r="AD876" s="4">
        <v>17</v>
      </c>
      <c r="AE876" s="4">
        <v>30</v>
      </c>
      <c r="AF876" s="4">
        <v>6</v>
      </c>
      <c r="AG876" s="4">
        <v>13</v>
      </c>
      <c r="AH876" s="4">
        <v>6</v>
      </c>
      <c r="AI876" s="4">
        <v>8</v>
      </c>
      <c r="AJ876" s="4">
        <v>6</v>
      </c>
      <c r="AK876" s="4">
        <v>11</v>
      </c>
      <c r="AL876" s="4">
        <v>2</v>
      </c>
      <c r="AM876" s="4">
        <v>5</v>
      </c>
      <c r="AN876" s="4">
        <v>0</v>
      </c>
      <c r="AO876" s="4">
        <v>0</v>
      </c>
      <c r="AP876" s="3" t="s">
        <v>58</v>
      </c>
      <c r="AQ876" s="3" t="s">
        <v>68</v>
      </c>
      <c r="AR876" s="6" t="str">
        <f>HYPERLINK("http://catalog.hathitrust.org/Record/003972149","HathiTrust Record")</f>
        <v>HathiTrust Record</v>
      </c>
      <c r="AS876" s="6" t="str">
        <f>HYPERLINK("https://creighton-primo.hosted.exlibrisgroup.com/primo-explore/search?tab=default_tab&amp;search_scope=EVERYTHING&amp;vid=01CRU&amp;lang=en_US&amp;offset=0&amp;query=any,contains,991002833949702656","Catalog Record")</f>
        <v>Catalog Record</v>
      </c>
      <c r="AT876" s="6" t="str">
        <f>HYPERLINK("http://www.worldcat.org/oclc/37322484","WorldCat Record")</f>
        <v>WorldCat Record</v>
      </c>
      <c r="AU876" s="3" t="s">
        <v>11161</v>
      </c>
      <c r="AV876" s="3" t="s">
        <v>11162</v>
      </c>
      <c r="AW876" s="3" t="s">
        <v>11163</v>
      </c>
      <c r="AX876" s="3" t="s">
        <v>11163</v>
      </c>
      <c r="AY876" s="3" t="s">
        <v>11164</v>
      </c>
      <c r="AZ876" s="3" t="s">
        <v>73</v>
      </c>
      <c r="BB876" s="3" t="s">
        <v>11165</v>
      </c>
      <c r="BC876" s="3" t="s">
        <v>11166</v>
      </c>
      <c r="BD876" s="3" t="s">
        <v>11167</v>
      </c>
    </row>
    <row r="877" spans="1:56" ht="51" customHeight="1" x14ac:dyDescent="0.25">
      <c r="A877" s="7" t="s">
        <v>58</v>
      </c>
      <c r="B877" s="2" t="s">
        <v>11168</v>
      </c>
      <c r="C877" s="2" t="s">
        <v>11169</v>
      </c>
      <c r="D877" s="2" t="s">
        <v>11170</v>
      </c>
      <c r="F877" s="3" t="s">
        <v>58</v>
      </c>
      <c r="G877" s="3" t="s">
        <v>59</v>
      </c>
      <c r="H877" s="3" t="s">
        <v>58</v>
      </c>
      <c r="I877" s="3" t="s">
        <v>58</v>
      </c>
      <c r="J877" s="3" t="s">
        <v>60</v>
      </c>
      <c r="L877" s="2" t="s">
        <v>11171</v>
      </c>
      <c r="M877" s="3" t="s">
        <v>261</v>
      </c>
      <c r="O877" s="3" t="s">
        <v>63</v>
      </c>
      <c r="P877" s="3" t="s">
        <v>64</v>
      </c>
      <c r="R877" s="3" t="s">
        <v>65</v>
      </c>
      <c r="S877" s="4">
        <v>1</v>
      </c>
      <c r="T877" s="4">
        <v>1</v>
      </c>
      <c r="U877" s="5" t="s">
        <v>11172</v>
      </c>
      <c r="V877" s="5" t="s">
        <v>11172</v>
      </c>
      <c r="W877" s="5" t="s">
        <v>67</v>
      </c>
      <c r="X877" s="5" t="s">
        <v>67</v>
      </c>
      <c r="Y877" s="4">
        <v>276</v>
      </c>
      <c r="Z877" s="4">
        <v>183</v>
      </c>
      <c r="AA877" s="4">
        <v>185</v>
      </c>
      <c r="AB877" s="4">
        <v>2</v>
      </c>
      <c r="AC877" s="4">
        <v>2</v>
      </c>
      <c r="AD877" s="4">
        <v>7</v>
      </c>
      <c r="AE877" s="4">
        <v>7</v>
      </c>
      <c r="AF877" s="4">
        <v>1</v>
      </c>
      <c r="AG877" s="4">
        <v>1</v>
      </c>
      <c r="AH877" s="4">
        <v>2</v>
      </c>
      <c r="AI877" s="4">
        <v>2</v>
      </c>
      <c r="AJ877" s="4">
        <v>4</v>
      </c>
      <c r="AK877" s="4">
        <v>4</v>
      </c>
      <c r="AL877" s="4">
        <v>1</v>
      </c>
      <c r="AM877" s="4">
        <v>1</v>
      </c>
      <c r="AN877" s="4">
        <v>0</v>
      </c>
      <c r="AO877" s="4">
        <v>0</v>
      </c>
      <c r="AP877" s="3" t="s">
        <v>58</v>
      </c>
      <c r="AQ877" s="3" t="s">
        <v>68</v>
      </c>
      <c r="AR877" s="6" t="str">
        <f>HYPERLINK("http://catalog.hathitrust.org/Record/006733932","HathiTrust Record")</f>
        <v>HathiTrust Record</v>
      </c>
      <c r="AS877" s="6" t="str">
        <f>HYPERLINK("https://creighton-primo.hosted.exlibrisgroup.com/primo-explore/search?tab=default_tab&amp;search_scope=EVERYTHING&amp;vid=01CRU&amp;lang=en_US&amp;offset=0&amp;query=any,contains,991005369369702656","Catalog Record")</f>
        <v>Catalog Record</v>
      </c>
      <c r="AT877" s="6" t="str">
        <f>HYPERLINK("http://www.worldcat.org/oclc/2119982","WorldCat Record")</f>
        <v>WorldCat Record</v>
      </c>
      <c r="AU877" s="3" t="s">
        <v>11173</v>
      </c>
      <c r="AV877" s="3" t="s">
        <v>11174</v>
      </c>
      <c r="AW877" s="3" t="s">
        <v>11175</v>
      </c>
      <c r="AX877" s="3" t="s">
        <v>11175</v>
      </c>
      <c r="AY877" s="3" t="s">
        <v>11176</v>
      </c>
      <c r="AZ877" s="3" t="s">
        <v>73</v>
      </c>
      <c r="BB877" s="3" t="s">
        <v>11177</v>
      </c>
      <c r="BC877" s="3" t="s">
        <v>11178</v>
      </c>
      <c r="BD877" s="3" t="s">
        <v>11179</v>
      </c>
    </row>
    <row r="878" spans="1:56" ht="51" customHeight="1" x14ac:dyDescent="0.25">
      <c r="A878" s="7" t="s">
        <v>58</v>
      </c>
      <c r="B878" s="2" t="s">
        <v>11180</v>
      </c>
      <c r="C878" s="2" t="s">
        <v>11181</v>
      </c>
      <c r="D878" s="2" t="s">
        <v>11182</v>
      </c>
      <c r="F878" s="3" t="s">
        <v>58</v>
      </c>
      <c r="G878" s="3" t="s">
        <v>59</v>
      </c>
      <c r="H878" s="3" t="s">
        <v>58</v>
      </c>
      <c r="I878" s="3" t="s">
        <v>58</v>
      </c>
      <c r="J878" s="3" t="s">
        <v>60</v>
      </c>
      <c r="K878" s="2" t="s">
        <v>11183</v>
      </c>
      <c r="L878" s="2" t="s">
        <v>11184</v>
      </c>
      <c r="M878" s="3" t="s">
        <v>1720</v>
      </c>
      <c r="O878" s="3" t="s">
        <v>63</v>
      </c>
      <c r="P878" s="3" t="s">
        <v>214</v>
      </c>
      <c r="Q878" s="2" t="s">
        <v>11185</v>
      </c>
      <c r="R878" s="3" t="s">
        <v>65</v>
      </c>
      <c r="S878" s="4">
        <v>1</v>
      </c>
      <c r="T878" s="4">
        <v>1</v>
      </c>
      <c r="U878" s="5" t="s">
        <v>11172</v>
      </c>
      <c r="V878" s="5" t="s">
        <v>11172</v>
      </c>
      <c r="W878" s="5" t="s">
        <v>67</v>
      </c>
      <c r="X878" s="5" t="s">
        <v>67</v>
      </c>
      <c r="Y878" s="4">
        <v>715</v>
      </c>
      <c r="Z878" s="4">
        <v>626</v>
      </c>
      <c r="AA878" s="4">
        <v>683</v>
      </c>
      <c r="AB878" s="4">
        <v>3</v>
      </c>
      <c r="AC878" s="4">
        <v>3</v>
      </c>
      <c r="AD878" s="4">
        <v>25</v>
      </c>
      <c r="AE878" s="4">
        <v>26</v>
      </c>
      <c r="AF878" s="4">
        <v>8</v>
      </c>
      <c r="AG878" s="4">
        <v>9</v>
      </c>
      <c r="AH878" s="4">
        <v>7</v>
      </c>
      <c r="AI878" s="4">
        <v>7</v>
      </c>
      <c r="AJ878" s="4">
        <v>14</v>
      </c>
      <c r="AK878" s="4">
        <v>15</v>
      </c>
      <c r="AL878" s="4">
        <v>2</v>
      </c>
      <c r="AM878" s="4">
        <v>2</v>
      </c>
      <c r="AN878" s="4">
        <v>0</v>
      </c>
      <c r="AO878" s="4">
        <v>0</v>
      </c>
      <c r="AP878" s="3" t="s">
        <v>58</v>
      </c>
      <c r="AQ878" s="3" t="s">
        <v>58</v>
      </c>
      <c r="AR878" s="6" t="str">
        <f>HYPERLINK("http://catalog.hathitrust.org/Record/001240268","HathiTrust Record")</f>
        <v>HathiTrust Record</v>
      </c>
      <c r="AS878" s="6" t="str">
        <f>HYPERLINK("https://creighton-primo.hosted.exlibrisgroup.com/primo-explore/search?tab=default_tab&amp;search_scope=EVERYTHING&amp;vid=01CRU&amp;lang=en_US&amp;offset=0&amp;query=any,contains,991005355169702656","Catalog Record")</f>
        <v>Catalog Record</v>
      </c>
      <c r="AT878" s="6" t="str">
        <f>HYPERLINK("http://www.worldcat.org/oclc/398241","WorldCat Record")</f>
        <v>WorldCat Record</v>
      </c>
      <c r="AU878" s="3" t="s">
        <v>11186</v>
      </c>
      <c r="AV878" s="3" t="s">
        <v>11187</v>
      </c>
      <c r="AW878" s="3" t="s">
        <v>11188</v>
      </c>
      <c r="AX878" s="3" t="s">
        <v>11188</v>
      </c>
      <c r="AY878" s="3" t="s">
        <v>11189</v>
      </c>
      <c r="AZ878" s="3" t="s">
        <v>73</v>
      </c>
      <c r="BC878" s="3" t="s">
        <v>11190</v>
      </c>
      <c r="BD878" s="3" t="s">
        <v>11191</v>
      </c>
    </row>
    <row r="879" spans="1:56" ht="51" customHeight="1" x14ac:dyDescent="0.25">
      <c r="A879" s="7" t="s">
        <v>58</v>
      </c>
      <c r="B879" s="2" t="s">
        <v>11192</v>
      </c>
      <c r="C879" s="2" t="s">
        <v>11193</v>
      </c>
      <c r="D879" s="2" t="s">
        <v>11194</v>
      </c>
      <c r="F879" s="3" t="s">
        <v>58</v>
      </c>
      <c r="G879" s="3" t="s">
        <v>59</v>
      </c>
      <c r="H879" s="3" t="s">
        <v>58</v>
      </c>
      <c r="I879" s="3" t="s">
        <v>58</v>
      </c>
      <c r="J879" s="3" t="s">
        <v>60</v>
      </c>
      <c r="K879" s="2" t="s">
        <v>11195</v>
      </c>
      <c r="L879" s="2" t="s">
        <v>11196</v>
      </c>
      <c r="M879" s="3" t="s">
        <v>759</v>
      </c>
      <c r="O879" s="3" t="s">
        <v>63</v>
      </c>
      <c r="P879" s="3" t="s">
        <v>816</v>
      </c>
      <c r="R879" s="3" t="s">
        <v>65</v>
      </c>
      <c r="S879" s="4">
        <v>1</v>
      </c>
      <c r="T879" s="4">
        <v>1</v>
      </c>
      <c r="U879" s="5" t="s">
        <v>4353</v>
      </c>
      <c r="V879" s="5" t="s">
        <v>4353</v>
      </c>
      <c r="W879" s="5" t="s">
        <v>10968</v>
      </c>
      <c r="X879" s="5" t="s">
        <v>10968</v>
      </c>
      <c r="Y879" s="4">
        <v>286</v>
      </c>
      <c r="Z879" s="4">
        <v>226</v>
      </c>
      <c r="AA879" s="4">
        <v>326</v>
      </c>
      <c r="AB879" s="4">
        <v>2</v>
      </c>
      <c r="AC879" s="4">
        <v>3</v>
      </c>
      <c r="AD879" s="4">
        <v>10</v>
      </c>
      <c r="AE879" s="4">
        <v>17</v>
      </c>
      <c r="AF879" s="4">
        <v>3</v>
      </c>
      <c r="AG879" s="4">
        <v>4</v>
      </c>
      <c r="AH879" s="4">
        <v>4</v>
      </c>
      <c r="AI879" s="4">
        <v>4</v>
      </c>
      <c r="AJ879" s="4">
        <v>5</v>
      </c>
      <c r="AK879" s="4">
        <v>11</v>
      </c>
      <c r="AL879" s="4">
        <v>1</v>
      </c>
      <c r="AM879" s="4">
        <v>2</v>
      </c>
      <c r="AN879" s="4">
        <v>0</v>
      </c>
      <c r="AO879" s="4">
        <v>0</v>
      </c>
      <c r="AP879" s="3" t="s">
        <v>58</v>
      </c>
      <c r="AQ879" s="3" t="s">
        <v>68</v>
      </c>
      <c r="AR879" s="6" t="str">
        <f>HYPERLINK("http://catalog.hathitrust.org/Record/000709216","HathiTrust Record")</f>
        <v>HathiTrust Record</v>
      </c>
      <c r="AS879" s="6" t="str">
        <f>HYPERLINK("https://creighton-primo.hosted.exlibrisgroup.com/primo-explore/search?tab=default_tab&amp;search_scope=EVERYTHING&amp;vid=01CRU&amp;lang=en_US&amp;offset=0&amp;query=any,contains,991004979389702656","Catalog Record")</f>
        <v>Catalog Record</v>
      </c>
      <c r="AT879" s="6" t="str">
        <f>HYPERLINK("http://www.worldcat.org/oclc/6421173","WorldCat Record")</f>
        <v>WorldCat Record</v>
      </c>
      <c r="AU879" s="3" t="s">
        <v>11197</v>
      </c>
      <c r="AV879" s="3" t="s">
        <v>11198</v>
      </c>
      <c r="AW879" s="3" t="s">
        <v>11199</v>
      </c>
      <c r="AX879" s="3" t="s">
        <v>11199</v>
      </c>
      <c r="AY879" s="3" t="s">
        <v>11200</v>
      </c>
      <c r="AZ879" s="3" t="s">
        <v>73</v>
      </c>
      <c r="BB879" s="3" t="s">
        <v>11201</v>
      </c>
      <c r="BC879" s="3" t="s">
        <v>11202</v>
      </c>
      <c r="BD879" s="3" t="s">
        <v>11203</v>
      </c>
    </row>
    <row r="880" spans="1:56" ht="51" customHeight="1" x14ac:dyDescent="0.25">
      <c r="A880" s="7" t="s">
        <v>58</v>
      </c>
      <c r="B880" s="2" t="s">
        <v>11204</v>
      </c>
      <c r="C880" s="2" t="s">
        <v>11205</v>
      </c>
      <c r="D880" s="2" t="s">
        <v>11206</v>
      </c>
      <c r="F880" s="3" t="s">
        <v>58</v>
      </c>
      <c r="G880" s="3" t="s">
        <v>59</v>
      </c>
      <c r="H880" s="3" t="s">
        <v>58</v>
      </c>
      <c r="I880" s="3" t="s">
        <v>58</v>
      </c>
      <c r="J880" s="3" t="s">
        <v>60</v>
      </c>
      <c r="K880" s="2" t="s">
        <v>11207</v>
      </c>
      <c r="L880" s="2" t="s">
        <v>11208</v>
      </c>
      <c r="M880" s="3" t="s">
        <v>1061</v>
      </c>
      <c r="O880" s="3" t="s">
        <v>63</v>
      </c>
      <c r="P880" s="3" t="s">
        <v>584</v>
      </c>
      <c r="R880" s="3" t="s">
        <v>65</v>
      </c>
      <c r="S880" s="4">
        <v>2</v>
      </c>
      <c r="T880" s="4">
        <v>2</v>
      </c>
      <c r="U880" s="5" t="s">
        <v>11209</v>
      </c>
      <c r="V880" s="5" t="s">
        <v>11209</v>
      </c>
      <c r="W880" s="5" t="s">
        <v>7764</v>
      </c>
      <c r="X880" s="5" t="s">
        <v>7764</v>
      </c>
      <c r="Y880" s="4">
        <v>203</v>
      </c>
      <c r="Z880" s="4">
        <v>158</v>
      </c>
      <c r="AA880" s="4">
        <v>204</v>
      </c>
      <c r="AB880" s="4">
        <v>2</v>
      </c>
      <c r="AC880" s="4">
        <v>2</v>
      </c>
      <c r="AD880" s="4">
        <v>6</v>
      </c>
      <c r="AE880" s="4">
        <v>8</v>
      </c>
      <c r="AF880" s="4">
        <v>2</v>
      </c>
      <c r="AG880" s="4">
        <v>3</v>
      </c>
      <c r="AH880" s="4">
        <v>2</v>
      </c>
      <c r="AI880" s="4">
        <v>4</v>
      </c>
      <c r="AJ880" s="4">
        <v>3</v>
      </c>
      <c r="AK880" s="4">
        <v>4</v>
      </c>
      <c r="AL880" s="4">
        <v>1</v>
      </c>
      <c r="AM880" s="4">
        <v>1</v>
      </c>
      <c r="AN880" s="4">
        <v>0</v>
      </c>
      <c r="AO880" s="4">
        <v>0</v>
      </c>
      <c r="AP880" s="3" t="s">
        <v>58</v>
      </c>
      <c r="AQ880" s="3" t="s">
        <v>58</v>
      </c>
      <c r="AS880" s="6" t="str">
        <f>HYPERLINK("https://creighton-primo.hosted.exlibrisgroup.com/primo-explore/search?tab=default_tab&amp;search_scope=EVERYTHING&amp;vid=01CRU&amp;lang=en_US&amp;offset=0&amp;query=any,contains,991002659559702656","Catalog Record")</f>
        <v>Catalog Record</v>
      </c>
      <c r="AT880" s="6" t="str">
        <f>HYPERLINK("http://www.worldcat.org/oclc/34767420","WorldCat Record")</f>
        <v>WorldCat Record</v>
      </c>
      <c r="AU880" s="3" t="s">
        <v>11210</v>
      </c>
      <c r="AV880" s="3" t="s">
        <v>11211</v>
      </c>
      <c r="AW880" s="3" t="s">
        <v>11212</v>
      </c>
      <c r="AX880" s="3" t="s">
        <v>11212</v>
      </c>
      <c r="AY880" s="3" t="s">
        <v>11213</v>
      </c>
      <c r="AZ880" s="3" t="s">
        <v>73</v>
      </c>
      <c r="BB880" s="3" t="s">
        <v>11214</v>
      </c>
      <c r="BC880" s="3" t="s">
        <v>11215</v>
      </c>
      <c r="BD880" s="3" t="s">
        <v>11216</v>
      </c>
    </row>
    <row r="881" spans="1:56" ht="51" customHeight="1" x14ac:dyDescent="0.25">
      <c r="A881" s="7" t="s">
        <v>58</v>
      </c>
      <c r="B881" s="2" t="s">
        <v>11217</v>
      </c>
      <c r="C881" s="2" t="s">
        <v>11218</v>
      </c>
      <c r="D881" s="2" t="s">
        <v>11219</v>
      </c>
      <c r="F881" s="3" t="s">
        <v>58</v>
      </c>
      <c r="G881" s="3" t="s">
        <v>59</v>
      </c>
      <c r="H881" s="3" t="s">
        <v>58</v>
      </c>
      <c r="I881" s="3" t="s">
        <v>58</v>
      </c>
      <c r="J881" s="3" t="s">
        <v>60</v>
      </c>
      <c r="K881" s="2" t="s">
        <v>11220</v>
      </c>
      <c r="L881" s="2" t="s">
        <v>11221</v>
      </c>
      <c r="M881" s="3" t="s">
        <v>538</v>
      </c>
      <c r="O881" s="3" t="s">
        <v>63</v>
      </c>
      <c r="P881" s="3" t="s">
        <v>2061</v>
      </c>
      <c r="R881" s="3" t="s">
        <v>65</v>
      </c>
      <c r="S881" s="4">
        <v>1</v>
      </c>
      <c r="T881" s="4">
        <v>1</v>
      </c>
      <c r="U881" s="5" t="s">
        <v>4353</v>
      </c>
      <c r="V881" s="5" t="s">
        <v>4353</v>
      </c>
      <c r="W881" s="5" t="s">
        <v>11222</v>
      </c>
      <c r="X881" s="5" t="s">
        <v>11222</v>
      </c>
      <c r="Y881" s="4">
        <v>255</v>
      </c>
      <c r="Z881" s="4">
        <v>203</v>
      </c>
      <c r="AA881" s="4">
        <v>209</v>
      </c>
      <c r="AB881" s="4">
        <v>3</v>
      </c>
      <c r="AC881" s="4">
        <v>3</v>
      </c>
      <c r="AD881" s="4">
        <v>9</v>
      </c>
      <c r="AE881" s="4">
        <v>9</v>
      </c>
      <c r="AF881" s="4">
        <v>5</v>
      </c>
      <c r="AG881" s="4">
        <v>5</v>
      </c>
      <c r="AH881" s="4">
        <v>1</v>
      </c>
      <c r="AI881" s="4">
        <v>1</v>
      </c>
      <c r="AJ881" s="4">
        <v>4</v>
      </c>
      <c r="AK881" s="4">
        <v>4</v>
      </c>
      <c r="AL881" s="4">
        <v>2</v>
      </c>
      <c r="AM881" s="4">
        <v>2</v>
      </c>
      <c r="AN881" s="4">
        <v>0</v>
      </c>
      <c r="AO881" s="4">
        <v>0</v>
      </c>
      <c r="AP881" s="3" t="s">
        <v>58</v>
      </c>
      <c r="AQ881" s="3" t="s">
        <v>68</v>
      </c>
      <c r="AR881" s="6" t="str">
        <f>HYPERLINK("http://catalog.hathitrust.org/Record/007855501","HathiTrust Record")</f>
        <v>HathiTrust Record</v>
      </c>
      <c r="AS881" s="6" t="str">
        <f>HYPERLINK("https://creighton-primo.hosted.exlibrisgroup.com/primo-explore/search?tab=default_tab&amp;search_scope=EVERYTHING&amp;vid=01CRU&amp;lang=en_US&amp;offset=0&amp;query=any,contains,991000060509702656","Catalog Record")</f>
        <v>Catalog Record</v>
      </c>
      <c r="AT881" s="6" t="str">
        <f>HYPERLINK("http://www.worldcat.org/oclc/24469","WorldCat Record")</f>
        <v>WorldCat Record</v>
      </c>
      <c r="AU881" s="3" t="s">
        <v>11223</v>
      </c>
      <c r="AV881" s="3" t="s">
        <v>11224</v>
      </c>
      <c r="AW881" s="3" t="s">
        <v>11225</v>
      </c>
      <c r="AX881" s="3" t="s">
        <v>11225</v>
      </c>
      <c r="AY881" s="3" t="s">
        <v>11226</v>
      </c>
      <c r="AZ881" s="3" t="s">
        <v>73</v>
      </c>
      <c r="BC881" s="3" t="s">
        <v>11227</v>
      </c>
      <c r="BD881" s="3" t="s">
        <v>11228</v>
      </c>
    </row>
    <row r="882" spans="1:56" ht="51" customHeight="1" x14ac:dyDescent="0.25">
      <c r="A882" s="7" t="s">
        <v>58</v>
      </c>
      <c r="B882" s="2" t="s">
        <v>11229</v>
      </c>
      <c r="C882" s="2" t="s">
        <v>11230</v>
      </c>
      <c r="D882" s="2" t="s">
        <v>11231</v>
      </c>
      <c r="F882" s="3" t="s">
        <v>58</v>
      </c>
      <c r="G882" s="3" t="s">
        <v>59</v>
      </c>
      <c r="H882" s="3" t="s">
        <v>58</v>
      </c>
      <c r="I882" s="3" t="s">
        <v>58</v>
      </c>
      <c r="J882" s="3" t="s">
        <v>60</v>
      </c>
      <c r="L882" s="2" t="s">
        <v>11232</v>
      </c>
      <c r="M882" s="3" t="s">
        <v>196</v>
      </c>
      <c r="O882" s="3" t="s">
        <v>63</v>
      </c>
      <c r="P882" s="3" t="s">
        <v>354</v>
      </c>
      <c r="R882" s="3" t="s">
        <v>65</v>
      </c>
      <c r="S882" s="4">
        <v>9</v>
      </c>
      <c r="T882" s="4">
        <v>9</v>
      </c>
      <c r="U882" s="5" t="s">
        <v>1747</v>
      </c>
      <c r="V882" s="5" t="s">
        <v>1747</v>
      </c>
      <c r="W882" s="5" t="s">
        <v>3110</v>
      </c>
      <c r="X882" s="5" t="s">
        <v>3110</v>
      </c>
      <c r="Y882" s="4">
        <v>621</v>
      </c>
      <c r="Z882" s="4">
        <v>466</v>
      </c>
      <c r="AA882" s="4">
        <v>613</v>
      </c>
      <c r="AB882" s="4">
        <v>4</v>
      </c>
      <c r="AC882" s="4">
        <v>6</v>
      </c>
      <c r="AD882" s="4">
        <v>26</v>
      </c>
      <c r="AE882" s="4">
        <v>35</v>
      </c>
      <c r="AF882" s="4">
        <v>8</v>
      </c>
      <c r="AG882" s="4">
        <v>11</v>
      </c>
      <c r="AH882" s="4">
        <v>5</v>
      </c>
      <c r="AI882" s="4">
        <v>8</v>
      </c>
      <c r="AJ882" s="4">
        <v>15</v>
      </c>
      <c r="AK882" s="4">
        <v>18</v>
      </c>
      <c r="AL882" s="4">
        <v>3</v>
      </c>
      <c r="AM882" s="4">
        <v>5</v>
      </c>
      <c r="AN882" s="4">
        <v>0</v>
      </c>
      <c r="AO882" s="4">
        <v>0</v>
      </c>
      <c r="AP882" s="3" t="s">
        <v>58</v>
      </c>
      <c r="AQ882" s="3" t="s">
        <v>58</v>
      </c>
      <c r="AS882" s="6" t="str">
        <f>HYPERLINK("https://creighton-primo.hosted.exlibrisgroup.com/primo-explore/search?tab=default_tab&amp;search_scope=EVERYTHING&amp;vid=01CRU&amp;lang=en_US&amp;offset=0&amp;query=any,contains,991005422229702656","Catalog Record")</f>
        <v>Catalog Record</v>
      </c>
      <c r="AT882" s="6" t="str">
        <f>HYPERLINK("http://www.worldcat.org/oclc/33102557","WorldCat Record")</f>
        <v>WorldCat Record</v>
      </c>
      <c r="AU882" s="3" t="s">
        <v>11233</v>
      </c>
      <c r="AV882" s="3" t="s">
        <v>11234</v>
      </c>
      <c r="AW882" s="3" t="s">
        <v>11235</v>
      </c>
      <c r="AX882" s="3" t="s">
        <v>11235</v>
      </c>
      <c r="AY882" s="3" t="s">
        <v>11236</v>
      </c>
      <c r="AZ882" s="3" t="s">
        <v>73</v>
      </c>
      <c r="BB882" s="3" t="s">
        <v>11237</v>
      </c>
      <c r="BC882" s="3" t="s">
        <v>11238</v>
      </c>
      <c r="BD882" s="3" t="s">
        <v>11239</v>
      </c>
    </row>
    <row r="883" spans="1:56" ht="51" customHeight="1" x14ac:dyDescent="0.25">
      <c r="A883" s="7" t="s">
        <v>58</v>
      </c>
      <c r="B883" s="2" t="s">
        <v>11240</v>
      </c>
      <c r="C883" s="2" t="s">
        <v>11241</v>
      </c>
      <c r="D883" s="2" t="s">
        <v>11242</v>
      </c>
      <c r="F883" s="3" t="s">
        <v>58</v>
      </c>
      <c r="G883" s="3" t="s">
        <v>59</v>
      </c>
      <c r="H883" s="3" t="s">
        <v>58</v>
      </c>
      <c r="I883" s="3" t="s">
        <v>58</v>
      </c>
      <c r="J883" s="3" t="s">
        <v>60</v>
      </c>
      <c r="K883" s="2" t="s">
        <v>11243</v>
      </c>
      <c r="L883" s="2" t="s">
        <v>11244</v>
      </c>
      <c r="M883" s="3" t="s">
        <v>337</v>
      </c>
      <c r="N883" s="2" t="s">
        <v>1009</v>
      </c>
      <c r="O883" s="3" t="s">
        <v>63</v>
      </c>
      <c r="P883" s="3" t="s">
        <v>214</v>
      </c>
      <c r="R883" s="3" t="s">
        <v>65</v>
      </c>
      <c r="S883" s="4">
        <v>6</v>
      </c>
      <c r="T883" s="4">
        <v>6</v>
      </c>
      <c r="U883" s="5" t="s">
        <v>11245</v>
      </c>
      <c r="V883" s="5" t="s">
        <v>11245</v>
      </c>
      <c r="W883" s="5" t="s">
        <v>9333</v>
      </c>
      <c r="X883" s="5" t="s">
        <v>9333</v>
      </c>
      <c r="Y883" s="4">
        <v>583</v>
      </c>
      <c r="Z883" s="4">
        <v>561</v>
      </c>
      <c r="AA883" s="4">
        <v>578</v>
      </c>
      <c r="AB883" s="4">
        <v>4</v>
      </c>
      <c r="AC883" s="4">
        <v>4</v>
      </c>
      <c r="AD883" s="4">
        <v>11</v>
      </c>
      <c r="AE883" s="4">
        <v>11</v>
      </c>
      <c r="AF883" s="4">
        <v>3</v>
      </c>
      <c r="AG883" s="4">
        <v>3</v>
      </c>
      <c r="AH883" s="4">
        <v>2</v>
      </c>
      <c r="AI883" s="4">
        <v>2</v>
      </c>
      <c r="AJ883" s="4">
        <v>6</v>
      </c>
      <c r="AK883" s="4">
        <v>6</v>
      </c>
      <c r="AL883" s="4">
        <v>2</v>
      </c>
      <c r="AM883" s="4">
        <v>2</v>
      </c>
      <c r="AN883" s="4">
        <v>0</v>
      </c>
      <c r="AO883" s="4">
        <v>0</v>
      </c>
      <c r="AP883" s="3" t="s">
        <v>58</v>
      </c>
      <c r="AQ883" s="3" t="s">
        <v>58</v>
      </c>
      <c r="AS883" s="6" t="str">
        <f>HYPERLINK("https://creighton-primo.hosted.exlibrisgroup.com/primo-explore/search?tab=default_tab&amp;search_scope=EVERYTHING&amp;vid=01CRU&amp;lang=en_US&amp;offset=0&amp;query=any,contains,991003800509702656","Catalog Record")</f>
        <v>Catalog Record</v>
      </c>
      <c r="AT883" s="6" t="str">
        <f>HYPERLINK("http://www.worldcat.org/oclc/48892863","WorldCat Record")</f>
        <v>WorldCat Record</v>
      </c>
      <c r="AU883" s="3" t="s">
        <v>11246</v>
      </c>
      <c r="AV883" s="3" t="s">
        <v>11247</v>
      </c>
      <c r="AW883" s="3" t="s">
        <v>11248</v>
      </c>
      <c r="AX883" s="3" t="s">
        <v>11248</v>
      </c>
      <c r="AY883" s="3" t="s">
        <v>11249</v>
      </c>
      <c r="AZ883" s="3" t="s">
        <v>73</v>
      </c>
      <c r="BB883" s="3" t="s">
        <v>11250</v>
      </c>
      <c r="BC883" s="3" t="s">
        <v>11251</v>
      </c>
      <c r="BD883" s="3" t="s">
        <v>11252</v>
      </c>
    </row>
    <row r="884" spans="1:56" ht="51" customHeight="1" x14ac:dyDescent="0.25">
      <c r="A884" s="7" t="s">
        <v>58</v>
      </c>
      <c r="B884" s="2" t="s">
        <v>11253</v>
      </c>
      <c r="C884" s="2" t="s">
        <v>11254</v>
      </c>
      <c r="D884" s="2" t="s">
        <v>11255</v>
      </c>
      <c r="F884" s="3" t="s">
        <v>58</v>
      </c>
      <c r="G884" s="3" t="s">
        <v>59</v>
      </c>
      <c r="H884" s="3" t="s">
        <v>58</v>
      </c>
      <c r="I884" s="3" t="s">
        <v>58</v>
      </c>
      <c r="J884" s="3" t="s">
        <v>60</v>
      </c>
      <c r="L884" s="2" t="s">
        <v>11256</v>
      </c>
      <c r="M884" s="3" t="s">
        <v>4023</v>
      </c>
      <c r="O884" s="3" t="s">
        <v>63</v>
      </c>
      <c r="P884" s="3" t="s">
        <v>2630</v>
      </c>
      <c r="R884" s="3" t="s">
        <v>65</v>
      </c>
      <c r="S884" s="4">
        <v>1</v>
      </c>
      <c r="T884" s="4">
        <v>1</v>
      </c>
      <c r="U884" s="5" t="s">
        <v>11257</v>
      </c>
      <c r="V884" s="5" t="s">
        <v>11257</v>
      </c>
      <c r="W884" s="5" t="s">
        <v>11257</v>
      </c>
      <c r="X884" s="5" t="s">
        <v>11257</v>
      </c>
      <c r="Y884" s="4">
        <v>297</v>
      </c>
      <c r="Z884" s="4">
        <v>169</v>
      </c>
      <c r="AA884" s="4">
        <v>169</v>
      </c>
      <c r="AB884" s="4">
        <v>1</v>
      </c>
      <c r="AC884" s="4">
        <v>1</v>
      </c>
      <c r="AD884" s="4">
        <v>5</v>
      </c>
      <c r="AE884" s="4">
        <v>5</v>
      </c>
      <c r="AF884" s="4">
        <v>0</v>
      </c>
      <c r="AG884" s="4">
        <v>0</v>
      </c>
      <c r="AH884" s="4">
        <v>3</v>
      </c>
      <c r="AI884" s="4">
        <v>3</v>
      </c>
      <c r="AJ884" s="4">
        <v>4</v>
      </c>
      <c r="AK884" s="4">
        <v>4</v>
      </c>
      <c r="AL884" s="4">
        <v>0</v>
      </c>
      <c r="AM884" s="4">
        <v>0</v>
      </c>
      <c r="AN884" s="4">
        <v>0</v>
      </c>
      <c r="AO884" s="4">
        <v>0</v>
      </c>
      <c r="AP884" s="3" t="s">
        <v>58</v>
      </c>
      <c r="AQ884" s="3" t="s">
        <v>58</v>
      </c>
      <c r="AS884" s="6" t="str">
        <f>HYPERLINK("https://creighton-primo.hosted.exlibrisgroup.com/primo-explore/search?tab=default_tab&amp;search_scope=EVERYTHING&amp;vid=01CRU&amp;lang=en_US&amp;offset=0&amp;query=any,contains,991004375359702656","Catalog Record")</f>
        <v>Catalog Record</v>
      </c>
      <c r="AT884" s="6" t="str">
        <f>HYPERLINK("http://www.worldcat.org/oclc/55044455","WorldCat Record")</f>
        <v>WorldCat Record</v>
      </c>
      <c r="AU884" s="3" t="s">
        <v>11258</v>
      </c>
      <c r="AV884" s="3" t="s">
        <v>11259</v>
      </c>
      <c r="AW884" s="3" t="s">
        <v>11260</v>
      </c>
      <c r="AX884" s="3" t="s">
        <v>11260</v>
      </c>
      <c r="AY884" s="3" t="s">
        <v>11261</v>
      </c>
      <c r="AZ884" s="3" t="s">
        <v>73</v>
      </c>
      <c r="BB884" s="3" t="s">
        <v>11262</v>
      </c>
      <c r="BC884" s="3" t="s">
        <v>11263</v>
      </c>
      <c r="BD884" s="3" t="s">
        <v>11264</v>
      </c>
    </row>
    <row r="885" spans="1:56" ht="51" customHeight="1" x14ac:dyDescent="0.25">
      <c r="A885" s="7" t="s">
        <v>58</v>
      </c>
      <c r="B885" s="2" t="s">
        <v>11265</v>
      </c>
      <c r="C885" s="2" t="s">
        <v>11266</v>
      </c>
      <c r="D885" s="2" t="s">
        <v>11267</v>
      </c>
      <c r="F885" s="3" t="s">
        <v>58</v>
      </c>
      <c r="G885" s="3" t="s">
        <v>59</v>
      </c>
      <c r="H885" s="3" t="s">
        <v>58</v>
      </c>
      <c r="I885" s="3" t="s">
        <v>58</v>
      </c>
      <c r="J885" s="3" t="s">
        <v>60</v>
      </c>
      <c r="K885" s="2" t="s">
        <v>11268</v>
      </c>
      <c r="L885" s="2" t="s">
        <v>11269</v>
      </c>
      <c r="M885" s="3" t="s">
        <v>1091</v>
      </c>
      <c r="O885" s="3" t="s">
        <v>63</v>
      </c>
      <c r="P885" s="3" t="s">
        <v>9271</v>
      </c>
      <c r="R885" s="3" t="s">
        <v>65</v>
      </c>
      <c r="S885" s="4">
        <v>1</v>
      </c>
      <c r="T885" s="4">
        <v>1</v>
      </c>
      <c r="U885" s="5" t="s">
        <v>11270</v>
      </c>
      <c r="V885" s="5" t="s">
        <v>11270</v>
      </c>
      <c r="W885" s="5" t="s">
        <v>4038</v>
      </c>
      <c r="X885" s="5" t="s">
        <v>4038</v>
      </c>
      <c r="Y885" s="4">
        <v>204</v>
      </c>
      <c r="Z885" s="4">
        <v>159</v>
      </c>
      <c r="AA885" s="4">
        <v>161</v>
      </c>
      <c r="AB885" s="4">
        <v>3</v>
      </c>
      <c r="AC885" s="4">
        <v>3</v>
      </c>
      <c r="AD885" s="4">
        <v>10</v>
      </c>
      <c r="AE885" s="4">
        <v>10</v>
      </c>
      <c r="AF885" s="4">
        <v>1</v>
      </c>
      <c r="AG885" s="4">
        <v>1</v>
      </c>
      <c r="AH885" s="4">
        <v>2</v>
      </c>
      <c r="AI885" s="4">
        <v>2</v>
      </c>
      <c r="AJ885" s="4">
        <v>6</v>
      </c>
      <c r="AK885" s="4">
        <v>6</v>
      </c>
      <c r="AL885" s="4">
        <v>2</v>
      </c>
      <c r="AM885" s="4">
        <v>2</v>
      </c>
      <c r="AN885" s="4">
        <v>1</v>
      </c>
      <c r="AO885" s="4">
        <v>1</v>
      </c>
      <c r="AP885" s="3" t="s">
        <v>58</v>
      </c>
      <c r="AQ885" s="3" t="s">
        <v>68</v>
      </c>
      <c r="AR885" s="6" t="str">
        <f>HYPERLINK("http://catalog.hathitrust.org/Record/003796437","HathiTrust Record")</f>
        <v>HathiTrust Record</v>
      </c>
      <c r="AS885" s="6" t="str">
        <f>HYPERLINK("https://creighton-primo.hosted.exlibrisgroup.com/primo-explore/search?tab=default_tab&amp;search_scope=EVERYTHING&amp;vid=01CRU&amp;lang=en_US&amp;offset=0&amp;query=any,contains,991003742809702656","Catalog Record")</f>
        <v>Catalog Record</v>
      </c>
      <c r="AT885" s="6" t="str">
        <f>HYPERLINK("http://www.worldcat.org/oclc/48375024","WorldCat Record")</f>
        <v>WorldCat Record</v>
      </c>
      <c r="AU885" s="3" t="s">
        <v>11271</v>
      </c>
      <c r="AV885" s="3" t="s">
        <v>11272</v>
      </c>
      <c r="AW885" s="3" t="s">
        <v>11273</v>
      </c>
      <c r="AX885" s="3" t="s">
        <v>11273</v>
      </c>
      <c r="AY885" s="3" t="s">
        <v>11274</v>
      </c>
      <c r="AZ885" s="3" t="s">
        <v>73</v>
      </c>
      <c r="BB885" s="3" t="s">
        <v>11275</v>
      </c>
      <c r="BC885" s="3" t="s">
        <v>11276</v>
      </c>
      <c r="BD885" s="3" t="s">
        <v>11277</v>
      </c>
    </row>
    <row r="886" spans="1:56" ht="51" customHeight="1" x14ac:dyDescent="0.25">
      <c r="A886" s="7" t="s">
        <v>58</v>
      </c>
      <c r="B886" s="2" t="s">
        <v>11278</v>
      </c>
      <c r="C886" s="2" t="s">
        <v>11279</v>
      </c>
      <c r="D886" s="2" t="s">
        <v>11280</v>
      </c>
      <c r="F886" s="3" t="s">
        <v>58</v>
      </c>
      <c r="G886" s="3" t="s">
        <v>59</v>
      </c>
      <c r="H886" s="3" t="s">
        <v>58</v>
      </c>
      <c r="I886" s="3" t="s">
        <v>58</v>
      </c>
      <c r="J886" s="3" t="s">
        <v>60</v>
      </c>
      <c r="L886" s="2" t="s">
        <v>11281</v>
      </c>
      <c r="M886" s="3" t="s">
        <v>2214</v>
      </c>
      <c r="O886" s="3" t="s">
        <v>63</v>
      </c>
      <c r="P886" s="3" t="s">
        <v>510</v>
      </c>
      <c r="R886" s="3" t="s">
        <v>65</v>
      </c>
      <c r="S886" s="4">
        <v>3</v>
      </c>
      <c r="T886" s="4">
        <v>3</v>
      </c>
      <c r="U886" s="5" t="s">
        <v>6844</v>
      </c>
      <c r="V886" s="5" t="s">
        <v>6844</v>
      </c>
      <c r="W886" s="5" t="s">
        <v>6090</v>
      </c>
      <c r="X886" s="5" t="s">
        <v>6090</v>
      </c>
      <c r="Y886" s="4">
        <v>177</v>
      </c>
      <c r="Z886" s="4">
        <v>151</v>
      </c>
      <c r="AA886" s="4">
        <v>151</v>
      </c>
      <c r="AB886" s="4">
        <v>2</v>
      </c>
      <c r="AC886" s="4">
        <v>2</v>
      </c>
      <c r="AD886" s="4">
        <v>2</v>
      </c>
      <c r="AE886" s="4">
        <v>2</v>
      </c>
      <c r="AF886" s="4">
        <v>0</v>
      </c>
      <c r="AG886" s="4">
        <v>0</v>
      </c>
      <c r="AH886" s="4">
        <v>1</v>
      </c>
      <c r="AI886" s="4">
        <v>1</v>
      </c>
      <c r="AJ886" s="4">
        <v>1</v>
      </c>
      <c r="AK886" s="4">
        <v>1</v>
      </c>
      <c r="AL886" s="4">
        <v>1</v>
      </c>
      <c r="AM886" s="4">
        <v>1</v>
      </c>
      <c r="AN886" s="4">
        <v>0</v>
      </c>
      <c r="AO886" s="4">
        <v>0</v>
      </c>
      <c r="AP886" s="3" t="s">
        <v>58</v>
      </c>
      <c r="AQ886" s="3" t="s">
        <v>58</v>
      </c>
      <c r="AS886" s="6" t="str">
        <f>HYPERLINK("https://creighton-primo.hosted.exlibrisgroup.com/primo-explore/search?tab=default_tab&amp;search_scope=EVERYTHING&amp;vid=01CRU&amp;lang=en_US&amp;offset=0&amp;query=any,contains,991004708059702656","Catalog Record")</f>
        <v>Catalog Record</v>
      </c>
      <c r="AT886" s="6" t="str">
        <f>HYPERLINK("http://www.worldcat.org/oclc/61211354","WorldCat Record")</f>
        <v>WorldCat Record</v>
      </c>
      <c r="AU886" s="3" t="s">
        <v>11282</v>
      </c>
      <c r="AV886" s="3" t="s">
        <v>11283</v>
      </c>
      <c r="AW886" s="3" t="s">
        <v>11284</v>
      </c>
      <c r="AX886" s="3" t="s">
        <v>11284</v>
      </c>
      <c r="AY886" s="3" t="s">
        <v>11285</v>
      </c>
      <c r="AZ886" s="3" t="s">
        <v>73</v>
      </c>
      <c r="BB886" s="3" t="s">
        <v>11286</v>
      </c>
      <c r="BC886" s="3" t="s">
        <v>11287</v>
      </c>
      <c r="BD886" s="3" t="s">
        <v>11288</v>
      </c>
    </row>
    <row r="887" spans="1:56" ht="51" customHeight="1" x14ac:dyDescent="0.25">
      <c r="A887" s="7" t="s">
        <v>58</v>
      </c>
      <c r="B887" s="2" t="s">
        <v>11289</v>
      </c>
      <c r="C887" s="2" t="s">
        <v>11290</v>
      </c>
      <c r="D887" s="2" t="s">
        <v>11291</v>
      </c>
      <c r="F887" s="3" t="s">
        <v>58</v>
      </c>
      <c r="G887" s="3" t="s">
        <v>59</v>
      </c>
      <c r="H887" s="3" t="s">
        <v>58</v>
      </c>
      <c r="I887" s="3" t="s">
        <v>58</v>
      </c>
      <c r="J887" s="3" t="s">
        <v>60</v>
      </c>
      <c r="L887" s="2" t="s">
        <v>11292</v>
      </c>
      <c r="M887" s="3" t="s">
        <v>951</v>
      </c>
      <c r="O887" s="3" t="s">
        <v>63</v>
      </c>
      <c r="P887" s="3" t="s">
        <v>584</v>
      </c>
      <c r="R887" s="3" t="s">
        <v>65</v>
      </c>
      <c r="S887" s="4">
        <v>6</v>
      </c>
      <c r="T887" s="4">
        <v>6</v>
      </c>
      <c r="U887" s="5" t="s">
        <v>11293</v>
      </c>
      <c r="V887" s="5" t="s">
        <v>11293</v>
      </c>
      <c r="W887" s="5" t="s">
        <v>11294</v>
      </c>
      <c r="X887" s="5" t="s">
        <v>11294</v>
      </c>
      <c r="Y887" s="4">
        <v>311</v>
      </c>
      <c r="Z887" s="4">
        <v>223</v>
      </c>
      <c r="AA887" s="4">
        <v>239</v>
      </c>
      <c r="AB887" s="4">
        <v>2</v>
      </c>
      <c r="AC887" s="4">
        <v>2</v>
      </c>
      <c r="AD887" s="4">
        <v>15</v>
      </c>
      <c r="AE887" s="4">
        <v>15</v>
      </c>
      <c r="AF887" s="4">
        <v>3</v>
      </c>
      <c r="AG887" s="4">
        <v>3</v>
      </c>
      <c r="AH887" s="4">
        <v>5</v>
      </c>
      <c r="AI887" s="4">
        <v>5</v>
      </c>
      <c r="AJ887" s="4">
        <v>10</v>
      </c>
      <c r="AK887" s="4">
        <v>10</v>
      </c>
      <c r="AL887" s="4">
        <v>1</v>
      </c>
      <c r="AM887" s="4">
        <v>1</v>
      </c>
      <c r="AN887" s="4">
        <v>0</v>
      </c>
      <c r="AO887" s="4">
        <v>0</v>
      </c>
      <c r="AP887" s="3" t="s">
        <v>58</v>
      </c>
      <c r="AQ887" s="3" t="s">
        <v>58</v>
      </c>
      <c r="AS887" s="6" t="str">
        <f>HYPERLINK("https://creighton-primo.hosted.exlibrisgroup.com/primo-explore/search?tab=default_tab&amp;search_scope=EVERYTHING&amp;vid=01CRU&amp;lang=en_US&amp;offset=0&amp;query=any,contains,991003736799702656","Catalog Record")</f>
        <v>Catalog Record</v>
      </c>
      <c r="AT887" s="6" t="str">
        <f>HYPERLINK("http://www.worldcat.org/oclc/43842278","WorldCat Record")</f>
        <v>WorldCat Record</v>
      </c>
      <c r="AU887" s="3" t="s">
        <v>11295</v>
      </c>
      <c r="AV887" s="3" t="s">
        <v>11296</v>
      </c>
      <c r="AW887" s="3" t="s">
        <v>11297</v>
      </c>
      <c r="AX887" s="3" t="s">
        <v>11297</v>
      </c>
      <c r="AY887" s="3" t="s">
        <v>11298</v>
      </c>
      <c r="AZ887" s="3" t="s">
        <v>73</v>
      </c>
      <c r="BB887" s="3" t="s">
        <v>11299</v>
      </c>
      <c r="BC887" s="3" t="s">
        <v>11300</v>
      </c>
      <c r="BD887" s="3" t="s">
        <v>11301</v>
      </c>
    </row>
    <row r="888" spans="1:56" ht="51" customHeight="1" x14ac:dyDescent="0.25">
      <c r="A888" s="7" t="s">
        <v>58</v>
      </c>
      <c r="B888" s="2" t="s">
        <v>11302</v>
      </c>
      <c r="C888" s="2" t="s">
        <v>11303</v>
      </c>
      <c r="D888" s="2" t="s">
        <v>11304</v>
      </c>
      <c r="F888" s="3" t="s">
        <v>58</v>
      </c>
      <c r="G888" s="3" t="s">
        <v>59</v>
      </c>
      <c r="H888" s="3" t="s">
        <v>58</v>
      </c>
      <c r="I888" s="3" t="s">
        <v>58</v>
      </c>
      <c r="J888" s="3" t="s">
        <v>60</v>
      </c>
      <c r="L888" s="2" t="s">
        <v>11305</v>
      </c>
      <c r="M888" s="3" t="s">
        <v>83</v>
      </c>
      <c r="O888" s="3" t="s">
        <v>63</v>
      </c>
      <c r="P888" s="3" t="s">
        <v>510</v>
      </c>
      <c r="R888" s="3" t="s">
        <v>65</v>
      </c>
      <c r="S888" s="4">
        <v>6</v>
      </c>
      <c r="T888" s="4">
        <v>6</v>
      </c>
      <c r="U888" s="5" t="s">
        <v>11306</v>
      </c>
      <c r="V888" s="5" t="s">
        <v>11306</v>
      </c>
      <c r="W888" s="5" t="s">
        <v>67</v>
      </c>
      <c r="X888" s="5" t="s">
        <v>67</v>
      </c>
      <c r="Y888" s="4">
        <v>974</v>
      </c>
      <c r="Z888" s="4">
        <v>795</v>
      </c>
      <c r="AA888" s="4">
        <v>1065</v>
      </c>
      <c r="AB888" s="4">
        <v>7</v>
      </c>
      <c r="AC888" s="4">
        <v>9</v>
      </c>
      <c r="AD888" s="4">
        <v>27</v>
      </c>
      <c r="AE888" s="4">
        <v>38</v>
      </c>
      <c r="AF888" s="4">
        <v>7</v>
      </c>
      <c r="AG888" s="4">
        <v>13</v>
      </c>
      <c r="AH888" s="4">
        <v>6</v>
      </c>
      <c r="AI888" s="4">
        <v>11</v>
      </c>
      <c r="AJ888" s="4">
        <v>12</v>
      </c>
      <c r="AK888" s="4">
        <v>17</v>
      </c>
      <c r="AL888" s="4">
        <v>6</v>
      </c>
      <c r="AM888" s="4">
        <v>7</v>
      </c>
      <c r="AN888" s="4">
        <v>0</v>
      </c>
      <c r="AO888" s="4">
        <v>0</v>
      </c>
      <c r="AP888" s="3" t="s">
        <v>58</v>
      </c>
      <c r="AQ888" s="3" t="s">
        <v>68</v>
      </c>
      <c r="AR888" s="6" t="str">
        <f>HYPERLINK("http://catalog.hathitrust.org/Record/000752809","HathiTrust Record")</f>
        <v>HathiTrust Record</v>
      </c>
      <c r="AS888" s="6" t="str">
        <f>HYPERLINK("https://creighton-primo.hosted.exlibrisgroup.com/primo-explore/search?tab=default_tab&amp;search_scope=EVERYTHING&amp;vid=01CRU&amp;lang=en_US&amp;offset=0&amp;query=any,contains,991004437009702656","Catalog Record")</f>
        <v>Catalog Record</v>
      </c>
      <c r="AT888" s="6" t="str">
        <f>HYPERLINK("http://www.worldcat.org/oclc/3447003","WorldCat Record")</f>
        <v>WorldCat Record</v>
      </c>
      <c r="AU888" s="3" t="s">
        <v>11307</v>
      </c>
      <c r="AV888" s="3" t="s">
        <v>11308</v>
      </c>
      <c r="AW888" s="3" t="s">
        <v>11309</v>
      </c>
      <c r="AX888" s="3" t="s">
        <v>11309</v>
      </c>
      <c r="AY888" s="3" t="s">
        <v>11310</v>
      </c>
      <c r="AZ888" s="3" t="s">
        <v>73</v>
      </c>
      <c r="BB888" s="3" t="s">
        <v>11311</v>
      </c>
      <c r="BC888" s="3" t="s">
        <v>11312</v>
      </c>
      <c r="BD888" s="3" t="s">
        <v>11313</v>
      </c>
    </row>
    <row r="889" spans="1:56" ht="51" customHeight="1" x14ac:dyDescent="0.25">
      <c r="A889" s="7" t="s">
        <v>58</v>
      </c>
      <c r="B889" s="2" t="s">
        <v>11314</v>
      </c>
      <c r="C889" s="2" t="s">
        <v>11315</v>
      </c>
      <c r="D889" s="2" t="s">
        <v>11316</v>
      </c>
      <c r="F889" s="3" t="s">
        <v>58</v>
      </c>
      <c r="G889" s="3" t="s">
        <v>59</v>
      </c>
      <c r="H889" s="3" t="s">
        <v>58</v>
      </c>
      <c r="I889" s="3" t="s">
        <v>58</v>
      </c>
      <c r="J889" s="3" t="s">
        <v>60</v>
      </c>
      <c r="K889" s="2" t="s">
        <v>11317</v>
      </c>
      <c r="L889" s="2" t="s">
        <v>11318</v>
      </c>
      <c r="M889" s="3" t="s">
        <v>2295</v>
      </c>
      <c r="O889" s="3" t="s">
        <v>63</v>
      </c>
      <c r="P889" s="3" t="s">
        <v>214</v>
      </c>
      <c r="Q889" s="2" t="s">
        <v>11319</v>
      </c>
      <c r="R889" s="3" t="s">
        <v>65</v>
      </c>
      <c r="S889" s="4">
        <v>2</v>
      </c>
      <c r="T889" s="4">
        <v>2</v>
      </c>
      <c r="U889" s="5" t="s">
        <v>11320</v>
      </c>
      <c r="V889" s="5" t="s">
        <v>11320</v>
      </c>
      <c r="W889" s="5" t="s">
        <v>11320</v>
      </c>
      <c r="X889" s="5" t="s">
        <v>11320</v>
      </c>
      <c r="Y889" s="4">
        <v>506</v>
      </c>
      <c r="Z889" s="4">
        <v>457</v>
      </c>
      <c r="AA889" s="4">
        <v>463</v>
      </c>
      <c r="AB889" s="4">
        <v>3</v>
      </c>
      <c r="AC889" s="4">
        <v>3</v>
      </c>
      <c r="AD889" s="4">
        <v>7</v>
      </c>
      <c r="AE889" s="4">
        <v>7</v>
      </c>
      <c r="AF889" s="4">
        <v>3</v>
      </c>
      <c r="AG889" s="4">
        <v>3</v>
      </c>
      <c r="AH889" s="4">
        <v>2</v>
      </c>
      <c r="AI889" s="4">
        <v>2</v>
      </c>
      <c r="AJ889" s="4">
        <v>3</v>
      </c>
      <c r="AK889" s="4">
        <v>3</v>
      </c>
      <c r="AL889" s="4">
        <v>1</v>
      </c>
      <c r="AM889" s="4">
        <v>1</v>
      </c>
      <c r="AN889" s="4">
        <v>0</v>
      </c>
      <c r="AO889" s="4">
        <v>0</v>
      </c>
      <c r="AP889" s="3" t="s">
        <v>58</v>
      </c>
      <c r="AQ889" s="3" t="s">
        <v>58</v>
      </c>
      <c r="AS889" s="6" t="str">
        <f>HYPERLINK("https://creighton-primo.hosted.exlibrisgroup.com/primo-explore/search?tab=default_tab&amp;search_scope=EVERYTHING&amp;vid=01CRU&amp;lang=en_US&amp;offset=0&amp;query=any,contains,991004303459702656","Catalog Record")</f>
        <v>Catalog Record</v>
      </c>
      <c r="AT889" s="6" t="str">
        <f>HYPERLINK("http://www.worldcat.org/oclc/53880221","WorldCat Record")</f>
        <v>WorldCat Record</v>
      </c>
      <c r="AU889" s="3" t="s">
        <v>11321</v>
      </c>
      <c r="AV889" s="3" t="s">
        <v>11322</v>
      </c>
      <c r="AW889" s="3" t="s">
        <v>11323</v>
      </c>
      <c r="AX889" s="3" t="s">
        <v>11323</v>
      </c>
      <c r="AY889" s="3" t="s">
        <v>11324</v>
      </c>
      <c r="AZ889" s="3" t="s">
        <v>73</v>
      </c>
      <c r="BB889" s="3" t="s">
        <v>11325</v>
      </c>
      <c r="BC889" s="3" t="s">
        <v>11326</v>
      </c>
      <c r="BD889" s="3" t="s">
        <v>11327</v>
      </c>
    </row>
    <row r="890" spans="1:56" ht="51" customHeight="1" x14ac:dyDescent="0.25">
      <c r="A890" s="7" t="s">
        <v>58</v>
      </c>
      <c r="B890" s="2" t="s">
        <v>11328</v>
      </c>
      <c r="C890" s="2" t="s">
        <v>11329</v>
      </c>
      <c r="D890" s="2" t="s">
        <v>11330</v>
      </c>
      <c r="F890" s="3" t="s">
        <v>58</v>
      </c>
      <c r="G890" s="3" t="s">
        <v>59</v>
      </c>
      <c r="H890" s="3" t="s">
        <v>58</v>
      </c>
      <c r="I890" s="3" t="s">
        <v>58</v>
      </c>
      <c r="J890" s="3" t="s">
        <v>60</v>
      </c>
      <c r="K890" s="2" t="s">
        <v>11331</v>
      </c>
      <c r="L890" s="2" t="s">
        <v>11332</v>
      </c>
      <c r="M890" s="3" t="s">
        <v>337</v>
      </c>
      <c r="O890" s="3" t="s">
        <v>63</v>
      </c>
      <c r="P890" s="3" t="s">
        <v>214</v>
      </c>
      <c r="R890" s="3" t="s">
        <v>65</v>
      </c>
      <c r="S890" s="4">
        <v>4</v>
      </c>
      <c r="T890" s="4">
        <v>4</v>
      </c>
      <c r="U890" s="5" t="s">
        <v>3419</v>
      </c>
      <c r="V890" s="5" t="s">
        <v>3419</v>
      </c>
      <c r="W890" s="5" t="s">
        <v>11333</v>
      </c>
      <c r="X890" s="5" t="s">
        <v>11333</v>
      </c>
      <c r="Y890" s="4">
        <v>445</v>
      </c>
      <c r="Z890" s="4">
        <v>397</v>
      </c>
      <c r="AA890" s="4">
        <v>402</v>
      </c>
      <c r="AB890" s="4">
        <v>5</v>
      </c>
      <c r="AC890" s="4">
        <v>5</v>
      </c>
      <c r="AD890" s="4">
        <v>13</v>
      </c>
      <c r="AE890" s="4">
        <v>13</v>
      </c>
      <c r="AF890" s="4">
        <v>3</v>
      </c>
      <c r="AG890" s="4">
        <v>3</v>
      </c>
      <c r="AH890" s="4">
        <v>4</v>
      </c>
      <c r="AI890" s="4">
        <v>4</v>
      </c>
      <c r="AJ890" s="4">
        <v>4</v>
      </c>
      <c r="AK890" s="4">
        <v>4</v>
      </c>
      <c r="AL890" s="4">
        <v>3</v>
      </c>
      <c r="AM890" s="4">
        <v>3</v>
      </c>
      <c r="AN890" s="4">
        <v>1</v>
      </c>
      <c r="AO890" s="4">
        <v>1</v>
      </c>
      <c r="AP890" s="3" t="s">
        <v>58</v>
      </c>
      <c r="AQ890" s="3" t="s">
        <v>58</v>
      </c>
      <c r="AS890" s="6" t="str">
        <f>HYPERLINK("https://creighton-primo.hosted.exlibrisgroup.com/primo-explore/search?tab=default_tab&amp;search_scope=EVERYTHING&amp;vid=01CRU&amp;lang=en_US&amp;offset=0&amp;query=any,contains,991003873139702656","Catalog Record")</f>
        <v>Catalog Record</v>
      </c>
      <c r="AT890" s="6" t="str">
        <f>HYPERLINK("http://www.worldcat.org/oclc/48966687","WorldCat Record")</f>
        <v>WorldCat Record</v>
      </c>
      <c r="AU890" s="3" t="s">
        <v>11334</v>
      </c>
      <c r="AV890" s="3" t="s">
        <v>11335</v>
      </c>
      <c r="AW890" s="3" t="s">
        <v>11336</v>
      </c>
      <c r="AX890" s="3" t="s">
        <v>11336</v>
      </c>
      <c r="AY890" s="3" t="s">
        <v>11337</v>
      </c>
      <c r="AZ890" s="3" t="s">
        <v>73</v>
      </c>
      <c r="BB890" s="3" t="s">
        <v>11338</v>
      </c>
      <c r="BC890" s="3" t="s">
        <v>11339</v>
      </c>
      <c r="BD890" s="3" t="s">
        <v>11340</v>
      </c>
    </row>
    <row r="891" spans="1:56" ht="51" customHeight="1" x14ac:dyDescent="0.25">
      <c r="A891" s="7" t="s">
        <v>58</v>
      </c>
      <c r="B891" s="2" t="s">
        <v>11341</v>
      </c>
      <c r="C891" s="2" t="s">
        <v>11342</v>
      </c>
      <c r="D891" s="2" t="s">
        <v>11343</v>
      </c>
      <c r="F891" s="3" t="s">
        <v>58</v>
      </c>
      <c r="G891" s="3" t="s">
        <v>59</v>
      </c>
      <c r="H891" s="3" t="s">
        <v>58</v>
      </c>
      <c r="I891" s="3" t="s">
        <v>58</v>
      </c>
      <c r="J891" s="3" t="s">
        <v>60</v>
      </c>
      <c r="K891" s="2" t="s">
        <v>11344</v>
      </c>
      <c r="L891" s="2" t="s">
        <v>11345</v>
      </c>
      <c r="M891" s="3" t="s">
        <v>800</v>
      </c>
      <c r="O891" s="3" t="s">
        <v>63</v>
      </c>
      <c r="P891" s="3" t="s">
        <v>2630</v>
      </c>
      <c r="R891" s="3" t="s">
        <v>65</v>
      </c>
      <c r="S891" s="4">
        <v>6</v>
      </c>
      <c r="T891" s="4">
        <v>6</v>
      </c>
      <c r="U891" s="5" t="s">
        <v>11346</v>
      </c>
      <c r="V891" s="5" t="s">
        <v>11346</v>
      </c>
      <c r="W891" s="5" t="s">
        <v>5421</v>
      </c>
      <c r="X891" s="5" t="s">
        <v>5421</v>
      </c>
      <c r="Y891" s="4">
        <v>546</v>
      </c>
      <c r="Z891" s="4">
        <v>407</v>
      </c>
      <c r="AA891" s="4">
        <v>428</v>
      </c>
      <c r="AB891" s="4">
        <v>5</v>
      </c>
      <c r="AC891" s="4">
        <v>5</v>
      </c>
      <c r="AD891" s="4">
        <v>19</v>
      </c>
      <c r="AE891" s="4">
        <v>19</v>
      </c>
      <c r="AF891" s="4">
        <v>7</v>
      </c>
      <c r="AG891" s="4">
        <v>7</v>
      </c>
      <c r="AH891" s="4">
        <v>4</v>
      </c>
      <c r="AI891" s="4">
        <v>4</v>
      </c>
      <c r="AJ891" s="4">
        <v>9</v>
      </c>
      <c r="AK891" s="4">
        <v>9</v>
      </c>
      <c r="AL891" s="4">
        <v>4</v>
      </c>
      <c r="AM891" s="4">
        <v>4</v>
      </c>
      <c r="AN891" s="4">
        <v>0</v>
      </c>
      <c r="AO891" s="4">
        <v>0</v>
      </c>
      <c r="AP891" s="3" t="s">
        <v>58</v>
      </c>
      <c r="AQ891" s="3" t="s">
        <v>68</v>
      </c>
      <c r="AR891" s="6" t="str">
        <f>HYPERLINK("http://catalog.hathitrust.org/Record/002973463","HathiTrust Record")</f>
        <v>HathiTrust Record</v>
      </c>
      <c r="AS891" s="6" t="str">
        <f>HYPERLINK("https://creighton-primo.hosted.exlibrisgroup.com/primo-explore/search?tab=default_tab&amp;search_scope=EVERYTHING&amp;vid=01CRU&amp;lang=en_US&amp;offset=0&amp;query=any,contains,991002467759702656","Catalog Record")</f>
        <v>Catalog Record</v>
      </c>
      <c r="AT891" s="6" t="str">
        <f>HYPERLINK("http://www.worldcat.org/oclc/32137482","WorldCat Record")</f>
        <v>WorldCat Record</v>
      </c>
      <c r="AU891" s="3" t="s">
        <v>11347</v>
      </c>
      <c r="AV891" s="3" t="s">
        <v>11348</v>
      </c>
      <c r="AW891" s="3" t="s">
        <v>11349</v>
      </c>
      <c r="AX891" s="3" t="s">
        <v>11349</v>
      </c>
      <c r="AY891" s="3" t="s">
        <v>11350</v>
      </c>
      <c r="AZ891" s="3" t="s">
        <v>73</v>
      </c>
      <c r="BB891" s="3" t="s">
        <v>11351</v>
      </c>
      <c r="BC891" s="3" t="s">
        <v>11352</v>
      </c>
      <c r="BD891" s="3" t="s">
        <v>11353</v>
      </c>
    </row>
    <row r="892" spans="1:56" ht="51" customHeight="1" x14ac:dyDescent="0.25">
      <c r="A892" s="7" t="s">
        <v>58</v>
      </c>
      <c r="B892" s="2" t="s">
        <v>11354</v>
      </c>
      <c r="C892" s="2" t="s">
        <v>11355</v>
      </c>
      <c r="D892" s="2" t="s">
        <v>11356</v>
      </c>
      <c r="F892" s="3" t="s">
        <v>58</v>
      </c>
      <c r="G892" s="3" t="s">
        <v>59</v>
      </c>
      <c r="H892" s="3" t="s">
        <v>58</v>
      </c>
      <c r="I892" s="3" t="s">
        <v>58</v>
      </c>
      <c r="J892" s="3" t="s">
        <v>60</v>
      </c>
      <c r="K892" s="2" t="s">
        <v>11357</v>
      </c>
      <c r="L892" s="2" t="s">
        <v>11358</v>
      </c>
      <c r="M892" s="3" t="s">
        <v>2295</v>
      </c>
      <c r="O892" s="3" t="s">
        <v>63</v>
      </c>
      <c r="P892" s="3" t="s">
        <v>510</v>
      </c>
      <c r="Q892" s="2" t="s">
        <v>11359</v>
      </c>
      <c r="R892" s="3" t="s">
        <v>65</v>
      </c>
      <c r="S892" s="4">
        <v>1</v>
      </c>
      <c r="T892" s="4">
        <v>1</v>
      </c>
      <c r="U892" s="5" t="s">
        <v>11360</v>
      </c>
      <c r="V892" s="5" t="s">
        <v>11360</v>
      </c>
      <c r="W892" s="5" t="s">
        <v>11361</v>
      </c>
      <c r="X892" s="5" t="s">
        <v>11361</v>
      </c>
      <c r="Y892" s="4">
        <v>409</v>
      </c>
      <c r="Z892" s="4">
        <v>329</v>
      </c>
      <c r="AA892" s="4">
        <v>334</v>
      </c>
      <c r="AB892" s="4">
        <v>4</v>
      </c>
      <c r="AC892" s="4">
        <v>4</v>
      </c>
      <c r="AD892" s="4">
        <v>21</v>
      </c>
      <c r="AE892" s="4">
        <v>21</v>
      </c>
      <c r="AF892" s="4">
        <v>11</v>
      </c>
      <c r="AG892" s="4">
        <v>11</v>
      </c>
      <c r="AH892" s="4">
        <v>4</v>
      </c>
      <c r="AI892" s="4">
        <v>4</v>
      </c>
      <c r="AJ892" s="4">
        <v>10</v>
      </c>
      <c r="AK892" s="4">
        <v>10</v>
      </c>
      <c r="AL892" s="4">
        <v>3</v>
      </c>
      <c r="AM892" s="4">
        <v>3</v>
      </c>
      <c r="AN892" s="4">
        <v>0</v>
      </c>
      <c r="AO892" s="4">
        <v>0</v>
      </c>
      <c r="AP892" s="3" t="s">
        <v>58</v>
      </c>
      <c r="AQ892" s="3" t="s">
        <v>68</v>
      </c>
      <c r="AR892" s="6" t="str">
        <f>HYPERLINK("http://catalog.hathitrust.org/Record/004331146","HathiTrust Record")</f>
        <v>HathiTrust Record</v>
      </c>
      <c r="AS892" s="6" t="str">
        <f>HYPERLINK("https://creighton-primo.hosted.exlibrisgroup.com/primo-explore/search?tab=default_tab&amp;search_scope=EVERYTHING&amp;vid=01CRU&amp;lang=en_US&amp;offset=0&amp;query=any,contains,991004742539702656","Catalog Record")</f>
        <v>Catalog Record</v>
      </c>
      <c r="AT892" s="6" t="str">
        <f>HYPERLINK("http://www.worldcat.org/oclc/50322732","WorldCat Record")</f>
        <v>WorldCat Record</v>
      </c>
      <c r="AU892" s="3" t="s">
        <v>11362</v>
      </c>
      <c r="AV892" s="3" t="s">
        <v>11363</v>
      </c>
      <c r="AW892" s="3" t="s">
        <v>11364</v>
      </c>
      <c r="AX892" s="3" t="s">
        <v>11364</v>
      </c>
      <c r="AY892" s="3" t="s">
        <v>11365</v>
      </c>
      <c r="AZ892" s="3" t="s">
        <v>73</v>
      </c>
      <c r="BB892" s="3" t="s">
        <v>11366</v>
      </c>
      <c r="BC892" s="3" t="s">
        <v>11367</v>
      </c>
      <c r="BD892" s="3" t="s">
        <v>11368</v>
      </c>
    </row>
    <row r="893" spans="1:56" ht="51" customHeight="1" x14ac:dyDescent="0.25">
      <c r="A893" s="7" t="s">
        <v>58</v>
      </c>
      <c r="B893" s="2" t="s">
        <v>11369</v>
      </c>
      <c r="C893" s="2" t="s">
        <v>11370</v>
      </c>
      <c r="D893" s="2" t="s">
        <v>11371</v>
      </c>
      <c r="F893" s="3" t="s">
        <v>58</v>
      </c>
      <c r="G893" s="3" t="s">
        <v>59</v>
      </c>
      <c r="H893" s="3" t="s">
        <v>58</v>
      </c>
      <c r="I893" s="3" t="s">
        <v>58</v>
      </c>
      <c r="J893" s="3" t="s">
        <v>60</v>
      </c>
      <c r="L893" s="2" t="s">
        <v>11372</v>
      </c>
      <c r="M893" s="3" t="s">
        <v>653</v>
      </c>
      <c r="O893" s="3" t="s">
        <v>63</v>
      </c>
      <c r="P893" s="3" t="s">
        <v>816</v>
      </c>
      <c r="R893" s="3" t="s">
        <v>65</v>
      </c>
      <c r="S893" s="4">
        <v>3</v>
      </c>
      <c r="T893" s="4">
        <v>3</v>
      </c>
      <c r="U893" s="5" t="s">
        <v>1572</v>
      </c>
      <c r="V893" s="5" t="s">
        <v>1572</v>
      </c>
      <c r="W893" s="5" t="s">
        <v>11373</v>
      </c>
      <c r="X893" s="5" t="s">
        <v>11373</v>
      </c>
      <c r="Y893" s="4">
        <v>38</v>
      </c>
      <c r="Z893" s="4">
        <v>32</v>
      </c>
      <c r="AA893" s="4">
        <v>34</v>
      </c>
      <c r="AB893" s="4">
        <v>1</v>
      </c>
      <c r="AC893" s="4">
        <v>1</v>
      </c>
      <c r="AD893" s="4">
        <v>0</v>
      </c>
      <c r="AE893" s="4">
        <v>0</v>
      </c>
      <c r="AF893" s="4">
        <v>0</v>
      </c>
      <c r="AG893" s="4">
        <v>0</v>
      </c>
      <c r="AH893" s="4">
        <v>0</v>
      </c>
      <c r="AI893" s="4">
        <v>0</v>
      </c>
      <c r="AJ893" s="4">
        <v>0</v>
      </c>
      <c r="AK893" s="4">
        <v>0</v>
      </c>
      <c r="AL893" s="4">
        <v>0</v>
      </c>
      <c r="AM893" s="4">
        <v>0</v>
      </c>
      <c r="AN893" s="4">
        <v>0</v>
      </c>
      <c r="AO893" s="4">
        <v>0</v>
      </c>
      <c r="AP893" s="3" t="s">
        <v>58</v>
      </c>
      <c r="AQ893" s="3" t="s">
        <v>68</v>
      </c>
      <c r="AR893" s="6" t="str">
        <f>HYPERLINK("http://catalog.hathitrust.org/Record/002497897","HathiTrust Record")</f>
        <v>HathiTrust Record</v>
      </c>
      <c r="AS893" s="6" t="str">
        <f>HYPERLINK("https://creighton-primo.hosted.exlibrisgroup.com/primo-explore/search?tab=default_tab&amp;search_scope=EVERYTHING&amp;vid=01CRU&amp;lang=en_US&amp;offset=0&amp;query=any,contains,991001944339702656","Catalog Record")</f>
        <v>Catalog Record</v>
      </c>
      <c r="AT893" s="6" t="str">
        <f>HYPERLINK("http://www.worldcat.org/oclc/24551066","WorldCat Record")</f>
        <v>WorldCat Record</v>
      </c>
      <c r="AU893" s="3" t="s">
        <v>11374</v>
      </c>
      <c r="AV893" s="3" t="s">
        <v>11375</v>
      </c>
      <c r="AW893" s="3" t="s">
        <v>11376</v>
      </c>
      <c r="AX893" s="3" t="s">
        <v>11376</v>
      </c>
      <c r="AY893" s="3" t="s">
        <v>11377</v>
      </c>
      <c r="AZ893" s="3" t="s">
        <v>73</v>
      </c>
      <c r="BB893" s="3" t="s">
        <v>11378</v>
      </c>
      <c r="BC893" s="3" t="s">
        <v>11379</v>
      </c>
      <c r="BD893" s="3" t="s">
        <v>11380</v>
      </c>
    </row>
    <row r="894" spans="1:56" ht="51" customHeight="1" x14ac:dyDescent="0.25">
      <c r="A894" s="7" t="s">
        <v>58</v>
      </c>
      <c r="B894" s="2" t="s">
        <v>11381</v>
      </c>
      <c r="C894" s="2" t="s">
        <v>11382</v>
      </c>
      <c r="D894" s="2" t="s">
        <v>11383</v>
      </c>
      <c r="F894" s="3" t="s">
        <v>58</v>
      </c>
      <c r="G894" s="3" t="s">
        <v>59</v>
      </c>
      <c r="H894" s="3" t="s">
        <v>58</v>
      </c>
      <c r="I894" s="3" t="s">
        <v>58</v>
      </c>
      <c r="J894" s="3" t="s">
        <v>60</v>
      </c>
      <c r="K894" s="2" t="s">
        <v>11384</v>
      </c>
      <c r="L894" s="2" t="s">
        <v>11385</v>
      </c>
      <c r="M894" s="3" t="s">
        <v>2214</v>
      </c>
      <c r="O894" s="3" t="s">
        <v>63</v>
      </c>
      <c r="P894" s="3" t="s">
        <v>584</v>
      </c>
      <c r="R894" s="3" t="s">
        <v>65</v>
      </c>
      <c r="S894" s="4">
        <v>1</v>
      </c>
      <c r="T894" s="4">
        <v>1</v>
      </c>
      <c r="U894" s="5" t="s">
        <v>11386</v>
      </c>
      <c r="V894" s="5" t="s">
        <v>11386</v>
      </c>
      <c r="W894" s="5" t="s">
        <v>11386</v>
      </c>
      <c r="X894" s="5" t="s">
        <v>11386</v>
      </c>
      <c r="Y894" s="4">
        <v>440</v>
      </c>
      <c r="Z894" s="4">
        <v>353</v>
      </c>
      <c r="AA894" s="4">
        <v>381</v>
      </c>
      <c r="AB894" s="4">
        <v>2</v>
      </c>
      <c r="AC894" s="4">
        <v>2</v>
      </c>
      <c r="AD894" s="4">
        <v>15</v>
      </c>
      <c r="AE894" s="4">
        <v>16</v>
      </c>
      <c r="AF894" s="4">
        <v>5</v>
      </c>
      <c r="AG894" s="4">
        <v>6</v>
      </c>
      <c r="AH894" s="4">
        <v>6</v>
      </c>
      <c r="AI894" s="4">
        <v>7</v>
      </c>
      <c r="AJ894" s="4">
        <v>8</v>
      </c>
      <c r="AK894" s="4">
        <v>8</v>
      </c>
      <c r="AL894" s="4">
        <v>1</v>
      </c>
      <c r="AM894" s="4">
        <v>1</v>
      </c>
      <c r="AN894" s="4">
        <v>0</v>
      </c>
      <c r="AO894" s="4">
        <v>0</v>
      </c>
      <c r="AP894" s="3" t="s">
        <v>58</v>
      </c>
      <c r="AQ894" s="3" t="s">
        <v>58</v>
      </c>
      <c r="AS894" s="6" t="str">
        <f>HYPERLINK("https://creighton-primo.hosted.exlibrisgroup.com/primo-explore/search?tab=default_tab&amp;search_scope=EVERYTHING&amp;vid=01CRU&amp;lang=en_US&amp;offset=0&amp;query=any,contains,991005139079702656","Catalog Record")</f>
        <v>Catalog Record</v>
      </c>
      <c r="AT894" s="6" t="str">
        <f>HYPERLINK("http://www.worldcat.org/oclc/59878541","WorldCat Record")</f>
        <v>WorldCat Record</v>
      </c>
      <c r="AU894" s="3" t="s">
        <v>11387</v>
      </c>
      <c r="AV894" s="3" t="s">
        <v>11388</v>
      </c>
      <c r="AW894" s="3" t="s">
        <v>11389</v>
      </c>
      <c r="AX894" s="3" t="s">
        <v>11389</v>
      </c>
      <c r="AY894" s="3" t="s">
        <v>11390</v>
      </c>
      <c r="AZ894" s="3" t="s">
        <v>73</v>
      </c>
      <c r="BB894" s="3" t="s">
        <v>11391</v>
      </c>
      <c r="BC894" s="3" t="s">
        <v>11392</v>
      </c>
      <c r="BD894" s="3" t="s">
        <v>11393</v>
      </c>
    </row>
    <row r="895" spans="1:56" ht="51" customHeight="1" x14ac:dyDescent="0.25">
      <c r="A895" s="7" t="s">
        <v>58</v>
      </c>
      <c r="B895" s="2" t="s">
        <v>11394</v>
      </c>
      <c r="C895" s="2" t="s">
        <v>11395</v>
      </c>
      <c r="D895" s="2" t="s">
        <v>11396</v>
      </c>
      <c r="F895" s="3" t="s">
        <v>58</v>
      </c>
      <c r="G895" s="3" t="s">
        <v>59</v>
      </c>
      <c r="H895" s="3" t="s">
        <v>58</v>
      </c>
      <c r="I895" s="3" t="s">
        <v>58</v>
      </c>
      <c r="J895" s="3" t="s">
        <v>60</v>
      </c>
      <c r="K895" s="2" t="s">
        <v>11397</v>
      </c>
      <c r="L895" s="2" t="s">
        <v>11398</v>
      </c>
      <c r="M895" s="3" t="s">
        <v>1385</v>
      </c>
      <c r="O895" s="3" t="s">
        <v>63</v>
      </c>
      <c r="P895" s="3" t="s">
        <v>214</v>
      </c>
      <c r="Q895" s="2" t="s">
        <v>11399</v>
      </c>
      <c r="R895" s="3" t="s">
        <v>65</v>
      </c>
      <c r="S895" s="4">
        <v>2</v>
      </c>
      <c r="T895" s="4">
        <v>2</v>
      </c>
      <c r="U895" s="5" t="s">
        <v>11400</v>
      </c>
      <c r="V895" s="5" t="s">
        <v>11400</v>
      </c>
      <c r="W895" s="5" t="s">
        <v>11401</v>
      </c>
      <c r="X895" s="5" t="s">
        <v>11401</v>
      </c>
      <c r="Y895" s="4">
        <v>331</v>
      </c>
      <c r="Z895" s="4">
        <v>258</v>
      </c>
      <c r="AA895" s="4">
        <v>260</v>
      </c>
      <c r="AB895" s="4">
        <v>4</v>
      </c>
      <c r="AC895" s="4">
        <v>4</v>
      </c>
      <c r="AD895" s="4">
        <v>10</v>
      </c>
      <c r="AE895" s="4">
        <v>10</v>
      </c>
      <c r="AF895" s="4">
        <v>3</v>
      </c>
      <c r="AG895" s="4">
        <v>3</v>
      </c>
      <c r="AH895" s="4">
        <v>3</v>
      </c>
      <c r="AI895" s="4">
        <v>3</v>
      </c>
      <c r="AJ895" s="4">
        <v>3</v>
      </c>
      <c r="AK895" s="4">
        <v>3</v>
      </c>
      <c r="AL895" s="4">
        <v>2</v>
      </c>
      <c r="AM895" s="4">
        <v>2</v>
      </c>
      <c r="AN895" s="4">
        <v>0</v>
      </c>
      <c r="AO895" s="4">
        <v>0</v>
      </c>
      <c r="AP895" s="3" t="s">
        <v>58</v>
      </c>
      <c r="AQ895" s="3" t="s">
        <v>68</v>
      </c>
      <c r="AR895" s="6" t="str">
        <f>HYPERLINK("http://catalog.hathitrust.org/Record/001249095","HathiTrust Record")</f>
        <v>HathiTrust Record</v>
      </c>
      <c r="AS895" s="6" t="str">
        <f>HYPERLINK("https://creighton-primo.hosted.exlibrisgroup.com/primo-explore/search?tab=default_tab&amp;search_scope=EVERYTHING&amp;vid=01CRU&amp;lang=en_US&amp;offset=0&amp;query=any,contains,991003377899702656","Catalog Record")</f>
        <v>Catalog Record</v>
      </c>
      <c r="AT895" s="6" t="str">
        <f>HYPERLINK("http://www.worldcat.org/oclc/914551","WorldCat Record")</f>
        <v>WorldCat Record</v>
      </c>
      <c r="AU895" s="3" t="s">
        <v>11402</v>
      </c>
      <c r="AV895" s="3" t="s">
        <v>11403</v>
      </c>
      <c r="AW895" s="3" t="s">
        <v>11404</v>
      </c>
      <c r="AX895" s="3" t="s">
        <v>11404</v>
      </c>
      <c r="AY895" s="3" t="s">
        <v>11405</v>
      </c>
      <c r="AZ895" s="3" t="s">
        <v>73</v>
      </c>
      <c r="BB895" s="3" t="s">
        <v>11406</v>
      </c>
      <c r="BC895" s="3" t="s">
        <v>11407</v>
      </c>
      <c r="BD895" s="3" t="s">
        <v>11408</v>
      </c>
    </row>
    <row r="896" spans="1:56" ht="51" customHeight="1" x14ac:dyDescent="0.25">
      <c r="A896" s="7" t="s">
        <v>58</v>
      </c>
      <c r="B896" s="2" t="s">
        <v>11409</v>
      </c>
      <c r="C896" s="2" t="s">
        <v>11410</v>
      </c>
      <c r="D896" s="2" t="s">
        <v>11411</v>
      </c>
      <c r="F896" s="3" t="s">
        <v>58</v>
      </c>
      <c r="G896" s="3" t="s">
        <v>59</v>
      </c>
      <c r="H896" s="3" t="s">
        <v>58</v>
      </c>
      <c r="I896" s="3" t="s">
        <v>58</v>
      </c>
      <c r="J896" s="3" t="s">
        <v>60</v>
      </c>
      <c r="K896" s="2" t="s">
        <v>11412</v>
      </c>
      <c r="L896" s="2" t="s">
        <v>11413</v>
      </c>
      <c r="M896" s="3" t="s">
        <v>382</v>
      </c>
      <c r="N896" s="2" t="s">
        <v>9805</v>
      </c>
      <c r="O896" s="3" t="s">
        <v>63</v>
      </c>
      <c r="P896" s="3" t="s">
        <v>214</v>
      </c>
      <c r="R896" s="3" t="s">
        <v>65</v>
      </c>
      <c r="S896" s="4">
        <v>3</v>
      </c>
      <c r="T896" s="4">
        <v>3</v>
      </c>
      <c r="U896" s="5" t="s">
        <v>11414</v>
      </c>
      <c r="V896" s="5" t="s">
        <v>11414</v>
      </c>
      <c r="W896" s="5" t="s">
        <v>1863</v>
      </c>
      <c r="X896" s="5" t="s">
        <v>1863</v>
      </c>
      <c r="Y896" s="4">
        <v>617</v>
      </c>
      <c r="Z896" s="4">
        <v>601</v>
      </c>
      <c r="AA896" s="4">
        <v>1308</v>
      </c>
      <c r="AB896" s="4">
        <v>6</v>
      </c>
      <c r="AC896" s="4">
        <v>13</v>
      </c>
      <c r="AD896" s="4">
        <v>13</v>
      </c>
      <c r="AE896" s="4">
        <v>27</v>
      </c>
      <c r="AF896" s="4">
        <v>4</v>
      </c>
      <c r="AG896" s="4">
        <v>11</v>
      </c>
      <c r="AH896" s="4">
        <v>2</v>
      </c>
      <c r="AI896" s="4">
        <v>4</v>
      </c>
      <c r="AJ896" s="4">
        <v>6</v>
      </c>
      <c r="AK896" s="4">
        <v>12</v>
      </c>
      <c r="AL896" s="4">
        <v>2</v>
      </c>
      <c r="AM896" s="4">
        <v>5</v>
      </c>
      <c r="AN896" s="4">
        <v>0</v>
      </c>
      <c r="AO896" s="4">
        <v>0</v>
      </c>
      <c r="AP896" s="3" t="s">
        <v>58</v>
      </c>
      <c r="AQ896" s="3" t="s">
        <v>58</v>
      </c>
      <c r="AS896" s="6" t="str">
        <f>HYPERLINK("https://creighton-primo.hosted.exlibrisgroup.com/primo-explore/search?tab=default_tab&amp;search_scope=EVERYTHING&amp;vid=01CRU&amp;lang=en_US&amp;offset=0&amp;query=any,contains,991003452449702656","Catalog Record")</f>
        <v>Catalog Record</v>
      </c>
      <c r="AT896" s="6" t="str">
        <f>HYPERLINK("http://www.worldcat.org/oclc/45452152","WorldCat Record")</f>
        <v>WorldCat Record</v>
      </c>
      <c r="AU896" s="3" t="s">
        <v>11415</v>
      </c>
      <c r="AV896" s="3" t="s">
        <v>11416</v>
      </c>
      <c r="AW896" s="3" t="s">
        <v>11417</v>
      </c>
      <c r="AX896" s="3" t="s">
        <v>11417</v>
      </c>
      <c r="AY896" s="3" t="s">
        <v>11418</v>
      </c>
      <c r="AZ896" s="3" t="s">
        <v>73</v>
      </c>
      <c r="BB896" s="3" t="s">
        <v>11419</v>
      </c>
      <c r="BC896" s="3" t="s">
        <v>11420</v>
      </c>
      <c r="BD896" s="3" t="s">
        <v>11421</v>
      </c>
    </row>
    <row r="897" spans="1:56" ht="51" customHeight="1" x14ac:dyDescent="0.25">
      <c r="A897" s="7" t="s">
        <v>58</v>
      </c>
      <c r="B897" s="2" t="s">
        <v>11422</v>
      </c>
      <c r="C897" s="2" t="s">
        <v>11423</v>
      </c>
      <c r="D897" s="2" t="s">
        <v>11424</v>
      </c>
      <c r="F897" s="3" t="s">
        <v>58</v>
      </c>
      <c r="G897" s="3" t="s">
        <v>59</v>
      </c>
      <c r="H897" s="3" t="s">
        <v>58</v>
      </c>
      <c r="I897" s="3" t="s">
        <v>58</v>
      </c>
      <c r="J897" s="3" t="s">
        <v>60</v>
      </c>
      <c r="K897" s="2" t="s">
        <v>11425</v>
      </c>
      <c r="L897" s="2" t="s">
        <v>11426</v>
      </c>
      <c r="M897" s="3" t="s">
        <v>337</v>
      </c>
      <c r="N897" s="2" t="s">
        <v>1009</v>
      </c>
      <c r="O897" s="3" t="s">
        <v>63</v>
      </c>
      <c r="P897" s="3" t="s">
        <v>214</v>
      </c>
      <c r="R897" s="3" t="s">
        <v>65</v>
      </c>
      <c r="S897" s="4">
        <v>2</v>
      </c>
      <c r="T897" s="4">
        <v>2</v>
      </c>
      <c r="U897" s="5" t="s">
        <v>11427</v>
      </c>
      <c r="V897" s="5" t="s">
        <v>11427</v>
      </c>
      <c r="W897" s="5" t="s">
        <v>11428</v>
      </c>
      <c r="X897" s="5" t="s">
        <v>11428</v>
      </c>
      <c r="Y897" s="4">
        <v>582</v>
      </c>
      <c r="Z897" s="4">
        <v>551</v>
      </c>
      <c r="AA897" s="4">
        <v>705</v>
      </c>
      <c r="AB897" s="4">
        <v>3</v>
      </c>
      <c r="AC897" s="4">
        <v>3</v>
      </c>
      <c r="AD897" s="4">
        <v>12</v>
      </c>
      <c r="AE897" s="4">
        <v>16</v>
      </c>
      <c r="AF897" s="4">
        <v>4</v>
      </c>
      <c r="AG897" s="4">
        <v>7</v>
      </c>
      <c r="AH897" s="4">
        <v>4</v>
      </c>
      <c r="AI897" s="4">
        <v>4</v>
      </c>
      <c r="AJ897" s="4">
        <v>5</v>
      </c>
      <c r="AK897" s="4">
        <v>8</v>
      </c>
      <c r="AL897" s="4">
        <v>2</v>
      </c>
      <c r="AM897" s="4">
        <v>2</v>
      </c>
      <c r="AN897" s="4">
        <v>0</v>
      </c>
      <c r="AO897" s="4">
        <v>0</v>
      </c>
      <c r="AP897" s="3" t="s">
        <v>58</v>
      </c>
      <c r="AQ897" s="3" t="s">
        <v>58</v>
      </c>
      <c r="AS897" s="6" t="str">
        <f>HYPERLINK("https://creighton-primo.hosted.exlibrisgroup.com/primo-explore/search?tab=default_tab&amp;search_scope=EVERYTHING&amp;vid=01CRU&amp;lang=en_US&amp;offset=0&amp;query=any,contains,991003973999702656","Catalog Record")</f>
        <v>Catalog Record</v>
      </c>
      <c r="AT897" s="6" t="str">
        <f>HYPERLINK("http://www.worldcat.org/oclc/51179948","WorldCat Record")</f>
        <v>WorldCat Record</v>
      </c>
      <c r="AU897" s="3" t="s">
        <v>11429</v>
      </c>
      <c r="AV897" s="3" t="s">
        <v>11430</v>
      </c>
      <c r="AW897" s="3" t="s">
        <v>11431</v>
      </c>
      <c r="AX897" s="3" t="s">
        <v>11431</v>
      </c>
      <c r="AY897" s="3" t="s">
        <v>11432</v>
      </c>
      <c r="AZ897" s="3" t="s">
        <v>73</v>
      </c>
      <c r="BB897" s="3" t="s">
        <v>11433</v>
      </c>
      <c r="BC897" s="3" t="s">
        <v>11434</v>
      </c>
      <c r="BD897" s="3" t="s">
        <v>11435</v>
      </c>
    </row>
    <row r="898" spans="1:56" ht="51" customHeight="1" x14ac:dyDescent="0.25">
      <c r="A898" s="7" t="s">
        <v>58</v>
      </c>
      <c r="B898" s="2" t="s">
        <v>11436</v>
      </c>
      <c r="C898" s="2" t="s">
        <v>11437</v>
      </c>
      <c r="D898" s="2" t="s">
        <v>11438</v>
      </c>
      <c r="F898" s="3" t="s">
        <v>58</v>
      </c>
      <c r="G898" s="3" t="s">
        <v>59</v>
      </c>
      <c r="H898" s="3" t="s">
        <v>58</v>
      </c>
      <c r="I898" s="3" t="s">
        <v>58</v>
      </c>
      <c r="J898" s="3" t="s">
        <v>60</v>
      </c>
      <c r="K898" s="2" t="s">
        <v>11439</v>
      </c>
      <c r="L898" s="2" t="s">
        <v>11440</v>
      </c>
      <c r="M898" s="3" t="s">
        <v>898</v>
      </c>
      <c r="N898" s="2" t="s">
        <v>870</v>
      </c>
      <c r="O898" s="3" t="s">
        <v>63</v>
      </c>
      <c r="P898" s="3" t="s">
        <v>11441</v>
      </c>
      <c r="R898" s="3" t="s">
        <v>65</v>
      </c>
      <c r="S898" s="4">
        <v>7</v>
      </c>
      <c r="T898" s="4">
        <v>7</v>
      </c>
      <c r="U898" s="5" t="s">
        <v>525</v>
      </c>
      <c r="V898" s="5" t="s">
        <v>525</v>
      </c>
      <c r="W898" s="5" t="s">
        <v>7857</v>
      </c>
      <c r="X898" s="5" t="s">
        <v>7857</v>
      </c>
      <c r="Y898" s="4">
        <v>1729</v>
      </c>
      <c r="Z898" s="4">
        <v>1649</v>
      </c>
      <c r="AA898" s="4">
        <v>1736</v>
      </c>
      <c r="AB898" s="4">
        <v>19</v>
      </c>
      <c r="AC898" s="4">
        <v>19</v>
      </c>
      <c r="AD898" s="4">
        <v>31</v>
      </c>
      <c r="AE898" s="4">
        <v>32</v>
      </c>
      <c r="AF898" s="4">
        <v>12</v>
      </c>
      <c r="AG898" s="4">
        <v>13</v>
      </c>
      <c r="AH898" s="4">
        <v>5</v>
      </c>
      <c r="AI898" s="4">
        <v>6</v>
      </c>
      <c r="AJ898" s="4">
        <v>12</v>
      </c>
      <c r="AK898" s="4">
        <v>12</v>
      </c>
      <c r="AL898" s="4">
        <v>7</v>
      </c>
      <c r="AM898" s="4">
        <v>7</v>
      </c>
      <c r="AN898" s="4">
        <v>0</v>
      </c>
      <c r="AO898" s="4">
        <v>0</v>
      </c>
      <c r="AP898" s="3" t="s">
        <v>58</v>
      </c>
      <c r="AQ898" s="3" t="s">
        <v>58</v>
      </c>
      <c r="AS898" s="6" t="str">
        <f>HYPERLINK("https://creighton-primo.hosted.exlibrisgroup.com/primo-explore/search?tab=default_tab&amp;search_scope=EVERYTHING&amp;vid=01CRU&amp;lang=en_US&amp;offset=0&amp;query=any,contains,991004841979702656","Catalog Record")</f>
        <v>Catalog Record</v>
      </c>
      <c r="AT898" s="6" t="str">
        <f>HYPERLINK("http://www.worldcat.org/oclc/62282105","WorldCat Record")</f>
        <v>WorldCat Record</v>
      </c>
      <c r="AU898" s="3" t="s">
        <v>11442</v>
      </c>
      <c r="AV898" s="3" t="s">
        <v>11443</v>
      </c>
      <c r="AW898" s="3" t="s">
        <v>11444</v>
      </c>
      <c r="AX898" s="3" t="s">
        <v>11444</v>
      </c>
      <c r="AY898" s="3" t="s">
        <v>11445</v>
      </c>
      <c r="AZ898" s="3" t="s">
        <v>73</v>
      </c>
      <c r="BB898" s="3" t="s">
        <v>11446</v>
      </c>
      <c r="BC898" s="3" t="s">
        <v>11447</v>
      </c>
      <c r="BD898" s="3" t="s">
        <v>11448</v>
      </c>
    </row>
    <row r="899" spans="1:56" ht="51" customHeight="1" x14ac:dyDescent="0.25">
      <c r="A899" s="7" t="s">
        <v>58</v>
      </c>
      <c r="B899" s="2" t="s">
        <v>11449</v>
      </c>
      <c r="C899" s="2" t="s">
        <v>11450</v>
      </c>
      <c r="D899" s="2" t="s">
        <v>11451</v>
      </c>
      <c r="F899" s="3" t="s">
        <v>58</v>
      </c>
      <c r="G899" s="3" t="s">
        <v>59</v>
      </c>
      <c r="H899" s="3" t="s">
        <v>58</v>
      </c>
      <c r="I899" s="3" t="s">
        <v>58</v>
      </c>
      <c r="J899" s="3" t="s">
        <v>60</v>
      </c>
      <c r="K899" s="2" t="s">
        <v>11452</v>
      </c>
      <c r="L899" s="2" t="s">
        <v>11453</v>
      </c>
      <c r="M899" s="3" t="s">
        <v>4023</v>
      </c>
      <c r="N899" s="2" t="s">
        <v>870</v>
      </c>
      <c r="O899" s="3" t="s">
        <v>63</v>
      </c>
      <c r="P899" s="3" t="s">
        <v>214</v>
      </c>
      <c r="R899" s="3" t="s">
        <v>65</v>
      </c>
      <c r="S899" s="4">
        <v>3</v>
      </c>
      <c r="T899" s="4">
        <v>3</v>
      </c>
      <c r="U899" s="5" t="s">
        <v>11454</v>
      </c>
      <c r="V899" s="5" t="s">
        <v>11454</v>
      </c>
      <c r="W899" s="5" t="s">
        <v>11455</v>
      </c>
      <c r="X899" s="5" t="s">
        <v>11455</v>
      </c>
      <c r="Y899" s="4">
        <v>602</v>
      </c>
      <c r="Z899" s="4">
        <v>558</v>
      </c>
      <c r="AA899" s="4">
        <v>567</v>
      </c>
      <c r="AB899" s="4">
        <v>4</v>
      </c>
      <c r="AC899" s="4">
        <v>4</v>
      </c>
      <c r="AD899" s="4">
        <v>9</v>
      </c>
      <c r="AE899" s="4">
        <v>9</v>
      </c>
      <c r="AF899" s="4">
        <v>1</v>
      </c>
      <c r="AG899" s="4">
        <v>1</v>
      </c>
      <c r="AH899" s="4">
        <v>4</v>
      </c>
      <c r="AI899" s="4">
        <v>4</v>
      </c>
      <c r="AJ899" s="4">
        <v>4</v>
      </c>
      <c r="AK899" s="4">
        <v>4</v>
      </c>
      <c r="AL899" s="4">
        <v>2</v>
      </c>
      <c r="AM899" s="4">
        <v>2</v>
      </c>
      <c r="AN899" s="4">
        <v>0</v>
      </c>
      <c r="AO899" s="4">
        <v>0</v>
      </c>
      <c r="AP899" s="3" t="s">
        <v>58</v>
      </c>
      <c r="AQ899" s="3" t="s">
        <v>58</v>
      </c>
      <c r="AS899" s="6" t="str">
        <f>HYPERLINK("https://creighton-primo.hosted.exlibrisgroup.com/primo-explore/search?tab=default_tab&amp;search_scope=EVERYTHING&amp;vid=01CRU&amp;lang=en_US&amp;offset=0&amp;query=any,contains,991004318789702656","Catalog Record")</f>
        <v>Catalog Record</v>
      </c>
      <c r="AT899" s="6" t="str">
        <f>HYPERLINK("http://www.worldcat.org/oclc/54035011","WorldCat Record")</f>
        <v>WorldCat Record</v>
      </c>
      <c r="AU899" s="3" t="s">
        <v>11456</v>
      </c>
      <c r="AV899" s="3" t="s">
        <v>11457</v>
      </c>
      <c r="AW899" s="3" t="s">
        <v>11458</v>
      </c>
      <c r="AX899" s="3" t="s">
        <v>11458</v>
      </c>
      <c r="AY899" s="3" t="s">
        <v>11459</v>
      </c>
      <c r="AZ899" s="3" t="s">
        <v>73</v>
      </c>
      <c r="BB899" s="3" t="s">
        <v>11460</v>
      </c>
      <c r="BC899" s="3" t="s">
        <v>11461</v>
      </c>
      <c r="BD899" s="3" t="s">
        <v>11462</v>
      </c>
    </row>
    <row r="900" spans="1:56" ht="51" customHeight="1" x14ac:dyDescent="0.25">
      <c r="A900" s="7" t="s">
        <v>58</v>
      </c>
      <c r="B900" s="2" t="s">
        <v>11463</v>
      </c>
      <c r="C900" s="2" t="s">
        <v>11464</v>
      </c>
      <c r="D900" s="2" t="s">
        <v>11465</v>
      </c>
      <c r="F900" s="3" t="s">
        <v>58</v>
      </c>
      <c r="G900" s="3" t="s">
        <v>59</v>
      </c>
      <c r="H900" s="3" t="s">
        <v>58</v>
      </c>
      <c r="I900" s="3" t="s">
        <v>58</v>
      </c>
      <c r="J900" s="3" t="s">
        <v>60</v>
      </c>
      <c r="K900" s="2" t="s">
        <v>11466</v>
      </c>
      <c r="L900" s="2" t="s">
        <v>11467</v>
      </c>
      <c r="M900" s="3" t="s">
        <v>1720</v>
      </c>
      <c r="O900" s="3" t="s">
        <v>63</v>
      </c>
      <c r="P900" s="3" t="s">
        <v>354</v>
      </c>
      <c r="Q900" s="2" t="s">
        <v>11468</v>
      </c>
      <c r="R900" s="3" t="s">
        <v>65</v>
      </c>
      <c r="S900" s="4">
        <v>2</v>
      </c>
      <c r="T900" s="4">
        <v>2</v>
      </c>
      <c r="U900" s="5" t="s">
        <v>11469</v>
      </c>
      <c r="V900" s="5" t="s">
        <v>11469</v>
      </c>
      <c r="W900" s="5" t="s">
        <v>2616</v>
      </c>
      <c r="X900" s="5" t="s">
        <v>2616</v>
      </c>
      <c r="Y900" s="4">
        <v>588</v>
      </c>
      <c r="Z900" s="4">
        <v>492</v>
      </c>
      <c r="AA900" s="4">
        <v>501</v>
      </c>
      <c r="AB900" s="4">
        <v>3</v>
      </c>
      <c r="AC900" s="4">
        <v>3</v>
      </c>
      <c r="AD900" s="4">
        <v>14</v>
      </c>
      <c r="AE900" s="4">
        <v>14</v>
      </c>
      <c r="AF900" s="4">
        <v>7</v>
      </c>
      <c r="AG900" s="4">
        <v>7</v>
      </c>
      <c r="AH900" s="4">
        <v>2</v>
      </c>
      <c r="AI900" s="4">
        <v>2</v>
      </c>
      <c r="AJ900" s="4">
        <v>6</v>
      </c>
      <c r="AK900" s="4">
        <v>6</v>
      </c>
      <c r="AL900" s="4">
        <v>2</v>
      </c>
      <c r="AM900" s="4">
        <v>2</v>
      </c>
      <c r="AN900" s="4">
        <v>0</v>
      </c>
      <c r="AO900" s="4">
        <v>0</v>
      </c>
      <c r="AP900" s="3" t="s">
        <v>68</v>
      </c>
      <c r="AQ900" s="3" t="s">
        <v>58</v>
      </c>
      <c r="AR900" s="6" t="str">
        <f>HYPERLINK("http://catalog.hathitrust.org/Record/001249126","HathiTrust Record")</f>
        <v>HathiTrust Record</v>
      </c>
      <c r="AS900" s="6" t="str">
        <f>HYPERLINK("https://creighton-primo.hosted.exlibrisgroup.com/primo-explore/search?tab=default_tab&amp;search_scope=EVERYTHING&amp;vid=01CRU&amp;lang=en_US&amp;offset=0&amp;query=any,contains,991000895089702656","Catalog Record")</f>
        <v>Catalog Record</v>
      </c>
      <c r="AT900" s="6" t="str">
        <f>HYPERLINK("http://www.worldcat.org/oclc/1019263516","WorldCat Record")</f>
        <v>WorldCat Record</v>
      </c>
      <c r="AU900" s="3" t="s">
        <v>11470</v>
      </c>
      <c r="AV900" s="3" t="s">
        <v>11471</v>
      </c>
      <c r="AW900" s="3" t="s">
        <v>11472</v>
      </c>
      <c r="AX900" s="3" t="s">
        <v>11472</v>
      </c>
      <c r="AY900" s="3" t="s">
        <v>11473</v>
      </c>
      <c r="AZ900" s="3" t="s">
        <v>73</v>
      </c>
      <c r="BC900" s="3" t="s">
        <v>11474</v>
      </c>
      <c r="BD900" s="3" t="s">
        <v>11475</v>
      </c>
    </row>
    <row r="901" spans="1:56" ht="51" customHeight="1" x14ac:dyDescent="0.25">
      <c r="A901" s="7" t="s">
        <v>58</v>
      </c>
      <c r="B901" s="2" t="s">
        <v>11476</v>
      </c>
      <c r="C901" s="2" t="s">
        <v>11477</v>
      </c>
      <c r="D901" s="2" t="s">
        <v>11478</v>
      </c>
      <c r="F901" s="3" t="s">
        <v>58</v>
      </c>
      <c r="G901" s="3" t="s">
        <v>59</v>
      </c>
      <c r="H901" s="3" t="s">
        <v>58</v>
      </c>
      <c r="I901" s="3" t="s">
        <v>58</v>
      </c>
      <c r="J901" s="3" t="s">
        <v>60</v>
      </c>
      <c r="K901" s="2" t="s">
        <v>11479</v>
      </c>
      <c r="L901" s="2" t="s">
        <v>11480</v>
      </c>
      <c r="M901" s="3" t="s">
        <v>842</v>
      </c>
      <c r="O901" s="3" t="s">
        <v>63</v>
      </c>
      <c r="P901" s="3" t="s">
        <v>1120</v>
      </c>
      <c r="R901" s="3" t="s">
        <v>65</v>
      </c>
      <c r="S901" s="4">
        <v>10</v>
      </c>
      <c r="T901" s="4">
        <v>10</v>
      </c>
      <c r="U901" s="5" t="s">
        <v>11481</v>
      </c>
      <c r="V901" s="5" t="s">
        <v>11481</v>
      </c>
      <c r="W901" s="5" t="s">
        <v>8127</v>
      </c>
      <c r="X901" s="5" t="s">
        <v>8127</v>
      </c>
      <c r="Y901" s="4">
        <v>419</v>
      </c>
      <c r="Z901" s="4">
        <v>346</v>
      </c>
      <c r="AA901" s="4">
        <v>348</v>
      </c>
      <c r="AB901" s="4">
        <v>3</v>
      </c>
      <c r="AC901" s="4">
        <v>3</v>
      </c>
      <c r="AD901" s="4">
        <v>11</v>
      </c>
      <c r="AE901" s="4">
        <v>11</v>
      </c>
      <c r="AF901" s="4">
        <v>1</v>
      </c>
      <c r="AG901" s="4">
        <v>1</v>
      </c>
      <c r="AH901" s="4">
        <v>5</v>
      </c>
      <c r="AI901" s="4">
        <v>5</v>
      </c>
      <c r="AJ901" s="4">
        <v>6</v>
      </c>
      <c r="AK901" s="4">
        <v>6</v>
      </c>
      <c r="AL901" s="4">
        <v>2</v>
      </c>
      <c r="AM901" s="4">
        <v>2</v>
      </c>
      <c r="AN901" s="4">
        <v>0</v>
      </c>
      <c r="AO901" s="4">
        <v>0</v>
      </c>
      <c r="AP901" s="3" t="s">
        <v>58</v>
      </c>
      <c r="AQ901" s="3" t="s">
        <v>68</v>
      </c>
      <c r="AR901" s="6" t="str">
        <f>HYPERLINK("http://catalog.hathitrust.org/Record/000141129","HathiTrust Record")</f>
        <v>HathiTrust Record</v>
      </c>
      <c r="AS901" s="6" t="str">
        <f>HYPERLINK("https://creighton-primo.hosted.exlibrisgroup.com/primo-explore/search?tab=default_tab&amp;search_scope=EVERYTHING&amp;vid=01CRU&amp;lang=en_US&amp;offset=0&amp;query=any,contains,991005139629702656","Catalog Record")</f>
        <v>Catalog Record</v>
      </c>
      <c r="AT901" s="6" t="str">
        <f>HYPERLINK("http://www.worldcat.org/oclc/7597447","WorldCat Record")</f>
        <v>WorldCat Record</v>
      </c>
      <c r="AU901" s="3" t="s">
        <v>11482</v>
      </c>
      <c r="AV901" s="3" t="s">
        <v>11483</v>
      </c>
      <c r="AW901" s="3" t="s">
        <v>11484</v>
      </c>
      <c r="AX901" s="3" t="s">
        <v>11484</v>
      </c>
      <c r="AY901" s="3" t="s">
        <v>11485</v>
      </c>
      <c r="AZ901" s="3" t="s">
        <v>73</v>
      </c>
      <c r="BB901" s="3" t="s">
        <v>11486</v>
      </c>
      <c r="BC901" s="3" t="s">
        <v>11487</v>
      </c>
      <c r="BD901" s="3" t="s">
        <v>11488</v>
      </c>
    </row>
    <row r="902" spans="1:56" ht="51" customHeight="1" x14ac:dyDescent="0.25">
      <c r="A902" s="7" t="s">
        <v>58</v>
      </c>
      <c r="B902" s="2" t="s">
        <v>11489</v>
      </c>
      <c r="C902" s="2" t="s">
        <v>11490</v>
      </c>
      <c r="D902" s="2" t="s">
        <v>11491</v>
      </c>
      <c r="F902" s="3" t="s">
        <v>58</v>
      </c>
      <c r="G902" s="3" t="s">
        <v>59</v>
      </c>
      <c r="H902" s="3" t="s">
        <v>58</v>
      </c>
      <c r="I902" s="3" t="s">
        <v>58</v>
      </c>
      <c r="J902" s="3" t="s">
        <v>60</v>
      </c>
      <c r="L902" s="2" t="s">
        <v>11492</v>
      </c>
      <c r="M902" s="3" t="s">
        <v>1091</v>
      </c>
      <c r="O902" s="3" t="s">
        <v>63</v>
      </c>
      <c r="P902" s="3" t="s">
        <v>214</v>
      </c>
      <c r="R902" s="3" t="s">
        <v>65</v>
      </c>
      <c r="S902" s="4">
        <v>5</v>
      </c>
      <c r="T902" s="4">
        <v>5</v>
      </c>
      <c r="U902" s="5" t="s">
        <v>11493</v>
      </c>
      <c r="V902" s="5" t="s">
        <v>11493</v>
      </c>
      <c r="W902" s="5" t="s">
        <v>11494</v>
      </c>
      <c r="X902" s="5" t="s">
        <v>11494</v>
      </c>
      <c r="Y902" s="4">
        <v>168</v>
      </c>
      <c r="Z902" s="4">
        <v>145</v>
      </c>
      <c r="AA902" s="4">
        <v>154</v>
      </c>
      <c r="AB902" s="4">
        <v>2</v>
      </c>
      <c r="AC902" s="4">
        <v>2</v>
      </c>
      <c r="AD902" s="4">
        <v>7</v>
      </c>
      <c r="AE902" s="4">
        <v>7</v>
      </c>
      <c r="AF902" s="4">
        <v>1</v>
      </c>
      <c r="AG902" s="4">
        <v>1</v>
      </c>
      <c r="AH902" s="4">
        <v>3</v>
      </c>
      <c r="AI902" s="4">
        <v>3</v>
      </c>
      <c r="AJ902" s="4">
        <v>4</v>
      </c>
      <c r="AK902" s="4">
        <v>4</v>
      </c>
      <c r="AL902" s="4">
        <v>1</v>
      </c>
      <c r="AM902" s="4">
        <v>1</v>
      </c>
      <c r="AN902" s="4">
        <v>0</v>
      </c>
      <c r="AO902" s="4">
        <v>0</v>
      </c>
      <c r="AP902" s="3" t="s">
        <v>58</v>
      </c>
      <c r="AQ902" s="3" t="s">
        <v>58</v>
      </c>
      <c r="AS902" s="6" t="str">
        <f>HYPERLINK("https://creighton-primo.hosted.exlibrisgroup.com/primo-explore/search?tab=default_tab&amp;search_scope=EVERYTHING&amp;vid=01CRU&amp;lang=en_US&amp;offset=0&amp;query=any,contains,991003721849702656","Catalog Record")</f>
        <v>Catalog Record</v>
      </c>
      <c r="AT902" s="6" t="str">
        <f>HYPERLINK("http://www.worldcat.org/oclc/48223135","WorldCat Record")</f>
        <v>WorldCat Record</v>
      </c>
      <c r="AU902" s="3" t="s">
        <v>11495</v>
      </c>
      <c r="AV902" s="3" t="s">
        <v>11496</v>
      </c>
      <c r="AW902" s="3" t="s">
        <v>11497</v>
      </c>
      <c r="AX902" s="3" t="s">
        <v>11497</v>
      </c>
      <c r="AY902" s="3" t="s">
        <v>11498</v>
      </c>
      <c r="AZ902" s="3" t="s">
        <v>73</v>
      </c>
      <c r="BB902" s="3" t="s">
        <v>11499</v>
      </c>
      <c r="BC902" s="3" t="s">
        <v>11500</v>
      </c>
      <c r="BD902" s="3" t="s">
        <v>11501</v>
      </c>
    </row>
    <row r="903" spans="1:56" ht="51" customHeight="1" x14ac:dyDescent="0.25">
      <c r="A903" s="7" t="s">
        <v>58</v>
      </c>
      <c r="B903" s="2" t="s">
        <v>11502</v>
      </c>
      <c r="C903" s="2" t="s">
        <v>11503</v>
      </c>
      <c r="D903" s="2" t="s">
        <v>11504</v>
      </c>
      <c r="F903" s="3" t="s">
        <v>58</v>
      </c>
      <c r="G903" s="3" t="s">
        <v>59</v>
      </c>
      <c r="H903" s="3" t="s">
        <v>58</v>
      </c>
      <c r="I903" s="3" t="s">
        <v>58</v>
      </c>
      <c r="J903" s="3" t="s">
        <v>60</v>
      </c>
      <c r="K903" s="2" t="s">
        <v>11505</v>
      </c>
      <c r="L903" s="2" t="s">
        <v>11506</v>
      </c>
      <c r="M903" s="3" t="s">
        <v>249</v>
      </c>
      <c r="O903" s="3" t="s">
        <v>63</v>
      </c>
      <c r="P903" s="3" t="s">
        <v>214</v>
      </c>
      <c r="R903" s="3" t="s">
        <v>65</v>
      </c>
      <c r="S903" s="4">
        <v>6</v>
      </c>
      <c r="T903" s="4">
        <v>6</v>
      </c>
      <c r="U903" s="5" t="s">
        <v>10901</v>
      </c>
      <c r="V903" s="5" t="s">
        <v>10901</v>
      </c>
      <c r="W903" s="5" t="s">
        <v>2616</v>
      </c>
      <c r="X903" s="5" t="s">
        <v>2616</v>
      </c>
      <c r="Y903" s="4">
        <v>685</v>
      </c>
      <c r="Z903" s="4">
        <v>600</v>
      </c>
      <c r="AA903" s="4">
        <v>644</v>
      </c>
      <c r="AB903" s="4">
        <v>6</v>
      </c>
      <c r="AC903" s="4">
        <v>6</v>
      </c>
      <c r="AD903" s="4">
        <v>24</v>
      </c>
      <c r="AE903" s="4">
        <v>25</v>
      </c>
      <c r="AF903" s="4">
        <v>4</v>
      </c>
      <c r="AG903" s="4">
        <v>5</v>
      </c>
      <c r="AH903" s="4">
        <v>8</v>
      </c>
      <c r="AI903" s="4">
        <v>8</v>
      </c>
      <c r="AJ903" s="4">
        <v>13</v>
      </c>
      <c r="AK903" s="4">
        <v>13</v>
      </c>
      <c r="AL903" s="4">
        <v>5</v>
      </c>
      <c r="AM903" s="4">
        <v>5</v>
      </c>
      <c r="AN903" s="4">
        <v>0</v>
      </c>
      <c r="AO903" s="4">
        <v>0</v>
      </c>
      <c r="AP903" s="3" t="s">
        <v>58</v>
      </c>
      <c r="AQ903" s="3" t="s">
        <v>68</v>
      </c>
      <c r="AR903" s="6" t="str">
        <f>HYPERLINK("http://catalog.hathitrust.org/Record/001866785","HathiTrust Record")</f>
        <v>HathiTrust Record</v>
      </c>
      <c r="AS903" s="6" t="str">
        <f>HYPERLINK("https://creighton-primo.hosted.exlibrisgroup.com/primo-explore/search?tab=default_tab&amp;search_scope=EVERYTHING&amp;vid=01CRU&amp;lang=en_US&amp;offset=0&amp;query=any,contains,991002709929702656","Catalog Record")</f>
        <v>Catalog Record</v>
      </c>
      <c r="AT903" s="6" t="str">
        <f>HYPERLINK("http://www.worldcat.org/oclc/408840","WorldCat Record")</f>
        <v>WorldCat Record</v>
      </c>
      <c r="AU903" s="3" t="s">
        <v>11507</v>
      </c>
      <c r="AV903" s="3" t="s">
        <v>11508</v>
      </c>
      <c r="AW903" s="3" t="s">
        <v>11509</v>
      </c>
      <c r="AX903" s="3" t="s">
        <v>11509</v>
      </c>
      <c r="AY903" s="3" t="s">
        <v>11510</v>
      </c>
      <c r="AZ903" s="3" t="s">
        <v>73</v>
      </c>
      <c r="BC903" s="3" t="s">
        <v>11511</v>
      </c>
      <c r="BD903" s="3" t="s">
        <v>11512</v>
      </c>
    </row>
    <row r="904" spans="1:56" ht="51" customHeight="1" x14ac:dyDescent="0.25">
      <c r="A904" s="7" t="s">
        <v>58</v>
      </c>
      <c r="B904" s="2" t="s">
        <v>11513</v>
      </c>
      <c r="C904" s="2" t="s">
        <v>11514</v>
      </c>
      <c r="D904" s="2" t="s">
        <v>11515</v>
      </c>
      <c r="F904" s="3" t="s">
        <v>58</v>
      </c>
      <c r="G904" s="3" t="s">
        <v>59</v>
      </c>
      <c r="H904" s="3" t="s">
        <v>58</v>
      </c>
      <c r="I904" s="3" t="s">
        <v>58</v>
      </c>
      <c r="J904" s="3" t="s">
        <v>60</v>
      </c>
      <c r="K904" s="2" t="s">
        <v>10288</v>
      </c>
      <c r="L904" s="2" t="s">
        <v>11516</v>
      </c>
      <c r="M904" s="3" t="s">
        <v>2004</v>
      </c>
      <c r="O904" s="3" t="s">
        <v>63</v>
      </c>
      <c r="P904" s="3" t="s">
        <v>510</v>
      </c>
      <c r="Q904" s="2" t="s">
        <v>11517</v>
      </c>
      <c r="R904" s="3" t="s">
        <v>65</v>
      </c>
      <c r="S904" s="4">
        <v>7</v>
      </c>
      <c r="T904" s="4">
        <v>7</v>
      </c>
      <c r="U904" s="5" t="s">
        <v>11518</v>
      </c>
      <c r="V904" s="5" t="s">
        <v>11518</v>
      </c>
      <c r="W904" s="5" t="s">
        <v>2616</v>
      </c>
      <c r="X904" s="5" t="s">
        <v>2616</v>
      </c>
      <c r="Y904" s="4">
        <v>706</v>
      </c>
      <c r="Z904" s="4">
        <v>613</v>
      </c>
      <c r="AA904" s="4">
        <v>626</v>
      </c>
      <c r="AB904" s="4">
        <v>5</v>
      </c>
      <c r="AC904" s="4">
        <v>5</v>
      </c>
      <c r="AD904" s="4">
        <v>23</v>
      </c>
      <c r="AE904" s="4">
        <v>23</v>
      </c>
      <c r="AF904" s="4">
        <v>9</v>
      </c>
      <c r="AG904" s="4">
        <v>9</v>
      </c>
      <c r="AH904" s="4">
        <v>3</v>
      </c>
      <c r="AI904" s="4">
        <v>3</v>
      </c>
      <c r="AJ904" s="4">
        <v>11</v>
      </c>
      <c r="AK904" s="4">
        <v>11</v>
      </c>
      <c r="AL904" s="4">
        <v>4</v>
      </c>
      <c r="AM904" s="4">
        <v>4</v>
      </c>
      <c r="AN904" s="4">
        <v>0</v>
      </c>
      <c r="AO904" s="4">
        <v>0</v>
      </c>
      <c r="AP904" s="3" t="s">
        <v>68</v>
      </c>
      <c r="AQ904" s="3" t="s">
        <v>68</v>
      </c>
      <c r="AR904" s="6" t="str">
        <f>HYPERLINK("http://catalog.hathitrust.org/Record/001249146","HathiTrust Record")</f>
        <v>HathiTrust Record</v>
      </c>
      <c r="AS904" s="6" t="str">
        <f>HYPERLINK("https://creighton-primo.hosted.exlibrisgroup.com/primo-explore/search?tab=default_tab&amp;search_scope=EVERYTHING&amp;vid=01CRU&amp;lang=en_US&amp;offset=0&amp;query=any,contains,991002714789702656","Catalog Record")</f>
        <v>Catalog Record</v>
      </c>
      <c r="AT904" s="6" t="str">
        <f>HYPERLINK("http://www.worldcat.org/oclc/410960","WorldCat Record")</f>
        <v>WorldCat Record</v>
      </c>
      <c r="AU904" s="3" t="s">
        <v>11519</v>
      </c>
      <c r="AV904" s="3" t="s">
        <v>11520</v>
      </c>
      <c r="AW904" s="3" t="s">
        <v>11521</v>
      </c>
      <c r="AX904" s="3" t="s">
        <v>11521</v>
      </c>
      <c r="AY904" s="3" t="s">
        <v>11522</v>
      </c>
      <c r="AZ904" s="3" t="s">
        <v>73</v>
      </c>
      <c r="BC904" s="3" t="s">
        <v>11523</v>
      </c>
      <c r="BD904" s="3" t="s">
        <v>11524</v>
      </c>
    </row>
    <row r="905" spans="1:56" ht="51" customHeight="1" x14ac:dyDescent="0.25">
      <c r="A905" s="7" t="s">
        <v>58</v>
      </c>
      <c r="B905" s="2" t="s">
        <v>11525</v>
      </c>
      <c r="C905" s="2" t="s">
        <v>11526</v>
      </c>
      <c r="D905" s="2" t="s">
        <v>11527</v>
      </c>
      <c r="F905" s="3" t="s">
        <v>58</v>
      </c>
      <c r="G905" s="3" t="s">
        <v>59</v>
      </c>
      <c r="H905" s="3" t="s">
        <v>58</v>
      </c>
      <c r="I905" s="3" t="s">
        <v>58</v>
      </c>
      <c r="J905" s="3" t="s">
        <v>60</v>
      </c>
      <c r="K905" s="2" t="s">
        <v>11528</v>
      </c>
      <c r="L905" s="2" t="s">
        <v>11529</v>
      </c>
      <c r="M905" s="3" t="s">
        <v>261</v>
      </c>
      <c r="O905" s="3" t="s">
        <v>63</v>
      </c>
      <c r="P905" s="3" t="s">
        <v>214</v>
      </c>
      <c r="R905" s="3" t="s">
        <v>65</v>
      </c>
      <c r="S905" s="4">
        <v>3</v>
      </c>
      <c r="T905" s="4">
        <v>3</v>
      </c>
      <c r="U905" s="5" t="s">
        <v>11530</v>
      </c>
      <c r="V905" s="5" t="s">
        <v>11530</v>
      </c>
      <c r="W905" s="5" t="s">
        <v>67</v>
      </c>
      <c r="X905" s="5" t="s">
        <v>67</v>
      </c>
      <c r="Y905" s="4">
        <v>432</v>
      </c>
      <c r="Z905" s="4">
        <v>324</v>
      </c>
      <c r="AA905" s="4">
        <v>331</v>
      </c>
      <c r="AB905" s="4">
        <v>3</v>
      </c>
      <c r="AC905" s="4">
        <v>3</v>
      </c>
      <c r="AD905" s="4">
        <v>16</v>
      </c>
      <c r="AE905" s="4">
        <v>16</v>
      </c>
      <c r="AF905" s="4">
        <v>2</v>
      </c>
      <c r="AG905" s="4">
        <v>2</v>
      </c>
      <c r="AH905" s="4">
        <v>4</v>
      </c>
      <c r="AI905" s="4">
        <v>4</v>
      </c>
      <c r="AJ905" s="4">
        <v>4</v>
      </c>
      <c r="AK905" s="4">
        <v>4</v>
      </c>
      <c r="AL905" s="4">
        <v>2</v>
      </c>
      <c r="AM905" s="4">
        <v>2</v>
      </c>
      <c r="AN905" s="4">
        <v>6</v>
      </c>
      <c r="AO905" s="4">
        <v>6</v>
      </c>
      <c r="AP905" s="3" t="s">
        <v>58</v>
      </c>
      <c r="AQ905" s="3" t="s">
        <v>68</v>
      </c>
      <c r="AR905" s="6" t="str">
        <f>HYPERLINK("http://catalog.hathitrust.org/Record/000040617","HathiTrust Record")</f>
        <v>HathiTrust Record</v>
      </c>
      <c r="AS905" s="6" t="str">
        <f>HYPERLINK("https://creighton-primo.hosted.exlibrisgroup.com/primo-explore/search?tab=default_tab&amp;search_scope=EVERYTHING&amp;vid=01CRU&amp;lang=en_US&amp;offset=0&amp;query=any,contains,991003885479702656","Catalog Record")</f>
        <v>Catalog Record</v>
      </c>
      <c r="AT905" s="6" t="str">
        <f>HYPERLINK("http://www.worldcat.org/oclc/1735429","WorldCat Record")</f>
        <v>WorldCat Record</v>
      </c>
      <c r="AU905" s="3" t="s">
        <v>11531</v>
      </c>
      <c r="AV905" s="3" t="s">
        <v>11532</v>
      </c>
      <c r="AW905" s="3" t="s">
        <v>11533</v>
      </c>
      <c r="AX905" s="3" t="s">
        <v>11533</v>
      </c>
      <c r="AY905" s="3" t="s">
        <v>11534</v>
      </c>
      <c r="AZ905" s="3" t="s">
        <v>73</v>
      </c>
      <c r="BB905" s="3" t="s">
        <v>11535</v>
      </c>
      <c r="BC905" s="3" t="s">
        <v>11536</v>
      </c>
      <c r="BD905" s="3" t="s">
        <v>11537</v>
      </c>
    </row>
    <row r="906" spans="1:56" ht="51" customHeight="1" x14ac:dyDescent="0.25">
      <c r="A906" s="7" t="s">
        <v>58</v>
      </c>
      <c r="B906" s="2" t="s">
        <v>11538</v>
      </c>
      <c r="C906" s="2" t="s">
        <v>11539</v>
      </c>
      <c r="D906" s="2" t="s">
        <v>11540</v>
      </c>
      <c r="F906" s="3" t="s">
        <v>58</v>
      </c>
      <c r="G906" s="3" t="s">
        <v>59</v>
      </c>
      <c r="H906" s="3" t="s">
        <v>58</v>
      </c>
      <c r="I906" s="3" t="s">
        <v>58</v>
      </c>
      <c r="J906" s="3" t="s">
        <v>60</v>
      </c>
      <c r="K906" s="2" t="s">
        <v>11541</v>
      </c>
      <c r="L906" s="2" t="s">
        <v>11542</v>
      </c>
      <c r="M906" s="3" t="s">
        <v>249</v>
      </c>
      <c r="O906" s="3" t="s">
        <v>63</v>
      </c>
      <c r="P906" s="3" t="s">
        <v>354</v>
      </c>
      <c r="R906" s="3" t="s">
        <v>65</v>
      </c>
      <c r="S906" s="4">
        <v>2</v>
      </c>
      <c r="T906" s="4">
        <v>2</v>
      </c>
      <c r="U906" s="5" t="s">
        <v>11530</v>
      </c>
      <c r="V906" s="5" t="s">
        <v>11530</v>
      </c>
      <c r="W906" s="5" t="s">
        <v>67</v>
      </c>
      <c r="X906" s="5" t="s">
        <v>67</v>
      </c>
      <c r="Y906" s="4">
        <v>895</v>
      </c>
      <c r="Z906" s="4">
        <v>729</v>
      </c>
      <c r="AA906" s="4">
        <v>876</v>
      </c>
      <c r="AB906" s="4">
        <v>4</v>
      </c>
      <c r="AC906" s="4">
        <v>4</v>
      </c>
      <c r="AD906" s="4">
        <v>32</v>
      </c>
      <c r="AE906" s="4">
        <v>38</v>
      </c>
      <c r="AF906" s="4">
        <v>11</v>
      </c>
      <c r="AG906" s="4">
        <v>17</v>
      </c>
      <c r="AH906" s="4">
        <v>6</v>
      </c>
      <c r="AI906" s="4">
        <v>7</v>
      </c>
      <c r="AJ906" s="4">
        <v>16</v>
      </c>
      <c r="AK906" s="4">
        <v>17</v>
      </c>
      <c r="AL906" s="4">
        <v>3</v>
      </c>
      <c r="AM906" s="4">
        <v>3</v>
      </c>
      <c r="AN906" s="4">
        <v>4</v>
      </c>
      <c r="AO906" s="4">
        <v>4</v>
      </c>
      <c r="AP906" s="3" t="s">
        <v>58</v>
      </c>
      <c r="AQ906" s="3" t="s">
        <v>58</v>
      </c>
      <c r="AS906" s="6" t="str">
        <f>HYPERLINK("https://creighton-primo.hosted.exlibrisgroup.com/primo-explore/search?tab=default_tab&amp;search_scope=EVERYTHING&amp;vid=01CRU&amp;lang=en_US&amp;offset=0&amp;query=any,contains,991002679719702656","Catalog Record")</f>
        <v>Catalog Record</v>
      </c>
      <c r="AT906" s="6" t="str">
        <f>HYPERLINK("http://www.worldcat.org/oclc/398083","WorldCat Record")</f>
        <v>WorldCat Record</v>
      </c>
      <c r="AU906" s="3" t="s">
        <v>11543</v>
      </c>
      <c r="AV906" s="3" t="s">
        <v>11544</v>
      </c>
      <c r="AW906" s="3" t="s">
        <v>11545</v>
      </c>
      <c r="AX906" s="3" t="s">
        <v>11545</v>
      </c>
      <c r="AY906" s="3" t="s">
        <v>11546</v>
      </c>
      <c r="AZ906" s="3" t="s">
        <v>73</v>
      </c>
      <c r="BC906" s="3" t="s">
        <v>11547</v>
      </c>
      <c r="BD906" s="3" t="s">
        <v>11548</v>
      </c>
    </row>
    <row r="907" spans="1:56" ht="51" customHeight="1" x14ac:dyDescent="0.25">
      <c r="A907" s="7" t="s">
        <v>58</v>
      </c>
      <c r="B907" s="2" t="s">
        <v>11549</v>
      </c>
      <c r="C907" s="2" t="s">
        <v>11550</v>
      </c>
      <c r="D907" s="2" t="s">
        <v>11551</v>
      </c>
      <c r="F907" s="3" t="s">
        <v>58</v>
      </c>
      <c r="G907" s="3" t="s">
        <v>59</v>
      </c>
      <c r="H907" s="3" t="s">
        <v>58</v>
      </c>
      <c r="I907" s="3" t="s">
        <v>58</v>
      </c>
      <c r="J907" s="3" t="s">
        <v>60</v>
      </c>
      <c r="K907" s="2" t="s">
        <v>11552</v>
      </c>
      <c r="L907" s="2" t="s">
        <v>11553</v>
      </c>
      <c r="M907" s="3" t="s">
        <v>1061</v>
      </c>
      <c r="N907" s="2" t="s">
        <v>11554</v>
      </c>
      <c r="O907" s="3" t="s">
        <v>63</v>
      </c>
      <c r="P907" s="3" t="s">
        <v>214</v>
      </c>
      <c r="R907" s="3" t="s">
        <v>65</v>
      </c>
      <c r="S907" s="4">
        <v>10</v>
      </c>
      <c r="T907" s="4">
        <v>10</v>
      </c>
      <c r="U907" s="5" t="s">
        <v>8953</v>
      </c>
      <c r="V907" s="5" t="s">
        <v>8953</v>
      </c>
      <c r="W907" s="5" t="s">
        <v>11555</v>
      </c>
      <c r="X907" s="5" t="s">
        <v>11555</v>
      </c>
      <c r="Y907" s="4">
        <v>643</v>
      </c>
      <c r="Z907" s="4">
        <v>579</v>
      </c>
      <c r="AA907" s="4">
        <v>611</v>
      </c>
      <c r="AB907" s="4">
        <v>4</v>
      </c>
      <c r="AC907" s="4">
        <v>4</v>
      </c>
      <c r="AD907" s="4">
        <v>19</v>
      </c>
      <c r="AE907" s="4">
        <v>20</v>
      </c>
      <c r="AF907" s="4">
        <v>9</v>
      </c>
      <c r="AG907" s="4">
        <v>9</v>
      </c>
      <c r="AH907" s="4">
        <v>4</v>
      </c>
      <c r="AI907" s="4">
        <v>5</v>
      </c>
      <c r="AJ907" s="4">
        <v>9</v>
      </c>
      <c r="AK907" s="4">
        <v>10</v>
      </c>
      <c r="AL907" s="4">
        <v>2</v>
      </c>
      <c r="AM907" s="4">
        <v>2</v>
      </c>
      <c r="AN907" s="4">
        <v>0</v>
      </c>
      <c r="AO907" s="4">
        <v>0</v>
      </c>
      <c r="AP907" s="3" t="s">
        <v>58</v>
      </c>
      <c r="AQ907" s="3" t="s">
        <v>68</v>
      </c>
      <c r="AR907" s="6" t="str">
        <f>HYPERLINK("http://catalog.hathitrust.org/Record/003942261","HathiTrust Record")</f>
        <v>HathiTrust Record</v>
      </c>
      <c r="AS907" s="6" t="str">
        <f>HYPERLINK("https://creighton-primo.hosted.exlibrisgroup.com/primo-explore/search?tab=default_tab&amp;search_scope=EVERYTHING&amp;vid=01CRU&amp;lang=en_US&amp;offset=0&amp;query=any,contains,991002738879702656","Catalog Record")</f>
        <v>Catalog Record</v>
      </c>
      <c r="AT907" s="6" t="str">
        <f>HYPERLINK("http://www.worldcat.org/oclc/35969202","WorldCat Record")</f>
        <v>WorldCat Record</v>
      </c>
      <c r="AU907" s="3" t="s">
        <v>11556</v>
      </c>
      <c r="AV907" s="3" t="s">
        <v>11557</v>
      </c>
      <c r="AW907" s="3" t="s">
        <v>11558</v>
      </c>
      <c r="AX907" s="3" t="s">
        <v>11558</v>
      </c>
      <c r="AY907" s="3" t="s">
        <v>11559</v>
      </c>
      <c r="AZ907" s="3" t="s">
        <v>73</v>
      </c>
      <c r="BB907" s="3" t="s">
        <v>11560</v>
      </c>
      <c r="BC907" s="3" t="s">
        <v>11561</v>
      </c>
      <c r="BD907" s="3" t="s">
        <v>11562</v>
      </c>
    </row>
    <row r="908" spans="1:56" ht="51" customHeight="1" x14ac:dyDescent="0.25">
      <c r="A908" s="7" t="s">
        <v>58</v>
      </c>
      <c r="B908" s="2" t="s">
        <v>11563</v>
      </c>
      <c r="C908" s="2" t="s">
        <v>11564</v>
      </c>
      <c r="D908" s="2" t="s">
        <v>11565</v>
      </c>
      <c r="F908" s="3" t="s">
        <v>58</v>
      </c>
      <c r="G908" s="3" t="s">
        <v>59</v>
      </c>
      <c r="H908" s="3" t="s">
        <v>58</v>
      </c>
      <c r="I908" s="3" t="s">
        <v>58</v>
      </c>
      <c r="J908" s="3" t="s">
        <v>60</v>
      </c>
      <c r="K908" s="2" t="s">
        <v>11566</v>
      </c>
      <c r="L908" s="2" t="s">
        <v>11567</v>
      </c>
      <c r="M908" s="3" t="s">
        <v>353</v>
      </c>
      <c r="N908" s="2" t="s">
        <v>338</v>
      </c>
      <c r="O908" s="3" t="s">
        <v>63</v>
      </c>
      <c r="P908" s="3" t="s">
        <v>214</v>
      </c>
      <c r="R908" s="3" t="s">
        <v>65</v>
      </c>
      <c r="S908" s="4">
        <v>3</v>
      </c>
      <c r="T908" s="4">
        <v>3</v>
      </c>
      <c r="U908" s="5" t="s">
        <v>11568</v>
      </c>
      <c r="V908" s="5" t="s">
        <v>11568</v>
      </c>
      <c r="W908" s="5" t="s">
        <v>11569</v>
      </c>
      <c r="X908" s="5" t="s">
        <v>11569</v>
      </c>
      <c r="Y908" s="4">
        <v>1196</v>
      </c>
      <c r="Z908" s="4">
        <v>1122</v>
      </c>
      <c r="AA908" s="4">
        <v>1565</v>
      </c>
      <c r="AB908" s="4">
        <v>5</v>
      </c>
      <c r="AC908" s="4">
        <v>10</v>
      </c>
      <c r="AD908" s="4">
        <v>20</v>
      </c>
      <c r="AE908" s="4">
        <v>35</v>
      </c>
      <c r="AF908" s="4">
        <v>8</v>
      </c>
      <c r="AG908" s="4">
        <v>16</v>
      </c>
      <c r="AH908" s="4">
        <v>5</v>
      </c>
      <c r="AI908" s="4">
        <v>5</v>
      </c>
      <c r="AJ908" s="4">
        <v>12</v>
      </c>
      <c r="AK908" s="4">
        <v>16</v>
      </c>
      <c r="AL908" s="4">
        <v>1</v>
      </c>
      <c r="AM908" s="4">
        <v>5</v>
      </c>
      <c r="AN908" s="4">
        <v>0</v>
      </c>
      <c r="AO908" s="4">
        <v>0</v>
      </c>
      <c r="AP908" s="3" t="s">
        <v>58</v>
      </c>
      <c r="AQ908" s="3" t="s">
        <v>68</v>
      </c>
      <c r="AR908" s="6" t="str">
        <f>HYPERLINK("http://catalog.hathitrust.org/Record/000811830","HathiTrust Record")</f>
        <v>HathiTrust Record</v>
      </c>
      <c r="AS908" s="6" t="str">
        <f>HYPERLINK("https://creighton-primo.hosted.exlibrisgroup.com/primo-explore/search?tab=default_tab&amp;search_scope=EVERYTHING&amp;vid=01CRU&amp;lang=en_US&amp;offset=0&amp;query=any,contains,991000848889702656","Catalog Record")</f>
        <v>Catalog Record</v>
      </c>
      <c r="AT908" s="6" t="str">
        <f>HYPERLINK("http://www.worldcat.org/oclc/13580998","WorldCat Record")</f>
        <v>WorldCat Record</v>
      </c>
      <c r="AU908" s="3" t="s">
        <v>11570</v>
      </c>
      <c r="AV908" s="3" t="s">
        <v>11571</v>
      </c>
      <c r="AW908" s="3" t="s">
        <v>11572</v>
      </c>
      <c r="AX908" s="3" t="s">
        <v>11572</v>
      </c>
      <c r="AY908" s="3" t="s">
        <v>11573</v>
      </c>
      <c r="AZ908" s="3" t="s">
        <v>73</v>
      </c>
      <c r="BB908" s="3" t="s">
        <v>11574</v>
      </c>
      <c r="BC908" s="3" t="s">
        <v>11575</v>
      </c>
      <c r="BD908" s="3" t="s">
        <v>11576</v>
      </c>
    </row>
    <row r="909" spans="1:56" ht="51" customHeight="1" x14ac:dyDescent="0.25">
      <c r="A909" s="7" t="s">
        <v>58</v>
      </c>
      <c r="B909" s="2" t="s">
        <v>11577</v>
      </c>
      <c r="C909" s="2" t="s">
        <v>11578</v>
      </c>
      <c r="D909" s="2" t="s">
        <v>11579</v>
      </c>
      <c r="F909" s="3" t="s">
        <v>58</v>
      </c>
      <c r="G909" s="3" t="s">
        <v>59</v>
      </c>
      <c r="H909" s="3" t="s">
        <v>58</v>
      </c>
      <c r="I909" s="3" t="s">
        <v>58</v>
      </c>
      <c r="J909" s="3" t="s">
        <v>60</v>
      </c>
      <c r="K909" s="2" t="s">
        <v>11580</v>
      </c>
      <c r="L909" s="2" t="s">
        <v>11581</v>
      </c>
      <c r="M909" s="3" t="s">
        <v>898</v>
      </c>
      <c r="N909" s="2" t="s">
        <v>9270</v>
      </c>
      <c r="O909" s="3" t="s">
        <v>63</v>
      </c>
      <c r="P909" s="3" t="s">
        <v>11582</v>
      </c>
      <c r="R909" s="3" t="s">
        <v>65</v>
      </c>
      <c r="S909" s="4">
        <v>7</v>
      </c>
      <c r="T909" s="4">
        <v>7</v>
      </c>
      <c r="U909" s="5" t="s">
        <v>11583</v>
      </c>
      <c r="V909" s="5" t="s">
        <v>11583</v>
      </c>
      <c r="W909" s="5" t="s">
        <v>11584</v>
      </c>
      <c r="X909" s="5" t="s">
        <v>11584</v>
      </c>
      <c r="Y909" s="4">
        <v>369</v>
      </c>
      <c r="Z909" s="4">
        <v>316</v>
      </c>
      <c r="AA909" s="4">
        <v>840</v>
      </c>
      <c r="AB909" s="4">
        <v>3</v>
      </c>
      <c r="AC909" s="4">
        <v>5</v>
      </c>
      <c r="AD909" s="4">
        <v>9</v>
      </c>
      <c r="AE909" s="4">
        <v>14</v>
      </c>
      <c r="AF909" s="4">
        <v>3</v>
      </c>
      <c r="AG909" s="4">
        <v>5</v>
      </c>
      <c r="AH909" s="4">
        <v>2</v>
      </c>
      <c r="AI909" s="4">
        <v>3</v>
      </c>
      <c r="AJ909" s="4">
        <v>3</v>
      </c>
      <c r="AK909" s="4">
        <v>5</v>
      </c>
      <c r="AL909" s="4">
        <v>2</v>
      </c>
      <c r="AM909" s="4">
        <v>4</v>
      </c>
      <c r="AN909" s="4">
        <v>0</v>
      </c>
      <c r="AO909" s="4">
        <v>0</v>
      </c>
      <c r="AP909" s="3" t="s">
        <v>58</v>
      </c>
      <c r="AQ909" s="3" t="s">
        <v>58</v>
      </c>
      <c r="AS909" s="6" t="str">
        <f>HYPERLINK("https://creighton-primo.hosted.exlibrisgroup.com/primo-explore/search?tab=default_tab&amp;search_scope=EVERYTHING&amp;vid=01CRU&amp;lang=en_US&amp;offset=0&amp;query=any,contains,991004844189702656","Catalog Record")</f>
        <v>Catalog Record</v>
      </c>
      <c r="AT909" s="6" t="str">
        <f>HYPERLINK("http://www.worldcat.org/oclc/60824215","WorldCat Record")</f>
        <v>WorldCat Record</v>
      </c>
      <c r="AU909" s="3" t="s">
        <v>11585</v>
      </c>
      <c r="AV909" s="3" t="s">
        <v>11586</v>
      </c>
      <c r="AW909" s="3" t="s">
        <v>11587</v>
      </c>
      <c r="AX909" s="3" t="s">
        <v>11587</v>
      </c>
      <c r="AY909" s="3" t="s">
        <v>11588</v>
      </c>
      <c r="AZ909" s="3" t="s">
        <v>73</v>
      </c>
      <c r="BB909" s="3" t="s">
        <v>11589</v>
      </c>
      <c r="BC909" s="3" t="s">
        <v>11590</v>
      </c>
      <c r="BD909" s="3" t="s">
        <v>11591</v>
      </c>
    </row>
    <row r="910" spans="1:56" ht="51" customHeight="1" x14ac:dyDescent="0.25">
      <c r="A910" s="7" t="s">
        <v>58</v>
      </c>
      <c r="B910" s="2" t="s">
        <v>11592</v>
      </c>
      <c r="C910" s="2" t="s">
        <v>11593</v>
      </c>
      <c r="D910" s="2" t="s">
        <v>11594</v>
      </c>
      <c r="F910" s="3" t="s">
        <v>58</v>
      </c>
      <c r="G910" s="3" t="s">
        <v>59</v>
      </c>
      <c r="H910" s="3" t="s">
        <v>58</v>
      </c>
      <c r="I910" s="3" t="s">
        <v>58</v>
      </c>
      <c r="J910" s="3" t="s">
        <v>60</v>
      </c>
      <c r="K910" s="2" t="s">
        <v>11595</v>
      </c>
      <c r="L910" s="2" t="s">
        <v>5444</v>
      </c>
      <c r="M910" s="3" t="s">
        <v>154</v>
      </c>
      <c r="N910" s="2" t="s">
        <v>338</v>
      </c>
      <c r="O910" s="3" t="s">
        <v>63</v>
      </c>
      <c r="P910" s="3" t="s">
        <v>214</v>
      </c>
      <c r="R910" s="3" t="s">
        <v>65</v>
      </c>
      <c r="S910" s="4">
        <v>5</v>
      </c>
      <c r="T910" s="4">
        <v>5</v>
      </c>
      <c r="U910" s="5" t="s">
        <v>11596</v>
      </c>
      <c r="V910" s="5" t="s">
        <v>11596</v>
      </c>
      <c r="W910" s="5" t="s">
        <v>11597</v>
      </c>
      <c r="X910" s="5" t="s">
        <v>11597</v>
      </c>
      <c r="Y910" s="4">
        <v>769</v>
      </c>
      <c r="Z910" s="4">
        <v>699</v>
      </c>
      <c r="AA910" s="4">
        <v>1112</v>
      </c>
      <c r="AB910" s="4">
        <v>4</v>
      </c>
      <c r="AC910" s="4">
        <v>6</v>
      </c>
      <c r="AD910" s="4">
        <v>22</v>
      </c>
      <c r="AE910" s="4">
        <v>34</v>
      </c>
      <c r="AF910" s="4">
        <v>9</v>
      </c>
      <c r="AG910" s="4">
        <v>16</v>
      </c>
      <c r="AH910" s="4">
        <v>7</v>
      </c>
      <c r="AI910" s="4">
        <v>8</v>
      </c>
      <c r="AJ910" s="4">
        <v>11</v>
      </c>
      <c r="AK910" s="4">
        <v>14</v>
      </c>
      <c r="AL910" s="4">
        <v>2</v>
      </c>
      <c r="AM910" s="4">
        <v>4</v>
      </c>
      <c r="AN910" s="4">
        <v>0</v>
      </c>
      <c r="AO910" s="4">
        <v>0</v>
      </c>
      <c r="AP910" s="3" t="s">
        <v>58</v>
      </c>
      <c r="AQ910" s="3" t="s">
        <v>58</v>
      </c>
      <c r="AS910" s="6" t="str">
        <f>HYPERLINK("https://creighton-primo.hosted.exlibrisgroup.com/primo-explore/search?tab=default_tab&amp;search_scope=EVERYTHING&amp;vid=01CRU&amp;lang=en_US&amp;offset=0&amp;query=any,contains,991001347669702656","Catalog Record")</f>
        <v>Catalog Record</v>
      </c>
      <c r="AT910" s="6" t="str">
        <f>HYPERLINK("http://www.worldcat.org/oclc/18415898","WorldCat Record")</f>
        <v>WorldCat Record</v>
      </c>
      <c r="AU910" s="3" t="s">
        <v>11598</v>
      </c>
      <c r="AV910" s="3" t="s">
        <v>11599</v>
      </c>
      <c r="AW910" s="3" t="s">
        <v>11600</v>
      </c>
      <c r="AX910" s="3" t="s">
        <v>11600</v>
      </c>
      <c r="AY910" s="3" t="s">
        <v>11601</v>
      </c>
      <c r="AZ910" s="3" t="s">
        <v>73</v>
      </c>
      <c r="BB910" s="3" t="s">
        <v>11602</v>
      </c>
      <c r="BC910" s="3" t="s">
        <v>11603</v>
      </c>
      <c r="BD910" s="3" t="s">
        <v>11604</v>
      </c>
    </row>
    <row r="911" spans="1:56" ht="51" customHeight="1" x14ac:dyDescent="0.25">
      <c r="A911" s="7" t="s">
        <v>58</v>
      </c>
      <c r="B911" s="2" t="s">
        <v>11605</v>
      </c>
      <c r="C911" s="2" t="s">
        <v>11606</v>
      </c>
      <c r="D911" s="2" t="s">
        <v>11607</v>
      </c>
      <c r="F911" s="3" t="s">
        <v>58</v>
      </c>
      <c r="G911" s="3" t="s">
        <v>59</v>
      </c>
      <c r="H911" s="3" t="s">
        <v>58</v>
      </c>
      <c r="I911" s="3" t="s">
        <v>58</v>
      </c>
      <c r="J911" s="3" t="s">
        <v>60</v>
      </c>
      <c r="K911" s="2" t="s">
        <v>11608</v>
      </c>
      <c r="L911" s="2" t="s">
        <v>11609</v>
      </c>
      <c r="M911" s="3" t="s">
        <v>83</v>
      </c>
      <c r="O911" s="3" t="s">
        <v>63</v>
      </c>
      <c r="P911" s="3" t="s">
        <v>1120</v>
      </c>
      <c r="Q911" s="2" t="s">
        <v>11610</v>
      </c>
      <c r="R911" s="3" t="s">
        <v>65</v>
      </c>
      <c r="S911" s="4">
        <v>6</v>
      </c>
      <c r="T911" s="4">
        <v>6</v>
      </c>
      <c r="U911" s="5" t="s">
        <v>11611</v>
      </c>
      <c r="V911" s="5" t="s">
        <v>11611</v>
      </c>
      <c r="W911" s="5" t="s">
        <v>11612</v>
      </c>
      <c r="X911" s="5" t="s">
        <v>11612</v>
      </c>
      <c r="Y911" s="4">
        <v>468</v>
      </c>
      <c r="Z911" s="4">
        <v>382</v>
      </c>
      <c r="AA911" s="4">
        <v>389</v>
      </c>
      <c r="AB911" s="4">
        <v>4</v>
      </c>
      <c r="AC911" s="4">
        <v>4</v>
      </c>
      <c r="AD911" s="4">
        <v>15</v>
      </c>
      <c r="AE911" s="4">
        <v>15</v>
      </c>
      <c r="AF911" s="4">
        <v>3</v>
      </c>
      <c r="AG911" s="4">
        <v>3</v>
      </c>
      <c r="AH911" s="4">
        <v>3</v>
      </c>
      <c r="AI911" s="4">
        <v>3</v>
      </c>
      <c r="AJ911" s="4">
        <v>7</v>
      </c>
      <c r="AK911" s="4">
        <v>7</v>
      </c>
      <c r="AL911" s="4">
        <v>3</v>
      </c>
      <c r="AM911" s="4">
        <v>3</v>
      </c>
      <c r="AN911" s="4">
        <v>0</v>
      </c>
      <c r="AO911" s="4">
        <v>0</v>
      </c>
      <c r="AP911" s="3" t="s">
        <v>58</v>
      </c>
      <c r="AQ911" s="3" t="s">
        <v>68</v>
      </c>
      <c r="AR911" s="6" t="str">
        <f>HYPERLINK("http://catalog.hathitrust.org/Record/000751360","HathiTrust Record")</f>
        <v>HathiTrust Record</v>
      </c>
      <c r="AS911" s="6" t="str">
        <f>HYPERLINK("https://creighton-primo.hosted.exlibrisgroup.com/primo-explore/search?tab=default_tab&amp;search_scope=EVERYTHING&amp;vid=01CRU&amp;lang=en_US&amp;offset=0&amp;query=any,contains,991004425799702656","Catalog Record")</f>
        <v>Catalog Record</v>
      </c>
      <c r="AT911" s="6" t="str">
        <f>HYPERLINK("http://www.worldcat.org/oclc/3397275","WorldCat Record")</f>
        <v>WorldCat Record</v>
      </c>
      <c r="AU911" s="3" t="s">
        <v>11613</v>
      </c>
      <c r="AV911" s="3" t="s">
        <v>11614</v>
      </c>
      <c r="AW911" s="3" t="s">
        <v>11615</v>
      </c>
      <c r="AX911" s="3" t="s">
        <v>11615</v>
      </c>
      <c r="AY911" s="3" t="s">
        <v>11616</v>
      </c>
      <c r="AZ911" s="3" t="s">
        <v>73</v>
      </c>
      <c r="BB911" s="3" t="s">
        <v>11617</v>
      </c>
      <c r="BC911" s="3" t="s">
        <v>11618</v>
      </c>
      <c r="BD911" s="3" t="s">
        <v>11619</v>
      </c>
    </row>
    <row r="912" spans="1:56" ht="51" customHeight="1" x14ac:dyDescent="0.25">
      <c r="A912" s="7" t="s">
        <v>58</v>
      </c>
      <c r="B912" s="2" t="s">
        <v>11620</v>
      </c>
      <c r="C912" s="2" t="s">
        <v>11621</v>
      </c>
      <c r="D912" s="2" t="s">
        <v>11622</v>
      </c>
      <c r="F912" s="3" t="s">
        <v>58</v>
      </c>
      <c r="G912" s="3" t="s">
        <v>59</v>
      </c>
      <c r="H912" s="3" t="s">
        <v>58</v>
      </c>
      <c r="I912" s="3" t="s">
        <v>58</v>
      </c>
      <c r="J912" s="3" t="s">
        <v>60</v>
      </c>
      <c r="K912" s="2" t="s">
        <v>11623</v>
      </c>
      <c r="L912" s="2" t="s">
        <v>11624</v>
      </c>
      <c r="M912" s="3" t="s">
        <v>261</v>
      </c>
      <c r="O912" s="3" t="s">
        <v>63</v>
      </c>
      <c r="P912" s="3" t="s">
        <v>2061</v>
      </c>
      <c r="Q912" s="2" t="s">
        <v>11625</v>
      </c>
      <c r="R912" s="3" t="s">
        <v>65</v>
      </c>
      <c r="S912" s="4">
        <v>3</v>
      </c>
      <c r="T912" s="4">
        <v>3</v>
      </c>
      <c r="U912" s="5" t="s">
        <v>11626</v>
      </c>
      <c r="V912" s="5" t="s">
        <v>11626</v>
      </c>
      <c r="W912" s="5" t="s">
        <v>67</v>
      </c>
      <c r="X912" s="5" t="s">
        <v>67</v>
      </c>
      <c r="Y912" s="4">
        <v>461</v>
      </c>
      <c r="Z912" s="4">
        <v>407</v>
      </c>
      <c r="AA912" s="4">
        <v>543</v>
      </c>
      <c r="AB912" s="4">
        <v>2</v>
      </c>
      <c r="AC912" s="4">
        <v>3</v>
      </c>
      <c r="AD912" s="4">
        <v>20</v>
      </c>
      <c r="AE912" s="4">
        <v>27</v>
      </c>
      <c r="AF912" s="4">
        <v>7</v>
      </c>
      <c r="AG912" s="4">
        <v>12</v>
      </c>
      <c r="AH912" s="4">
        <v>6</v>
      </c>
      <c r="AI912" s="4">
        <v>6</v>
      </c>
      <c r="AJ912" s="4">
        <v>12</v>
      </c>
      <c r="AK912" s="4">
        <v>15</v>
      </c>
      <c r="AL912" s="4">
        <v>1</v>
      </c>
      <c r="AM912" s="4">
        <v>2</v>
      </c>
      <c r="AN912" s="4">
        <v>0</v>
      </c>
      <c r="AO912" s="4">
        <v>0</v>
      </c>
      <c r="AP912" s="3" t="s">
        <v>58</v>
      </c>
      <c r="AQ912" s="3" t="s">
        <v>58</v>
      </c>
      <c r="AS912" s="6" t="str">
        <f>HYPERLINK("https://creighton-primo.hosted.exlibrisgroup.com/primo-explore/search?tab=default_tab&amp;search_scope=EVERYTHING&amp;vid=01CRU&amp;lang=en_US&amp;offset=0&amp;query=any,contains,991003768689702656","Catalog Record")</f>
        <v>Catalog Record</v>
      </c>
      <c r="AT912" s="6" t="str">
        <f>HYPERLINK("http://www.worldcat.org/oclc/1464913","WorldCat Record")</f>
        <v>WorldCat Record</v>
      </c>
      <c r="AU912" s="3" t="s">
        <v>11627</v>
      </c>
      <c r="AV912" s="3" t="s">
        <v>11628</v>
      </c>
      <c r="AW912" s="3" t="s">
        <v>11629</v>
      </c>
      <c r="AX912" s="3" t="s">
        <v>11629</v>
      </c>
      <c r="AY912" s="3" t="s">
        <v>11630</v>
      </c>
      <c r="AZ912" s="3" t="s">
        <v>73</v>
      </c>
      <c r="BB912" s="3" t="s">
        <v>11631</v>
      </c>
      <c r="BC912" s="3" t="s">
        <v>11632</v>
      </c>
      <c r="BD912" s="3" t="s">
        <v>11633</v>
      </c>
    </row>
    <row r="913" spans="1:56" ht="51" customHeight="1" x14ac:dyDescent="0.25">
      <c r="A913" s="7" t="s">
        <v>58</v>
      </c>
      <c r="B913" s="2" t="s">
        <v>11634</v>
      </c>
      <c r="C913" s="2" t="s">
        <v>11635</v>
      </c>
      <c r="D913" s="2" t="s">
        <v>11636</v>
      </c>
      <c r="F913" s="3" t="s">
        <v>58</v>
      </c>
      <c r="G913" s="3" t="s">
        <v>59</v>
      </c>
      <c r="H913" s="3" t="s">
        <v>58</v>
      </c>
      <c r="I913" s="3" t="s">
        <v>58</v>
      </c>
      <c r="J913" s="3" t="s">
        <v>60</v>
      </c>
      <c r="K913" s="2" t="s">
        <v>11637</v>
      </c>
      <c r="L913" s="2" t="s">
        <v>11638</v>
      </c>
      <c r="M913" s="3" t="s">
        <v>524</v>
      </c>
      <c r="O913" s="3" t="s">
        <v>63</v>
      </c>
      <c r="P913" s="3" t="s">
        <v>214</v>
      </c>
      <c r="R913" s="3" t="s">
        <v>65</v>
      </c>
      <c r="S913" s="4">
        <v>13</v>
      </c>
      <c r="T913" s="4">
        <v>13</v>
      </c>
      <c r="U913" s="5" t="s">
        <v>1010</v>
      </c>
      <c r="V913" s="5" t="s">
        <v>1010</v>
      </c>
      <c r="W913" s="5" t="s">
        <v>585</v>
      </c>
      <c r="X913" s="5" t="s">
        <v>585</v>
      </c>
      <c r="Y913" s="4">
        <v>1167</v>
      </c>
      <c r="Z913" s="4">
        <v>1008</v>
      </c>
      <c r="AA913" s="4">
        <v>1016</v>
      </c>
      <c r="AB913" s="4">
        <v>6</v>
      </c>
      <c r="AC913" s="4">
        <v>6</v>
      </c>
      <c r="AD913" s="4">
        <v>36</v>
      </c>
      <c r="AE913" s="4">
        <v>36</v>
      </c>
      <c r="AF913" s="4">
        <v>14</v>
      </c>
      <c r="AG913" s="4">
        <v>14</v>
      </c>
      <c r="AH913" s="4">
        <v>8</v>
      </c>
      <c r="AI913" s="4">
        <v>8</v>
      </c>
      <c r="AJ913" s="4">
        <v>19</v>
      </c>
      <c r="AK913" s="4">
        <v>19</v>
      </c>
      <c r="AL913" s="4">
        <v>4</v>
      </c>
      <c r="AM913" s="4">
        <v>4</v>
      </c>
      <c r="AN913" s="4">
        <v>0</v>
      </c>
      <c r="AO913" s="4">
        <v>0</v>
      </c>
      <c r="AP913" s="3" t="s">
        <v>58</v>
      </c>
      <c r="AQ913" s="3" t="s">
        <v>58</v>
      </c>
      <c r="AS913" s="6" t="str">
        <f>HYPERLINK("https://creighton-primo.hosted.exlibrisgroup.com/primo-explore/search?tab=default_tab&amp;search_scope=EVERYTHING&amp;vid=01CRU&amp;lang=en_US&amp;offset=0&amp;query=any,contains,991000745649702656","Catalog Record")</f>
        <v>Catalog Record</v>
      </c>
      <c r="AT913" s="6" t="str">
        <f>HYPERLINK("http://www.worldcat.org/oclc/12839975","WorldCat Record")</f>
        <v>WorldCat Record</v>
      </c>
      <c r="AU913" s="3" t="s">
        <v>11639</v>
      </c>
      <c r="AV913" s="3" t="s">
        <v>11640</v>
      </c>
      <c r="AW913" s="3" t="s">
        <v>11641</v>
      </c>
      <c r="AX913" s="3" t="s">
        <v>11641</v>
      </c>
      <c r="AY913" s="3" t="s">
        <v>11642</v>
      </c>
      <c r="AZ913" s="3" t="s">
        <v>73</v>
      </c>
      <c r="BB913" s="3" t="s">
        <v>11643</v>
      </c>
      <c r="BC913" s="3" t="s">
        <v>11644</v>
      </c>
      <c r="BD913" s="3" t="s">
        <v>11645</v>
      </c>
    </row>
    <row r="914" spans="1:56" ht="51" customHeight="1" x14ac:dyDescent="0.25">
      <c r="A914" s="7" t="s">
        <v>58</v>
      </c>
      <c r="B914" s="2" t="s">
        <v>11646</v>
      </c>
      <c r="C914" s="2" t="s">
        <v>11647</v>
      </c>
      <c r="D914" s="2" t="s">
        <v>11648</v>
      </c>
      <c r="F914" s="3" t="s">
        <v>58</v>
      </c>
      <c r="G914" s="3" t="s">
        <v>59</v>
      </c>
      <c r="H914" s="3" t="s">
        <v>58</v>
      </c>
      <c r="I914" s="3" t="s">
        <v>58</v>
      </c>
      <c r="J914" s="3" t="s">
        <v>60</v>
      </c>
      <c r="K914" s="2" t="s">
        <v>11649</v>
      </c>
      <c r="L914" s="2" t="s">
        <v>11650</v>
      </c>
      <c r="M914" s="3" t="s">
        <v>138</v>
      </c>
      <c r="O914" s="3" t="s">
        <v>63</v>
      </c>
      <c r="P914" s="3" t="s">
        <v>584</v>
      </c>
      <c r="Q914" s="2" t="s">
        <v>11651</v>
      </c>
      <c r="R914" s="3" t="s">
        <v>65</v>
      </c>
      <c r="S914" s="4">
        <v>6</v>
      </c>
      <c r="T914" s="4">
        <v>6</v>
      </c>
      <c r="U914" s="5" t="s">
        <v>11652</v>
      </c>
      <c r="V914" s="5" t="s">
        <v>11652</v>
      </c>
      <c r="W914" s="5" t="s">
        <v>10968</v>
      </c>
      <c r="X914" s="5" t="s">
        <v>10968</v>
      </c>
      <c r="Y914" s="4">
        <v>100</v>
      </c>
      <c r="Z914" s="4">
        <v>76</v>
      </c>
      <c r="AA914" s="4">
        <v>94</v>
      </c>
      <c r="AB914" s="4">
        <v>1</v>
      </c>
      <c r="AC914" s="4">
        <v>1</v>
      </c>
      <c r="AD914" s="4">
        <v>2</v>
      </c>
      <c r="AE914" s="4">
        <v>3</v>
      </c>
      <c r="AF914" s="4">
        <v>0</v>
      </c>
      <c r="AG914" s="4">
        <v>0</v>
      </c>
      <c r="AH914" s="4">
        <v>2</v>
      </c>
      <c r="AI914" s="4">
        <v>2</v>
      </c>
      <c r="AJ914" s="4">
        <v>2</v>
      </c>
      <c r="AK914" s="4">
        <v>3</v>
      </c>
      <c r="AL914" s="4">
        <v>0</v>
      </c>
      <c r="AM914" s="4">
        <v>0</v>
      </c>
      <c r="AN914" s="4">
        <v>0</v>
      </c>
      <c r="AO914" s="4">
        <v>0</v>
      </c>
      <c r="AP914" s="3" t="s">
        <v>58</v>
      </c>
      <c r="AQ914" s="3" t="s">
        <v>68</v>
      </c>
      <c r="AR914" s="6" t="str">
        <f>HYPERLINK("http://catalog.hathitrust.org/Record/000846729","HathiTrust Record")</f>
        <v>HathiTrust Record</v>
      </c>
      <c r="AS914" s="6" t="str">
        <f>HYPERLINK("https://creighton-primo.hosted.exlibrisgroup.com/primo-explore/search?tab=default_tab&amp;search_scope=EVERYTHING&amp;vid=01CRU&amp;lang=en_US&amp;offset=0&amp;query=any,contains,991000291029702656","Catalog Record")</f>
        <v>Catalog Record</v>
      </c>
      <c r="AT914" s="6" t="str">
        <f>HYPERLINK("http://www.worldcat.org/oclc/9969325","WorldCat Record")</f>
        <v>WorldCat Record</v>
      </c>
      <c r="AU914" s="3" t="s">
        <v>11653</v>
      </c>
      <c r="AV914" s="3" t="s">
        <v>11654</v>
      </c>
      <c r="AW914" s="3" t="s">
        <v>11655</v>
      </c>
      <c r="AX914" s="3" t="s">
        <v>11655</v>
      </c>
      <c r="AY914" s="3" t="s">
        <v>11656</v>
      </c>
      <c r="AZ914" s="3" t="s">
        <v>73</v>
      </c>
      <c r="BB914" s="3" t="s">
        <v>11657</v>
      </c>
      <c r="BC914" s="3" t="s">
        <v>11658</v>
      </c>
      <c r="BD914" s="3" t="s">
        <v>11659</v>
      </c>
    </row>
    <row r="915" spans="1:56" ht="51" customHeight="1" x14ac:dyDescent="0.25">
      <c r="A915" s="7" t="s">
        <v>58</v>
      </c>
      <c r="B915" s="2" t="s">
        <v>11660</v>
      </c>
      <c r="C915" s="2" t="s">
        <v>11661</v>
      </c>
      <c r="D915" s="2" t="s">
        <v>11662</v>
      </c>
      <c r="F915" s="3" t="s">
        <v>58</v>
      </c>
      <c r="G915" s="3" t="s">
        <v>59</v>
      </c>
      <c r="H915" s="3" t="s">
        <v>58</v>
      </c>
      <c r="I915" s="3" t="s">
        <v>58</v>
      </c>
      <c r="J915" s="3" t="s">
        <v>60</v>
      </c>
      <c r="L915" s="2" t="s">
        <v>11663</v>
      </c>
      <c r="M915" s="3" t="s">
        <v>368</v>
      </c>
      <c r="N915" s="2" t="s">
        <v>1009</v>
      </c>
      <c r="O915" s="3" t="s">
        <v>63</v>
      </c>
      <c r="P915" s="3" t="s">
        <v>214</v>
      </c>
      <c r="R915" s="3" t="s">
        <v>65</v>
      </c>
      <c r="S915" s="4">
        <v>4</v>
      </c>
      <c r="T915" s="4">
        <v>4</v>
      </c>
      <c r="U915" s="5" t="s">
        <v>11568</v>
      </c>
      <c r="V915" s="5" t="s">
        <v>11568</v>
      </c>
      <c r="W915" s="5" t="s">
        <v>11664</v>
      </c>
      <c r="X915" s="5" t="s">
        <v>11664</v>
      </c>
      <c r="Y915" s="4">
        <v>1368</v>
      </c>
      <c r="Z915" s="4">
        <v>1286</v>
      </c>
      <c r="AA915" s="4">
        <v>1305</v>
      </c>
      <c r="AB915" s="4">
        <v>11</v>
      </c>
      <c r="AC915" s="4">
        <v>11</v>
      </c>
      <c r="AD915" s="4">
        <v>44</v>
      </c>
      <c r="AE915" s="4">
        <v>44</v>
      </c>
      <c r="AF915" s="4">
        <v>21</v>
      </c>
      <c r="AG915" s="4">
        <v>21</v>
      </c>
      <c r="AH915" s="4">
        <v>9</v>
      </c>
      <c r="AI915" s="4">
        <v>9</v>
      </c>
      <c r="AJ915" s="4">
        <v>17</v>
      </c>
      <c r="AK915" s="4">
        <v>17</v>
      </c>
      <c r="AL915" s="4">
        <v>7</v>
      </c>
      <c r="AM915" s="4">
        <v>7</v>
      </c>
      <c r="AN915" s="4">
        <v>0</v>
      </c>
      <c r="AO915" s="4">
        <v>0</v>
      </c>
      <c r="AP915" s="3" t="s">
        <v>58</v>
      </c>
      <c r="AQ915" s="3" t="s">
        <v>58</v>
      </c>
      <c r="AS915" s="6" t="str">
        <f>HYPERLINK("https://creighton-primo.hosted.exlibrisgroup.com/primo-explore/search?tab=default_tab&amp;search_scope=EVERYTHING&amp;vid=01CRU&amp;lang=en_US&amp;offset=0&amp;query=any,contains,991004088079702656","Catalog Record")</f>
        <v>Catalog Record</v>
      </c>
      <c r="AT915" s="6" t="str">
        <f>HYPERLINK("http://www.worldcat.org/oclc/2337006","WorldCat Record")</f>
        <v>WorldCat Record</v>
      </c>
      <c r="AU915" s="3" t="s">
        <v>11665</v>
      </c>
      <c r="AV915" s="3" t="s">
        <v>11666</v>
      </c>
      <c r="AW915" s="3" t="s">
        <v>11667</v>
      </c>
      <c r="AX915" s="3" t="s">
        <v>11667</v>
      </c>
      <c r="AY915" s="3" t="s">
        <v>11668</v>
      </c>
      <c r="AZ915" s="3" t="s">
        <v>73</v>
      </c>
      <c r="BC915" s="3" t="s">
        <v>11669</v>
      </c>
      <c r="BD915" s="3" t="s">
        <v>11670</v>
      </c>
    </row>
    <row r="916" spans="1:56" ht="51" customHeight="1" x14ac:dyDescent="0.25">
      <c r="A916" s="7" t="s">
        <v>58</v>
      </c>
      <c r="B916" s="2" t="s">
        <v>11671</v>
      </c>
      <c r="C916" s="2" t="s">
        <v>11672</v>
      </c>
      <c r="D916" s="2" t="s">
        <v>11673</v>
      </c>
      <c r="E916" s="3" t="s">
        <v>11674</v>
      </c>
      <c r="F916" s="3" t="s">
        <v>58</v>
      </c>
      <c r="G916" s="3" t="s">
        <v>59</v>
      </c>
      <c r="H916" s="3" t="s">
        <v>58</v>
      </c>
      <c r="I916" s="3" t="s">
        <v>68</v>
      </c>
      <c r="J916" s="3" t="s">
        <v>60</v>
      </c>
      <c r="K916" s="2" t="s">
        <v>11675</v>
      </c>
      <c r="L916" s="2" t="s">
        <v>11676</v>
      </c>
      <c r="M916" s="3" t="s">
        <v>2132</v>
      </c>
      <c r="O916" s="3" t="s">
        <v>63</v>
      </c>
      <c r="P916" s="3" t="s">
        <v>4828</v>
      </c>
      <c r="Q916" s="2" t="s">
        <v>11677</v>
      </c>
      <c r="R916" s="3" t="s">
        <v>65</v>
      </c>
      <c r="S916" s="4">
        <v>20</v>
      </c>
      <c r="T916" s="4">
        <v>20</v>
      </c>
      <c r="U916" s="5" t="s">
        <v>2473</v>
      </c>
      <c r="V916" s="5" t="s">
        <v>2473</v>
      </c>
      <c r="W916" s="5" t="s">
        <v>11678</v>
      </c>
      <c r="X916" s="5" t="s">
        <v>11678</v>
      </c>
      <c r="Y916" s="4">
        <v>707</v>
      </c>
      <c r="Z916" s="4">
        <v>516</v>
      </c>
      <c r="AA916" s="4">
        <v>862</v>
      </c>
      <c r="AB916" s="4">
        <v>3</v>
      </c>
      <c r="AC916" s="4">
        <v>4</v>
      </c>
      <c r="AD916" s="4">
        <v>41</v>
      </c>
      <c r="AE916" s="4">
        <v>53</v>
      </c>
      <c r="AF916" s="4">
        <v>9</v>
      </c>
      <c r="AG916" s="4">
        <v>15</v>
      </c>
      <c r="AH916" s="4">
        <v>7</v>
      </c>
      <c r="AI916" s="4">
        <v>10</v>
      </c>
      <c r="AJ916" s="4">
        <v>17</v>
      </c>
      <c r="AK916" s="4">
        <v>22</v>
      </c>
      <c r="AL916" s="4">
        <v>2</v>
      </c>
      <c r="AM916" s="4">
        <v>2</v>
      </c>
      <c r="AN916" s="4">
        <v>15</v>
      </c>
      <c r="AO916" s="4">
        <v>16</v>
      </c>
      <c r="AP916" s="3" t="s">
        <v>58</v>
      </c>
      <c r="AQ916" s="3" t="s">
        <v>68</v>
      </c>
      <c r="AR916" s="6" t="str">
        <f>HYPERLINK("http://catalog.hathitrust.org/Record/007125634","HathiTrust Record")</f>
        <v>HathiTrust Record</v>
      </c>
      <c r="AS916" s="6" t="str">
        <f>HYPERLINK("https://creighton-primo.hosted.exlibrisgroup.com/primo-explore/search?tab=default_tab&amp;search_scope=EVERYTHING&amp;vid=01CRU&amp;lang=en_US&amp;offset=0&amp;query=any,contains,991004185419702656","Catalog Record")</f>
        <v>Catalog Record</v>
      </c>
      <c r="AT916" s="6" t="str">
        <f>HYPERLINK("http://www.worldcat.org/oclc/2614779","WorldCat Record")</f>
        <v>WorldCat Record</v>
      </c>
      <c r="AU916" s="3" t="s">
        <v>11679</v>
      </c>
      <c r="AV916" s="3" t="s">
        <v>11680</v>
      </c>
      <c r="AW916" s="3" t="s">
        <v>11681</v>
      </c>
      <c r="AX916" s="3" t="s">
        <v>11681</v>
      </c>
      <c r="AY916" s="3" t="s">
        <v>11682</v>
      </c>
      <c r="AZ916" s="3" t="s">
        <v>73</v>
      </c>
      <c r="BB916" s="3" t="s">
        <v>11683</v>
      </c>
      <c r="BC916" s="3" t="s">
        <v>11684</v>
      </c>
      <c r="BD916" s="3" t="s">
        <v>11685</v>
      </c>
    </row>
    <row r="917" spans="1:56" ht="51" customHeight="1" x14ac:dyDescent="0.25">
      <c r="A917" s="7" t="s">
        <v>58</v>
      </c>
      <c r="B917" s="2" t="s">
        <v>11686</v>
      </c>
      <c r="C917" s="2" t="s">
        <v>11687</v>
      </c>
      <c r="D917" s="2" t="s">
        <v>11688</v>
      </c>
      <c r="F917" s="3" t="s">
        <v>58</v>
      </c>
      <c r="G917" s="3" t="s">
        <v>59</v>
      </c>
      <c r="H917" s="3" t="s">
        <v>58</v>
      </c>
      <c r="I917" s="3" t="s">
        <v>68</v>
      </c>
      <c r="J917" s="3" t="s">
        <v>60</v>
      </c>
      <c r="K917" s="2" t="s">
        <v>9196</v>
      </c>
      <c r="L917" s="2" t="s">
        <v>11689</v>
      </c>
      <c r="M917" s="3" t="s">
        <v>423</v>
      </c>
      <c r="O917" s="3" t="s">
        <v>63</v>
      </c>
      <c r="P917" s="3" t="s">
        <v>4828</v>
      </c>
      <c r="Q917" s="2" t="s">
        <v>11690</v>
      </c>
      <c r="R917" s="3" t="s">
        <v>65</v>
      </c>
      <c r="S917" s="4">
        <v>3</v>
      </c>
      <c r="T917" s="4">
        <v>3</v>
      </c>
      <c r="U917" s="5" t="s">
        <v>8953</v>
      </c>
      <c r="V917" s="5" t="s">
        <v>8953</v>
      </c>
      <c r="W917" s="5" t="s">
        <v>3814</v>
      </c>
      <c r="X917" s="5" t="s">
        <v>3814</v>
      </c>
      <c r="Y917" s="4">
        <v>73</v>
      </c>
      <c r="Z917" s="4">
        <v>46</v>
      </c>
      <c r="AA917" s="4">
        <v>776</v>
      </c>
      <c r="AB917" s="4">
        <v>1</v>
      </c>
      <c r="AC917" s="4">
        <v>5</v>
      </c>
      <c r="AD917" s="4">
        <v>2</v>
      </c>
      <c r="AE917" s="4">
        <v>44</v>
      </c>
      <c r="AF917" s="4">
        <v>2</v>
      </c>
      <c r="AG917" s="4">
        <v>22</v>
      </c>
      <c r="AH917" s="4">
        <v>1</v>
      </c>
      <c r="AI917" s="4">
        <v>10</v>
      </c>
      <c r="AJ917" s="4">
        <v>0</v>
      </c>
      <c r="AK917" s="4">
        <v>20</v>
      </c>
      <c r="AL917" s="4">
        <v>0</v>
      </c>
      <c r="AM917" s="4">
        <v>3</v>
      </c>
      <c r="AN917" s="4">
        <v>0</v>
      </c>
      <c r="AO917" s="4">
        <v>1</v>
      </c>
      <c r="AP917" s="3" t="s">
        <v>58</v>
      </c>
      <c r="AQ917" s="3" t="s">
        <v>58</v>
      </c>
      <c r="AS917" s="6" t="str">
        <f>HYPERLINK("https://creighton-primo.hosted.exlibrisgroup.com/primo-explore/search?tab=default_tab&amp;search_scope=EVERYTHING&amp;vid=01CRU&amp;lang=en_US&amp;offset=0&amp;query=any,contains,991003050849702656","Catalog Record")</f>
        <v>Catalog Record</v>
      </c>
      <c r="AT917" s="6" t="str">
        <f>HYPERLINK("http://www.worldcat.org/oclc/42969099","WorldCat Record")</f>
        <v>WorldCat Record</v>
      </c>
      <c r="AU917" s="3" t="s">
        <v>11691</v>
      </c>
      <c r="AV917" s="3" t="s">
        <v>11692</v>
      </c>
      <c r="AW917" s="3" t="s">
        <v>11693</v>
      </c>
      <c r="AX917" s="3" t="s">
        <v>11693</v>
      </c>
      <c r="AY917" s="3" t="s">
        <v>11694</v>
      </c>
      <c r="AZ917" s="3" t="s">
        <v>73</v>
      </c>
      <c r="BB917" s="3" t="s">
        <v>11695</v>
      </c>
      <c r="BC917" s="3" t="s">
        <v>11696</v>
      </c>
      <c r="BD917" s="3" t="s">
        <v>11697</v>
      </c>
    </row>
    <row r="918" spans="1:56" ht="51" customHeight="1" x14ac:dyDescent="0.25">
      <c r="A918" s="7" t="s">
        <v>58</v>
      </c>
      <c r="B918" s="2" t="s">
        <v>11698</v>
      </c>
      <c r="C918" s="2" t="s">
        <v>11699</v>
      </c>
      <c r="D918" s="2" t="s">
        <v>11700</v>
      </c>
      <c r="F918" s="3" t="s">
        <v>58</v>
      </c>
      <c r="G918" s="3" t="s">
        <v>59</v>
      </c>
      <c r="H918" s="3" t="s">
        <v>58</v>
      </c>
      <c r="I918" s="3" t="s">
        <v>58</v>
      </c>
      <c r="J918" s="3" t="s">
        <v>60</v>
      </c>
      <c r="K918" s="2" t="s">
        <v>11701</v>
      </c>
      <c r="L918" s="2" t="s">
        <v>11702</v>
      </c>
      <c r="M918" s="3" t="s">
        <v>183</v>
      </c>
      <c r="O918" s="3" t="s">
        <v>63</v>
      </c>
      <c r="P918" s="3" t="s">
        <v>510</v>
      </c>
      <c r="R918" s="3" t="s">
        <v>65</v>
      </c>
      <c r="S918" s="4">
        <v>2</v>
      </c>
      <c r="T918" s="4">
        <v>2</v>
      </c>
      <c r="U918" s="5" t="s">
        <v>11703</v>
      </c>
      <c r="V918" s="5" t="s">
        <v>11703</v>
      </c>
      <c r="W918" s="5" t="s">
        <v>5238</v>
      </c>
      <c r="X918" s="5" t="s">
        <v>5238</v>
      </c>
      <c r="Y918" s="4">
        <v>100</v>
      </c>
      <c r="Z918" s="4">
        <v>87</v>
      </c>
      <c r="AA918" s="4">
        <v>971</v>
      </c>
      <c r="AB918" s="4">
        <v>1</v>
      </c>
      <c r="AC918" s="4">
        <v>6</v>
      </c>
      <c r="AD918" s="4">
        <v>3</v>
      </c>
      <c r="AE918" s="4">
        <v>39</v>
      </c>
      <c r="AF918" s="4">
        <v>0</v>
      </c>
      <c r="AG918" s="4">
        <v>15</v>
      </c>
      <c r="AH918" s="4">
        <v>2</v>
      </c>
      <c r="AI918" s="4">
        <v>7</v>
      </c>
      <c r="AJ918" s="4">
        <v>3</v>
      </c>
      <c r="AK918" s="4">
        <v>21</v>
      </c>
      <c r="AL918" s="4">
        <v>0</v>
      </c>
      <c r="AM918" s="4">
        <v>5</v>
      </c>
      <c r="AN918" s="4">
        <v>0</v>
      </c>
      <c r="AO918" s="4">
        <v>0</v>
      </c>
      <c r="AP918" s="3" t="s">
        <v>58</v>
      </c>
      <c r="AQ918" s="3" t="s">
        <v>68</v>
      </c>
      <c r="AR918" s="6" t="str">
        <f>HYPERLINK("http://catalog.hathitrust.org/Record/102216260","HathiTrust Record")</f>
        <v>HathiTrust Record</v>
      </c>
      <c r="AS918" s="6" t="str">
        <f>HYPERLINK("https://creighton-primo.hosted.exlibrisgroup.com/primo-explore/search?tab=default_tab&amp;search_scope=EVERYTHING&amp;vid=01CRU&amp;lang=en_US&amp;offset=0&amp;query=any,contains,991004248069702656","Catalog Record")</f>
        <v>Catalog Record</v>
      </c>
      <c r="AT918" s="6" t="str">
        <f>HYPERLINK("http://www.worldcat.org/oclc/2799139","WorldCat Record")</f>
        <v>WorldCat Record</v>
      </c>
      <c r="AU918" s="3" t="s">
        <v>11704</v>
      </c>
      <c r="AV918" s="3" t="s">
        <v>11705</v>
      </c>
      <c r="AW918" s="3" t="s">
        <v>11706</v>
      </c>
      <c r="AX918" s="3" t="s">
        <v>11706</v>
      </c>
      <c r="AY918" s="3" t="s">
        <v>11707</v>
      </c>
      <c r="AZ918" s="3" t="s">
        <v>73</v>
      </c>
      <c r="BB918" s="3" t="s">
        <v>11708</v>
      </c>
      <c r="BC918" s="3" t="s">
        <v>11709</v>
      </c>
      <c r="BD918" s="3" t="s">
        <v>11710</v>
      </c>
    </row>
    <row r="919" spans="1:56" ht="51" customHeight="1" x14ac:dyDescent="0.25">
      <c r="A919" s="7" t="s">
        <v>58</v>
      </c>
      <c r="B919" s="2" t="s">
        <v>11711</v>
      </c>
      <c r="C919" s="2" t="s">
        <v>11712</v>
      </c>
      <c r="D919" s="2" t="s">
        <v>11713</v>
      </c>
      <c r="E919" s="3" t="s">
        <v>210</v>
      </c>
      <c r="F919" s="3" t="s">
        <v>68</v>
      </c>
      <c r="G919" s="3" t="s">
        <v>59</v>
      </c>
      <c r="H919" s="3" t="s">
        <v>58</v>
      </c>
      <c r="I919" s="3" t="s">
        <v>58</v>
      </c>
      <c r="J919" s="3" t="s">
        <v>60</v>
      </c>
      <c r="L919" s="2" t="s">
        <v>11714</v>
      </c>
      <c r="M919" s="3" t="s">
        <v>353</v>
      </c>
      <c r="O919" s="3" t="s">
        <v>63</v>
      </c>
      <c r="P919" s="3" t="s">
        <v>214</v>
      </c>
      <c r="R919" s="3" t="s">
        <v>65</v>
      </c>
      <c r="S919" s="4">
        <v>3</v>
      </c>
      <c r="T919" s="4">
        <v>5</v>
      </c>
      <c r="U919" s="5" t="s">
        <v>11703</v>
      </c>
      <c r="V919" s="5" t="s">
        <v>11703</v>
      </c>
      <c r="W919" s="5" t="s">
        <v>11715</v>
      </c>
      <c r="X919" s="5" t="s">
        <v>11715</v>
      </c>
      <c r="Y919" s="4">
        <v>442</v>
      </c>
      <c r="Z919" s="4">
        <v>378</v>
      </c>
      <c r="AA919" s="4">
        <v>911</v>
      </c>
      <c r="AB919" s="4">
        <v>3</v>
      </c>
      <c r="AC919" s="4">
        <v>6</v>
      </c>
      <c r="AD919" s="4">
        <v>22</v>
      </c>
      <c r="AE919" s="4">
        <v>40</v>
      </c>
      <c r="AF919" s="4">
        <v>10</v>
      </c>
      <c r="AG919" s="4">
        <v>18</v>
      </c>
      <c r="AH919" s="4">
        <v>3</v>
      </c>
      <c r="AI919" s="4">
        <v>10</v>
      </c>
      <c r="AJ919" s="4">
        <v>14</v>
      </c>
      <c r="AK919" s="4">
        <v>22</v>
      </c>
      <c r="AL919" s="4">
        <v>2</v>
      </c>
      <c r="AM919" s="4">
        <v>3</v>
      </c>
      <c r="AN919" s="4">
        <v>0</v>
      </c>
      <c r="AO919" s="4">
        <v>0</v>
      </c>
      <c r="AP919" s="3" t="s">
        <v>58</v>
      </c>
      <c r="AQ919" s="3" t="s">
        <v>58</v>
      </c>
      <c r="AS919" s="6" t="str">
        <f>HYPERLINK("https://creighton-primo.hosted.exlibrisgroup.com/primo-explore/search?tab=default_tab&amp;search_scope=EVERYTHING&amp;vid=01CRU&amp;lang=en_US&amp;offset=0&amp;query=any,contains,991000967829702656","Catalog Record")</f>
        <v>Catalog Record</v>
      </c>
      <c r="AT919" s="6" t="str">
        <f>HYPERLINK("http://www.worldcat.org/oclc/14931561","WorldCat Record")</f>
        <v>WorldCat Record</v>
      </c>
      <c r="AU919" s="3" t="s">
        <v>11716</v>
      </c>
      <c r="AV919" s="3" t="s">
        <v>11717</v>
      </c>
      <c r="AW919" s="3" t="s">
        <v>11718</v>
      </c>
      <c r="AX919" s="3" t="s">
        <v>11718</v>
      </c>
      <c r="AY919" s="3" t="s">
        <v>11719</v>
      </c>
      <c r="AZ919" s="3" t="s">
        <v>73</v>
      </c>
      <c r="BB919" s="3" t="s">
        <v>11720</v>
      </c>
      <c r="BC919" s="3" t="s">
        <v>11721</v>
      </c>
      <c r="BD919" s="3" t="s">
        <v>11722</v>
      </c>
    </row>
    <row r="920" spans="1:56" ht="51" customHeight="1" x14ac:dyDescent="0.25">
      <c r="A920" s="7" t="s">
        <v>58</v>
      </c>
      <c r="B920" s="2" t="s">
        <v>11711</v>
      </c>
      <c r="C920" s="2" t="s">
        <v>11712</v>
      </c>
      <c r="D920" s="2" t="s">
        <v>11713</v>
      </c>
      <c r="E920" s="3" t="s">
        <v>223</v>
      </c>
      <c r="F920" s="3" t="s">
        <v>68</v>
      </c>
      <c r="G920" s="3" t="s">
        <v>59</v>
      </c>
      <c r="H920" s="3" t="s">
        <v>58</v>
      </c>
      <c r="I920" s="3" t="s">
        <v>58</v>
      </c>
      <c r="J920" s="3" t="s">
        <v>60</v>
      </c>
      <c r="L920" s="2" t="s">
        <v>11714</v>
      </c>
      <c r="M920" s="3" t="s">
        <v>353</v>
      </c>
      <c r="O920" s="3" t="s">
        <v>63</v>
      </c>
      <c r="P920" s="3" t="s">
        <v>214</v>
      </c>
      <c r="R920" s="3" t="s">
        <v>65</v>
      </c>
      <c r="S920" s="4">
        <v>2</v>
      </c>
      <c r="T920" s="4">
        <v>5</v>
      </c>
      <c r="U920" s="5" t="s">
        <v>11723</v>
      </c>
      <c r="V920" s="5" t="s">
        <v>11703</v>
      </c>
      <c r="W920" s="5" t="s">
        <v>11715</v>
      </c>
      <c r="X920" s="5" t="s">
        <v>11715</v>
      </c>
      <c r="Y920" s="4">
        <v>442</v>
      </c>
      <c r="Z920" s="4">
        <v>378</v>
      </c>
      <c r="AA920" s="4">
        <v>911</v>
      </c>
      <c r="AB920" s="4">
        <v>3</v>
      </c>
      <c r="AC920" s="4">
        <v>6</v>
      </c>
      <c r="AD920" s="4">
        <v>22</v>
      </c>
      <c r="AE920" s="4">
        <v>40</v>
      </c>
      <c r="AF920" s="4">
        <v>10</v>
      </c>
      <c r="AG920" s="4">
        <v>18</v>
      </c>
      <c r="AH920" s="4">
        <v>3</v>
      </c>
      <c r="AI920" s="4">
        <v>10</v>
      </c>
      <c r="AJ920" s="4">
        <v>14</v>
      </c>
      <c r="AK920" s="4">
        <v>22</v>
      </c>
      <c r="AL920" s="4">
        <v>2</v>
      </c>
      <c r="AM920" s="4">
        <v>3</v>
      </c>
      <c r="AN920" s="4">
        <v>0</v>
      </c>
      <c r="AO920" s="4">
        <v>0</v>
      </c>
      <c r="AP920" s="3" t="s">
        <v>58</v>
      </c>
      <c r="AQ920" s="3" t="s">
        <v>58</v>
      </c>
      <c r="AS920" s="6" t="str">
        <f>HYPERLINK("https://creighton-primo.hosted.exlibrisgroup.com/primo-explore/search?tab=default_tab&amp;search_scope=EVERYTHING&amp;vid=01CRU&amp;lang=en_US&amp;offset=0&amp;query=any,contains,991000967829702656","Catalog Record")</f>
        <v>Catalog Record</v>
      </c>
      <c r="AT920" s="6" t="str">
        <f>HYPERLINK("http://www.worldcat.org/oclc/14931561","WorldCat Record")</f>
        <v>WorldCat Record</v>
      </c>
      <c r="AU920" s="3" t="s">
        <v>11716</v>
      </c>
      <c r="AV920" s="3" t="s">
        <v>11717</v>
      </c>
      <c r="AW920" s="3" t="s">
        <v>11718</v>
      </c>
      <c r="AX920" s="3" t="s">
        <v>11718</v>
      </c>
      <c r="AY920" s="3" t="s">
        <v>11719</v>
      </c>
      <c r="AZ920" s="3" t="s">
        <v>73</v>
      </c>
      <c r="BB920" s="3" t="s">
        <v>11720</v>
      </c>
      <c r="BC920" s="3" t="s">
        <v>11724</v>
      </c>
      <c r="BD920" s="3" t="s">
        <v>11725</v>
      </c>
    </row>
    <row r="921" spans="1:56" ht="51" customHeight="1" x14ac:dyDescent="0.25">
      <c r="A921" s="7" t="s">
        <v>58</v>
      </c>
      <c r="B921" s="2" t="s">
        <v>11726</v>
      </c>
      <c r="C921" s="2" t="s">
        <v>11727</v>
      </c>
      <c r="D921" s="2" t="s">
        <v>11728</v>
      </c>
      <c r="F921" s="3" t="s">
        <v>58</v>
      </c>
      <c r="G921" s="3" t="s">
        <v>59</v>
      </c>
      <c r="H921" s="3" t="s">
        <v>58</v>
      </c>
      <c r="I921" s="3" t="s">
        <v>58</v>
      </c>
      <c r="J921" s="3" t="s">
        <v>60</v>
      </c>
      <c r="K921" s="2" t="s">
        <v>11729</v>
      </c>
      <c r="L921" s="2" t="s">
        <v>11730</v>
      </c>
      <c r="M921" s="3" t="s">
        <v>479</v>
      </c>
      <c r="O921" s="3" t="s">
        <v>63</v>
      </c>
      <c r="P921" s="3" t="s">
        <v>411</v>
      </c>
      <c r="R921" s="3" t="s">
        <v>65</v>
      </c>
      <c r="S921" s="4">
        <v>5</v>
      </c>
      <c r="T921" s="4">
        <v>5</v>
      </c>
      <c r="U921" s="5" t="s">
        <v>11731</v>
      </c>
      <c r="V921" s="5" t="s">
        <v>11731</v>
      </c>
      <c r="W921" s="5" t="s">
        <v>4354</v>
      </c>
      <c r="X921" s="5" t="s">
        <v>4354</v>
      </c>
      <c r="Y921" s="4">
        <v>387</v>
      </c>
      <c r="Z921" s="4">
        <v>300</v>
      </c>
      <c r="AA921" s="4">
        <v>300</v>
      </c>
      <c r="AB921" s="4">
        <v>3</v>
      </c>
      <c r="AC921" s="4">
        <v>3</v>
      </c>
      <c r="AD921" s="4">
        <v>19</v>
      </c>
      <c r="AE921" s="4">
        <v>19</v>
      </c>
      <c r="AF921" s="4">
        <v>5</v>
      </c>
      <c r="AG921" s="4">
        <v>5</v>
      </c>
      <c r="AH921" s="4">
        <v>3</v>
      </c>
      <c r="AI921" s="4">
        <v>3</v>
      </c>
      <c r="AJ921" s="4">
        <v>12</v>
      </c>
      <c r="AK921" s="4">
        <v>12</v>
      </c>
      <c r="AL921" s="4">
        <v>2</v>
      </c>
      <c r="AM921" s="4">
        <v>2</v>
      </c>
      <c r="AN921" s="4">
        <v>1</v>
      </c>
      <c r="AO921" s="4">
        <v>1</v>
      </c>
      <c r="AP921" s="3" t="s">
        <v>58</v>
      </c>
      <c r="AQ921" s="3" t="s">
        <v>58</v>
      </c>
      <c r="AS921" s="6" t="str">
        <f>HYPERLINK("https://creighton-primo.hosted.exlibrisgroup.com/primo-explore/search?tab=default_tab&amp;search_scope=EVERYTHING&amp;vid=01CRU&amp;lang=en_US&amp;offset=0&amp;query=any,contains,991002343499702656","Catalog Record")</f>
        <v>Catalog Record</v>
      </c>
      <c r="AT921" s="6" t="str">
        <f>HYPERLINK("http://www.worldcat.org/oclc/30516636","WorldCat Record")</f>
        <v>WorldCat Record</v>
      </c>
      <c r="AU921" s="3" t="s">
        <v>11732</v>
      </c>
      <c r="AV921" s="3" t="s">
        <v>11733</v>
      </c>
      <c r="AW921" s="3" t="s">
        <v>11734</v>
      </c>
      <c r="AX921" s="3" t="s">
        <v>11734</v>
      </c>
      <c r="AY921" s="3" t="s">
        <v>11735</v>
      </c>
      <c r="AZ921" s="3" t="s">
        <v>73</v>
      </c>
      <c r="BB921" s="3" t="s">
        <v>11736</v>
      </c>
      <c r="BC921" s="3" t="s">
        <v>11737</v>
      </c>
      <c r="BD921" s="3" t="s">
        <v>11738</v>
      </c>
    </row>
    <row r="922" spans="1:56" ht="51" customHeight="1" x14ac:dyDescent="0.25">
      <c r="A922" s="7" t="s">
        <v>58</v>
      </c>
      <c r="B922" s="2" t="s">
        <v>11739</v>
      </c>
      <c r="C922" s="2" t="s">
        <v>11740</v>
      </c>
      <c r="D922" s="2" t="s">
        <v>11741</v>
      </c>
      <c r="F922" s="3" t="s">
        <v>58</v>
      </c>
      <c r="G922" s="3" t="s">
        <v>59</v>
      </c>
      <c r="H922" s="3" t="s">
        <v>58</v>
      </c>
      <c r="I922" s="3" t="s">
        <v>58</v>
      </c>
      <c r="J922" s="3" t="s">
        <v>60</v>
      </c>
      <c r="K922" s="2" t="s">
        <v>11742</v>
      </c>
      <c r="L922" s="2" t="s">
        <v>11743</v>
      </c>
      <c r="M922" s="3" t="s">
        <v>196</v>
      </c>
      <c r="O922" s="3" t="s">
        <v>63</v>
      </c>
      <c r="P922" s="3" t="s">
        <v>354</v>
      </c>
      <c r="R922" s="3" t="s">
        <v>65</v>
      </c>
      <c r="S922" s="4">
        <v>10</v>
      </c>
      <c r="T922" s="4">
        <v>10</v>
      </c>
      <c r="U922" s="5" t="s">
        <v>11744</v>
      </c>
      <c r="V922" s="5" t="s">
        <v>11744</v>
      </c>
      <c r="W922" s="5" t="s">
        <v>11745</v>
      </c>
      <c r="X922" s="5" t="s">
        <v>11745</v>
      </c>
      <c r="Y922" s="4">
        <v>566</v>
      </c>
      <c r="Z922" s="4">
        <v>456</v>
      </c>
      <c r="AA922" s="4">
        <v>464</v>
      </c>
      <c r="AB922" s="4">
        <v>7</v>
      </c>
      <c r="AC922" s="4">
        <v>7</v>
      </c>
      <c r="AD922" s="4">
        <v>29</v>
      </c>
      <c r="AE922" s="4">
        <v>29</v>
      </c>
      <c r="AF922" s="4">
        <v>10</v>
      </c>
      <c r="AG922" s="4">
        <v>10</v>
      </c>
      <c r="AH922" s="4">
        <v>5</v>
      </c>
      <c r="AI922" s="4">
        <v>5</v>
      </c>
      <c r="AJ922" s="4">
        <v>16</v>
      </c>
      <c r="AK922" s="4">
        <v>16</v>
      </c>
      <c r="AL922" s="4">
        <v>5</v>
      </c>
      <c r="AM922" s="4">
        <v>5</v>
      </c>
      <c r="AN922" s="4">
        <v>0</v>
      </c>
      <c r="AO922" s="4">
        <v>0</v>
      </c>
      <c r="AP922" s="3" t="s">
        <v>58</v>
      </c>
      <c r="AQ922" s="3" t="s">
        <v>68</v>
      </c>
      <c r="AR922" s="6" t="str">
        <f>HYPERLINK("http://catalog.hathitrust.org/Record/003091418","HathiTrust Record")</f>
        <v>HathiTrust Record</v>
      </c>
      <c r="AS922" s="6" t="str">
        <f>HYPERLINK("https://creighton-primo.hosted.exlibrisgroup.com/primo-explore/search?tab=default_tab&amp;search_scope=EVERYTHING&amp;vid=01CRU&amp;lang=en_US&amp;offset=0&amp;query=any,contains,991002559749702656","Catalog Record")</f>
        <v>Catalog Record</v>
      </c>
      <c r="AT922" s="6" t="str">
        <f>HYPERLINK("http://www.worldcat.org/oclc/33276531","WorldCat Record")</f>
        <v>WorldCat Record</v>
      </c>
      <c r="AU922" s="3" t="s">
        <v>11746</v>
      </c>
      <c r="AV922" s="3" t="s">
        <v>11747</v>
      </c>
      <c r="AW922" s="3" t="s">
        <v>11748</v>
      </c>
      <c r="AX922" s="3" t="s">
        <v>11748</v>
      </c>
      <c r="AY922" s="3" t="s">
        <v>11749</v>
      </c>
      <c r="AZ922" s="3" t="s">
        <v>73</v>
      </c>
      <c r="BB922" s="3" t="s">
        <v>11750</v>
      </c>
      <c r="BC922" s="3" t="s">
        <v>11751</v>
      </c>
      <c r="BD922" s="3" t="s">
        <v>11752</v>
      </c>
    </row>
    <row r="923" spans="1:56" ht="51" customHeight="1" x14ac:dyDescent="0.25">
      <c r="A923" s="7" t="s">
        <v>58</v>
      </c>
      <c r="B923" s="2" t="s">
        <v>11753</v>
      </c>
      <c r="C923" s="2" t="s">
        <v>11754</v>
      </c>
      <c r="D923" s="2" t="s">
        <v>11755</v>
      </c>
      <c r="F923" s="3" t="s">
        <v>58</v>
      </c>
      <c r="G923" s="3" t="s">
        <v>59</v>
      </c>
      <c r="H923" s="3" t="s">
        <v>58</v>
      </c>
      <c r="I923" s="3" t="s">
        <v>58</v>
      </c>
      <c r="J923" s="3" t="s">
        <v>60</v>
      </c>
      <c r="K923" s="2" t="s">
        <v>11742</v>
      </c>
      <c r="L923" s="2" t="s">
        <v>11756</v>
      </c>
      <c r="M923" s="3" t="s">
        <v>337</v>
      </c>
      <c r="O923" s="3" t="s">
        <v>63</v>
      </c>
      <c r="P923" s="3" t="s">
        <v>354</v>
      </c>
      <c r="R923" s="3" t="s">
        <v>65</v>
      </c>
      <c r="S923" s="4">
        <v>3</v>
      </c>
      <c r="T923" s="4">
        <v>3</v>
      </c>
      <c r="U923" s="5" t="s">
        <v>11757</v>
      </c>
      <c r="V923" s="5" t="s">
        <v>11757</v>
      </c>
      <c r="W923" s="5" t="s">
        <v>4038</v>
      </c>
      <c r="X923" s="5" t="s">
        <v>4038</v>
      </c>
      <c r="Y923" s="4">
        <v>405</v>
      </c>
      <c r="Z923" s="4">
        <v>334</v>
      </c>
      <c r="AA923" s="4">
        <v>338</v>
      </c>
      <c r="AB923" s="4">
        <v>3</v>
      </c>
      <c r="AC923" s="4">
        <v>3</v>
      </c>
      <c r="AD923" s="4">
        <v>20</v>
      </c>
      <c r="AE923" s="4">
        <v>20</v>
      </c>
      <c r="AF923" s="4">
        <v>7</v>
      </c>
      <c r="AG923" s="4">
        <v>7</v>
      </c>
      <c r="AH923" s="4">
        <v>5</v>
      </c>
      <c r="AI923" s="4">
        <v>5</v>
      </c>
      <c r="AJ923" s="4">
        <v>15</v>
      </c>
      <c r="AK923" s="4">
        <v>15</v>
      </c>
      <c r="AL923" s="4">
        <v>1</v>
      </c>
      <c r="AM923" s="4">
        <v>1</v>
      </c>
      <c r="AN923" s="4">
        <v>0</v>
      </c>
      <c r="AO923" s="4">
        <v>0</v>
      </c>
      <c r="AP923" s="3" t="s">
        <v>58</v>
      </c>
      <c r="AQ923" s="3" t="s">
        <v>68</v>
      </c>
      <c r="AR923" s="6" t="str">
        <f>HYPERLINK("http://catalog.hathitrust.org/Record/004219851","HathiTrust Record")</f>
        <v>HathiTrust Record</v>
      </c>
      <c r="AS923" s="6" t="str">
        <f>HYPERLINK("https://creighton-primo.hosted.exlibrisgroup.com/primo-explore/search?tab=default_tab&amp;search_scope=EVERYTHING&amp;vid=01CRU&amp;lang=en_US&amp;offset=0&amp;query=any,contains,991003742129702656","Catalog Record")</f>
        <v>Catalog Record</v>
      </c>
      <c r="AT923" s="6" t="str">
        <f>HYPERLINK("http://www.worldcat.org/oclc/47054791","WorldCat Record")</f>
        <v>WorldCat Record</v>
      </c>
      <c r="AU923" s="3" t="s">
        <v>11758</v>
      </c>
      <c r="AV923" s="3" t="s">
        <v>11759</v>
      </c>
      <c r="AW923" s="3" t="s">
        <v>11760</v>
      </c>
      <c r="AX923" s="3" t="s">
        <v>11760</v>
      </c>
      <c r="AY923" s="3" t="s">
        <v>11761</v>
      </c>
      <c r="AZ923" s="3" t="s">
        <v>73</v>
      </c>
      <c r="BB923" s="3" t="s">
        <v>11762</v>
      </c>
      <c r="BC923" s="3" t="s">
        <v>11763</v>
      </c>
      <c r="BD923" s="3" t="s">
        <v>11764</v>
      </c>
    </row>
    <row r="924" spans="1:56" ht="51" customHeight="1" x14ac:dyDescent="0.25">
      <c r="A924" s="7" t="s">
        <v>58</v>
      </c>
      <c r="B924" s="2" t="s">
        <v>11765</v>
      </c>
      <c r="C924" s="2" t="s">
        <v>11766</v>
      </c>
      <c r="D924" s="2" t="s">
        <v>11767</v>
      </c>
      <c r="F924" s="3" t="s">
        <v>58</v>
      </c>
      <c r="G924" s="3" t="s">
        <v>59</v>
      </c>
      <c r="H924" s="3" t="s">
        <v>58</v>
      </c>
      <c r="I924" s="3" t="s">
        <v>58</v>
      </c>
      <c r="J924" s="3" t="s">
        <v>60</v>
      </c>
      <c r="K924" s="2" t="s">
        <v>11768</v>
      </c>
      <c r="L924" s="2" t="s">
        <v>11769</v>
      </c>
      <c r="M924" s="3" t="s">
        <v>626</v>
      </c>
      <c r="N924" s="2" t="s">
        <v>11770</v>
      </c>
      <c r="O924" s="3" t="s">
        <v>7260</v>
      </c>
      <c r="P924" s="3" t="s">
        <v>7245</v>
      </c>
      <c r="R924" s="3" t="s">
        <v>65</v>
      </c>
      <c r="S924" s="4">
        <v>2</v>
      </c>
      <c r="T924" s="4">
        <v>2</v>
      </c>
      <c r="U924" s="5" t="s">
        <v>11723</v>
      </c>
      <c r="V924" s="5" t="s">
        <v>11723</v>
      </c>
      <c r="W924" s="5" t="s">
        <v>10968</v>
      </c>
      <c r="X924" s="5" t="s">
        <v>10968</v>
      </c>
      <c r="Y924" s="4">
        <v>7</v>
      </c>
      <c r="Z924" s="4">
        <v>6</v>
      </c>
      <c r="AA924" s="4">
        <v>6</v>
      </c>
      <c r="AB924" s="4">
        <v>1</v>
      </c>
      <c r="AC924" s="4">
        <v>1</v>
      </c>
      <c r="AD924" s="4">
        <v>0</v>
      </c>
      <c r="AE924" s="4">
        <v>0</v>
      </c>
      <c r="AF924" s="4">
        <v>0</v>
      </c>
      <c r="AG924" s="4">
        <v>0</v>
      </c>
      <c r="AH924" s="4">
        <v>0</v>
      </c>
      <c r="AI924" s="4">
        <v>0</v>
      </c>
      <c r="AJ924" s="4">
        <v>0</v>
      </c>
      <c r="AK924" s="4">
        <v>0</v>
      </c>
      <c r="AL924" s="4">
        <v>0</v>
      </c>
      <c r="AM924" s="4">
        <v>0</v>
      </c>
      <c r="AN924" s="4">
        <v>0</v>
      </c>
      <c r="AO924" s="4">
        <v>0</v>
      </c>
      <c r="AP924" s="3" t="s">
        <v>58</v>
      </c>
      <c r="AQ924" s="3" t="s">
        <v>58</v>
      </c>
      <c r="AS924" s="6" t="str">
        <f>HYPERLINK("https://creighton-primo.hosted.exlibrisgroup.com/primo-explore/search?tab=default_tab&amp;search_scope=EVERYTHING&amp;vid=01CRU&amp;lang=en_US&amp;offset=0&amp;query=any,contains,991000735609702656","Catalog Record")</f>
        <v>Catalog Record</v>
      </c>
      <c r="AT924" s="6" t="str">
        <f>HYPERLINK("http://www.worldcat.org/oclc/12769130","WorldCat Record")</f>
        <v>WorldCat Record</v>
      </c>
      <c r="AU924" s="3" t="s">
        <v>11771</v>
      </c>
      <c r="AV924" s="3" t="s">
        <v>11772</v>
      </c>
      <c r="AW924" s="3" t="s">
        <v>11773</v>
      </c>
      <c r="AX924" s="3" t="s">
        <v>11773</v>
      </c>
      <c r="AY924" s="3" t="s">
        <v>11774</v>
      </c>
      <c r="AZ924" s="3" t="s">
        <v>73</v>
      </c>
      <c r="BB924" s="3" t="s">
        <v>11775</v>
      </c>
      <c r="BC924" s="3" t="s">
        <v>11776</v>
      </c>
      <c r="BD924" s="3" t="s">
        <v>11777</v>
      </c>
    </row>
    <row r="925" spans="1:56" ht="51" customHeight="1" x14ac:dyDescent="0.25">
      <c r="A925" s="7" t="s">
        <v>58</v>
      </c>
      <c r="B925" s="2" t="s">
        <v>11778</v>
      </c>
      <c r="C925" s="2" t="s">
        <v>11779</v>
      </c>
      <c r="D925" s="2" t="s">
        <v>11780</v>
      </c>
      <c r="F925" s="3" t="s">
        <v>58</v>
      </c>
      <c r="G925" s="3" t="s">
        <v>59</v>
      </c>
      <c r="H925" s="3" t="s">
        <v>58</v>
      </c>
      <c r="I925" s="3" t="s">
        <v>58</v>
      </c>
      <c r="J925" s="3" t="s">
        <v>60</v>
      </c>
      <c r="K925" s="2" t="s">
        <v>11781</v>
      </c>
      <c r="L925" s="2" t="s">
        <v>11782</v>
      </c>
      <c r="M925" s="3" t="s">
        <v>842</v>
      </c>
      <c r="O925" s="3" t="s">
        <v>63</v>
      </c>
      <c r="P925" s="3" t="s">
        <v>2630</v>
      </c>
      <c r="R925" s="3" t="s">
        <v>65</v>
      </c>
      <c r="S925" s="4">
        <v>9</v>
      </c>
      <c r="T925" s="4">
        <v>9</v>
      </c>
      <c r="U925" s="5" t="s">
        <v>11783</v>
      </c>
      <c r="V925" s="5" t="s">
        <v>11783</v>
      </c>
      <c r="W925" s="5" t="s">
        <v>8127</v>
      </c>
      <c r="X925" s="5" t="s">
        <v>8127</v>
      </c>
      <c r="Y925" s="4">
        <v>554</v>
      </c>
      <c r="Z925" s="4">
        <v>500</v>
      </c>
      <c r="AA925" s="4">
        <v>529</v>
      </c>
      <c r="AB925" s="4">
        <v>3</v>
      </c>
      <c r="AC925" s="4">
        <v>3</v>
      </c>
      <c r="AD925" s="4">
        <v>13</v>
      </c>
      <c r="AE925" s="4">
        <v>14</v>
      </c>
      <c r="AF925" s="4">
        <v>4</v>
      </c>
      <c r="AG925" s="4">
        <v>4</v>
      </c>
      <c r="AH925" s="4">
        <v>4</v>
      </c>
      <c r="AI925" s="4">
        <v>4</v>
      </c>
      <c r="AJ925" s="4">
        <v>7</v>
      </c>
      <c r="AK925" s="4">
        <v>8</v>
      </c>
      <c r="AL925" s="4">
        <v>2</v>
      </c>
      <c r="AM925" s="4">
        <v>2</v>
      </c>
      <c r="AN925" s="4">
        <v>0</v>
      </c>
      <c r="AO925" s="4">
        <v>0</v>
      </c>
      <c r="AP925" s="3" t="s">
        <v>58</v>
      </c>
      <c r="AQ925" s="3" t="s">
        <v>68</v>
      </c>
      <c r="AR925" s="6" t="str">
        <f>HYPERLINK("http://catalog.hathitrust.org/Record/000761715","HathiTrust Record")</f>
        <v>HathiTrust Record</v>
      </c>
      <c r="AS925" s="6" t="str">
        <f>HYPERLINK("https://creighton-primo.hosted.exlibrisgroup.com/primo-explore/search?tab=default_tab&amp;search_scope=EVERYTHING&amp;vid=01CRU&amp;lang=en_US&amp;offset=0&amp;query=any,contains,991005108099702656","Catalog Record")</f>
        <v>Catalog Record</v>
      </c>
      <c r="AT925" s="6" t="str">
        <f>HYPERLINK("http://www.worldcat.org/oclc/7369020","WorldCat Record")</f>
        <v>WorldCat Record</v>
      </c>
      <c r="AU925" s="3" t="s">
        <v>11784</v>
      </c>
      <c r="AV925" s="3" t="s">
        <v>11785</v>
      </c>
      <c r="AW925" s="3" t="s">
        <v>11786</v>
      </c>
      <c r="AX925" s="3" t="s">
        <v>11786</v>
      </c>
      <c r="AY925" s="3" t="s">
        <v>11787</v>
      </c>
      <c r="AZ925" s="3" t="s">
        <v>73</v>
      </c>
      <c r="BB925" s="3" t="s">
        <v>11788</v>
      </c>
      <c r="BC925" s="3" t="s">
        <v>11789</v>
      </c>
      <c r="BD925" s="3" t="s">
        <v>11790</v>
      </c>
    </row>
    <row r="926" spans="1:56" ht="51" customHeight="1" x14ac:dyDescent="0.25">
      <c r="A926" s="7" t="s">
        <v>58</v>
      </c>
      <c r="B926" s="2" t="s">
        <v>11791</v>
      </c>
      <c r="C926" s="2" t="s">
        <v>11792</v>
      </c>
      <c r="D926" s="2" t="s">
        <v>11793</v>
      </c>
      <c r="F926" s="3" t="s">
        <v>58</v>
      </c>
      <c r="G926" s="3" t="s">
        <v>59</v>
      </c>
      <c r="H926" s="3" t="s">
        <v>58</v>
      </c>
      <c r="I926" s="3" t="s">
        <v>58</v>
      </c>
      <c r="J926" s="3" t="s">
        <v>60</v>
      </c>
      <c r="K926" s="2" t="s">
        <v>11794</v>
      </c>
      <c r="L926" s="2" t="s">
        <v>11795</v>
      </c>
      <c r="M926" s="3" t="s">
        <v>552</v>
      </c>
      <c r="N926" s="2" t="s">
        <v>338</v>
      </c>
      <c r="O926" s="3" t="s">
        <v>63</v>
      </c>
      <c r="P926" s="3" t="s">
        <v>214</v>
      </c>
      <c r="R926" s="3" t="s">
        <v>65</v>
      </c>
      <c r="S926" s="4">
        <v>2</v>
      </c>
      <c r="T926" s="4">
        <v>2</v>
      </c>
      <c r="U926" s="5" t="s">
        <v>11796</v>
      </c>
      <c r="V926" s="5" t="s">
        <v>11796</v>
      </c>
      <c r="W926" s="5" t="s">
        <v>11797</v>
      </c>
      <c r="X926" s="5" t="s">
        <v>11797</v>
      </c>
      <c r="Y926" s="4">
        <v>709</v>
      </c>
      <c r="Z926" s="4">
        <v>657</v>
      </c>
      <c r="AA926" s="4">
        <v>695</v>
      </c>
      <c r="AB926" s="4">
        <v>5</v>
      </c>
      <c r="AC926" s="4">
        <v>5</v>
      </c>
      <c r="AD926" s="4">
        <v>17</v>
      </c>
      <c r="AE926" s="4">
        <v>18</v>
      </c>
      <c r="AF926" s="4">
        <v>5</v>
      </c>
      <c r="AG926" s="4">
        <v>6</v>
      </c>
      <c r="AH926" s="4">
        <v>4</v>
      </c>
      <c r="AI926" s="4">
        <v>5</v>
      </c>
      <c r="AJ926" s="4">
        <v>10</v>
      </c>
      <c r="AK926" s="4">
        <v>10</v>
      </c>
      <c r="AL926" s="4">
        <v>3</v>
      </c>
      <c r="AM926" s="4">
        <v>3</v>
      </c>
      <c r="AN926" s="4">
        <v>0</v>
      </c>
      <c r="AO926" s="4">
        <v>0</v>
      </c>
      <c r="AP926" s="3" t="s">
        <v>58</v>
      </c>
      <c r="AQ926" s="3" t="s">
        <v>68</v>
      </c>
      <c r="AR926" s="6" t="str">
        <f>HYPERLINK("http://catalog.hathitrust.org/Record/002164929","HathiTrust Record")</f>
        <v>HathiTrust Record</v>
      </c>
      <c r="AS926" s="6" t="str">
        <f>HYPERLINK("https://creighton-primo.hosted.exlibrisgroup.com/primo-explore/search?tab=default_tab&amp;search_scope=EVERYTHING&amp;vid=01CRU&amp;lang=en_US&amp;offset=0&amp;query=any,contains,991001592339702656","Catalog Record")</f>
        <v>Catalog Record</v>
      </c>
      <c r="AT926" s="6" t="str">
        <f>HYPERLINK("http://www.worldcat.org/oclc/20593803","WorldCat Record")</f>
        <v>WorldCat Record</v>
      </c>
      <c r="AU926" s="3" t="s">
        <v>11798</v>
      </c>
      <c r="AV926" s="3" t="s">
        <v>11799</v>
      </c>
      <c r="AW926" s="3" t="s">
        <v>11800</v>
      </c>
      <c r="AX926" s="3" t="s">
        <v>11800</v>
      </c>
      <c r="AY926" s="3" t="s">
        <v>11801</v>
      </c>
      <c r="AZ926" s="3" t="s">
        <v>73</v>
      </c>
      <c r="BB926" s="3" t="s">
        <v>11802</v>
      </c>
      <c r="BC926" s="3" t="s">
        <v>11803</v>
      </c>
      <c r="BD926" s="3" t="s">
        <v>11804</v>
      </c>
    </row>
    <row r="927" spans="1:56" ht="51" customHeight="1" x14ac:dyDescent="0.25">
      <c r="A927" s="7" t="s">
        <v>58</v>
      </c>
      <c r="B927" s="2" t="s">
        <v>11805</v>
      </c>
      <c r="C927" s="2" t="s">
        <v>11806</v>
      </c>
      <c r="D927" s="2" t="s">
        <v>11807</v>
      </c>
      <c r="F927" s="3" t="s">
        <v>58</v>
      </c>
      <c r="G927" s="3" t="s">
        <v>59</v>
      </c>
      <c r="H927" s="3" t="s">
        <v>58</v>
      </c>
      <c r="I927" s="3" t="s">
        <v>58</v>
      </c>
      <c r="J927" s="3" t="s">
        <v>60</v>
      </c>
      <c r="K927" s="2" t="s">
        <v>11808</v>
      </c>
      <c r="L927" s="2" t="s">
        <v>11809</v>
      </c>
      <c r="M927" s="3" t="s">
        <v>1784</v>
      </c>
      <c r="O927" s="3" t="s">
        <v>63</v>
      </c>
      <c r="P927" s="3" t="s">
        <v>1120</v>
      </c>
      <c r="Q927" s="2" t="s">
        <v>11810</v>
      </c>
      <c r="R927" s="3" t="s">
        <v>65</v>
      </c>
      <c r="S927" s="4">
        <v>2</v>
      </c>
      <c r="T927" s="4">
        <v>2</v>
      </c>
      <c r="U927" s="5" t="s">
        <v>11811</v>
      </c>
      <c r="V927" s="5" t="s">
        <v>11811</v>
      </c>
      <c r="W927" s="5" t="s">
        <v>8127</v>
      </c>
      <c r="X927" s="5" t="s">
        <v>8127</v>
      </c>
      <c r="Y927" s="4">
        <v>400</v>
      </c>
      <c r="Z927" s="4">
        <v>325</v>
      </c>
      <c r="AA927" s="4">
        <v>388</v>
      </c>
      <c r="AB927" s="4">
        <v>2</v>
      </c>
      <c r="AC927" s="4">
        <v>2</v>
      </c>
      <c r="AD927" s="4">
        <v>18</v>
      </c>
      <c r="AE927" s="4">
        <v>22</v>
      </c>
      <c r="AF927" s="4">
        <v>7</v>
      </c>
      <c r="AG927" s="4">
        <v>10</v>
      </c>
      <c r="AH927" s="4">
        <v>8</v>
      </c>
      <c r="AI927" s="4">
        <v>8</v>
      </c>
      <c r="AJ927" s="4">
        <v>9</v>
      </c>
      <c r="AK927" s="4">
        <v>10</v>
      </c>
      <c r="AL927" s="4">
        <v>1</v>
      </c>
      <c r="AM927" s="4">
        <v>1</v>
      </c>
      <c r="AN927" s="4">
        <v>0</v>
      </c>
      <c r="AO927" s="4">
        <v>0</v>
      </c>
      <c r="AP927" s="3" t="s">
        <v>58</v>
      </c>
      <c r="AQ927" s="3" t="s">
        <v>68</v>
      </c>
      <c r="AR927" s="6" t="str">
        <f>HYPERLINK("http://catalog.hathitrust.org/Record/000041907","HathiTrust Record")</f>
        <v>HathiTrust Record</v>
      </c>
      <c r="AS927" s="6" t="str">
        <f>HYPERLINK("https://creighton-primo.hosted.exlibrisgroup.com/primo-explore/search?tab=default_tab&amp;search_scope=EVERYTHING&amp;vid=01CRU&amp;lang=en_US&amp;offset=0&amp;query=any,contains,991004678249702656","Catalog Record")</f>
        <v>Catalog Record</v>
      </c>
      <c r="AT927" s="6" t="str">
        <f>HYPERLINK("http://www.worldcat.org/oclc/4549633","WorldCat Record")</f>
        <v>WorldCat Record</v>
      </c>
      <c r="AU927" s="3" t="s">
        <v>11812</v>
      </c>
      <c r="AV927" s="3" t="s">
        <v>11813</v>
      </c>
      <c r="AW927" s="3" t="s">
        <v>11814</v>
      </c>
      <c r="AX927" s="3" t="s">
        <v>11814</v>
      </c>
      <c r="AY927" s="3" t="s">
        <v>11815</v>
      </c>
      <c r="AZ927" s="3" t="s">
        <v>73</v>
      </c>
      <c r="BB927" s="3" t="s">
        <v>11816</v>
      </c>
      <c r="BC927" s="3" t="s">
        <v>11817</v>
      </c>
      <c r="BD927" s="3" t="s">
        <v>11818</v>
      </c>
    </row>
    <row r="928" spans="1:56" ht="51" customHeight="1" x14ac:dyDescent="0.25">
      <c r="A928" s="7" t="s">
        <v>58</v>
      </c>
      <c r="B928" s="2" t="s">
        <v>11819</v>
      </c>
      <c r="C928" s="2" t="s">
        <v>11820</v>
      </c>
      <c r="D928" s="2" t="s">
        <v>11821</v>
      </c>
      <c r="F928" s="3" t="s">
        <v>58</v>
      </c>
      <c r="G928" s="3" t="s">
        <v>59</v>
      </c>
      <c r="H928" s="3" t="s">
        <v>58</v>
      </c>
      <c r="I928" s="3" t="s">
        <v>58</v>
      </c>
      <c r="J928" s="3" t="s">
        <v>60</v>
      </c>
      <c r="K928" s="2" t="s">
        <v>11822</v>
      </c>
      <c r="L928" s="2" t="s">
        <v>11823</v>
      </c>
      <c r="M928" s="3" t="s">
        <v>996</v>
      </c>
      <c r="O928" s="3" t="s">
        <v>63</v>
      </c>
      <c r="P928" s="3" t="s">
        <v>214</v>
      </c>
      <c r="Q928" s="2" t="s">
        <v>11824</v>
      </c>
      <c r="R928" s="3" t="s">
        <v>65</v>
      </c>
      <c r="S928" s="4">
        <v>2</v>
      </c>
      <c r="T928" s="4">
        <v>2</v>
      </c>
      <c r="U928" s="5" t="s">
        <v>11469</v>
      </c>
      <c r="V928" s="5" t="s">
        <v>11469</v>
      </c>
      <c r="W928" s="5" t="s">
        <v>2616</v>
      </c>
      <c r="X928" s="5" t="s">
        <v>2616</v>
      </c>
      <c r="Y928" s="4">
        <v>640</v>
      </c>
      <c r="Z928" s="4">
        <v>517</v>
      </c>
      <c r="AA928" s="4">
        <v>520</v>
      </c>
      <c r="AB928" s="4">
        <v>3</v>
      </c>
      <c r="AC928" s="4">
        <v>3</v>
      </c>
      <c r="AD928" s="4">
        <v>25</v>
      </c>
      <c r="AE928" s="4">
        <v>25</v>
      </c>
      <c r="AF928" s="4">
        <v>10</v>
      </c>
      <c r="AG928" s="4">
        <v>10</v>
      </c>
      <c r="AH928" s="4">
        <v>7</v>
      </c>
      <c r="AI928" s="4">
        <v>7</v>
      </c>
      <c r="AJ928" s="4">
        <v>11</v>
      </c>
      <c r="AK928" s="4">
        <v>11</v>
      </c>
      <c r="AL928" s="4">
        <v>2</v>
      </c>
      <c r="AM928" s="4">
        <v>2</v>
      </c>
      <c r="AN928" s="4">
        <v>0</v>
      </c>
      <c r="AO928" s="4">
        <v>0</v>
      </c>
      <c r="AP928" s="3" t="s">
        <v>58</v>
      </c>
      <c r="AQ928" s="3" t="s">
        <v>68</v>
      </c>
      <c r="AR928" s="6" t="str">
        <f>HYPERLINK("http://catalog.hathitrust.org/Record/001249178","HathiTrust Record")</f>
        <v>HathiTrust Record</v>
      </c>
      <c r="AS928" s="6" t="str">
        <f>HYPERLINK("https://creighton-primo.hosted.exlibrisgroup.com/primo-explore/search?tab=default_tab&amp;search_scope=EVERYTHING&amp;vid=01CRU&amp;lang=en_US&amp;offset=0&amp;query=any,contains,991001230609702656","Catalog Record")</f>
        <v>Catalog Record</v>
      </c>
      <c r="AT928" s="6" t="str">
        <f>HYPERLINK("http://www.worldcat.org/oclc/203135","WorldCat Record")</f>
        <v>WorldCat Record</v>
      </c>
      <c r="AU928" s="3" t="s">
        <v>11825</v>
      </c>
      <c r="AV928" s="3" t="s">
        <v>11826</v>
      </c>
      <c r="AW928" s="3" t="s">
        <v>11827</v>
      </c>
      <c r="AX928" s="3" t="s">
        <v>11827</v>
      </c>
      <c r="AY928" s="3" t="s">
        <v>11828</v>
      </c>
      <c r="AZ928" s="3" t="s">
        <v>73</v>
      </c>
      <c r="BB928" s="3" t="s">
        <v>11829</v>
      </c>
      <c r="BC928" s="3" t="s">
        <v>11830</v>
      </c>
      <c r="BD928" s="3" t="s">
        <v>11831</v>
      </c>
    </row>
    <row r="929" spans="1:56" ht="51" customHeight="1" x14ac:dyDescent="0.25">
      <c r="A929" s="7" t="s">
        <v>58</v>
      </c>
      <c r="B929" s="2" t="s">
        <v>11832</v>
      </c>
      <c r="C929" s="2" t="s">
        <v>11833</v>
      </c>
      <c r="D929" s="2" t="s">
        <v>11834</v>
      </c>
      <c r="F929" s="3" t="s">
        <v>58</v>
      </c>
      <c r="G929" s="3" t="s">
        <v>59</v>
      </c>
      <c r="H929" s="3" t="s">
        <v>58</v>
      </c>
      <c r="I929" s="3" t="s">
        <v>58</v>
      </c>
      <c r="J929" s="3" t="s">
        <v>60</v>
      </c>
      <c r="K929" s="2" t="s">
        <v>11835</v>
      </c>
      <c r="L929" s="2" t="s">
        <v>11836</v>
      </c>
      <c r="M929" s="3" t="s">
        <v>397</v>
      </c>
      <c r="O929" s="3" t="s">
        <v>63</v>
      </c>
      <c r="P929" s="3" t="s">
        <v>354</v>
      </c>
      <c r="R929" s="3" t="s">
        <v>65</v>
      </c>
      <c r="S929" s="4">
        <v>4</v>
      </c>
      <c r="T929" s="4">
        <v>4</v>
      </c>
      <c r="U929" s="5" t="s">
        <v>11837</v>
      </c>
      <c r="V929" s="5" t="s">
        <v>11837</v>
      </c>
      <c r="W929" s="5" t="s">
        <v>11838</v>
      </c>
      <c r="X929" s="5" t="s">
        <v>11838</v>
      </c>
      <c r="Y929" s="4">
        <v>484</v>
      </c>
      <c r="Z929" s="4">
        <v>418</v>
      </c>
      <c r="AA929" s="4">
        <v>420</v>
      </c>
      <c r="AB929" s="4">
        <v>1</v>
      </c>
      <c r="AC929" s="4">
        <v>1</v>
      </c>
      <c r="AD929" s="4">
        <v>18</v>
      </c>
      <c r="AE929" s="4">
        <v>18</v>
      </c>
      <c r="AF929" s="4">
        <v>7</v>
      </c>
      <c r="AG929" s="4">
        <v>7</v>
      </c>
      <c r="AH929" s="4">
        <v>6</v>
      </c>
      <c r="AI929" s="4">
        <v>6</v>
      </c>
      <c r="AJ929" s="4">
        <v>11</v>
      </c>
      <c r="AK929" s="4">
        <v>11</v>
      </c>
      <c r="AL929" s="4">
        <v>0</v>
      </c>
      <c r="AM929" s="4">
        <v>0</v>
      </c>
      <c r="AN929" s="4">
        <v>0</v>
      </c>
      <c r="AO929" s="4">
        <v>0</v>
      </c>
      <c r="AP929" s="3" t="s">
        <v>58</v>
      </c>
      <c r="AQ929" s="3" t="s">
        <v>68</v>
      </c>
      <c r="AR929" s="6" t="str">
        <f>HYPERLINK("http://catalog.hathitrust.org/Record/000482628","HathiTrust Record")</f>
        <v>HathiTrust Record</v>
      </c>
      <c r="AS929" s="6" t="str">
        <f>HYPERLINK("https://creighton-primo.hosted.exlibrisgroup.com/primo-explore/search?tab=default_tab&amp;search_scope=EVERYTHING&amp;vid=01CRU&amp;lang=en_US&amp;offset=0&amp;query=any,contains,991000582739702656","Catalog Record")</f>
        <v>Catalog Record</v>
      </c>
      <c r="AT929" s="6" t="str">
        <f>HYPERLINK("http://www.worldcat.org/oclc/11754588","WorldCat Record")</f>
        <v>WorldCat Record</v>
      </c>
      <c r="AU929" s="3" t="s">
        <v>11839</v>
      </c>
      <c r="AV929" s="3" t="s">
        <v>11840</v>
      </c>
      <c r="AW929" s="3" t="s">
        <v>11841</v>
      </c>
      <c r="AX929" s="3" t="s">
        <v>11841</v>
      </c>
      <c r="AY929" s="3" t="s">
        <v>11842</v>
      </c>
      <c r="AZ929" s="3" t="s">
        <v>73</v>
      </c>
      <c r="BB929" s="3" t="s">
        <v>11843</v>
      </c>
      <c r="BC929" s="3" t="s">
        <v>11844</v>
      </c>
      <c r="BD929" s="3" t="s">
        <v>11845</v>
      </c>
    </row>
    <row r="930" spans="1:56" ht="51" customHeight="1" x14ac:dyDescent="0.25">
      <c r="A930" s="7" t="s">
        <v>58</v>
      </c>
      <c r="B930" s="2" t="s">
        <v>11846</v>
      </c>
      <c r="C930" s="2" t="s">
        <v>11847</v>
      </c>
      <c r="D930" s="2" t="s">
        <v>11848</v>
      </c>
      <c r="F930" s="3" t="s">
        <v>58</v>
      </c>
      <c r="G930" s="3" t="s">
        <v>59</v>
      </c>
      <c r="H930" s="3" t="s">
        <v>58</v>
      </c>
      <c r="I930" s="3" t="s">
        <v>58</v>
      </c>
      <c r="J930" s="3" t="s">
        <v>60</v>
      </c>
      <c r="K930" s="2" t="s">
        <v>11849</v>
      </c>
      <c r="L930" s="2" t="s">
        <v>11850</v>
      </c>
      <c r="M930" s="3" t="s">
        <v>1357</v>
      </c>
      <c r="N930" s="2" t="s">
        <v>11851</v>
      </c>
      <c r="O930" s="3" t="s">
        <v>63</v>
      </c>
      <c r="P930" s="3" t="s">
        <v>584</v>
      </c>
      <c r="R930" s="3" t="s">
        <v>65</v>
      </c>
      <c r="S930" s="4">
        <v>7</v>
      </c>
      <c r="T930" s="4">
        <v>7</v>
      </c>
      <c r="U930" s="5" t="s">
        <v>6500</v>
      </c>
      <c r="V930" s="5" t="s">
        <v>6500</v>
      </c>
      <c r="W930" s="5" t="s">
        <v>10968</v>
      </c>
      <c r="X930" s="5" t="s">
        <v>10968</v>
      </c>
      <c r="Y930" s="4">
        <v>901</v>
      </c>
      <c r="Z930" s="4">
        <v>701</v>
      </c>
      <c r="AA930" s="4">
        <v>1364</v>
      </c>
      <c r="AB930" s="4">
        <v>5</v>
      </c>
      <c r="AC930" s="4">
        <v>12</v>
      </c>
      <c r="AD930" s="4">
        <v>19</v>
      </c>
      <c r="AE930" s="4">
        <v>51</v>
      </c>
      <c r="AF930" s="4">
        <v>6</v>
      </c>
      <c r="AG930" s="4">
        <v>22</v>
      </c>
      <c r="AH930" s="4">
        <v>4</v>
      </c>
      <c r="AI930" s="4">
        <v>9</v>
      </c>
      <c r="AJ930" s="4">
        <v>10</v>
      </c>
      <c r="AK930" s="4">
        <v>23</v>
      </c>
      <c r="AL930" s="4">
        <v>4</v>
      </c>
      <c r="AM930" s="4">
        <v>10</v>
      </c>
      <c r="AN930" s="4">
        <v>0</v>
      </c>
      <c r="AO930" s="4">
        <v>0</v>
      </c>
      <c r="AP930" s="3" t="s">
        <v>58</v>
      </c>
      <c r="AQ930" s="3" t="s">
        <v>68</v>
      </c>
      <c r="AR930" s="6" t="str">
        <f>HYPERLINK("http://catalog.hathitrust.org/Record/001240404","HathiTrust Record")</f>
        <v>HathiTrust Record</v>
      </c>
      <c r="AS930" s="6" t="str">
        <f>HYPERLINK("https://creighton-primo.hosted.exlibrisgroup.com/primo-explore/search?tab=default_tab&amp;search_scope=EVERYTHING&amp;vid=01CRU&amp;lang=en_US&amp;offset=0&amp;query=any,contains,991000567499702656","Catalog Record")</f>
        <v>Catalog Record</v>
      </c>
      <c r="AT930" s="6" t="str">
        <f>HYPERLINK("http://www.worldcat.org/oclc/94509","WorldCat Record")</f>
        <v>WorldCat Record</v>
      </c>
      <c r="AU930" s="3" t="s">
        <v>11852</v>
      </c>
      <c r="AV930" s="3" t="s">
        <v>11853</v>
      </c>
      <c r="AW930" s="3" t="s">
        <v>11854</v>
      </c>
      <c r="AX930" s="3" t="s">
        <v>11854</v>
      </c>
      <c r="AY930" s="3" t="s">
        <v>11855</v>
      </c>
      <c r="AZ930" s="3" t="s">
        <v>73</v>
      </c>
      <c r="BC930" s="3" t="s">
        <v>11856</v>
      </c>
      <c r="BD930" s="3" t="s">
        <v>11857</v>
      </c>
    </row>
    <row r="931" spans="1:56" ht="51" customHeight="1" x14ac:dyDescent="0.25">
      <c r="A931" s="7" t="s">
        <v>58</v>
      </c>
      <c r="B931" s="2" t="s">
        <v>11858</v>
      </c>
      <c r="C931" s="2" t="s">
        <v>11859</v>
      </c>
      <c r="D931" s="2" t="s">
        <v>11860</v>
      </c>
      <c r="F931" s="3" t="s">
        <v>58</v>
      </c>
      <c r="G931" s="3" t="s">
        <v>59</v>
      </c>
      <c r="H931" s="3" t="s">
        <v>58</v>
      </c>
      <c r="I931" s="3" t="s">
        <v>58</v>
      </c>
      <c r="J931" s="3" t="s">
        <v>60</v>
      </c>
      <c r="K931" s="2" t="s">
        <v>9029</v>
      </c>
      <c r="L931" s="2" t="s">
        <v>11861</v>
      </c>
      <c r="M931" s="3" t="s">
        <v>368</v>
      </c>
      <c r="O931" s="3" t="s">
        <v>63</v>
      </c>
      <c r="P931" s="3" t="s">
        <v>214</v>
      </c>
      <c r="R931" s="3" t="s">
        <v>65</v>
      </c>
      <c r="S931" s="4">
        <v>1</v>
      </c>
      <c r="T931" s="4">
        <v>1</v>
      </c>
      <c r="U931" s="5" t="s">
        <v>6132</v>
      </c>
      <c r="V931" s="5" t="s">
        <v>6132</v>
      </c>
      <c r="W931" s="5" t="s">
        <v>67</v>
      </c>
      <c r="X931" s="5" t="s">
        <v>67</v>
      </c>
      <c r="Y931" s="4">
        <v>895</v>
      </c>
      <c r="Z931" s="4">
        <v>832</v>
      </c>
      <c r="AA931" s="4">
        <v>839</v>
      </c>
      <c r="AB931" s="4">
        <v>7</v>
      </c>
      <c r="AC931" s="4">
        <v>7</v>
      </c>
      <c r="AD931" s="4">
        <v>29</v>
      </c>
      <c r="AE931" s="4">
        <v>29</v>
      </c>
      <c r="AF931" s="4">
        <v>14</v>
      </c>
      <c r="AG931" s="4">
        <v>14</v>
      </c>
      <c r="AH931" s="4">
        <v>7</v>
      </c>
      <c r="AI931" s="4">
        <v>7</v>
      </c>
      <c r="AJ931" s="4">
        <v>11</v>
      </c>
      <c r="AK931" s="4">
        <v>11</v>
      </c>
      <c r="AL931" s="4">
        <v>4</v>
      </c>
      <c r="AM931" s="4">
        <v>4</v>
      </c>
      <c r="AN931" s="4">
        <v>1</v>
      </c>
      <c r="AO931" s="4">
        <v>1</v>
      </c>
      <c r="AP931" s="3" t="s">
        <v>58</v>
      </c>
      <c r="AQ931" s="3" t="s">
        <v>68</v>
      </c>
      <c r="AR931" s="6" t="str">
        <f>HYPERLINK("http://catalog.hathitrust.org/Record/000083016","HathiTrust Record")</f>
        <v>HathiTrust Record</v>
      </c>
      <c r="AS931" s="6" t="str">
        <f>HYPERLINK("https://creighton-primo.hosted.exlibrisgroup.com/primo-explore/search?tab=default_tab&amp;search_scope=EVERYTHING&amp;vid=01CRU&amp;lang=en_US&amp;offset=0&amp;query=any,contains,991004145319702656","Catalog Record")</f>
        <v>Catalog Record</v>
      </c>
      <c r="AT931" s="6" t="str">
        <f>HYPERLINK("http://www.worldcat.org/oclc/2508267","WorldCat Record")</f>
        <v>WorldCat Record</v>
      </c>
      <c r="AU931" s="3" t="s">
        <v>11862</v>
      </c>
      <c r="AV931" s="3" t="s">
        <v>11863</v>
      </c>
      <c r="AW931" s="3" t="s">
        <v>11864</v>
      </c>
      <c r="AX931" s="3" t="s">
        <v>11864</v>
      </c>
      <c r="AY931" s="3" t="s">
        <v>11865</v>
      </c>
      <c r="AZ931" s="3" t="s">
        <v>73</v>
      </c>
      <c r="BB931" s="3" t="s">
        <v>11866</v>
      </c>
      <c r="BC931" s="3" t="s">
        <v>11867</v>
      </c>
      <c r="BD931" s="3" t="s">
        <v>11868</v>
      </c>
    </row>
    <row r="932" spans="1:56" ht="51" customHeight="1" x14ac:dyDescent="0.25">
      <c r="A932" s="7" t="s">
        <v>58</v>
      </c>
      <c r="B932" s="2" t="s">
        <v>11869</v>
      </c>
      <c r="C932" s="2" t="s">
        <v>11870</v>
      </c>
      <c r="D932" s="2" t="s">
        <v>11871</v>
      </c>
      <c r="F932" s="3" t="s">
        <v>58</v>
      </c>
      <c r="G932" s="3" t="s">
        <v>59</v>
      </c>
      <c r="H932" s="3" t="s">
        <v>58</v>
      </c>
      <c r="I932" s="3" t="s">
        <v>58</v>
      </c>
      <c r="J932" s="3" t="s">
        <v>60</v>
      </c>
      <c r="K932" s="2" t="s">
        <v>11872</v>
      </c>
      <c r="L932" s="2" t="s">
        <v>11873</v>
      </c>
      <c r="M932" s="3" t="s">
        <v>1061</v>
      </c>
      <c r="O932" s="3" t="s">
        <v>63</v>
      </c>
      <c r="P932" s="3" t="s">
        <v>510</v>
      </c>
      <c r="R932" s="3" t="s">
        <v>65</v>
      </c>
      <c r="S932" s="4">
        <v>1</v>
      </c>
      <c r="T932" s="4">
        <v>1</v>
      </c>
      <c r="U932" s="5" t="s">
        <v>11874</v>
      </c>
      <c r="V932" s="5" t="s">
        <v>11874</v>
      </c>
      <c r="W932" s="5" t="s">
        <v>11875</v>
      </c>
      <c r="X932" s="5" t="s">
        <v>11875</v>
      </c>
      <c r="Y932" s="4">
        <v>239</v>
      </c>
      <c r="Z932" s="4">
        <v>190</v>
      </c>
      <c r="AA932" s="4">
        <v>695</v>
      </c>
      <c r="AB932" s="4">
        <v>4</v>
      </c>
      <c r="AC932" s="4">
        <v>18</v>
      </c>
      <c r="AD932" s="4">
        <v>12</v>
      </c>
      <c r="AE932" s="4">
        <v>24</v>
      </c>
      <c r="AF932" s="4">
        <v>2</v>
      </c>
      <c r="AG932" s="4">
        <v>6</v>
      </c>
      <c r="AH932" s="4">
        <v>2</v>
      </c>
      <c r="AI932" s="4">
        <v>2</v>
      </c>
      <c r="AJ932" s="4">
        <v>9</v>
      </c>
      <c r="AK932" s="4">
        <v>10</v>
      </c>
      <c r="AL932" s="4">
        <v>3</v>
      </c>
      <c r="AM932" s="4">
        <v>10</v>
      </c>
      <c r="AN932" s="4">
        <v>0</v>
      </c>
      <c r="AO932" s="4">
        <v>0</v>
      </c>
      <c r="AP932" s="3" t="s">
        <v>58</v>
      </c>
      <c r="AQ932" s="3" t="s">
        <v>68</v>
      </c>
      <c r="AR932" s="6" t="str">
        <f>HYPERLINK("http://catalog.hathitrust.org/Record/003168062","HathiTrust Record")</f>
        <v>HathiTrust Record</v>
      </c>
      <c r="AS932" s="6" t="str">
        <f>HYPERLINK("https://creighton-primo.hosted.exlibrisgroup.com/primo-explore/search?tab=default_tab&amp;search_scope=EVERYTHING&amp;vid=01CRU&amp;lang=en_US&amp;offset=0&amp;query=any,contains,991002702579702656","Catalog Record")</f>
        <v>Catalog Record</v>
      </c>
      <c r="AT932" s="6" t="str">
        <f>HYPERLINK("http://www.worldcat.org/oclc/35285394","WorldCat Record")</f>
        <v>WorldCat Record</v>
      </c>
      <c r="AU932" s="3" t="s">
        <v>11876</v>
      </c>
      <c r="AV932" s="3" t="s">
        <v>11877</v>
      </c>
      <c r="AW932" s="3" t="s">
        <v>11878</v>
      </c>
      <c r="AX932" s="3" t="s">
        <v>11878</v>
      </c>
      <c r="AY932" s="3" t="s">
        <v>11879</v>
      </c>
      <c r="AZ932" s="3" t="s">
        <v>73</v>
      </c>
      <c r="BB932" s="3" t="s">
        <v>11880</v>
      </c>
      <c r="BC932" s="3" t="s">
        <v>11881</v>
      </c>
      <c r="BD932" s="3" t="s">
        <v>11882</v>
      </c>
    </row>
    <row r="933" spans="1:56" ht="51" customHeight="1" x14ac:dyDescent="0.25">
      <c r="A933" s="7" t="s">
        <v>58</v>
      </c>
      <c r="B933" s="2" t="s">
        <v>11883</v>
      </c>
      <c r="C933" s="2" t="s">
        <v>11884</v>
      </c>
      <c r="D933" s="2" t="s">
        <v>11885</v>
      </c>
      <c r="F933" s="3" t="s">
        <v>58</v>
      </c>
      <c r="G933" s="3" t="s">
        <v>59</v>
      </c>
      <c r="H933" s="3" t="s">
        <v>58</v>
      </c>
      <c r="I933" s="3" t="s">
        <v>58</v>
      </c>
      <c r="J933" s="3" t="s">
        <v>60</v>
      </c>
      <c r="K933" s="2" t="s">
        <v>11886</v>
      </c>
      <c r="L933" s="2" t="s">
        <v>11887</v>
      </c>
      <c r="M933" s="3" t="s">
        <v>353</v>
      </c>
      <c r="O933" s="3" t="s">
        <v>63</v>
      </c>
      <c r="P933" s="3" t="s">
        <v>1584</v>
      </c>
      <c r="Q933" s="2" t="s">
        <v>11888</v>
      </c>
      <c r="R933" s="3" t="s">
        <v>65</v>
      </c>
      <c r="S933" s="4">
        <v>4</v>
      </c>
      <c r="T933" s="4">
        <v>4</v>
      </c>
      <c r="U933" s="5" t="s">
        <v>11518</v>
      </c>
      <c r="V933" s="5" t="s">
        <v>11518</v>
      </c>
      <c r="W933" s="5" t="s">
        <v>5488</v>
      </c>
      <c r="X933" s="5" t="s">
        <v>5488</v>
      </c>
      <c r="Y933" s="4">
        <v>830</v>
      </c>
      <c r="Z933" s="4">
        <v>756</v>
      </c>
      <c r="AA933" s="4">
        <v>771</v>
      </c>
      <c r="AB933" s="4">
        <v>4</v>
      </c>
      <c r="AC933" s="4">
        <v>4</v>
      </c>
      <c r="AD933" s="4">
        <v>18</v>
      </c>
      <c r="AE933" s="4">
        <v>19</v>
      </c>
      <c r="AF933" s="4">
        <v>6</v>
      </c>
      <c r="AG933" s="4">
        <v>7</v>
      </c>
      <c r="AH933" s="4">
        <v>7</v>
      </c>
      <c r="AI933" s="4">
        <v>7</v>
      </c>
      <c r="AJ933" s="4">
        <v>9</v>
      </c>
      <c r="AK933" s="4">
        <v>9</v>
      </c>
      <c r="AL933" s="4">
        <v>2</v>
      </c>
      <c r="AM933" s="4">
        <v>2</v>
      </c>
      <c r="AN933" s="4">
        <v>0</v>
      </c>
      <c r="AO933" s="4">
        <v>0</v>
      </c>
      <c r="AP933" s="3" t="s">
        <v>58</v>
      </c>
      <c r="AQ933" s="3" t="s">
        <v>68</v>
      </c>
      <c r="AR933" s="6" t="str">
        <f>HYPERLINK("http://catalog.hathitrust.org/Record/000858434","HathiTrust Record")</f>
        <v>HathiTrust Record</v>
      </c>
      <c r="AS933" s="6" t="str">
        <f>HYPERLINK("https://creighton-primo.hosted.exlibrisgroup.com/primo-explore/search?tab=default_tab&amp;search_scope=EVERYTHING&amp;vid=01CRU&amp;lang=en_US&amp;offset=0&amp;query=any,contains,991001116829702656","Catalog Record")</f>
        <v>Catalog Record</v>
      </c>
      <c r="AT933" s="6" t="str">
        <f>HYPERLINK("http://www.worldcat.org/oclc/16527254","WorldCat Record")</f>
        <v>WorldCat Record</v>
      </c>
      <c r="AU933" s="3" t="s">
        <v>11889</v>
      </c>
      <c r="AV933" s="3" t="s">
        <v>11890</v>
      </c>
      <c r="AW933" s="3" t="s">
        <v>11891</v>
      </c>
      <c r="AX933" s="3" t="s">
        <v>11891</v>
      </c>
      <c r="AY933" s="3" t="s">
        <v>11892</v>
      </c>
      <c r="AZ933" s="3" t="s">
        <v>73</v>
      </c>
      <c r="BB933" s="3" t="s">
        <v>11893</v>
      </c>
      <c r="BC933" s="3" t="s">
        <v>11894</v>
      </c>
      <c r="BD933" s="3" t="s">
        <v>11895</v>
      </c>
    </row>
    <row r="934" spans="1:56" ht="51" customHeight="1" x14ac:dyDescent="0.25">
      <c r="A934" s="7" t="s">
        <v>58</v>
      </c>
      <c r="B934" s="2" t="s">
        <v>11896</v>
      </c>
      <c r="C934" s="2" t="s">
        <v>11897</v>
      </c>
      <c r="D934" s="2" t="s">
        <v>11898</v>
      </c>
      <c r="F934" s="3" t="s">
        <v>58</v>
      </c>
      <c r="G934" s="3" t="s">
        <v>59</v>
      </c>
      <c r="H934" s="3" t="s">
        <v>58</v>
      </c>
      <c r="I934" s="3" t="s">
        <v>58</v>
      </c>
      <c r="J934" s="3" t="s">
        <v>60</v>
      </c>
      <c r="K934" s="2" t="s">
        <v>11899</v>
      </c>
      <c r="L934" s="2" t="s">
        <v>11900</v>
      </c>
      <c r="M934" s="3" t="s">
        <v>552</v>
      </c>
      <c r="N934" s="2" t="s">
        <v>338</v>
      </c>
      <c r="O934" s="3" t="s">
        <v>63</v>
      </c>
      <c r="P934" s="3" t="s">
        <v>214</v>
      </c>
      <c r="R934" s="3" t="s">
        <v>65</v>
      </c>
      <c r="S934" s="4">
        <v>2</v>
      </c>
      <c r="T934" s="4">
        <v>2</v>
      </c>
      <c r="U934" s="5" t="s">
        <v>11901</v>
      </c>
      <c r="V934" s="5" t="s">
        <v>11901</v>
      </c>
      <c r="W934" s="5" t="s">
        <v>11902</v>
      </c>
      <c r="X934" s="5" t="s">
        <v>11902</v>
      </c>
      <c r="Y934" s="4">
        <v>706</v>
      </c>
      <c r="Z934" s="4">
        <v>660</v>
      </c>
      <c r="AA934" s="4">
        <v>914</v>
      </c>
      <c r="AB934" s="4">
        <v>3</v>
      </c>
      <c r="AC934" s="4">
        <v>6</v>
      </c>
      <c r="AD934" s="4">
        <v>19</v>
      </c>
      <c r="AE934" s="4">
        <v>27</v>
      </c>
      <c r="AF934" s="4">
        <v>8</v>
      </c>
      <c r="AG934" s="4">
        <v>12</v>
      </c>
      <c r="AH934" s="4">
        <v>5</v>
      </c>
      <c r="AI934" s="4">
        <v>6</v>
      </c>
      <c r="AJ934" s="4">
        <v>8</v>
      </c>
      <c r="AK934" s="4">
        <v>11</v>
      </c>
      <c r="AL934" s="4">
        <v>2</v>
      </c>
      <c r="AM934" s="4">
        <v>4</v>
      </c>
      <c r="AN934" s="4">
        <v>0</v>
      </c>
      <c r="AO934" s="4">
        <v>0</v>
      </c>
      <c r="AP934" s="3" t="s">
        <v>58</v>
      </c>
      <c r="AQ934" s="3" t="s">
        <v>58</v>
      </c>
      <c r="AS934" s="6" t="str">
        <f>HYPERLINK("https://creighton-primo.hosted.exlibrisgroup.com/primo-explore/search?tab=default_tab&amp;search_scope=EVERYTHING&amp;vid=01CRU&amp;lang=en_US&amp;offset=0&amp;query=any,contains,991001741189702656","Catalog Record")</f>
        <v>Catalog Record</v>
      </c>
      <c r="AT934" s="6" t="str">
        <f>HYPERLINK("http://www.worldcat.org/oclc/22004854","WorldCat Record")</f>
        <v>WorldCat Record</v>
      </c>
      <c r="AU934" s="3" t="s">
        <v>11903</v>
      </c>
      <c r="AV934" s="3" t="s">
        <v>11904</v>
      </c>
      <c r="AW934" s="3" t="s">
        <v>11905</v>
      </c>
      <c r="AX934" s="3" t="s">
        <v>11905</v>
      </c>
      <c r="AY934" s="3" t="s">
        <v>11906</v>
      </c>
      <c r="AZ934" s="3" t="s">
        <v>73</v>
      </c>
      <c r="BB934" s="3" t="s">
        <v>11907</v>
      </c>
      <c r="BC934" s="3" t="s">
        <v>11908</v>
      </c>
      <c r="BD934" s="3" t="s">
        <v>11909</v>
      </c>
    </row>
    <row r="935" spans="1:56" ht="51" customHeight="1" x14ac:dyDescent="0.25">
      <c r="A935" s="7" t="s">
        <v>58</v>
      </c>
      <c r="B935" s="2" t="s">
        <v>11910</v>
      </c>
      <c r="C935" s="2" t="s">
        <v>11911</v>
      </c>
      <c r="D935" s="2" t="s">
        <v>11912</v>
      </c>
      <c r="F935" s="3" t="s">
        <v>58</v>
      </c>
      <c r="G935" s="3" t="s">
        <v>59</v>
      </c>
      <c r="H935" s="3" t="s">
        <v>58</v>
      </c>
      <c r="I935" s="3" t="s">
        <v>58</v>
      </c>
      <c r="J935" s="3" t="s">
        <v>60</v>
      </c>
      <c r="K935" s="2" t="s">
        <v>10885</v>
      </c>
      <c r="L935" s="2" t="s">
        <v>11913</v>
      </c>
      <c r="M935" s="3" t="s">
        <v>138</v>
      </c>
      <c r="O935" s="3" t="s">
        <v>63</v>
      </c>
      <c r="P935" s="3" t="s">
        <v>214</v>
      </c>
      <c r="R935" s="3" t="s">
        <v>65</v>
      </c>
      <c r="S935" s="4">
        <v>1</v>
      </c>
      <c r="T935" s="4">
        <v>1</v>
      </c>
      <c r="U935" s="5" t="s">
        <v>11901</v>
      </c>
      <c r="V935" s="5" t="s">
        <v>11901</v>
      </c>
      <c r="W935" s="5" t="s">
        <v>5488</v>
      </c>
      <c r="X935" s="5" t="s">
        <v>5488</v>
      </c>
      <c r="Y935" s="4">
        <v>517</v>
      </c>
      <c r="Z935" s="4">
        <v>443</v>
      </c>
      <c r="AA935" s="4">
        <v>450</v>
      </c>
      <c r="AB935" s="4">
        <v>2</v>
      </c>
      <c r="AC935" s="4">
        <v>2</v>
      </c>
      <c r="AD935" s="4">
        <v>17</v>
      </c>
      <c r="AE935" s="4">
        <v>17</v>
      </c>
      <c r="AF935" s="4">
        <v>7</v>
      </c>
      <c r="AG935" s="4">
        <v>7</v>
      </c>
      <c r="AH935" s="4">
        <v>4</v>
      </c>
      <c r="AI935" s="4">
        <v>4</v>
      </c>
      <c r="AJ935" s="4">
        <v>10</v>
      </c>
      <c r="AK935" s="4">
        <v>10</v>
      </c>
      <c r="AL935" s="4">
        <v>1</v>
      </c>
      <c r="AM935" s="4">
        <v>1</v>
      </c>
      <c r="AN935" s="4">
        <v>0</v>
      </c>
      <c r="AO935" s="4">
        <v>0</v>
      </c>
      <c r="AP935" s="3" t="s">
        <v>58</v>
      </c>
      <c r="AQ935" s="3" t="s">
        <v>68</v>
      </c>
      <c r="AR935" s="6" t="str">
        <f>HYPERLINK("http://catalog.hathitrust.org/Record/000187359","HathiTrust Record")</f>
        <v>HathiTrust Record</v>
      </c>
      <c r="AS935" s="6" t="str">
        <f>HYPERLINK("https://creighton-primo.hosted.exlibrisgroup.com/primo-explore/search?tab=default_tab&amp;search_scope=EVERYTHING&amp;vid=01CRU&amp;lang=en_US&amp;offset=0&amp;query=any,contains,991005197949702656","Catalog Record")</f>
        <v>Catalog Record</v>
      </c>
      <c r="AT935" s="6" t="str">
        <f>HYPERLINK("http://www.worldcat.org/oclc/8052460","WorldCat Record")</f>
        <v>WorldCat Record</v>
      </c>
      <c r="AU935" s="3" t="s">
        <v>11914</v>
      </c>
      <c r="AV935" s="3" t="s">
        <v>11915</v>
      </c>
      <c r="AW935" s="3" t="s">
        <v>11916</v>
      </c>
      <c r="AX935" s="3" t="s">
        <v>11916</v>
      </c>
      <c r="AY935" s="3" t="s">
        <v>11917</v>
      </c>
      <c r="AZ935" s="3" t="s">
        <v>73</v>
      </c>
      <c r="BB935" s="3" t="s">
        <v>11918</v>
      </c>
      <c r="BC935" s="3" t="s">
        <v>11919</v>
      </c>
      <c r="BD935" s="3" t="s">
        <v>11920</v>
      </c>
    </row>
    <row r="936" spans="1:56" ht="51" customHeight="1" x14ac:dyDescent="0.25">
      <c r="A936" s="7" t="s">
        <v>58</v>
      </c>
      <c r="B936" s="2" t="s">
        <v>11921</v>
      </c>
      <c r="C936" s="2" t="s">
        <v>11922</v>
      </c>
      <c r="D936" s="2" t="s">
        <v>11923</v>
      </c>
      <c r="F936" s="3" t="s">
        <v>58</v>
      </c>
      <c r="G936" s="3" t="s">
        <v>59</v>
      </c>
      <c r="H936" s="3" t="s">
        <v>58</v>
      </c>
      <c r="I936" s="3" t="s">
        <v>58</v>
      </c>
      <c r="J936" s="3" t="s">
        <v>60</v>
      </c>
      <c r="K936" s="2" t="s">
        <v>11924</v>
      </c>
      <c r="L936" s="2" t="s">
        <v>11925</v>
      </c>
      <c r="M936" s="3" t="s">
        <v>196</v>
      </c>
      <c r="O936" s="3" t="s">
        <v>63</v>
      </c>
      <c r="P936" s="3" t="s">
        <v>451</v>
      </c>
      <c r="R936" s="3" t="s">
        <v>65</v>
      </c>
      <c r="S936" s="4">
        <v>3</v>
      </c>
      <c r="T936" s="4">
        <v>3</v>
      </c>
      <c r="U936" s="5" t="s">
        <v>11926</v>
      </c>
      <c r="V936" s="5" t="s">
        <v>11926</v>
      </c>
      <c r="W936" s="5" t="s">
        <v>11927</v>
      </c>
      <c r="X936" s="5" t="s">
        <v>11927</v>
      </c>
      <c r="Y936" s="4">
        <v>204</v>
      </c>
      <c r="Z936" s="4">
        <v>180</v>
      </c>
      <c r="AA936" s="4">
        <v>184</v>
      </c>
      <c r="AB936" s="4">
        <v>3</v>
      </c>
      <c r="AC936" s="4">
        <v>3</v>
      </c>
      <c r="AD936" s="4">
        <v>12</v>
      </c>
      <c r="AE936" s="4">
        <v>12</v>
      </c>
      <c r="AF936" s="4">
        <v>1</v>
      </c>
      <c r="AG936" s="4">
        <v>1</v>
      </c>
      <c r="AH936" s="4">
        <v>4</v>
      </c>
      <c r="AI936" s="4">
        <v>4</v>
      </c>
      <c r="AJ936" s="4">
        <v>7</v>
      </c>
      <c r="AK936" s="4">
        <v>7</v>
      </c>
      <c r="AL936" s="4">
        <v>2</v>
      </c>
      <c r="AM936" s="4">
        <v>2</v>
      </c>
      <c r="AN936" s="4">
        <v>1</v>
      </c>
      <c r="AO936" s="4">
        <v>1</v>
      </c>
      <c r="AP936" s="3" t="s">
        <v>58</v>
      </c>
      <c r="AQ936" s="3" t="s">
        <v>68</v>
      </c>
      <c r="AR936" s="6" t="str">
        <f>HYPERLINK("http://catalog.hathitrust.org/Record/003177840","HathiTrust Record")</f>
        <v>HathiTrust Record</v>
      </c>
      <c r="AS936" s="6" t="str">
        <f>HYPERLINK("https://creighton-primo.hosted.exlibrisgroup.com/primo-explore/search?tab=default_tab&amp;search_scope=EVERYTHING&amp;vid=01CRU&amp;lang=en_US&amp;offset=0&amp;query=any,contains,991002610699702656","Catalog Record")</f>
        <v>Catalog Record</v>
      </c>
      <c r="AT936" s="6" t="str">
        <f>HYPERLINK("http://www.worldcat.org/oclc/34192814","WorldCat Record")</f>
        <v>WorldCat Record</v>
      </c>
      <c r="AU936" s="3" t="s">
        <v>11928</v>
      </c>
      <c r="AV936" s="3" t="s">
        <v>11929</v>
      </c>
      <c r="AW936" s="3" t="s">
        <v>11930</v>
      </c>
      <c r="AX936" s="3" t="s">
        <v>11930</v>
      </c>
      <c r="AY936" s="3" t="s">
        <v>11931</v>
      </c>
      <c r="AZ936" s="3" t="s">
        <v>73</v>
      </c>
      <c r="BB936" s="3" t="s">
        <v>11932</v>
      </c>
      <c r="BC936" s="3" t="s">
        <v>11933</v>
      </c>
      <c r="BD936" s="3" t="s">
        <v>11934</v>
      </c>
    </row>
    <row r="937" spans="1:56" ht="51" customHeight="1" x14ac:dyDescent="0.25">
      <c r="A937" s="7" t="s">
        <v>58</v>
      </c>
      <c r="B937" s="2" t="s">
        <v>11935</v>
      </c>
      <c r="C937" s="2" t="s">
        <v>11936</v>
      </c>
      <c r="D937" s="2" t="s">
        <v>11937</v>
      </c>
      <c r="F937" s="3" t="s">
        <v>58</v>
      </c>
      <c r="G937" s="3" t="s">
        <v>59</v>
      </c>
      <c r="H937" s="3" t="s">
        <v>58</v>
      </c>
      <c r="I937" s="3" t="s">
        <v>58</v>
      </c>
      <c r="J937" s="3" t="s">
        <v>60</v>
      </c>
      <c r="K937" s="2" t="s">
        <v>11938</v>
      </c>
      <c r="L937" s="2" t="s">
        <v>11939</v>
      </c>
      <c r="M937" s="3" t="s">
        <v>1091</v>
      </c>
      <c r="O937" s="3" t="s">
        <v>63</v>
      </c>
      <c r="P937" s="3" t="s">
        <v>584</v>
      </c>
      <c r="R937" s="3" t="s">
        <v>65</v>
      </c>
      <c r="S937" s="4">
        <v>8</v>
      </c>
      <c r="T937" s="4">
        <v>8</v>
      </c>
      <c r="U937" s="5" t="s">
        <v>11493</v>
      </c>
      <c r="V937" s="5" t="s">
        <v>11493</v>
      </c>
      <c r="W937" s="5" t="s">
        <v>11940</v>
      </c>
      <c r="X937" s="5" t="s">
        <v>11940</v>
      </c>
      <c r="Y937" s="4">
        <v>776</v>
      </c>
      <c r="Z937" s="4">
        <v>690</v>
      </c>
      <c r="AA937" s="4">
        <v>1676</v>
      </c>
      <c r="AB937" s="4">
        <v>6</v>
      </c>
      <c r="AC937" s="4">
        <v>12</v>
      </c>
      <c r="AD937" s="4">
        <v>18</v>
      </c>
      <c r="AE937" s="4">
        <v>45</v>
      </c>
      <c r="AF937" s="4">
        <v>9</v>
      </c>
      <c r="AG937" s="4">
        <v>18</v>
      </c>
      <c r="AH937" s="4">
        <v>3</v>
      </c>
      <c r="AI937" s="4">
        <v>8</v>
      </c>
      <c r="AJ937" s="4">
        <v>8</v>
      </c>
      <c r="AK937" s="4">
        <v>19</v>
      </c>
      <c r="AL937" s="4">
        <v>2</v>
      </c>
      <c r="AM937" s="4">
        <v>8</v>
      </c>
      <c r="AN937" s="4">
        <v>0</v>
      </c>
      <c r="AO937" s="4">
        <v>1</v>
      </c>
      <c r="AP937" s="3" t="s">
        <v>58</v>
      </c>
      <c r="AQ937" s="3" t="s">
        <v>58</v>
      </c>
      <c r="AS937" s="6" t="str">
        <f>HYPERLINK("https://creighton-primo.hosted.exlibrisgroup.com/primo-explore/search?tab=default_tab&amp;search_scope=EVERYTHING&amp;vid=01CRU&amp;lang=en_US&amp;offset=0&amp;query=any,contains,991003628529702656","Catalog Record")</f>
        <v>Catalog Record</v>
      </c>
      <c r="AT937" s="6" t="str">
        <f>HYPERLINK("http://www.worldcat.org/oclc/45791314","WorldCat Record")</f>
        <v>WorldCat Record</v>
      </c>
      <c r="AU937" s="3" t="s">
        <v>11941</v>
      </c>
      <c r="AV937" s="3" t="s">
        <v>11942</v>
      </c>
      <c r="AW937" s="3" t="s">
        <v>11943</v>
      </c>
      <c r="AX937" s="3" t="s">
        <v>11943</v>
      </c>
      <c r="AY937" s="3" t="s">
        <v>11944</v>
      </c>
      <c r="AZ937" s="3" t="s">
        <v>73</v>
      </c>
      <c r="BB937" s="3" t="s">
        <v>11945</v>
      </c>
      <c r="BC937" s="3" t="s">
        <v>11946</v>
      </c>
      <c r="BD937" s="3" t="s">
        <v>11947</v>
      </c>
    </row>
    <row r="938" spans="1:56" ht="51" customHeight="1" x14ac:dyDescent="0.25">
      <c r="A938" s="7" t="s">
        <v>58</v>
      </c>
      <c r="B938" s="2" t="s">
        <v>11948</v>
      </c>
      <c r="C938" s="2" t="s">
        <v>11949</v>
      </c>
      <c r="D938" s="2" t="s">
        <v>11950</v>
      </c>
      <c r="F938" s="3" t="s">
        <v>58</v>
      </c>
      <c r="G938" s="3" t="s">
        <v>59</v>
      </c>
      <c r="H938" s="3" t="s">
        <v>58</v>
      </c>
      <c r="I938" s="3" t="s">
        <v>58</v>
      </c>
      <c r="J938" s="3" t="s">
        <v>60</v>
      </c>
      <c r="K938" s="2" t="s">
        <v>11951</v>
      </c>
      <c r="L938" s="2" t="s">
        <v>11952</v>
      </c>
      <c r="M938" s="3" t="s">
        <v>1091</v>
      </c>
      <c r="N938" s="2" t="s">
        <v>11953</v>
      </c>
      <c r="O938" s="3" t="s">
        <v>63</v>
      </c>
      <c r="P938" s="3" t="s">
        <v>214</v>
      </c>
      <c r="R938" s="3" t="s">
        <v>65</v>
      </c>
      <c r="S938" s="4">
        <v>1</v>
      </c>
      <c r="T938" s="4">
        <v>1</v>
      </c>
      <c r="U938" s="5" t="s">
        <v>5446</v>
      </c>
      <c r="V938" s="5" t="s">
        <v>5446</v>
      </c>
      <c r="W938" s="5" t="s">
        <v>5446</v>
      </c>
      <c r="X938" s="5" t="s">
        <v>5446</v>
      </c>
      <c r="Y938" s="4">
        <v>595</v>
      </c>
      <c r="Z938" s="4">
        <v>512</v>
      </c>
      <c r="AA938" s="4">
        <v>537</v>
      </c>
      <c r="AB938" s="4">
        <v>3</v>
      </c>
      <c r="AC938" s="4">
        <v>3</v>
      </c>
      <c r="AD938" s="4">
        <v>15</v>
      </c>
      <c r="AE938" s="4">
        <v>15</v>
      </c>
      <c r="AF938" s="4">
        <v>6</v>
      </c>
      <c r="AG938" s="4">
        <v>6</v>
      </c>
      <c r="AH938" s="4">
        <v>3</v>
      </c>
      <c r="AI938" s="4">
        <v>3</v>
      </c>
      <c r="AJ938" s="4">
        <v>11</v>
      </c>
      <c r="AK938" s="4">
        <v>11</v>
      </c>
      <c r="AL938" s="4">
        <v>2</v>
      </c>
      <c r="AM938" s="4">
        <v>2</v>
      </c>
      <c r="AN938" s="4">
        <v>0</v>
      </c>
      <c r="AO938" s="4">
        <v>0</v>
      </c>
      <c r="AP938" s="3" t="s">
        <v>58</v>
      </c>
      <c r="AQ938" s="3" t="s">
        <v>58</v>
      </c>
      <c r="AS938" s="6" t="str">
        <f>HYPERLINK("https://creighton-primo.hosted.exlibrisgroup.com/primo-explore/search?tab=default_tab&amp;search_scope=EVERYTHING&amp;vid=01CRU&amp;lang=en_US&amp;offset=0&amp;query=any,contains,991005226569702656","Catalog Record")</f>
        <v>Catalog Record</v>
      </c>
      <c r="AT938" s="6" t="str">
        <f>HYPERLINK("http://www.worldcat.org/oclc/48367823","WorldCat Record")</f>
        <v>WorldCat Record</v>
      </c>
      <c r="AU938" s="3" t="s">
        <v>11954</v>
      </c>
      <c r="AV938" s="3" t="s">
        <v>11955</v>
      </c>
      <c r="AW938" s="3" t="s">
        <v>11956</v>
      </c>
      <c r="AX938" s="3" t="s">
        <v>11956</v>
      </c>
      <c r="AY938" s="3" t="s">
        <v>11957</v>
      </c>
      <c r="AZ938" s="3" t="s">
        <v>73</v>
      </c>
      <c r="BB938" s="3" t="s">
        <v>11958</v>
      </c>
      <c r="BC938" s="3" t="s">
        <v>11959</v>
      </c>
      <c r="BD938" s="3" t="s">
        <v>11960</v>
      </c>
    </row>
    <row r="939" spans="1:56" ht="51" customHeight="1" x14ac:dyDescent="0.25">
      <c r="A939" s="7" t="s">
        <v>58</v>
      </c>
      <c r="B939" s="2" t="s">
        <v>11961</v>
      </c>
      <c r="C939" s="2" t="s">
        <v>11962</v>
      </c>
      <c r="D939" s="2" t="s">
        <v>11963</v>
      </c>
      <c r="F939" s="3" t="s">
        <v>58</v>
      </c>
      <c r="G939" s="3" t="s">
        <v>59</v>
      </c>
      <c r="H939" s="3" t="s">
        <v>58</v>
      </c>
      <c r="I939" s="3" t="s">
        <v>58</v>
      </c>
      <c r="J939" s="3" t="s">
        <v>60</v>
      </c>
      <c r="K939" s="2" t="s">
        <v>11964</v>
      </c>
      <c r="L939" s="2" t="s">
        <v>11965</v>
      </c>
      <c r="M939" s="3" t="s">
        <v>353</v>
      </c>
      <c r="N939" s="2" t="s">
        <v>6830</v>
      </c>
      <c r="O939" s="3" t="s">
        <v>63</v>
      </c>
      <c r="P939" s="3" t="s">
        <v>214</v>
      </c>
      <c r="R939" s="3" t="s">
        <v>65</v>
      </c>
      <c r="S939" s="4">
        <v>8</v>
      </c>
      <c r="T939" s="4">
        <v>8</v>
      </c>
      <c r="U939" s="5" t="s">
        <v>7605</v>
      </c>
      <c r="V939" s="5" t="s">
        <v>7605</v>
      </c>
      <c r="W939" s="5" t="s">
        <v>5488</v>
      </c>
      <c r="X939" s="5" t="s">
        <v>5488</v>
      </c>
      <c r="Y939" s="4">
        <v>476</v>
      </c>
      <c r="Z939" s="4">
        <v>432</v>
      </c>
      <c r="AA939" s="4">
        <v>457</v>
      </c>
      <c r="AB939" s="4">
        <v>2</v>
      </c>
      <c r="AC939" s="4">
        <v>2</v>
      </c>
      <c r="AD939" s="4">
        <v>16</v>
      </c>
      <c r="AE939" s="4">
        <v>16</v>
      </c>
      <c r="AF939" s="4">
        <v>6</v>
      </c>
      <c r="AG939" s="4">
        <v>6</v>
      </c>
      <c r="AH939" s="4">
        <v>6</v>
      </c>
      <c r="AI939" s="4">
        <v>6</v>
      </c>
      <c r="AJ939" s="4">
        <v>9</v>
      </c>
      <c r="AK939" s="4">
        <v>9</v>
      </c>
      <c r="AL939" s="4">
        <v>1</v>
      </c>
      <c r="AM939" s="4">
        <v>1</v>
      </c>
      <c r="AN939" s="4">
        <v>0</v>
      </c>
      <c r="AO939" s="4">
        <v>0</v>
      </c>
      <c r="AP939" s="3" t="s">
        <v>58</v>
      </c>
      <c r="AQ939" s="3" t="s">
        <v>68</v>
      </c>
      <c r="AR939" s="6" t="str">
        <f>HYPERLINK("http://catalog.hathitrust.org/Record/000845199","HathiTrust Record")</f>
        <v>HathiTrust Record</v>
      </c>
      <c r="AS939" s="6" t="str">
        <f>HYPERLINK("https://creighton-primo.hosted.exlibrisgroup.com/primo-explore/search?tab=default_tab&amp;search_scope=EVERYTHING&amp;vid=01CRU&amp;lang=en_US&amp;offset=0&amp;query=any,contains,991001015149702656","Catalog Record")</f>
        <v>Catalog Record</v>
      </c>
      <c r="AT939" s="6" t="str">
        <f>HYPERLINK("http://www.worldcat.org/oclc/15316973","WorldCat Record")</f>
        <v>WorldCat Record</v>
      </c>
      <c r="AU939" s="3" t="s">
        <v>11966</v>
      </c>
      <c r="AV939" s="3" t="s">
        <v>11967</v>
      </c>
      <c r="AW939" s="3" t="s">
        <v>11968</v>
      </c>
      <c r="AX939" s="3" t="s">
        <v>11968</v>
      </c>
      <c r="AY939" s="3" t="s">
        <v>11969</v>
      </c>
      <c r="AZ939" s="3" t="s">
        <v>73</v>
      </c>
      <c r="BB939" s="3" t="s">
        <v>11970</v>
      </c>
      <c r="BC939" s="3" t="s">
        <v>11971</v>
      </c>
      <c r="BD939" s="3" t="s">
        <v>11972</v>
      </c>
    </row>
    <row r="940" spans="1:56" ht="51" customHeight="1" x14ac:dyDescent="0.25">
      <c r="A940" s="7" t="s">
        <v>58</v>
      </c>
      <c r="B940" s="2" t="s">
        <v>11973</v>
      </c>
      <c r="C940" s="2" t="s">
        <v>11974</v>
      </c>
      <c r="D940" s="2" t="s">
        <v>11975</v>
      </c>
      <c r="F940" s="3" t="s">
        <v>58</v>
      </c>
      <c r="G940" s="3" t="s">
        <v>59</v>
      </c>
      <c r="H940" s="3" t="s">
        <v>58</v>
      </c>
      <c r="I940" s="3" t="s">
        <v>58</v>
      </c>
      <c r="J940" s="3" t="s">
        <v>60</v>
      </c>
      <c r="K940" s="2" t="s">
        <v>11976</v>
      </c>
      <c r="L940" s="2" t="s">
        <v>11977</v>
      </c>
      <c r="M940" s="3" t="s">
        <v>337</v>
      </c>
      <c r="N940" s="2" t="s">
        <v>11978</v>
      </c>
      <c r="O940" s="3" t="s">
        <v>63</v>
      </c>
      <c r="P940" s="3" t="s">
        <v>2630</v>
      </c>
      <c r="Q940" s="2" t="s">
        <v>11979</v>
      </c>
      <c r="R940" s="3" t="s">
        <v>65</v>
      </c>
      <c r="S940" s="4">
        <v>5</v>
      </c>
      <c r="T940" s="4">
        <v>5</v>
      </c>
      <c r="U940" s="5" t="s">
        <v>11469</v>
      </c>
      <c r="V940" s="5" t="s">
        <v>11469</v>
      </c>
      <c r="W940" s="5" t="s">
        <v>3788</v>
      </c>
      <c r="X940" s="5" t="s">
        <v>3788</v>
      </c>
      <c r="Y940" s="4">
        <v>322</v>
      </c>
      <c r="Z940" s="4">
        <v>279</v>
      </c>
      <c r="AA940" s="4">
        <v>943</v>
      </c>
      <c r="AB940" s="4">
        <v>2</v>
      </c>
      <c r="AC940" s="4">
        <v>5</v>
      </c>
      <c r="AD940" s="4">
        <v>6</v>
      </c>
      <c r="AE940" s="4">
        <v>30</v>
      </c>
      <c r="AF940" s="4">
        <v>3</v>
      </c>
      <c r="AG940" s="4">
        <v>13</v>
      </c>
      <c r="AH940" s="4">
        <v>2</v>
      </c>
      <c r="AI940" s="4">
        <v>8</v>
      </c>
      <c r="AJ940" s="4">
        <v>1</v>
      </c>
      <c r="AK940" s="4">
        <v>18</v>
      </c>
      <c r="AL940" s="4">
        <v>1</v>
      </c>
      <c r="AM940" s="4">
        <v>2</v>
      </c>
      <c r="AN940" s="4">
        <v>0</v>
      </c>
      <c r="AO940" s="4">
        <v>0</v>
      </c>
      <c r="AP940" s="3" t="s">
        <v>58</v>
      </c>
      <c r="AQ940" s="3" t="s">
        <v>58</v>
      </c>
      <c r="AS940" s="6" t="str">
        <f>HYPERLINK("https://creighton-primo.hosted.exlibrisgroup.com/primo-explore/search?tab=default_tab&amp;search_scope=EVERYTHING&amp;vid=01CRU&amp;lang=en_US&amp;offset=0&amp;query=any,contains,991003873119702656","Catalog Record")</f>
        <v>Catalog Record</v>
      </c>
      <c r="AT940" s="6" t="str">
        <f>HYPERLINK("http://www.worldcat.org/oclc/49849929","WorldCat Record")</f>
        <v>WorldCat Record</v>
      </c>
      <c r="AU940" s="3" t="s">
        <v>11980</v>
      </c>
      <c r="AV940" s="3" t="s">
        <v>11981</v>
      </c>
      <c r="AW940" s="3" t="s">
        <v>11982</v>
      </c>
      <c r="AX940" s="3" t="s">
        <v>11982</v>
      </c>
      <c r="AY940" s="3" t="s">
        <v>11983</v>
      </c>
      <c r="AZ940" s="3" t="s">
        <v>73</v>
      </c>
      <c r="BB940" s="3" t="s">
        <v>11984</v>
      </c>
      <c r="BC940" s="3" t="s">
        <v>11985</v>
      </c>
      <c r="BD940" s="3" t="s">
        <v>11986</v>
      </c>
    </row>
    <row r="941" spans="1:56" ht="51" customHeight="1" x14ac:dyDescent="0.25">
      <c r="A941" s="7" t="s">
        <v>58</v>
      </c>
      <c r="B941" s="2" t="s">
        <v>11987</v>
      </c>
      <c r="C941" s="2" t="s">
        <v>11988</v>
      </c>
      <c r="D941" s="2" t="s">
        <v>11989</v>
      </c>
      <c r="F941" s="3" t="s">
        <v>58</v>
      </c>
      <c r="G941" s="3" t="s">
        <v>59</v>
      </c>
      <c r="H941" s="3" t="s">
        <v>58</v>
      </c>
      <c r="I941" s="3" t="s">
        <v>58</v>
      </c>
      <c r="J941" s="3" t="s">
        <v>60</v>
      </c>
      <c r="K941" s="2" t="s">
        <v>11990</v>
      </c>
      <c r="L941" s="2" t="s">
        <v>11991</v>
      </c>
      <c r="M941" s="3" t="s">
        <v>138</v>
      </c>
      <c r="O941" s="3" t="s">
        <v>63</v>
      </c>
      <c r="P941" s="3" t="s">
        <v>214</v>
      </c>
      <c r="R941" s="3" t="s">
        <v>65</v>
      </c>
      <c r="S941" s="4">
        <v>7</v>
      </c>
      <c r="T941" s="4">
        <v>7</v>
      </c>
      <c r="U941" s="5" t="s">
        <v>11518</v>
      </c>
      <c r="V941" s="5" t="s">
        <v>11518</v>
      </c>
      <c r="W941" s="5" t="s">
        <v>8127</v>
      </c>
      <c r="X941" s="5" t="s">
        <v>8127</v>
      </c>
      <c r="Y941" s="4">
        <v>274</v>
      </c>
      <c r="Z941" s="4">
        <v>231</v>
      </c>
      <c r="AA941" s="4">
        <v>271</v>
      </c>
      <c r="AB941" s="4">
        <v>3</v>
      </c>
      <c r="AC941" s="4">
        <v>3</v>
      </c>
      <c r="AD941" s="4">
        <v>10</v>
      </c>
      <c r="AE941" s="4">
        <v>10</v>
      </c>
      <c r="AF941" s="4">
        <v>1</v>
      </c>
      <c r="AG941" s="4">
        <v>1</v>
      </c>
      <c r="AH941" s="4">
        <v>5</v>
      </c>
      <c r="AI941" s="4">
        <v>5</v>
      </c>
      <c r="AJ941" s="4">
        <v>5</v>
      </c>
      <c r="AK941" s="4">
        <v>5</v>
      </c>
      <c r="AL941" s="4">
        <v>2</v>
      </c>
      <c r="AM941" s="4">
        <v>2</v>
      </c>
      <c r="AN941" s="4">
        <v>0</v>
      </c>
      <c r="AO941" s="4">
        <v>0</v>
      </c>
      <c r="AP941" s="3" t="s">
        <v>58</v>
      </c>
      <c r="AQ941" s="3" t="s">
        <v>58</v>
      </c>
      <c r="AS941" s="6" t="str">
        <f>HYPERLINK("https://creighton-primo.hosted.exlibrisgroup.com/primo-explore/search?tab=default_tab&amp;search_scope=EVERYTHING&amp;vid=01CRU&amp;lang=en_US&amp;offset=0&amp;query=any,contains,991005162119702656","Catalog Record")</f>
        <v>Catalog Record</v>
      </c>
      <c r="AT941" s="6" t="str">
        <f>HYPERLINK("http://www.worldcat.org/oclc/7795817","WorldCat Record")</f>
        <v>WorldCat Record</v>
      </c>
      <c r="AU941" s="3" t="s">
        <v>11992</v>
      </c>
      <c r="AV941" s="3" t="s">
        <v>11993</v>
      </c>
      <c r="AW941" s="3" t="s">
        <v>11994</v>
      </c>
      <c r="AX941" s="3" t="s">
        <v>11994</v>
      </c>
      <c r="AY941" s="3" t="s">
        <v>11995</v>
      </c>
      <c r="AZ941" s="3" t="s">
        <v>73</v>
      </c>
      <c r="BB941" s="3" t="s">
        <v>11996</v>
      </c>
      <c r="BC941" s="3" t="s">
        <v>11997</v>
      </c>
      <c r="BD941" s="3" t="s">
        <v>11998</v>
      </c>
    </row>
    <row r="942" spans="1:56" ht="51" customHeight="1" x14ac:dyDescent="0.25">
      <c r="A942" s="7" t="s">
        <v>58</v>
      </c>
      <c r="B942" s="2" t="s">
        <v>11999</v>
      </c>
      <c r="C942" s="2" t="s">
        <v>12000</v>
      </c>
      <c r="D942" s="2" t="s">
        <v>12001</v>
      </c>
      <c r="F942" s="3" t="s">
        <v>58</v>
      </c>
      <c r="G942" s="3" t="s">
        <v>59</v>
      </c>
      <c r="H942" s="3" t="s">
        <v>58</v>
      </c>
      <c r="I942" s="3" t="s">
        <v>58</v>
      </c>
      <c r="J942" s="3" t="s">
        <v>60</v>
      </c>
      <c r="K942" s="2" t="s">
        <v>12002</v>
      </c>
      <c r="L942" s="2" t="s">
        <v>12003</v>
      </c>
      <c r="M942" s="3" t="s">
        <v>842</v>
      </c>
      <c r="O942" s="3" t="s">
        <v>63</v>
      </c>
      <c r="P942" s="3" t="s">
        <v>214</v>
      </c>
      <c r="R942" s="3" t="s">
        <v>65</v>
      </c>
      <c r="S942" s="4">
        <v>3</v>
      </c>
      <c r="T942" s="4">
        <v>3</v>
      </c>
      <c r="U942" s="5" t="s">
        <v>11469</v>
      </c>
      <c r="V942" s="5" t="s">
        <v>11469</v>
      </c>
      <c r="W942" s="5" t="s">
        <v>5488</v>
      </c>
      <c r="X942" s="5" t="s">
        <v>5488</v>
      </c>
      <c r="Y942" s="4">
        <v>1063</v>
      </c>
      <c r="Z942" s="4">
        <v>902</v>
      </c>
      <c r="AA942" s="4">
        <v>921</v>
      </c>
      <c r="AB942" s="4">
        <v>5</v>
      </c>
      <c r="AC942" s="4">
        <v>5</v>
      </c>
      <c r="AD942" s="4">
        <v>28</v>
      </c>
      <c r="AE942" s="4">
        <v>28</v>
      </c>
      <c r="AF942" s="4">
        <v>9</v>
      </c>
      <c r="AG942" s="4">
        <v>9</v>
      </c>
      <c r="AH942" s="4">
        <v>7</v>
      </c>
      <c r="AI942" s="4">
        <v>7</v>
      </c>
      <c r="AJ942" s="4">
        <v>15</v>
      </c>
      <c r="AK942" s="4">
        <v>15</v>
      </c>
      <c r="AL942" s="4">
        <v>4</v>
      </c>
      <c r="AM942" s="4">
        <v>4</v>
      </c>
      <c r="AN942" s="4">
        <v>0</v>
      </c>
      <c r="AO942" s="4">
        <v>0</v>
      </c>
      <c r="AP942" s="3" t="s">
        <v>58</v>
      </c>
      <c r="AQ942" s="3" t="s">
        <v>68</v>
      </c>
      <c r="AR942" s="6" t="str">
        <f>HYPERLINK("http://catalog.hathitrust.org/Record/000087180","HathiTrust Record")</f>
        <v>HathiTrust Record</v>
      </c>
      <c r="AS942" s="6" t="str">
        <f>HYPERLINK("https://creighton-primo.hosted.exlibrisgroup.com/primo-explore/search?tab=default_tab&amp;search_scope=EVERYTHING&amp;vid=01CRU&amp;lang=en_US&amp;offset=0&amp;query=any,contains,991005102569702656","Catalog Record")</f>
        <v>Catalog Record</v>
      </c>
      <c r="AT942" s="6" t="str">
        <f>HYPERLINK("http://www.worldcat.org/oclc/7306333","WorldCat Record")</f>
        <v>WorldCat Record</v>
      </c>
      <c r="AU942" s="3" t="s">
        <v>12004</v>
      </c>
      <c r="AV942" s="3" t="s">
        <v>12005</v>
      </c>
      <c r="AW942" s="3" t="s">
        <v>12006</v>
      </c>
      <c r="AX942" s="3" t="s">
        <v>12006</v>
      </c>
      <c r="AY942" s="3" t="s">
        <v>12007</v>
      </c>
      <c r="AZ942" s="3" t="s">
        <v>73</v>
      </c>
      <c r="BB942" s="3" t="s">
        <v>12008</v>
      </c>
      <c r="BC942" s="3" t="s">
        <v>12009</v>
      </c>
      <c r="BD942" s="3" t="s">
        <v>12010</v>
      </c>
    </row>
    <row r="943" spans="1:56" ht="51" customHeight="1" x14ac:dyDescent="0.25">
      <c r="A943" s="7" t="s">
        <v>58</v>
      </c>
      <c r="B943" s="2" t="s">
        <v>12011</v>
      </c>
      <c r="C943" s="2" t="s">
        <v>12012</v>
      </c>
      <c r="D943" s="2" t="s">
        <v>12013</v>
      </c>
      <c r="F943" s="3" t="s">
        <v>58</v>
      </c>
      <c r="G943" s="3" t="s">
        <v>59</v>
      </c>
      <c r="H943" s="3" t="s">
        <v>58</v>
      </c>
      <c r="I943" s="3" t="s">
        <v>58</v>
      </c>
      <c r="J943" s="3" t="s">
        <v>60</v>
      </c>
      <c r="L943" s="2" t="s">
        <v>12014</v>
      </c>
      <c r="M943" s="3" t="s">
        <v>2214</v>
      </c>
      <c r="O943" s="3" t="s">
        <v>63</v>
      </c>
      <c r="P943" s="3" t="s">
        <v>214</v>
      </c>
      <c r="R943" s="3" t="s">
        <v>65</v>
      </c>
      <c r="S943" s="4">
        <v>4</v>
      </c>
      <c r="T943" s="4">
        <v>4</v>
      </c>
      <c r="U943" s="5" t="s">
        <v>11493</v>
      </c>
      <c r="V943" s="5" t="s">
        <v>11493</v>
      </c>
      <c r="W943" s="5" t="s">
        <v>12015</v>
      </c>
      <c r="X943" s="5" t="s">
        <v>12015</v>
      </c>
      <c r="Y943" s="4">
        <v>154</v>
      </c>
      <c r="Z943" s="4">
        <v>120</v>
      </c>
      <c r="AA943" s="4">
        <v>138</v>
      </c>
      <c r="AB943" s="4">
        <v>3</v>
      </c>
      <c r="AC943" s="4">
        <v>3</v>
      </c>
      <c r="AD943" s="4">
        <v>7</v>
      </c>
      <c r="AE943" s="4">
        <v>7</v>
      </c>
      <c r="AF943" s="4">
        <v>0</v>
      </c>
      <c r="AG943" s="4">
        <v>0</v>
      </c>
      <c r="AH943" s="4">
        <v>1</v>
      </c>
      <c r="AI943" s="4">
        <v>1</v>
      </c>
      <c r="AJ943" s="4">
        <v>2</v>
      </c>
      <c r="AK943" s="4">
        <v>2</v>
      </c>
      <c r="AL943" s="4">
        <v>2</v>
      </c>
      <c r="AM943" s="4">
        <v>2</v>
      </c>
      <c r="AN943" s="4">
        <v>2</v>
      </c>
      <c r="AO943" s="4">
        <v>2</v>
      </c>
      <c r="AP943" s="3" t="s">
        <v>58</v>
      </c>
      <c r="AQ943" s="3" t="s">
        <v>68</v>
      </c>
      <c r="AR943" s="6" t="str">
        <f>HYPERLINK("http://catalog.hathitrust.org/Record/005427608","HathiTrust Record")</f>
        <v>HathiTrust Record</v>
      </c>
      <c r="AS943" s="6" t="str">
        <f>HYPERLINK("https://creighton-primo.hosted.exlibrisgroup.com/primo-explore/search?tab=default_tab&amp;search_scope=EVERYTHING&amp;vid=01CRU&amp;lang=en_US&amp;offset=0&amp;query=any,contains,991004675509702656","Catalog Record")</f>
        <v>Catalog Record</v>
      </c>
      <c r="AT943" s="6" t="str">
        <f>HYPERLINK("http://www.worldcat.org/oclc/60934477","WorldCat Record")</f>
        <v>WorldCat Record</v>
      </c>
      <c r="AU943" s="3" t="s">
        <v>12016</v>
      </c>
      <c r="AV943" s="3" t="s">
        <v>12017</v>
      </c>
      <c r="AW943" s="3" t="s">
        <v>12018</v>
      </c>
      <c r="AX943" s="3" t="s">
        <v>12018</v>
      </c>
      <c r="AY943" s="3" t="s">
        <v>12019</v>
      </c>
      <c r="AZ943" s="3" t="s">
        <v>73</v>
      </c>
      <c r="BB943" s="3" t="s">
        <v>12020</v>
      </c>
      <c r="BC943" s="3" t="s">
        <v>12021</v>
      </c>
      <c r="BD943" s="3" t="s">
        <v>12022</v>
      </c>
    </row>
    <row r="944" spans="1:56" ht="51" customHeight="1" x14ac:dyDescent="0.25">
      <c r="A944" s="7" t="s">
        <v>58</v>
      </c>
      <c r="B944" s="2" t="s">
        <v>12023</v>
      </c>
      <c r="C944" s="2" t="s">
        <v>12024</v>
      </c>
      <c r="D944" s="2" t="s">
        <v>12025</v>
      </c>
      <c r="F944" s="3" t="s">
        <v>58</v>
      </c>
      <c r="G944" s="3" t="s">
        <v>59</v>
      </c>
      <c r="H944" s="3" t="s">
        <v>58</v>
      </c>
      <c r="I944" s="3" t="s">
        <v>58</v>
      </c>
      <c r="J944" s="3" t="s">
        <v>60</v>
      </c>
      <c r="K944" s="2" t="s">
        <v>12026</v>
      </c>
      <c r="L944" s="2" t="s">
        <v>12027</v>
      </c>
      <c r="M944" s="3" t="s">
        <v>951</v>
      </c>
      <c r="O944" s="3" t="s">
        <v>63</v>
      </c>
      <c r="P944" s="3" t="s">
        <v>214</v>
      </c>
      <c r="R944" s="3" t="s">
        <v>65</v>
      </c>
      <c r="S944" s="4">
        <v>8</v>
      </c>
      <c r="T944" s="4">
        <v>8</v>
      </c>
      <c r="U944" s="5" t="s">
        <v>12028</v>
      </c>
      <c r="V944" s="5" t="s">
        <v>12028</v>
      </c>
      <c r="W944" s="5" t="s">
        <v>9452</v>
      </c>
      <c r="X944" s="5" t="s">
        <v>9452</v>
      </c>
      <c r="Y944" s="4">
        <v>852</v>
      </c>
      <c r="Z944" s="4">
        <v>721</v>
      </c>
      <c r="AA944" s="4">
        <v>975</v>
      </c>
      <c r="AB944" s="4">
        <v>6</v>
      </c>
      <c r="AC944" s="4">
        <v>7</v>
      </c>
      <c r="AD944" s="4">
        <v>23</v>
      </c>
      <c r="AE944" s="4">
        <v>29</v>
      </c>
      <c r="AF944" s="4">
        <v>9</v>
      </c>
      <c r="AG944" s="4">
        <v>11</v>
      </c>
      <c r="AH944" s="4">
        <v>3</v>
      </c>
      <c r="AI944" s="4">
        <v>6</v>
      </c>
      <c r="AJ944" s="4">
        <v>11</v>
      </c>
      <c r="AK944" s="4">
        <v>13</v>
      </c>
      <c r="AL944" s="4">
        <v>5</v>
      </c>
      <c r="AM944" s="4">
        <v>6</v>
      </c>
      <c r="AN944" s="4">
        <v>0</v>
      </c>
      <c r="AO944" s="4">
        <v>0</v>
      </c>
      <c r="AP944" s="3" t="s">
        <v>58</v>
      </c>
      <c r="AQ944" s="3" t="s">
        <v>58</v>
      </c>
      <c r="AS944" s="6" t="str">
        <f>HYPERLINK("https://creighton-primo.hosted.exlibrisgroup.com/primo-explore/search?tab=default_tab&amp;search_scope=EVERYTHING&amp;vid=01CRU&amp;lang=en_US&amp;offset=0&amp;query=any,contains,991003651489702656","Catalog Record")</f>
        <v>Catalog Record</v>
      </c>
      <c r="AT944" s="6" t="str">
        <f>HYPERLINK("http://www.worldcat.org/oclc/42780425","WorldCat Record")</f>
        <v>WorldCat Record</v>
      </c>
      <c r="AU944" s="3" t="s">
        <v>12029</v>
      </c>
      <c r="AV944" s="3" t="s">
        <v>12030</v>
      </c>
      <c r="AW944" s="3" t="s">
        <v>12031</v>
      </c>
      <c r="AX944" s="3" t="s">
        <v>12031</v>
      </c>
      <c r="AY944" s="3" t="s">
        <v>12032</v>
      </c>
      <c r="AZ944" s="3" t="s">
        <v>73</v>
      </c>
      <c r="BB944" s="3" t="s">
        <v>12033</v>
      </c>
      <c r="BC944" s="3" t="s">
        <v>12034</v>
      </c>
      <c r="BD944" s="3" t="s">
        <v>12035</v>
      </c>
    </row>
    <row r="945" spans="1:56" ht="51" customHeight="1" x14ac:dyDescent="0.25">
      <c r="A945" s="7" t="s">
        <v>58</v>
      </c>
      <c r="B945" s="2" t="s">
        <v>12036</v>
      </c>
      <c r="C945" s="2" t="s">
        <v>12037</v>
      </c>
      <c r="D945" s="2" t="s">
        <v>12038</v>
      </c>
      <c r="F945" s="3" t="s">
        <v>58</v>
      </c>
      <c r="G945" s="3" t="s">
        <v>59</v>
      </c>
      <c r="H945" s="3" t="s">
        <v>58</v>
      </c>
      <c r="I945" s="3" t="s">
        <v>58</v>
      </c>
      <c r="J945" s="3" t="s">
        <v>60</v>
      </c>
      <c r="K945" s="2" t="s">
        <v>12039</v>
      </c>
      <c r="L945" s="2" t="s">
        <v>12040</v>
      </c>
      <c r="M945" s="3" t="s">
        <v>337</v>
      </c>
      <c r="O945" s="3" t="s">
        <v>63</v>
      </c>
      <c r="P945" s="3" t="s">
        <v>1837</v>
      </c>
      <c r="R945" s="3" t="s">
        <v>65</v>
      </c>
      <c r="S945" s="4">
        <v>4</v>
      </c>
      <c r="T945" s="4">
        <v>4</v>
      </c>
      <c r="U945" s="5" t="s">
        <v>12041</v>
      </c>
      <c r="V945" s="5" t="s">
        <v>12041</v>
      </c>
      <c r="W945" s="5" t="s">
        <v>12042</v>
      </c>
      <c r="X945" s="5" t="s">
        <v>12042</v>
      </c>
      <c r="Y945" s="4">
        <v>26</v>
      </c>
      <c r="Z945" s="4">
        <v>26</v>
      </c>
      <c r="AA945" s="4">
        <v>27</v>
      </c>
      <c r="AB945" s="4">
        <v>3</v>
      </c>
      <c r="AC945" s="4">
        <v>3</v>
      </c>
      <c r="AD945" s="4">
        <v>18</v>
      </c>
      <c r="AE945" s="4">
        <v>19</v>
      </c>
      <c r="AF945" s="4">
        <v>5</v>
      </c>
      <c r="AG945" s="4">
        <v>5</v>
      </c>
      <c r="AH945" s="4">
        <v>2</v>
      </c>
      <c r="AI945" s="4">
        <v>3</v>
      </c>
      <c r="AJ945" s="4">
        <v>17</v>
      </c>
      <c r="AK945" s="4">
        <v>18</v>
      </c>
      <c r="AL945" s="4">
        <v>1</v>
      </c>
      <c r="AM945" s="4">
        <v>1</v>
      </c>
      <c r="AN945" s="4">
        <v>0</v>
      </c>
      <c r="AO945" s="4">
        <v>0</v>
      </c>
      <c r="AP945" s="3" t="s">
        <v>58</v>
      </c>
      <c r="AQ945" s="3" t="s">
        <v>58</v>
      </c>
      <c r="AS945" s="6" t="str">
        <f>HYPERLINK("https://creighton-primo.hosted.exlibrisgroup.com/primo-explore/search?tab=default_tab&amp;search_scope=EVERYTHING&amp;vid=01CRU&amp;lang=en_US&amp;offset=0&amp;query=any,contains,991004000129702656","Catalog Record")</f>
        <v>Catalog Record</v>
      </c>
      <c r="AT945" s="6" t="str">
        <f>HYPERLINK("http://www.worldcat.org/oclc/51638354","WorldCat Record")</f>
        <v>WorldCat Record</v>
      </c>
      <c r="AU945" s="3" t="s">
        <v>12043</v>
      </c>
      <c r="AV945" s="3" t="s">
        <v>12044</v>
      </c>
      <c r="AW945" s="3" t="s">
        <v>12045</v>
      </c>
      <c r="AX945" s="3" t="s">
        <v>12045</v>
      </c>
      <c r="AY945" s="3" t="s">
        <v>12046</v>
      </c>
      <c r="AZ945" s="3" t="s">
        <v>73</v>
      </c>
      <c r="BC945" s="3" t="s">
        <v>12047</v>
      </c>
      <c r="BD945" s="3" t="s">
        <v>12048</v>
      </c>
    </row>
    <row r="946" spans="1:56" ht="51" customHeight="1" x14ac:dyDescent="0.25">
      <c r="A946" s="7" t="s">
        <v>58</v>
      </c>
      <c r="B946" s="2" t="s">
        <v>12049</v>
      </c>
      <c r="C946" s="2" t="s">
        <v>12050</v>
      </c>
      <c r="D946" s="2" t="s">
        <v>12051</v>
      </c>
      <c r="F946" s="3" t="s">
        <v>58</v>
      </c>
      <c r="G946" s="3" t="s">
        <v>59</v>
      </c>
      <c r="H946" s="3" t="s">
        <v>58</v>
      </c>
      <c r="I946" s="3" t="s">
        <v>58</v>
      </c>
      <c r="J946" s="3" t="s">
        <v>60</v>
      </c>
      <c r="K946" s="2" t="s">
        <v>12052</v>
      </c>
      <c r="L946" s="2" t="s">
        <v>12053</v>
      </c>
      <c r="M946" s="3" t="s">
        <v>898</v>
      </c>
      <c r="O946" s="3" t="s">
        <v>63</v>
      </c>
      <c r="P946" s="3" t="s">
        <v>214</v>
      </c>
      <c r="R946" s="3" t="s">
        <v>65</v>
      </c>
      <c r="S946" s="4">
        <v>3</v>
      </c>
      <c r="T946" s="4">
        <v>3</v>
      </c>
      <c r="U946" s="5" t="s">
        <v>12054</v>
      </c>
      <c r="V946" s="5" t="s">
        <v>12054</v>
      </c>
      <c r="W946" s="5" t="s">
        <v>7725</v>
      </c>
      <c r="X946" s="5" t="s">
        <v>7725</v>
      </c>
      <c r="Y946" s="4">
        <v>997</v>
      </c>
      <c r="Z946" s="4">
        <v>917</v>
      </c>
      <c r="AA946" s="4">
        <v>1069</v>
      </c>
      <c r="AB946" s="4">
        <v>8</v>
      </c>
      <c r="AC946" s="4">
        <v>13</v>
      </c>
      <c r="AD946" s="4">
        <v>22</v>
      </c>
      <c r="AE946" s="4">
        <v>25</v>
      </c>
      <c r="AF946" s="4">
        <v>7</v>
      </c>
      <c r="AG946" s="4">
        <v>7</v>
      </c>
      <c r="AH946" s="4">
        <v>4</v>
      </c>
      <c r="AI946" s="4">
        <v>5</v>
      </c>
      <c r="AJ946" s="4">
        <v>10</v>
      </c>
      <c r="AK946" s="4">
        <v>10</v>
      </c>
      <c r="AL946" s="4">
        <v>5</v>
      </c>
      <c r="AM946" s="4">
        <v>7</v>
      </c>
      <c r="AN946" s="4">
        <v>0</v>
      </c>
      <c r="AO946" s="4">
        <v>0</v>
      </c>
      <c r="AP946" s="3" t="s">
        <v>58</v>
      </c>
      <c r="AQ946" s="3" t="s">
        <v>58</v>
      </c>
      <c r="AS946" s="6" t="str">
        <f>HYPERLINK("https://creighton-primo.hosted.exlibrisgroup.com/primo-explore/search?tab=default_tab&amp;search_scope=EVERYTHING&amp;vid=01CRU&amp;lang=en_US&amp;offset=0&amp;query=any,contains,991004932349702656","Catalog Record")</f>
        <v>Catalog Record</v>
      </c>
      <c r="AT946" s="6" t="str">
        <f>HYPERLINK("http://www.worldcat.org/oclc/65400739","WorldCat Record")</f>
        <v>WorldCat Record</v>
      </c>
      <c r="AU946" s="3" t="s">
        <v>12055</v>
      </c>
      <c r="AV946" s="3" t="s">
        <v>12056</v>
      </c>
      <c r="AW946" s="3" t="s">
        <v>12057</v>
      </c>
      <c r="AX946" s="3" t="s">
        <v>12057</v>
      </c>
      <c r="AY946" s="3" t="s">
        <v>12058</v>
      </c>
      <c r="AZ946" s="3" t="s">
        <v>73</v>
      </c>
      <c r="BB946" s="3" t="s">
        <v>12059</v>
      </c>
      <c r="BC946" s="3" t="s">
        <v>12060</v>
      </c>
      <c r="BD946" s="3" t="s">
        <v>12061</v>
      </c>
    </row>
    <row r="947" spans="1:56" ht="51" customHeight="1" x14ac:dyDescent="0.25">
      <c r="A947" s="7" t="s">
        <v>58</v>
      </c>
      <c r="B947" s="2" t="s">
        <v>12062</v>
      </c>
      <c r="C947" s="2" t="s">
        <v>12063</v>
      </c>
      <c r="D947" s="2" t="s">
        <v>12064</v>
      </c>
      <c r="F947" s="3" t="s">
        <v>58</v>
      </c>
      <c r="G947" s="3" t="s">
        <v>59</v>
      </c>
      <c r="H947" s="3" t="s">
        <v>58</v>
      </c>
      <c r="I947" s="3" t="s">
        <v>58</v>
      </c>
      <c r="J947" s="3" t="s">
        <v>60</v>
      </c>
      <c r="L947" s="2" t="s">
        <v>10823</v>
      </c>
      <c r="M947" s="3" t="s">
        <v>2326</v>
      </c>
      <c r="O947" s="3" t="s">
        <v>63</v>
      </c>
      <c r="P947" s="3" t="s">
        <v>214</v>
      </c>
      <c r="R947" s="3" t="s">
        <v>65</v>
      </c>
      <c r="S947" s="4">
        <v>2</v>
      </c>
      <c r="T947" s="4">
        <v>2</v>
      </c>
      <c r="U947" s="5" t="s">
        <v>12065</v>
      </c>
      <c r="V947" s="5" t="s">
        <v>12065</v>
      </c>
      <c r="W947" s="5" t="s">
        <v>9465</v>
      </c>
      <c r="X947" s="5" t="s">
        <v>9465</v>
      </c>
      <c r="Y947" s="4">
        <v>258</v>
      </c>
      <c r="Z947" s="4">
        <v>220</v>
      </c>
      <c r="AA947" s="4">
        <v>261</v>
      </c>
      <c r="AB947" s="4">
        <v>3</v>
      </c>
      <c r="AC947" s="4">
        <v>3</v>
      </c>
      <c r="AD947" s="4">
        <v>12</v>
      </c>
      <c r="AE947" s="4">
        <v>13</v>
      </c>
      <c r="AF947" s="4">
        <v>4</v>
      </c>
      <c r="AG947" s="4">
        <v>4</v>
      </c>
      <c r="AH947" s="4">
        <v>3</v>
      </c>
      <c r="AI947" s="4">
        <v>3</v>
      </c>
      <c r="AJ947" s="4">
        <v>6</v>
      </c>
      <c r="AK947" s="4">
        <v>7</v>
      </c>
      <c r="AL947" s="4">
        <v>2</v>
      </c>
      <c r="AM947" s="4">
        <v>2</v>
      </c>
      <c r="AN947" s="4">
        <v>0</v>
      </c>
      <c r="AO947" s="4">
        <v>0</v>
      </c>
      <c r="AP947" s="3" t="s">
        <v>58</v>
      </c>
      <c r="AQ947" s="3" t="s">
        <v>58</v>
      </c>
      <c r="AS947" s="6" t="str">
        <f>HYPERLINK("https://creighton-primo.hosted.exlibrisgroup.com/primo-explore/search?tab=default_tab&amp;search_scope=EVERYTHING&amp;vid=01CRU&amp;lang=en_US&amp;offset=0&amp;query=any,contains,991005349559702656","Catalog Record")</f>
        <v>Catalog Record</v>
      </c>
      <c r="AT947" s="6" t="str">
        <f>HYPERLINK("http://www.worldcat.org/oclc/318971971","WorldCat Record")</f>
        <v>WorldCat Record</v>
      </c>
      <c r="AU947" s="3" t="s">
        <v>12066</v>
      </c>
      <c r="AV947" s="3" t="s">
        <v>12067</v>
      </c>
      <c r="AW947" s="3" t="s">
        <v>12068</v>
      </c>
      <c r="AX947" s="3" t="s">
        <v>12068</v>
      </c>
      <c r="AY947" s="3" t="s">
        <v>12069</v>
      </c>
      <c r="AZ947" s="3" t="s">
        <v>73</v>
      </c>
      <c r="BB947" s="3" t="s">
        <v>12070</v>
      </c>
      <c r="BC947" s="3" t="s">
        <v>12071</v>
      </c>
      <c r="BD947" s="3" t="s">
        <v>12072</v>
      </c>
    </row>
    <row r="948" spans="1:56" ht="51" customHeight="1" x14ac:dyDescent="0.25">
      <c r="A948" s="7" t="s">
        <v>58</v>
      </c>
      <c r="B948" s="2" t="s">
        <v>12073</v>
      </c>
      <c r="C948" s="2" t="s">
        <v>12074</v>
      </c>
      <c r="D948" s="2" t="s">
        <v>12075</v>
      </c>
      <c r="F948" s="3" t="s">
        <v>58</v>
      </c>
      <c r="G948" s="3" t="s">
        <v>59</v>
      </c>
      <c r="H948" s="3" t="s">
        <v>58</v>
      </c>
      <c r="I948" s="3" t="s">
        <v>58</v>
      </c>
      <c r="J948" s="3" t="s">
        <v>60</v>
      </c>
      <c r="K948" s="2" t="s">
        <v>12076</v>
      </c>
      <c r="L948" s="2" t="s">
        <v>12077</v>
      </c>
      <c r="M948" s="3" t="s">
        <v>815</v>
      </c>
      <c r="O948" s="3" t="s">
        <v>63</v>
      </c>
      <c r="P948" s="3" t="s">
        <v>3109</v>
      </c>
      <c r="R948" s="3" t="s">
        <v>65</v>
      </c>
      <c r="S948" s="4">
        <v>1</v>
      </c>
      <c r="T948" s="4">
        <v>1</v>
      </c>
      <c r="U948" s="5" t="s">
        <v>10566</v>
      </c>
      <c r="V948" s="5" t="s">
        <v>10566</v>
      </c>
      <c r="W948" s="5" t="s">
        <v>12078</v>
      </c>
      <c r="X948" s="5" t="s">
        <v>12078</v>
      </c>
      <c r="Y948" s="4">
        <v>272</v>
      </c>
      <c r="Z948" s="4">
        <v>213</v>
      </c>
      <c r="AA948" s="4">
        <v>258</v>
      </c>
      <c r="AB948" s="4">
        <v>2</v>
      </c>
      <c r="AC948" s="4">
        <v>2</v>
      </c>
      <c r="AD948" s="4">
        <v>15</v>
      </c>
      <c r="AE948" s="4">
        <v>16</v>
      </c>
      <c r="AF948" s="4">
        <v>7</v>
      </c>
      <c r="AG948" s="4">
        <v>7</v>
      </c>
      <c r="AH948" s="4">
        <v>4</v>
      </c>
      <c r="AI948" s="4">
        <v>5</v>
      </c>
      <c r="AJ948" s="4">
        <v>8</v>
      </c>
      <c r="AK948" s="4">
        <v>8</v>
      </c>
      <c r="AL948" s="4">
        <v>1</v>
      </c>
      <c r="AM948" s="4">
        <v>1</v>
      </c>
      <c r="AN948" s="4">
        <v>0</v>
      </c>
      <c r="AO948" s="4">
        <v>0</v>
      </c>
      <c r="AP948" s="3" t="s">
        <v>58</v>
      </c>
      <c r="AQ948" s="3" t="s">
        <v>68</v>
      </c>
      <c r="AR948" s="6" t="str">
        <f>HYPERLINK("http://catalog.hathitrust.org/Record/005700244","HathiTrust Record")</f>
        <v>HathiTrust Record</v>
      </c>
      <c r="AS948" s="6" t="str">
        <f>HYPERLINK("https://creighton-primo.hosted.exlibrisgroup.com/primo-explore/search?tab=default_tab&amp;search_scope=EVERYTHING&amp;vid=01CRU&amp;lang=en_US&amp;offset=0&amp;query=any,contains,991005297979702656","Catalog Record")</f>
        <v>Catalog Record</v>
      </c>
      <c r="AT948" s="6" t="str">
        <f>HYPERLINK("http://www.worldcat.org/oclc/181368883","WorldCat Record")</f>
        <v>WorldCat Record</v>
      </c>
      <c r="AU948" s="3" t="s">
        <v>12079</v>
      </c>
      <c r="AV948" s="3" t="s">
        <v>12080</v>
      </c>
      <c r="AW948" s="3" t="s">
        <v>12081</v>
      </c>
      <c r="AX948" s="3" t="s">
        <v>12081</v>
      </c>
      <c r="AY948" s="3" t="s">
        <v>12082</v>
      </c>
      <c r="AZ948" s="3" t="s">
        <v>73</v>
      </c>
      <c r="BB948" s="3" t="s">
        <v>12083</v>
      </c>
      <c r="BC948" s="3" t="s">
        <v>12084</v>
      </c>
      <c r="BD948" s="3" t="s">
        <v>12085</v>
      </c>
    </row>
    <row r="949" spans="1:56" ht="51" customHeight="1" x14ac:dyDescent="0.25">
      <c r="A949" s="7" t="s">
        <v>58</v>
      </c>
      <c r="B949" s="2" t="s">
        <v>12086</v>
      </c>
      <c r="C949" s="2" t="s">
        <v>12087</v>
      </c>
      <c r="D949" s="2" t="s">
        <v>12088</v>
      </c>
      <c r="F949" s="3" t="s">
        <v>58</v>
      </c>
      <c r="G949" s="3" t="s">
        <v>59</v>
      </c>
      <c r="H949" s="3" t="s">
        <v>58</v>
      </c>
      <c r="I949" s="3" t="s">
        <v>58</v>
      </c>
      <c r="J949" s="3" t="s">
        <v>60</v>
      </c>
      <c r="K949" s="2" t="s">
        <v>12089</v>
      </c>
      <c r="L949" s="2" t="s">
        <v>12090</v>
      </c>
      <c r="M949" s="3" t="s">
        <v>2326</v>
      </c>
      <c r="O949" s="3" t="s">
        <v>63</v>
      </c>
      <c r="P949" s="3" t="s">
        <v>214</v>
      </c>
      <c r="R949" s="3" t="s">
        <v>65</v>
      </c>
      <c r="S949" s="4">
        <v>2</v>
      </c>
      <c r="T949" s="4">
        <v>2</v>
      </c>
      <c r="U949" s="5" t="s">
        <v>12091</v>
      </c>
      <c r="V949" s="5" t="s">
        <v>12091</v>
      </c>
      <c r="W949" s="5" t="s">
        <v>12092</v>
      </c>
      <c r="X949" s="5" t="s">
        <v>12092</v>
      </c>
      <c r="Y949" s="4">
        <v>397</v>
      </c>
      <c r="Z949" s="4">
        <v>357</v>
      </c>
      <c r="AA949" s="4">
        <v>1599</v>
      </c>
      <c r="AB949" s="4">
        <v>7</v>
      </c>
      <c r="AC949" s="4">
        <v>19</v>
      </c>
      <c r="AD949" s="4">
        <v>5</v>
      </c>
      <c r="AE949" s="4">
        <v>42</v>
      </c>
      <c r="AF949" s="4">
        <v>2</v>
      </c>
      <c r="AG949" s="4">
        <v>20</v>
      </c>
      <c r="AH949" s="4">
        <v>0</v>
      </c>
      <c r="AI949" s="4">
        <v>7</v>
      </c>
      <c r="AJ949" s="4">
        <v>1</v>
      </c>
      <c r="AK949" s="4">
        <v>15</v>
      </c>
      <c r="AL949" s="4">
        <v>3</v>
      </c>
      <c r="AM949" s="4">
        <v>8</v>
      </c>
      <c r="AN949" s="4">
        <v>0</v>
      </c>
      <c r="AO949" s="4">
        <v>1</v>
      </c>
      <c r="AP949" s="3" t="s">
        <v>58</v>
      </c>
      <c r="AQ949" s="3" t="s">
        <v>58</v>
      </c>
      <c r="AS949" s="6" t="str">
        <f>HYPERLINK("https://creighton-primo.hosted.exlibrisgroup.com/primo-explore/search?tab=default_tab&amp;search_scope=EVERYTHING&amp;vid=01CRU&amp;lang=en_US&amp;offset=0&amp;query=any,contains,991005333679702656","Catalog Record")</f>
        <v>Catalog Record</v>
      </c>
      <c r="AT949" s="6" t="str">
        <f>HYPERLINK("http://www.worldcat.org/oclc/262428574","WorldCat Record")</f>
        <v>WorldCat Record</v>
      </c>
      <c r="AU949" s="3" t="s">
        <v>12093</v>
      </c>
      <c r="AV949" s="3" t="s">
        <v>12094</v>
      </c>
      <c r="AW949" s="3" t="s">
        <v>12095</v>
      </c>
      <c r="AX949" s="3" t="s">
        <v>12095</v>
      </c>
      <c r="AY949" s="3" t="s">
        <v>12096</v>
      </c>
      <c r="AZ949" s="3" t="s">
        <v>73</v>
      </c>
      <c r="BB949" s="3" t="s">
        <v>12097</v>
      </c>
      <c r="BC949" s="3" t="s">
        <v>12098</v>
      </c>
      <c r="BD949" s="3" t="s">
        <v>12099</v>
      </c>
    </row>
    <row r="950" spans="1:56" ht="51" customHeight="1" x14ac:dyDescent="0.25">
      <c r="A950" s="7" t="s">
        <v>58</v>
      </c>
      <c r="B950" s="2" t="s">
        <v>12100</v>
      </c>
      <c r="C950" s="2" t="s">
        <v>12101</v>
      </c>
      <c r="D950" s="2" t="s">
        <v>12102</v>
      </c>
      <c r="F950" s="3" t="s">
        <v>58</v>
      </c>
      <c r="G950" s="3" t="s">
        <v>59</v>
      </c>
      <c r="H950" s="3" t="s">
        <v>58</v>
      </c>
      <c r="I950" s="3" t="s">
        <v>58</v>
      </c>
      <c r="J950" s="3" t="s">
        <v>60</v>
      </c>
      <c r="K950" s="2" t="s">
        <v>12103</v>
      </c>
      <c r="L950" s="2" t="s">
        <v>12104</v>
      </c>
      <c r="M950" s="3" t="s">
        <v>2326</v>
      </c>
      <c r="O950" s="3" t="s">
        <v>63</v>
      </c>
      <c r="P950" s="3" t="s">
        <v>1837</v>
      </c>
      <c r="Q950" s="2" t="s">
        <v>12105</v>
      </c>
      <c r="R950" s="3" t="s">
        <v>65</v>
      </c>
      <c r="S950" s="4">
        <v>2</v>
      </c>
      <c r="T950" s="4">
        <v>2</v>
      </c>
      <c r="U950" s="5" t="s">
        <v>7220</v>
      </c>
      <c r="V950" s="5" t="s">
        <v>7220</v>
      </c>
      <c r="W950" s="5" t="s">
        <v>7220</v>
      </c>
      <c r="X950" s="5" t="s">
        <v>7220</v>
      </c>
      <c r="Y950" s="4">
        <v>192</v>
      </c>
      <c r="Z950" s="4">
        <v>136</v>
      </c>
      <c r="AA950" s="4">
        <v>138</v>
      </c>
      <c r="AB950" s="4">
        <v>2</v>
      </c>
      <c r="AC950" s="4">
        <v>2</v>
      </c>
      <c r="AD950" s="4">
        <v>5</v>
      </c>
      <c r="AE950" s="4">
        <v>5</v>
      </c>
      <c r="AF950" s="4">
        <v>1</v>
      </c>
      <c r="AG950" s="4">
        <v>1</v>
      </c>
      <c r="AH950" s="4">
        <v>3</v>
      </c>
      <c r="AI950" s="4">
        <v>3</v>
      </c>
      <c r="AJ950" s="4">
        <v>3</v>
      </c>
      <c r="AK950" s="4">
        <v>3</v>
      </c>
      <c r="AL950" s="4">
        <v>1</v>
      </c>
      <c r="AM950" s="4">
        <v>1</v>
      </c>
      <c r="AN950" s="4">
        <v>0</v>
      </c>
      <c r="AO950" s="4">
        <v>0</v>
      </c>
      <c r="AP950" s="3" t="s">
        <v>58</v>
      </c>
      <c r="AQ950" s="3" t="s">
        <v>68</v>
      </c>
      <c r="AR950" s="6" t="str">
        <f>HYPERLINK("http://catalog.hathitrust.org/Record/006881144","HathiTrust Record")</f>
        <v>HathiTrust Record</v>
      </c>
      <c r="AS950" s="6" t="str">
        <f>HYPERLINK("https://creighton-primo.hosted.exlibrisgroup.com/primo-explore/search?tab=default_tab&amp;search_scope=EVERYTHING&amp;vid=01CRU&amp;lang=en_US&amp;offset=0&amp;query=any,contains,991005381139702656","Catalog Record")</f>
        <v>Catalog Record</v>
      </c>
      <c r="AT950" s="6" t="str">
        <f>HYPERLINK("http://www.worldcat.org/oclc/318534320","WorldCat Record")</f>
        <v>WorldCat Record</v>
      </c>
      <c r="AU950" s="3" t="s">
        <v>12106</v>
      </c>
      <c r="AV950" s="3" t="s">
        <v>12107</v>
      </c>
      <c r="AW950" s="3" t="s">
        <v>12108</v>
      </c>
      <c r="AX950" s="3" t="s">
        <v>12108</v>
      </c>
      <c r="AY950" s="3" t="s">
        <v>12109</v>
      </c>
      <c r="AZ950" s="3" t="s">
        <v>73</v>
      </c>
      <c r="BB950" s="3" t="s">
        <v>12110</v>
      </c>
      <c r="BC950" s="3" t="s">
        <v>12111</v>
      </c>
      <c r="BD950" s="3" t="s">
        <v>12112</v>
      </c>
    </row>
    <row r="951" spans="1:56" ht="51" customHeight="1" x14ac:dyDescent="0.25">
      <c r="A951" s="7" t="s">
        <v>58</v>
      </c>
      <c r="B951" s="2" t="s">
        <v>12113</v>
      </c>
      <c r="C951" s="2" t="s">
        <v>12114</v>
      </c>
      <c r="D951" s="2" t="s">
        <v>12115</v>
      </c>
      <c r="F951" s="3" t="s">
        <v>58</v>
      </c>
      <c r="G951" s="3" t="s">
        <v>59</v>
      </c>
      <c r="H951" s="3" t="s">
        <v>58</v>
      </c>
      <c r="I951" s="3" t="s">
        <v>58</v>
      </c>
      <c r="J951" s="3" t="s">
        <v>60</v>
      </c>
      <c r="K951" s="2" t="s">
        <v>12116</v>
      </c>
      <c r="L951" s="2" t="s">
        <v>12117</v>
      </c>
      <c r="M951" s="3" t="s">
        <v>2326</v>
      </c>
      <c r="N951" s="2" t="s">
        <v>338</v>
      </c>
      <c r="O951" s="3" t="s">
        <v>63</v>
      </c>
      <c r="P951" s="3" t="s">
        <v>214</v>
      </c>
      <c r="R951" s="3" t="s">
        <v>65</v>
      </c>
      <c r="S951" s="4">
        <v>1</v>
      </c>
      <c r="T951" s="4">
        <v>1</v>
      </c>
      <c r="U951" s="5" t="s">
        <v>12118</v>
      </c>
      <c r="V951" s="5" t="s">
        <v>12118</v>
      </c>
      <c r="W951" s="5" t="s">
        <v>12118</v>
      </c>
      <c r="X951" s="5" t="s">
        <v>12118</v>
      </c>
      <c r="Y951" s="4">
        <v>1111</v>
      </c>
      <c r="Z951" s="4">
        <v>1046</v>
      </c>
      <c r="AA951" s="4">
        <v>1415</v>
      </c>
      <c r="AB951" s="4">
        <v>5</v>
      </c>
      <c r="AC951" s="4">
        <v>6</v>
      </c>
      <c r="AD951" s="4">
        <v>23</v>
      </c>
      <c r="AE951" s="4">
        <v>31</v>
      </c>
      <c r="AF951" s="4">
        <v>11</v>
      </c>
      <c r="AG951" s="4">
        <v>13</v>
      </c>
      <c r="AH951" s="4">
        <v>5</v>
      </c>
      <c r="AI951" s="4">
        <v>8</v>
      </c>
      <c r="AJ951" s="4">
        <v>10</v>
      </c>
      <c r="AK951" s="4">
        <v>16</v>
      </c>
      <c r="AL951" s="4">
        <v>2</v>
      </c>
      <c r="AM951" s="4">
        <v>3</v>
      </c>
      <c r="AN951" s="4">
        <v>0</v>
      </c>
      <c r="AO951" s="4">
        <v>0</v>
      </c>
      <c r="AP951" s="3" t="s">
        <v>58</v>
      </c>
      <c r="AQ951" s="3" t="s">
        <v>58</v>
      </c>
      <c r="AS951" s="6" t="str">
        <f>HYPERLINK("https://creighton-primo.hosted.exlibrisgroup.com/primo-explore/search?tab=default_tab&amp;search_scope=EVERYTHING&amp;vid=01CRU&amp;lang=en_US&amp;offset=0&amp;query=any,contains,991005359159702656","Catalog Record")</f>
        <v>Catalog Record</v>
      </c>
      <c r="AT951" s="6" t="str">
        <f>HYPERLINK("http://www.worldcat.org/oclc/286488778","WorldCat Record")</f>
        <v>WorldCat Record</v>
      </c>
      <c r="AU951" s="3" t="s">
        <v>12119</v>
      </c>
      <c r="AV951" s="3" t="s">
        <v>12120</v>
      </c>
      <c r="AW951" s="3" t="s">
        <v>12121</v>
      </c>
      <c r="AX951" s="3" t="s">
        <v>12121</v>
      </c>
      <c r="AY951" s="3" t="s">
        <v>12122</v>
      </c>
      <c r="AZ951" s="3" t="s">
        <v>73</v>
      </c>
      <c r="BB951" s="3" t="s">
        <v>12123</v>
      </c>
      <c r="BC951" s="3" t="s">
        <v>12124</v>
      </c>
      <c r="BD951" s="3" t="s">
        <v>12125</v>
      </c>
    </row>
    <row r="952" spans="1:56" ht="51" customHeight="1" x14ac:dyDescent="0.25">
      <c r="A952" s="7" t="s">
        <v>58</v>
      </c>
      <c r="B952" s="2" t="s">
        <v>12126</v>
      </c>
      <c r="C952" s="2" t="s">
        <v>12127</v>
      </c>
      <c r="D952" s="2" t="s">
        <v>12128</v>
      </c>
      <c r="F952" s="3" t="s">
        <v>58</v>
      </c>
      <c r="G952" s="3" t="s">
        <v>59</v>
      </c>
      <c r="H952" s="3" t="s">
        <v>58</v>
      </c>
      <c r="I952" s="3" t="s">
        <v>58</v>
      </c>
      <c r="J952" s="3" t="s">
        <v>60</v>
      </c>
      <c r="K952" s="2" t="s">
        <v>12129</v>
      </c>
      <c r="L952" s="2" t="s">
        <v>12130</v>
      </c>
      <c r="M952" s="3" t="s">
        <v>154</v>
      </c>
      <c r="O952" s="3" t="s">
        <v>63</v>
      </c>
      <c r="P952" s="3" t="s">
        <v>786</v>
      </c>
      <c r="Q952" s="2" t="s">
        <v>12131</v>
      </c>
      <c r="R952" s="3" t="s">
        <v>65</v>
      </c>
      <c r="S952" s="4">
        <v>8</v>
      </c>
      <c r="T952" s="4">
        <v>8</v>
      </c>
      <c r="U952" s="5" t="s">
        <v>12132</v>
      </c>
      <c r="V952" s="5" t="s">
        <v>12132</v>
      </c>
      <c r="W952" s="5" t="s">
        <v>12133</v>
      </c>
      <c r="X952" s="5" t="s">
        <v>12133</v>
      </c>
      <c r="Y952" s="4">
        <v>182</v>
      </c>
      <c r="Z952" s="4">
        <v>137</v>
      </c>
      <c r="AA952" s="4">
        <v>216</v>
      </c>
      <c r="AB952" s="4">
        <v>3</v>
      </c>
      <c r="AC952" s="4">
        <v>3</v>
      </c>
      <c r="AD952" s="4">
        <v>8</v>
      </c>
      <c r="AE952" s="4">
        <v>10</v>
      </c>
      <c r="AF952" s="4">
        <v>3</v>
      </c>
      <c r="AG952" s="4">
        <v>4</v>
      </c>
      <c r="AH952" s="4">
        <v>0</v>
      </c>
      <c r="AI952" s="4">
        <v>1</v>
      </c>
      <c r="AJ952" s="4">
        <v>6</v>
      </c>
      <c r="AK952" s="4">
        <v>8</v>
      </c>
      <c r="AL952" s="4">
        <v>2</v>
      </c>
      <c r="AM952" s="4">
        <v>2</v>
      </c>
      <c r="AN952" s="4">
        <v>0</v>
      </c>
      <c r="AO952" s="4">
        <v>0</v>
      </c>
      <c r="AP952" s="3" t="s">
        <v>58</v>
      </c>
      <c r="AQ952" s="3" t="s">
        <v>58</v>
      </c>
      <c r="AS952" s="6" t="str">
        <f>HYPERLINK("https://creighton-primo.hosted.exlibrisgroup.com/primo-explore/search?tab=default_tab&amp;search_scope=EVERYTHING&amp;vid=01CRU&amp;lang=en_US&amp;offset=0&amp;query=any,contains,991001217059702656","Catalog Record")</f>
        <v>Catalog Record</v>
      </c>
      <c r="AT952" s="6" t="str">
        <f>HYPERLINK("http://www.worldcat.org/oclc/17439144","WorldCat Record")</f>
        <v>WorldCat Record</v>
      </c>
      <c r="AU952" s="3" t="s">
        <v>12134</v>
      </c>
      <c r="AV952" s="3" t="s">
        <v>12135</v>
      </c>
      <c r="AW952" s="3" t="s">
        <v>12136</v>
      </c>
      <c r="AX952" s="3" t="s">
        <v>12136</v>
      </c>
      <c r="AY952" s="3" t="s">
        <v>12137</v>
      </c>
      <c r="AZ952" s="3" t="s">
        <v>73</v>
      </c>
      <c r="BB952" s="3" t="s">
        <v>12138</v>
      </c>
      <c r="BC952" s="3" t="s">
        <v>12139</v>
      </c>
      <c r="BD952" s="3" t="s">
        <v>12140</v>
      </c>
    </row>
    <row r="953" spans="1:56" ht="51" customHeight="1" x14ac:dyDescent="0.25">
      <c r="A953" s="7" t="s">
        <v>58</v>
      </c>
      <c r="B953" s="2" t="s">
        <v>12141</v>
      </c>
      <c r="C953" s="2" t="s">
        <v>12142</v>
      </c>
      <c r="D953" s="2" t="s">
        <v>12143</v>
      </c>
      <c r="F953" s="3" t="s">
        <v>58</v>
      </c>
      <c r="G953" s="3" t="s">
        <v>59</v>
      </c>
      <c r="H953" s="3" t="s">
        <v>58</v>
      </c>
      <c r="I953" s="3" t="s">
        <v>58</v>
      </c>
      <c r="J953" s="3" t="s">
        <v>60</v>
      </c>
      <c r="K953" s="2" t="s">
        <v>12144</v>
      </c>
      <c r="L953" s="2" t="s">
        <v>12145</v>
      </c>
      <c r="M953" s="3" t="s">
        <v>898</v>
      </c>
      <c r="N953" s="2" t="s">
        <v>338</v>
      </c>
      <c r="O953" s="3" t="s">
        <v>63</v>
      </c>
      <c r="P953" s="3" t="s">
        <v>214</v>
      </c>
      <c r="R953" s="3" t="s">
        <v>65</v>
      </c>
      <c r="S953" s="4">
        <v>3</v>
      </c>
      <c r="T953" s="4">
        <v>3</v>
      </c>
      <c r="U953" s="5" t="s">
        <v>12146</v>
      </c>
      <c r="V953" s="5" t="s">
        <v>12146</v>
      </c>
      <c r="W953" s="5" t="s">
        <v>7857</v>
      </c>
      <c r="X953" s="5" t="s">
        <v>7857</v>
      </c>
      <c r="Y953" s="4">
        <v>834</v>
      </c>
      <c r="Z953" s="4">
        <v>750</v>
      </c>
      <c r="AA953" s="4">
        <v>787</v>
      </c>
      <c r="AB953" s="4">
        <v>6</v>
      </c>
      <c r="AC953" s="4">
        <v>6</v>
      </c>
      <c r="AD953" s="4">
        <v>15</v>
      </c>
      <c r="AE953" s="4">
        <v>15</v>
      </c>
      <c r="AF953" s="4">
        <v>4</v>
      </c>
      <c r="AG953" s="4">
        <v>4</v>
      </c>
      <c r="AH953" s="4">
        <v>4</v>
      </c>
      <c r="AI953" s="4">
        <v>4</v>
      </c>
      <c r="AJ953" s="4">
        <v>7</v>
      </c>
      <c r="AK953" s="4">
        <v>7</v>
      </c>
      <c r="AL953" s="4">
        <v>3</v>
      </c>
      <c r="AM953" s="4">
        <v>3</v>
      </c>
      <c r="AN953" s="4">
        <v>0</v>
      </c>
      <c r="AO953" s="4">
        <v>0</v>
      </c>
      <c r="AP953" s="3" t="s">
        <v>58</v>
      </c>
      <c r="AQ953" s="3" t="s">
        <v>58</v>
      </c>
      <c r="AS953" s="6" t="str">
        <f>HYPERLINK("https://creighton-primo.hosted.exlibrisgroup.com/primo-explore/search?tab=default_tab&amp;search_scope=EVERYTHING&amp;vid=01CRU&amp;lang=en_US&amp;offset=0&amp;query=any,contains,991004837019702656","Catalog Record")</f>
        <v>Catalog Record</v>
      </c>
      <c r="AT953" s="6" t="str">
        <f>HYPERLINK("http://www.worldcat.org/oclc/61253984","WorldCat Record")</f>
        <v>WorldCat Record</v>
      </c>
      <c r="AU953" s="3" t="s">
        <v>12147</v>
      </c>
      <c r="AV953" s="3" t="s">
        <v>12148</v>
      </c>
      <c r="AW953" s="3" t="s">
        <v>12149</v>
      </c>
      <c r="AX953" s="3" t="s">
        <v>12149</v>
      </c>
      <c r="AY953" s="3" t="s">
        <v>12150</v>
      </c>
      <c r="AZ953" s="3" t="s">
        <v>73</v>
      </c>
      <c r="BB953" s="3" t="s">
        <v>12151</v>
      </c>
      <c r="BC953" s="3" t="s">
        <v>12152</v>
      </c>
      <c r="BD953" s="3" t="s">
        <v>12153</v>
      </c>
    </row>
    <row r="954" spans="1:56" ht="51" customHeight="1" x14ac:dyDescent="0.25">
      <c r="A954" s="7" t="s">
        <v>58</v>
      </c>
      <c r="B954" s="2" t="s">
        <v>12154</v>
      </c>
      <c r="C954" s="2" t="s">
        <v>12155</v>
      </c>
      <c r="D954" s="2" t="s">
        <v>12156</v>
      </c>
      <c r="F954" s="3" t="s">
        <v>58</v>
      </c>
      <c r="G954" s="3" t="s">
        <v>59</v>
      </c>
      <c r="H954" s="3" t="s">
        <v>58</v>
      </c>
      <c r="I954" s="3" t="s">
        <v>58</v>
      </c>
      <c r="J954" s="3" t="s">
        <v>60</v>
      </c>
      <c r="K954" s="2" t="s">
        <v>12157</v>
      </c>
      <c r="L954" s="2" t="s">
        <v>12158</v>
      </c>
      <c r="M954" s="3" t="s">
        <v>884</v>
      </c>
      <c r="O954" s="3" t="s">
        <v>63</v>
      </c>
      <c r="P954" s="3" t="s">
        <v>9271</v>
      </c>
      <c r="R954" s="3" t="s">
        <v>65</v>
      </c>
      <c r="S954" s="4">
        <v>3</v>
      </c>
      <c r="T954" s="4">
        <v>3</v>
      </c>
      <c r="U954" s="5" t="s">
        <v>4339</v>
      </c>
      <c r="V954" s="5" t="s">
        <v>4339</v>
      </c>
      <c r="W954" s="5" t="s">
        <v>2616</v>
      </c>
      <c r="X954" s="5" t="s">
        <v>2616</v>
      </c>
      <c r="Y954" s="4">
        <v>365</v>
      </c>
      <c r="Z954" s="4">
        <v>304</v>
      </c>
      <c r="AA954" s="4">
        <v>312</v>
      </c>
      <c r="AB954" s="4">
        <v>3</v>
      </c>
      <c r="AC954" s="4">
        <v>3</v>
      </c>
      <c r="AD954" s="4">
        <v>12</v>
      </c>
      <c r="AE954" s="4">
        <v>12</v>
      </c>
      <c r="AF954" s="4">
        <v>2</v>
      </c>
      <c r="AG954" s="4">
        <v>2</v>
      </c>
      <c r="AH954" s="4">
        <v>5</v>
      </c>
      <c r="AI954" s="4">
        <v>5</v>
      </c>
      <c r="AJ954" s="4">
        <v>7</v>
      </c>
      <c r="AK954" s="4">
        <v>7</v>
      </c>
      <c r="AL954" s="4">
        <v>2</v>
      </c>
      <c r="AM954" s="4">
        <v>2</v>
      </c>
      <c r="AN954" s="4">
        <v>0</v>
      </c>
      <c r="AO954" s="4">
        <v>0</v>
      </c>
      <c r="AP954" s="3" t="s">
        <v>58</v>
      </c>
      <c r="AQ954" s="3" t="s">
        <v>68</v>
      </c>
      <c r="AR954" s="6" t="str">
        <f>HYPERLINK("http://catalog.hathitrust.org/Record/001249222","HathiTrust Record")</f>
        <v>HathiTrust Record</v>
      </c>
      <c r="AS954" s="6" t="str">
        <f>HYPERLINK("https://creighton-primo.hosted.exlibrisgroup.com/primo-explore/search?tab=default_tab&amp;search_scope=EVERYTHING&amp;vid=01CRU&amp;lang=en_US&amp;offset=0&amp;query=any,contains,991002711109702656","Catalog Record")</f>
        <v>Catalog Record</v>
      </c>
      <c r="AT954" s="6" t="str">
        <f>HYPERLINK("http://www.worldcat.org/oclc/409290","WorldCat Record")</f>
        <v>WorldCat Record</v>
      </c>
      <c r="AU954" s="3" t="s">
        <v>12159</v>
      </c>
      <c r="AV954" s="3" t="s">
        <v>12160</v>
      </c>
      <c r="AW954" s="3" t="s">
        <v>12161</v>
      </c>
      <c r="AX954" s="3" t="s">
        <v>12161</v>
      </c>
      <c r="AY954" s="3" t="s">
        <v>12162</v>
      </c>
      <c r="AZ954" s="3" t="s">
        <v>73</v>
      </c>
      <c r="BC954" s="3" t="s">
        <v>12163</v>
      </c>
      <c r="BD954" s="3" t="s">
        <v>12164</v>
      </c>
    </row>
    <row r="955" spans="1:56" ht="51" customHeight="1" x14ac:dyDescent="0.25">
      <c r="A955" s="7" t="s">
        <v>58</v>
      </c>
      <c r="B955" s="2" t="s">
        <v>12165</v>
      </c>
      <c r="C955" s="2" t="s">
        <v>12166</v>
      </c>
      <c r="D955" s="2" t="s">
        <v>12167</v>
      </c>
      <c r="E955" s="3" t="s">
        <v>223</v>
      </c>
      <c r="F955" s="3" t="s">
        <v>68</v>
      </c>
      <c r="G955" s="3" t="s">
        <v>59</v>
      </c>
      <c r="H955" s="3" t="s">
        <v>58</v>
      </c>
      <c r="I955" s="3" t="s">
        <v>58</v>
      </c>
      <c r="J955" s="3" t="s">
        <v>60</v>
      </c>
      <c r="K955" s="2" t="s">
        <v>11637</v>
      </c>
      <c r="L955" s="2" t="s">
        <v>12168</v>
      </c>
      <c r="M955" s="3" t="s">
        <v>2004</v>
      </c>
      <c r="O955" s="3" t="s">
        <v>63</v>
      </c>
      <c r="P955" s="3" t="s">
        <v>786</v>
      </c>
      <c r="R955" s="3" t="s">
        <v>65</v>
      </c>
      <c r="S955" s="4">
        <v>0</v>
      </c>
      <c r="T955" s="4">
        <v>0</v>
      </c>
      <c r="U955" s="5" t="s">
        <v>10579</v>
      </c>
      <c r="V955" s="5" t="s">
        <v>10579</v>
      </c>
      <c r="W955" s="5" t="s">
        <v>67</v>
      </c>
      <c r="X955" s="5" t="s">
        <v>67</v>
      </c>
      <c r="Y955" s="4">
        <v>84</v>
      </c>
      <c r="Z955" s="4">
        <v>60</v>
      </c>
      <c r="AA955" s="4">
        <v>62</v>
      </c>
      <c r="AB955" s="4">
        <v>1</v>
      </c>
      <c r="AC955" s="4">
        <v>1</v>
      </c>
      <c r="AD955" s="4">
        <v>2</v>
      </c>
      <c r="AE955" s="4">
        <v>2</v>
      </c>
      <c r="AF955" s="4">
        <v>0</v>
      </c>
      <c r="AG955" s="4">
        <v>0</v>
      </c>
      <c r="AH955" s="4">
        <v>1</v>
      </c>
      <c r="AI955" s="4">
        <v>1</v>
      </c>
      <c r="AJ955" s="4">
        <v>2</v>
      </c>
      <c r="AK955" s="4">
        <v>2</v>
      </c>
      <c r="AL955" s="4">
        <v>0</v>
      </c>
      <c r="AM955" s="4">
        <v>0</v>
      </c>
      <c r="AN955" s="4">
        <v>0</v>
      </c>
      <c r="AO955" s="4">
        <v>0</v>
      </c>
      <c r="AP955" s="3" t="s">
        <v>58</v>
      </c>
      <c r="AQ955" s="3" t="s">
        <v>68</v>
      </c>
      <c r="AR955" s="6" t="str">
        <f>HYPERLINK("http://catalog.hathitrust.org/Record/009522292","HathiTrust Record")</f>
        <v>HathiTrust Record</v>
      </c>
      <c r="AS955" s="6" t="str">
        <f>HYPERLINK("https://creighton-primo.hosted.exlibrisgroup.com/primo-explore/search?tab=default_tab&amp;search_scope=EVERYTHING&amp;vid=01CRU&amp;lang=en_US&amp;offset=0&amp;query=any,contains,991005222049702656","Catalog Record")</f>
        <v>Catalog Record</v>
      </c>
      <c r="AT955" s="6" t="str">
        <f>HYPERLINK("http://www.worldcat.org/oclc/1400659","WorldCat Record")</f>
        <v>WorldCat Record</v>
      </c>
      <c r="AU955" s="3" t="s">
        <v>12169</v>
      </c>
      <c r="AV955" s="3" t="s">
        <v>12170</v>
      </c>
      <c r="AW955" s="3" t="s">
        <v>12171</v>
      </c>
      <c r="AX955" s="3" t="s">
        <v>12171</v>
      </c>
      <c r="AY955" s="3" t="s">
        <v>12172</v>
      </c>
      <c r="AZ955" s="3" t="s">
        <v>73</v>
      </c>
      <c r="BC955" s="3" t="s">
        <v>12173</v>
      </c>
      <c r="BD955" s="3" t="s">
        <v>12174</v>
      </c>
    </row>
    <row r="956" spans="1:56" ht="51" customHeight="1" x14ac:dyDescent="0.25">
      <c r="A956" s="7" t="s">
        <v>58</v>
      </c>
      <c r="B956" s="2" t="s">
        <v>12175</v>
      </c>
      <c r="C956" s="2" t="s">
        <v>12176</v>
      </c>
      <c r="D956" s="2" t="s">
        <v>12177</v>
      </c>
      <c r="F956" s="3" t="s">
        <v>58</v>
      </c>
      <c r="G956" s="3" t="s">
        <v>59</v>
      </c>
      <c r="H956" s="3" t="s">
        <v>58</v>
      </c>
      <c r="I956" s="3" t="s">
        <v>58</v>
      </c>
      <c r="J956" s="3" t="s">
        <v>60</v>
      </c>
      <c r="K956" s="2" t="s">
        <v>12178</v>
      </c>
      <c r="L956" s="2" t="s">
        <v>12179</v>
      </c>
      <c r="M956" s="3" t="s">
        <v>1784</v>
      </c>
      <c r="O956" s="3" t="s">
        <v>63</v>
      </c>
      <c r="P956" s="3" t="s">
        <v>411</v>
      </c>
      <c r="R956" s="3" t="s">
        <v>65</v>
      </c>
      <c r="S956" s="4">
        <v>1</v>
      </c>
      <c r="T956" s="4">
        <v>1</v>
      </c>
      <c r="U956" s="5" t="s">
        <v>12180</v>
      </c>
      <c r="V956" s="5" t="s">
        <v>12180</v>
      </c>
      <c r="W956" s="5" t="s">
        <v>10968</v>
      </c>
      <c r="X956" s="5" t="s">
        <v>10968</v>
      </c>
      <c r="Y956" s="4">
        <v>16</v>
      </c>
      <c r="Z956" s="4">
        <v>13</v>
      </c>
      <c r="AA956" s="4">
        <v>731</v>
      </c>
      <c r="AB956" s="4">
        <v>1</v>
      </c>
      <c r="AC956" s="4">
        <v>5</v>
      </c>
      <c r="AD956" s="4">
        <v>0</v>
      </c>
      <c r="AE956" s="4">
        <v>40</v>
      </c>
      <c r="AF956" s="4">
        <v>0</v>
      </c>
      <c r="AG956" s="4">
        <v>17</v>
      </c>
      <c r="AH956" s="4">
        <v>0</v>
      </c>
      <c r="AI956" s="4">
        <v>7</v>
      </c>
      <c r="AJ956" s="4">
        <v>0</v>
      </c>
      <c r="AK956" s="4">
        <v>24</v>
      </c>
      <c r="AL956" s="4">
        <v>0</v>
      </c>
      <c r="AM956" s="4">
        <v>3</v>
      </c>
      <c r="AN956" s="4">
        <v>0</v>
      </c>
      <c r="AO956" s="4">
        <v>0</v>
      </c>
      <c r="AP956" s="3" t="s">
        <v>58</v>
      </c>
      <c r="AQ956" s="3" t="s">
        <v>58</v>
      </c>
      <c r="AS956" s="6" t="str">
        <f>HYPERLINK("https://creighton-primo.hosted.exlibrisgroup.com/primo-explore/search?tab=default_tab&amp;search_scope=EVERYTHING&amp;vid=01CRU&amp;lang=en_US&amp;offset=0&amp;query=any,contains,991005169559702656","Catalog Record")</f>
        <v>Catalog Record</v>
      </c>
      <c r="AT956" s="6" t="str">
        <f>HYPERLINK("http://www.worldcat.org/oclc/7839699","WorldCat Record")</f>
        <v>WorldCat Record</v>
      </c>
      <c r="AU956" s="3" t="s">
        <v>12181</v>
      </c>
      <c r="AV956" s="3" t="s">
        <v>12182</v>
      </c>
      <c r="AW956" s="3" t="s">
        <v>12183</v>
      </c>
      <c r="AX956" s="3" t="s">
        <v>12183</v>
      </c>
      <c r="AY956" s="3" t="s">
        <v>12184</v>
      </c>
      <c r="AZ956" s="3" t="s">
        <v>73</v>
      </c>
      <c r="BC956" s="3" t="s">
        <v>12185</v>
      </c>
      <c r="BD956" s="3" t="s">
        <v>12186</v>
      </c>
    </row>
    <row r="957" spans="1:56" ht="51" customHeight="1" x14ac:dyDescent="0.25">
      <c r="A957" s="7" t="s">
        <v>58</v>
      </c>
      <c r="B957" s="2" t="s">
        <v>12187</v>
      </c>
      <c r="C957" s="2" t="s">
        <v>12188</v>
      </c>
      <c r="D957" s="2" t="s">
        <v>12189</v>
      </c>
      <c r="F957" s="3" t="s">
        <v>58</v>
      </c>
      <c r="G957" s="3" t="s">
        <v>59</v>
      </c>
      <c r="H957" s="3" t="s">
        <v>58</v>
      </c>
      <c r="I957" s="3" t="s">
        <v>58</v>
      </c>
      <c r="J957" s="3" t="s">
        <v>60</v>
      </c>
      <c r="K957" s="2" t="s">
        <v>12190</v>
      </c>
      <c r="L957" s="2" t="s">
        <v>12191</v>
      </c>
      <c r="M957" s="3" t="s">
        <v>249</v>
      </c>
      <c r="O957" s="3" t="s">
        <v>63</v>
      </c>
      <c r="P957" s="3" t="s">
        <v>2061</v>
      </c>
      <c r="R957" s="3" t="s">
        <v>65</v>
      </c>
      <c r="S957" s="4">
        <v>3</v>
      </c>
      <c r="T957" s="4">
        <v>3</v>
      </c>
      <c r="U957" s="5" t="s">
        <v>3930</v>
      </c>
      <c r="V957" s="5" t="s">
        <v>3930</v>
      </c>
      <c r="W957" s="5" t="s">
        <v>67</v>
      </c>
      <c r="X957" s="5" t="s">
        <v>67</v>
      </c>
      <c r="Y957" s="4">
        <v>451</v>
      </c>
      <c r="Z957" s="4">
        <v>387</v>
      </c>
      <c r="AA957" s="4">
        <v>422</v>
      </c>
      <c r="AB957" s="4">
        <v>2</v>
      </c>
      <c r="AC957" s="4">
        <v>2</v>
      </c>
      <c r="AD957" s="4">
        <v>17</v>
      </c>
      <c r="AE957" s="4">
        <v>18</v>
      </c>
      <c r="AF957" s="4">
        <v>3</v>
      </c>
      <c r="AG957" s="4">
        <v>3</v>
      </c>
      <c r="AH957" s="4">
        <v>5</v>
      </c>
      <c r="AI957" s="4">
        <v>6</v>
      </c>
      <c r="AJ957" s="4">
        <v>11</v>
      </c>
      <c r="AK957" s="4">
        <v>12</v>
      </c>
      <c r="AL957" s="4">
        <v>1</v>
      </c>
      <c r="AM957" s="4">
        <v>1</v>
      </c>
      <c r="AN957" s="4">
        <v>0</v>
      </c>
      <c r="AO957" s="4">
        <v>0</v>
      </c>
      <c r="AP957" s="3" t="s">
        <v>58</v>
      </c>
      <c r="AQ957" s="3" t="s">
        <v>68</v>
      </c>
      <c r="AR957" s="6" t="str">
        <f>HYPERLINK("http://catalog.hathitrust.org/Record/001177253","HathiTrust Record")</f>
        <v>HathiTrust Record</v>
      </c>
      <c r="AS957" s="6" t="str">
        <f>HYPERLINK("https://creighton-primo.hosted.exlibrisgroup.com/primo-explore/search?tab=default_tab&amp;search_scope=EVERYTHING&amp;vid=01CRU&amp;lang=en_US&amp;offset=0&amp;query=any,contains,991003009789702656","Catalog Record")</f>
        <v>Catalog Record</v>
      </c>
      <c r="AT957" s="6" t="str">
        <f>HYPERLINK("http://www.worldcat.org/oclc/577029","WorldCat Record")</f>
        <v>WorldCat Record</v>
      </c>
      <c r="AU957" s="3" t="s">
        <v>12192</v>
      </c>
      <c r="AV957" s="3" t="s">
        <v>12193</v>
      </c>
      <c r="AW957" s="3" t="s">
        <v>12194</v>
      </c>
      <c r="AX957" s="3" t="s">
        <v>12194</v>
      </c>
      <c r="AY957" s="3" t="s">
        <v>12195</v>
      </c>
      <c r="AZ957" s="3" t="s">
        <v>73</v>
      </c>
      <c r="BC957" s="3" t="s">
        <v>12196</v>
      </c>
      <c r="BD957" s="3" t="s">
        <v>12197</v>
      </c>
    </row>
    <row r="958" spans="1:56" ht="51" customHeight="1" x14ac:dyDescent="0.25">
      <c r="A958" s="7" t="s">
        <v>58</v>
      </c>
      <c r="B958" s="2" t="s">
        <v>12198</v>
      </c>
      <c r="C958" s="2" t="s">
        <v>12199</v>
      </c>
      <c r="D958" s="2" t="s">
        <v>12200</v>
      </c>
      <c r="F958" s="3" t="s">
        <v>58</v>
      </c>
      <c r="G958" s="3" t="s">
        <v>59</v>
      </c>
      <c r="H958" s="3" t="s">
        <v>58</v>
      </c>
      <c r="I958" s="3" t="s">
        <v>58</v>
      </c>
      <c r="J958" s="3" t="s">
        <v>60</v>
      </c>
      <c r="K958" s="2" t="s">
        <v>12201</v>
      </c>
      <c r="L958" s="2" t="s">
        <v>12202</v>
      </c>
      <c r="M958" s="3" t="s">
        <v>12203</v>
      </c>
      <c r="O958" s="3" t="s">
        <v>63</v>
      </c>
      <c r="P958" s="3" t="s">
        <v>354</v>
      </c>
      <c r="R958" s="3" t="s">
        <v>65</v>
      </c>
      <c r="S958" s="4">
        <v>5</v>
      </c>
      <c r="T958" s="4">
        <v>5</v>
      </c>
      <c r="U958" s="5" t="s">
        <v>12204</v>
      </c>
      <c r="V958" s="5" t="s">
        <v>12204</v>
      </c>
      <c r="W958" s="5" t="s">
        <v>67</v>
      </c>
      <c r="X958" s="5" t="s">
        <v>67</v>
      </c>
      <c r="Y958" s="4">
        <v>1210</v>
      </c>
      <c r="Z958" s="4">
        <v>1010</v>
      </c>
      <c r="AA958" s="4">
        <v>1274</v>
      </c>
      <c r="AB958" s="4">
        <v>5</v>
      </c>
      <c r="AC958" s="4">
        <v>9</v>
      </c>
      <c r="AD958" s="4">
        <v>38</v>
      </c>
      <c r="AE958" s="4">
        <v>49</v>
      </c>
      <c r="AF958" s="4">
        <v>14</v>
      </c>
      <c r="AG958" s="4">
        <v>19</v>
      </c>
      <c r="AH958" s="4">
        <v>7</v>
      </c>
      <c r="AI958" s="4">
        <v>10</v>
      </c>
      <c r="AJ958" s="4">
        <v>20</v>
      </c>
      <c r="AK958" s="4">
        <v>24</v>
      </c>
      <c r="AL958" s="4">
        <v>4</v>
      </c>
      <c r="AM958" s="4">
        <v>6</v>
      </c>
      <c r="AN958" s="4">
        <v>1</v>
      </c>
      <c r="AO958" s="4">
        <v>1</v>
      </c>
      <c r="AP958" s="3" t="s">
        <v>58</v>
      </c>
      <c r="AQ958" s="3" t="s">
        <v>58</v>
      </c>
      <c r="AR958" s="6" t="str">
        <f>HYPERLINK("http://catalog.hathitrust.org/Record/001240515","HathiTrust Record")</f>
        <v>HathiTrust Record</v>
      </c>
      <c r="AS958" s="6" t="str">
        <f>HYPERLINK("https://creighton-primo.hosted.exlibrisgroup.com/primo-explore/search?tab=default_tab&amp;search_scope=EVERYTHING&amp;vid=01CRU&amp;lang=en_US&amp;offset=0&amp;query=any,contains,991002678169702656","Catalog Record")</f>
        <v>Catalog Record</v>
      </c>
      <c r="AT958" s="6" t="str">
        <f>HYPERLINK("http://www.worldcat.org/oclc/397585","WorldCat Record")</f>
        <v>WorldCat Record</v>
      </c>
      <c r="AU958" s="3" t="s">
        <v>12205</v>
      </c>
      <c r="AV958" s="3" t="s">
        <v>12206</v>
      </c>
      <c r="AW958" s="3" t="s">
        <v>12207</v>
      </c>
      <c r="AX958" s="3" t="s">
        <v>12207</v>
      </c>
      <c r="AY958" s="3" t="s">
        <v>12208</v>
      </c>
      <c r="AZ958" s="3" t="s">
        <v>73</v>
      </c>
      <c r="BC958" s="3" t="s">
        <v>12209</v>
      </c>
      <c r="BD958" s="3" t="s">
        <v>12210</v>
      </c>
    </row>
    <row r="959" spans="1:56" ht="51" customHeight="1" x14ac:dyDescent="0.25">
      <c r="A959" s="7" t="s">
        <v>58</v>
      </c>
      <c r="B959" s="2" t="s">
        <v>12211</v>
      </c>
      <c r="C959" s="2" t="s">
        <v>12212</v>
      </c>
      <c r="D959" s="2" t="s">
        <v>12213</v>
      </c>
      <c r="F959" s="3" t="s">
        <v>58</v>
      </c>
      <c r="G959" s="3" t="s">
        <v>59</v>
      </c>
      <c r="H959" s="3" t="s">
        <v>58</v>
      </c>
      <c r="I959" s="3" t="s">
        <v>58</v>
      </c>
      <c r="J959" s="3" t="s">
        <v>60</v>
      </c>
      <c r="K959" s="2" t="s">
        <v>12214</v>
      </c>
      <c r="L959" s="2" t="s">
        <v>12215</v>
      </c>
      <c r="M959" s="3" t="s">
        <v>884</v>
      </c>
      <c r="O959" s="3" t="s">
        <v>63</v>
      </c>
      <c r="P959" s="3" t="s">
        <v>411</v>
      </c>
      <c r="Q959" s="2" t="s">
        <v>12216</v>
      </c>
      <c r="R959" s="3" t="s">
        <v>65</v>
      </c>
      <c r="S959" s="4">
        <v>6</v>
      </c>
      <c r="T959" s="4">
        <v>6</v>
      </c>
      <c r="U959" s="5" t="s">
        <v>12217</v>
      </c>
      <c r="V959" s="5" t="s">
        <v>12217</v>
      </c>
      <c r="W959" s="5" t="s">
        <v>733</v>
      </c>
      <c r="X959" s="5" t="s">
        <v>733</v>
      </c>
      <c r="Y959" s="4">
        <v>629</v>
      </c>
      <c r="Z959" s="4">
        <v>525</v>
      </c>
      <c r="AA959" s="4">
        <v>631</v>
      </c>
      <c r="AB959" s="4">
        <v>4</v>
      </c>
      <c r="AC959" s="4">
        <v>4</v>
      </c>
      <c r="AD959" s="4">
        <v>24</v>
      </c>
      <c r="AE959" s="4">
        <v>30</v>
      </c>
      <c r="AF959" s="4">
        <v>7</v>
      </c>
      <c r="AG959" s="4">
        <v>10</v>
      </c>
      <c r="AH959" s="4">
        <v>6</v>
      </c>
      <c r="AI959" s="4">
        <v>7</v>
      </c>
      <c r="AJ959" s="4">
        <v>12</v>
      </c>
      <c r="AK959" s="4">
        <v>17</v>
      </c>
      <c r="AL959" s="4">
        <v>3</v>
      </c>
      <c r="AM959" s="4">
        <v>3</v>
      </c>
      <c r="AN959" s="4">
        <v>0</v>
      </c>
      <c r="AO959" s="4">
        <v>0</v>
      </c>
      <c r="AP959" s="3" t="s">
        <v>58</v>
      </c>
      <c r="AQ959" s="3" t="s">
        <v>58</v>
      </c>
      <c r="AS959" s="6" t="str">
        <f>HYPERLINK("https://creighton-primo.hosted.exlibrisgroup.com/primo-explore/search?tab=default_tab&amp;search_scope=EVERYTHING&amp;vid=01CRU&amp;lang=en_US&amp;offset=0&amp;query=any,contains,991004739059702656","Catalog Record")</f>
        <v>Catalog Record</v>
      </c>
      <c r="AT959" s="6" t="str">
        <f>HYPERLINK("http://www.worldcat.org/oclc/4872395","WorldCat Record")</f>
        <v>WorldCat Record</v>
      </c>
      <c r="AU959" s="3" t="s">
        <v>12218</v>
      </c>
      <c r="AV959" s="3" t="s">
        <v>12219</v>
      </c>
      <c r="AW959" s="3" t="s">
        <v>12220</v>
      </c>
      <c r="AX959" s="3" t="s">
        <v>12220</v>
      </c>
      <c r="AY959" s="3" t="s">
        <v>12221</v>
      </c>
      <c r="AZ959" s="3" t="s">
        <v>73</v>
      </c>
      <c r="BC959" s="3" t="s">
        <v>12222</v>
      </c>
      <c r="BD959" s="3" t="s">
        <v>12223</v>
      </c>
    </row>
    <row r="960" spans="1:56" ht="51" customHeight="1" x14ac:dyDescent="0.25">
      <c r="A960" s="7" t="s">
        <v>58</v>
      </c>
      <c r="B960" s="2" t="s">
        <v>12224</v>
      </c>
      <c r="C960" s="2" t="s">
        <v>12225</v>
      </c>
      <c r="D960" s="2" t="s">
        <v>12226</v>
      </c>
      <c r="F960" s="3" t="s">
        <v>58</v>
      </c>
      <c r="G960" s="3" t="s">
        <v>59</v>
      </c>
      <c r="H960" s="3" t="s">
        <v>58</v>
      </c>
      <c r="I960" s="3" t="s">
        <v>58</v>
      </c>
      <c r="J960" s="3" t="s">
        <v>60</v>
      </c>
      <c r="K960" s="2" t="s">
        <v>12227</v>
      </c>
      <c r="L960" s="2" t="s">
        <v>11147</v>
      </c>
      <c r="M960" s="3" t="s">
        <v>1091</v>
      </c>
      <c r="O960" s="3" t="s">
        <v>63</v>
      </c>
      <c r="P960" s="3" t="s">
        <v>9271</v>
      </c>
      <c r="R960" s="3" t="s">
        <v>65</v>
      </c>
      <c r="S960" s="4">
        <v>4</v>
      </c>
      <c r="T960" s="4">
        <v>4</v>
      </c>
      <c r="U960" s="5" t="s">
        <v>12228</v>
      </c>
      <c r="V960" s="5" t="s">
        <v>12228</v>
      </c>
      <c r="W960" s="5" t="s">
        <v>953</v>
      </c>
      <c r="X960" s="5" t="s">
        <v>953</v>
      </c>
      <c r="Y960" s="4">
        <v>187</v>
      </c>
      <c r="Z960" s="4">
        <v>156</v>
      </c>
      <c r="AA960" s="4">
        <v>157</v>
      </c>
      <c r="AB960" s="4">
        <v>3</v>
      </c>
      <c r="AC960" s="4">
        <v>3</v>
      </c>
      <c r="AD960" s="4">
        <v>11</v>
      </c>
      <c r="AE960" s="4">
        <v>11</v>
      </c>
      <c r="AF960" s="4">
        <v>1</v>
      </c>
      <c r="AG960" s="4">
        <v>1</v>
      </c>
      <c r="AH960" s="4">
        <v>4</v>
      </c>
      <c r="AI960" s="4">
        <v>4</v>
      </c>
      <c r="AJ960" s="4">
        <v>7</v>
      </c>
      <c r="AK960" s="4">
        <v>7</v>
      </c>
      <c r="AL960" s="4">
        <v>2</v>
      </c>
      <c r="AM960" s="4">
        <v>2</v>
      </c>
      <c r="AN960" s="4">
        <v>0</v>
      </c>
      <c r="AO960" s="4">
        <v>0</v>
      </c>
      <c r="AP960" s="3" t="s">
        <v>58</v>
      </c>
      <c r="AQ960" s="3" t="s">
        <v>68</v>
      </c>
      <c r="AR960" s="6" t="str">
        <f>HYPERLINK("http://catalog.hathitrust.org/Record/003558270","HathiTrust Record")</f>
        <v>HathiTrust Record</v>
      </c>
      <c r="AS960" s="6" t="str">
        <f>HYPERLINK("https://creighton-primo.hosted.exlibrisgroup.com/primo-explore/search?tab=default_tab&amp;search_scope=EVERYTHING&amp;vid=01CRU&amp;lang=en_US&amp;offset=0&amp;query=any,contains,991003742749702656","Catalog Record")</f>
        <v>Catalog Record</v>
      </c>
      <c r="AT960" s="6" t="str">
        <f>HYPERLINK("http://www.worldcat.org/oclc/46733718","WorldCat Record")</f>
        <v>WorldCat Record</v>
      </c>
      <c r="AU960" s="3" t="s">
        <v>12229</v>
      </c>
      <c r="AV960" s="3" t="s">
        <v>12230</v>
      </c>
      <c r="AW960" s="3" t="s">
        <v>12231</v>
      </c>
      <c r="AX960" s="3" t="s">
        <v>12231</v>
      </c>
      <c r="AY960" s="3" t="s">
        <v>12232</v>
      </c>
      <c r="AZ960" s="3" t="s">
        <v>73</v>
      </c>
      <c r="BB960" s="3" t="s">
        <v>12233</v>
      </c>
      <c r="BC960" s="3" t="s">
        <v>12234</v>
      </c>
      <c r="BD960" s="3" t="s">
        <v>12235</v>
      </c>
    </row>
    <row r="961" spans="1:56" ht="51" customHeight="1" x14ac:dyDescent="0.25">
      <c r="A961" s="7" t="s">
        <v>58</v>
      </c>
      <c r="B961" s="2" t="s">
        <v>12236</v>
      </c>
      <c r="C961" s="2" t="s">
        <v>12237</v>
      </c>
      <c r="D961" s="2" t="s">
        <v>12238</v>
      </c>
      <c r="F961" s="3" t="s">
        <v>58</v>
      </c>
      <c r="G961" s="3" t="s">
        <v>59</v>
      </c>
      <c r="H961" s="3" t="s">
        <v>58</v>
      </c>
      <c r="I961" s="3" t="s">
        <v>58</v>
      </c>
      <c r="J961" s="3" t="s">
        <v>60</v>
      </c>
      <c r="K961" s="2" t="s">
        <v>12239</v>
      </c>
      <c r="L961" s="2" t="s">
        <v>12240</v>
      </c>
      <c r="M961" s="3" t="s">
        <v>759</v>
      </c>
      <c r="O961" s="3" t="s">
        <v>63</v>
      </c>
      <c r="P961" s="3" t="s">
        <v>555</v>
      </c>
      <c r="Q961" s="2" t="s">
        <v>12241</v>
      </c>
      <c r="R961" s="3" t="s">
        <v>65</v>
      </c>
      <c r="S961" s="4">
        <v>0</v>
      </c>
      <c r="T961" s="4">
        <v>0</v>
      </c>
      <c r="U961" s="5" t="s">
        <v>12242</v>
      </c>
      <c r="V961" s="5" t="s">
        <v>12242</v>
      </c>
      <c r="W961" s="5" t="s">
        <v>10968</v>
      </c>
      <c r="X961" s="5" t="s">
        <v>10968</v>
      </c>
      <c r="Y961" s="4">
        <v>3</v>
      </c>
      <c r="Z961" s="4">
        <v>2</v>
      </c>
      <c r="AA961" s="4">
        <v>5</v>
      </c>
      <c r="AB961" s="4">
        <v>1</v>
      </c>
      <c r="AC961" s="4">
        <v>1</v>
      </c>
      <c r="AD961" s="4">
        <v>0</v>
      </c>
      <c r="AE961" s="4">
        <v>0</v>
      </c>
      <c r="AF961" s="4">
        <v>0</v>
      </c>
      <c r="AG961" s="4">
        <v>0</v>
      </c>
      <c r="AH961" s="4">
        <v>0</v>
      </c>
      <c r="AI961" s="4">
        <v>0</v>
      </c>
      <c r="AJ961" s="4">
        <v>0</v>
      </c>
      <c r="AK961" s="4">
        <v>0</v>
      </c>
      <c r="AL961" s="4">
        <v>0</v>
      </c>
      <c r="AM961" s="4">
        <v>0</v>
      </c>
      <c r="AN961" s="4">
        <v>0</v>
      </c>
      <c r="AO961" s="4">
        <v>0</v>
      </c>
      <c r="AP961" s="3" t="s">
        <v>58</v>
      </c>
      <c r="AQ961" s="3" t="s">
        <v>58</v>
      </c>
      <c r="AS961" s="6" t="str">
        <f>HYPERLINK("https://creighton-primo.hosted.exlibrisgroup.com/primo-explore/search?tab=default_tab&amp;search_scope=EVERYTHING&amp;vid=01CRU&amp;lang=en_US&amp;offset=0&amp;query=any,contains,991000599989702656","Catalog Record")</f>
        <v>Catalog Record</v>
      </c>
      <c r="AT961" s="6" t="str">
        <f>HYPERLINK("http://www.worldcat.org/oclc/11839257","WorldCat Record")</f>
        <v>WorldCat Record</v>
      </c>
      <c r="AU961" s="3" t="s">
        <v>12243</v>
      </c>
      <c r="AV961" s="3" t="s">
        <v>12244</v>
      </c>
      <c r="AW961" s="3" t="s">
        <v>12245</v>
      </c>
      <c r="AX961" s="3" t="s">
        <v>12245</v>
      </c>
      <c r="AY961" s="3" t="s">
        <v>12246</v>
      </c>
      <c r="AZ961" s="3" t="s">
        <v>73</v>
      </c>
      <c r="BC961" s="3" t="s">
        <v>12247</v>
      </c>
      <c r="BD961" s="3" t="s">
        <v>12248</v>
      </c>
    </row>
    <row r="962" spans="1:56" ht="51" customHeight="1" x14ac:dyDescent="0.25">
      <c r="A962" s="7" t="s">
        <v>58</v>
      </c>
      <c r="B962" s="2" t="s">
        <v>12249</v>
      </c>
      <c r="C962" s="2" t="s">
        <v>12250</v>
      </c>
      <c r="D962" s="2" t="s">
        <v>12251</v>
      </c>
      <c r="F962" s="3" t="s">
        <v>58</v>
      </c>
      <c r="G962" s="3" t="s">
        <v>59</v>
      </c>
      <c r="H962" s="3" t="s">
        <v>58</v>
      </c>
      <c r="I962" s="3" t="s">
        <v>58</v>
      </c>
      <c r="J962" s="3" t="s">
        <v>60</v>
      </c>
      <c r="K962" s="2" t="s">
        <v>11649</v>
      </c>
      <c r="L962" s="2" t="s">
        <v>12252</v>
      </c>
      <c r="M962" s="3" t="s">
        <v>196</v>
      </c>
      <c r="O962" s="3" t="s">
        <v>63</v>
      </c>
      <c r="P962" s="3" t="s">
        <v>981</v>
      </c>
      <c r="Q962" s="2" t="s">
        <v>12253</v>
      </c>
      <c r="R962" s="3" t="s">
        <v>65</v>
      </c>
      <c r="S962" s="4">
        <v>4</v>
      </c>
      <c r="T962" s="4">
        <v>4</v>
      </c>
      <c r="U962" s="5" t="s">
        <v>6132</v>
      </c>
      <c r="V962" s="5" t="s">
        <v>6132</v>
      </c>
      <c r="W962" s="5" t="s">
        <v>12254</v>
      </c>
      <c r="X962" s="5" t="s">
        <v>12254</v>
      </c>
      <c r="Y962" s="4">
        <v>184</v>
      </c>
      <c r="Z962" s="4">
        <v>125</v>
      </c>
      <c r="AA962" s="4">
        <v>139</v>
      </c>
      <c r="AB962" s="4">
        <v>2</v>
      </c>
      <c r="AC962" s="4">
        <v>2</v>
      </c>
      <c r="AD962" s="4">
        <v>7</v>
      </c>
      <c r="AE962" s="4">
        <v>8</v>
      </c>
      <c r="AF962" s="4">
        <v>0</v>
      </c>
      <c r="AG962" s="4">
        <v>0</v>
      </c>
      <c r="AH962" s="4">
        <v>3</v>
      </c>
      <c r="AI962" s="4">
        <v>4</v>
      </c>
      <c r="AJ962" s="4">
        <v>3</v>
      </c>
      <c r="AK962" s="4">
        <v>4</v>
      </c>
      <c r="AL962" s="4">
        <v>1</v>
      </c>
      <c r="AM962" s="4">
        <v>1</v>
      </c>
      <c r="AN962" s="4">
        <v>0</v>
      </c>
      <c r="AO962" s="4">
        <v>0</v>
      </c>
      <c r="AP962" s="3" t="s">
        <v>58</v>
      </c>
      <c r="AQ962" s="3" t="s">
        <v>58</v>
      </c>
      <c r="AS962" s="6" t="str">
        <f>HYPERLINK("https://creighton-primo.hosted.exlibrisgroup.com/primo-explore/search?tab=default_tab&amp;search_scope=EVERYTHING&amp;vid=01CRU&amp;lang=en_US&amp;offset=0&amp;query=any,contains,991002600859702656","Catalog Record")</f>
        <v>Catalog Record</v>
      </c>
      <c r="AT962" s="6" t="str">
        <f>HYPERLINK("http://www.worldcat.org/oclc/34077204","WorldCat Record")</f>
        <v>WorldCat Record</v>
      </c>
      <c r="AU962" s="3" t="s">
        <v>12255</v>
      </c>
      <c r="AV962" s="3" t="s">
        <v>12256</v>
      </c>
      <c r="AW962" s="3" t="s">
        <v>12257</v>
      </c>
      <c r="AX962" s="3" t="s">
        <v>12257</v>
      </c>
      <c r="AY962" s="3" t="s">
        <v>12258</v>
      </c>
      <c r="AZ962" s="3" t="s">
        <v>73</v>
      </c>
      <c r="BB962" s="3" t="s">
        <v>12259</v>
      </c>
      <c r="BC962" s="3" t="s">
        <v>12260</v>
      </c>
      <c r="BD962" s="3" t="s">
        <v>12261</v>
      </c>
    </row>
    <row r="963" spans="1:56" ht="51" customHeight="1" x14ac:dyDescent="0.25">
      <c r="A963" s="7" t="s">
        <v>58</v>
      </c>
      <c r="B963" s="2" t="s">
        <v>12262</v>
      </c>
      <c r="C963" s="2" t="s">
        <v>12263</v>
      </c>
      <c r="D963" s="2" t="s">
        <v>12264</v>
      </c>
      <c r="F963" s="3" t="s">
        <v>58</v>
      </c>
      <c r="G963" s="3" t="s">
        <v>59</v>
      </c>
      <c r="H963" s="3" t="s">
        <v>58</v>
      </c>
      <c r="I963" s="3" t="s">
        <v>58</v>
      </c>
      <c r="J963" s="3" t="s">
        <v>60</v>
      </c>
      <c r="K963" s="2" t="s">
        <v>12265</v>
      </c>
      <c r="L963" s="2" t="s">
        <v>12266</v>
      </c>
      <c r="M963" s="3" t="s">
        <v>101</v>
      </c>
      <c r="O963" s="3" t="s">
        <v>63</v>
      </c>
      <c r="P963" s="3" t="s">
        <v>584</v>
      </c>
      <c r="Q963" s="2" t="s">
        <v>12267</v>
      </c>
      <c r="R963" s="3" t="s">
        <v>65</v>
      </c>
      <c r="S963" s="4">
        <v>5</v>
      </c>
      <c r="T963" s="4">
        <v>5</v>
      </c>
      <c r="U963" s="5" t="s">
        <v>12268</v>
      </c>
      <c r="V963" s="5" t="s">
        <v>12268</v>
      </c>
      <c r="W963" s="5" t="s">
        <v>585</v>
      </c>
      <c r="X963" s="5" t="s">
        <v>585</v>
      </c>
      <c r="Y963" s="4">
        <v>168</v>
      </c>
      <c r="Z963" s="4">
        <v>105</v>
      </c>
      <c r="AA963" s="4">
        <v>108</v>
      </c>
      <c r="AB963" s="4">
        <v>2</v>
      </c>
      <c r="AC963" s="4">
        <v>2</v>
      </c>
      <c r="AD963" s="4">
        <v>8</v>
      </c>
      <c r="AE963" s="4">
        <v>8</v>
      </c>
      <c r="AF963" s="4">
        <v>0</v>
      </c>
      <c r="AG963" s="4">
        <v>0</v>
      </c>
      <c r="AH963" s="4">
        <v>4</v>
      </c>
      <c r="AI963" s="4">
        <v>4</v>
      </c>
      <c r="AJ963" s="4">
        <v>5</v>
      </c>
      <c r="AK963" s="4">
        <v>5</v>
      </c>
      <c r="AL963" s="4">
        <v>1</v>
      </c>
      <c r="AM963" s="4">
        <v>1</v>
      </c>
      <c r="AN963" s="4">
        <v>0</v>
      </c>
      <c r="AO963" s="4">
        <v>0</v>
      </c>
      <c r="AP963" s="3" t="s">
        <v>58</v>
      </c>
      <c r="AQ963" s="3" t="s">
        <v>68</v>
      </c>
      <c r="AR963" s="6" t="str">
        <f>HYPERLINK("http://catalog.hathitrust.org/Record/000459584","HathiTrust Record")</f>
        <v>HathiTrust Record</v>
      </c>
      <c r="AS963" s="6" t="str">
        <f>HYPERLINK("https://creighton-primo.hosted.exlibrisgroup.com/primo-explore/search?tab=default_tab&amp;search_scope=EVERYTHING&amp;vid=01CRU&amp;lang=en_US&amp;offset=0&amp;query=any,contains,991000682989702656","Catalog Record")</f>
        <v>Catalog Record</v>
      </c>
      <c r="AT963" s="6" t="str">
        <f>HYPERLINK("http://www.worldcat.org/oclc/12418810","WorldCat Record")</f>
        <v>WorldCat Record</v>
      </c>
      <c r="AU963" s="3" t="s">
        <v>12269</v>
      </c>
      <c r="AV963" s="3" t="s">
        <v>12270</v>
      </c>
      <c r="AW963" s="3" t="s">
        <v>12271</v>
      </c>
      <c r="AX963" s="3" t="s">
        <v>12271</v>
      </c>
      <c r="AY963" s="3" t="s">
        <v>12272</v>
      </c>
      <c r="AZ963" s="3" t="s">
        <v>73</v>
      </c>
      <c r="BB963" s="3" t="s">
        <v>12273</v>
      </c>
      <c r="BC963" s="3" t="s">
        <v>12274</v>
      </c>
      <c r="BD963" s="3" t="s">
        <v>12275</v>
      </c>
    </row>
    <row r="964" spans="1:56" ht="51" customHeight="1" x14ac:dyDescent="0.25">
      <c r="A964" s="7" t="s">
        <v>58</v>
      </c>
      <c r="B964" s="2" t="s">
        <v>12276</v>
      </c>
      <c r="C964" s="2" t="s">
        <v>12277</v>
      </c>
      <c r="D964" s="2" t="s">
        <v>12278</v>
      </c>
      <c r="F964" s="3" t="s">
        <v>58</v>
      </c>
      <c r="G964" s="3" t="s">
        <v>59</v>
      </c>
      <c r="H964" s="3" t="s">
        <v>58</v>
      </c>
      <c r="I964" s="3" t="s">
        <v>58</v>
      </c>
      <c r="J964" s="3" t="s">
        <v>60</v>
      </c>
      <c r="K964" s="2" t="s">
        <v>12279</v>
      </c>
      <c r="L964" s="2" t="s">
        <v>12280</v>
      </c>
      <c r="M964" s="3" t="s">
        <v>1357</v>
      </c>
      <c r="N964" s="2" t="s">
        <v>9846</v>
      </c>
      <c r="O964" s="3" t="s">
        <v>63</v>
      </c>
      <c r="P964" s="3" t="s">
        <v>411</v>
      </c>
      <c r="R964" s="3" t="s">
        <v>65</v>
      </c>
      <c r="S964" s="4">
        <v>3</v>
      </c>
      <c r="T964" s="4">
        <v>3</v>
      </c>
      <c r="U964" s="5" t="s">
        <v>12281</v>
      </c>
      <c r="V964" s="5" t="s">
        <v>12281</v>
      </c>
      <c r="W964" s="5" t="s">
        <v>67</v>
      </c>
      <c r="X964" s="5" t="s">
        <v>67</v>
      </c>
      <c r="Y964" s="4">
        <v>642</v>
      </c>
      <c r="Z964" s="4">
        <v>588</v>
      </c>
      <c r="AA964" s="4">
        <v>786</v>
      </c>
      <c r="AB964" s="4">
        <v>5</v>
      </c>
      <c r="AC964" s="4">
        <v>5</v>
      </c>
      <c r="AD964" s="4">
        <v>25</v>
      </c>
      <c r="AE964" s="4">
        <v>34</v>
      </c>
      <c r="AF964" s="4">
        <v>8</v>
      </c>
      <c r="AG964" s="4">
        <v>14</v>
      </c>
      <c r="AH964" s="4">
        <v>7</v>
      </c>
      <c r="AI964" s="4">
        <v>8</v>
      </c>
      <c r="AJ964" s="4">
        <v>11</v>
      </c>
      <c r="AK964" s="4">
        <v>15</v>
      </c>
      <c r="AL964" s="4">
        <v>4</v>
      </c>
      <c r="AM964" s="4">
        <v>4</v>
      </c>
      <c r="AN964" s="4">
        <v>0</v>
      </c>
      <c r="AO964" s="4">
        <v>0</v>
      </c>
      <c r="AP964" s="3" t="s">
        <v>58</v>
      </c>
      <c r="AQ964" s="3" t="s">
        <v>58</v>
      </c>
      <c r="AS964" s="6" t="str">
        <f>HYPERLINK("https://creighton-primo.hosted.exlibrisgroup.com/primo-explore/search?tab=default_tab&amp;search_scope=EVERYTHING&amp;vid=01CRU&amp;lang=en_US&amp;offset=0&amp;query=any,contains,991000624429702656","Catalog Record")</f>
        <v>Catalog Record</v>
      </c>
      <c r="AT964" s="6" t="str">
        <f>HYPERLINK("http://www.worldcat.org/oclc/103604","WorldCat Record")</f>
        <v>WorldCat Record</v>
      </c>
      <c r="AU964" s="3" t="s">
        <v>12282</v>
      </c>
      <c r="AV964" s="3" t="s">
        <v>12283</v>
      </c>
      <c r="AW964" s="3" t="s">
        <v>12284</v>
      </c>
      <c r="AX964" s="3" t="s">
        <v>12284</v>
      </c>
      <c r="AY964" s="3" t="s">
        <v>12285</v>
      </c>
      <c r="AZ964" s="3" t="s">
        <v>73</v>
      </c>
      <c r="BB964" s="3" t="s">
        <v>12286</v>
      </c>
      <c r="BC964" s="3" t="s">
        <v>12287</v>
      </c>
      <c r="BD964" s="3" t="s">
        <v>12288</v>
      </c>
    </row>
    <row r="965" spans="1:56" ht="51" customHeight="1" x14ac:dyDescent="0.25">
      <c r="A965" s="7" t="s">
        <v>58</v>
      </c>
      <c r="B965" s="2" t="s">
        <v>12289</v>
      </c>
      <c r="C965" s="2" t="s">
        <v>12290</v>
      </c>
      <c r="D965" s="2" t="s">
        <v>12291</v>
      </c>
      <c r="F965" s="3" t="s">
        <v>58</v>
      </c>
      <c r="G965" s="3" t="s">
        <v>59</v>
      </c>
      <c r="H965" s="3" t="s">
        <v>58</v>
      </c>
      <c r="I965" s="3" t="s">
        <v>58</v>
      </c>
      <c r="J965" s="3" t="s">
        <v>60</v>
      </c>
      <c r="K965" s="2" t="s">
        <v>12292</v>
      </c>
      <c r="L965" s="2" t="s">
        <v>12293</v>
      </c>
      <c r="M965" s="3" t="s">
        <v>759</v>
      </c>
      <c r="N965" s="2" t="s">
        <v>12294</v>
      </c>
      <c r="O965" s="3" t="s">
        <v>63</v>
      </c>
      <c r="P965" s="3" t="s">
        <v>9271</v>
      </c>
      <c r="R965" s="3" t="s">
        <v>65</v>
      </c>
      <c r="S965" s="4">
        <v>2</v>
      </c>
      <c r="T965" s="4">
        <v>2</v>
      </c>
      <c r="U965" s="5" t="s">
        <v>12295</v>
      </c>
      <c r="V965" s="5" t="s">
        <v>12295</v>
      </c>
      <c r="W965" s="5" t="s">
        <v>10968</v>
      </c>
      <c r="X965" s="5" t="s">
        <v>10968</v>
      </c>
      <c r="Y965" s="4">
        <v>9</v>
      </c>
      <c r="Z965" s="4">
        <v>9</v>
      </c>
      <c r="AA965" s="4">
        <v>58</v>
      </c>
      <c r="AB965" s="4">
        <v>1</v>
      </c>
      <c r="AC965" s="4">
        <v>1</v>
      </c>
      <c r="AD965" s="4">
        <v>1</v>
      </c>
      <c r="AE965" s="4">
        <v>2</v>
      </c>
      <c r="AF965" s="4">
        <v>0</v>
      </c>
      <c r="AG965" s="4">
        <v>0</v>
      </c>
      <c r="AH965" s="4">
        <v>1</v>
      </c>
      <c r="AI965" s="4">
        <v>1</v>
      </c>
      <c r="AJ965" s="4">
        <v>1</v>
      </c>
      <c r="AK965" s="4">
        <v>2</v>
      </c>
      <c r="AL965" s="4">
        <v>0</v>
      </c>
      <c r="AM965" s="4">
        <v>0</v>
      </c>
      <c r="AN965" s="4">
        <v>0</v>
      </c>
      <c r="AO965" s="4">
        <v>0</v>
      </c>
      <c r="AP965" s="3" t="s">
        <v>68</v>
      </c>
      <c r="AQ965" s="3" t="s">
        <v>58</v>
      </c>
      <c r="AR965" s="6" t="str">
        <f>HYPERLINK("http://catalog.hathitrust.org/Record/100644483","HathiTrust Record")</f>
        <v>HathiTrust Record</v>
      </c>
      <c r="AS965" s="6" t="str">
        <f>HYPERLINK("https://creighton-primo.hosted.exlibrisgroup.com/primo-explore/search?tab=default_tab&amp;search_scope=EVERYTHING&amp;vid=01CRU&amp;lang=en_US&amp;offset=0&amp;query=any,contains,991000211109702656","Catalog Record")</f>
        <v>Catalog Record</v>
      </c>
      <c r="AT965" s="6" t="str">
        <f>HYPERLINK("http://www.worldcat.org/oclc/9540017","WorldCat Record")</f>
        <v>WorldCat Record</v>
      </c>
      <c r="AU965" s="3" t="s">
        <v>12296</v>
      </c>
      <c r="AV965" s="3" t="s">
        <v>12297</v>
      </c>
      <c r="AW965" s="3" t="s">
        <v>12298</v>
      </c>
      <c r="AX965" s="3" t="s">
        <v>12298</v>
      </c>
      <c r="AY965" s="3" t="s">
        <v>12299</v>
      </c>
      <c r="AZ965" s="3" t="s">
        <v>73</v>
      </c>
      <c r="BC965" s="3" t="s">
        <v>12300</v>
      </c>
      <c r="BD965" s="3" t="s">
        <v>12301</v>
      </c>
    </row>
    <row r="966" spans="1:56" ht="51" customHeight="1" x14ac:dyDescent="0.25">
      <c r="A966" s="7" t="s">
        <v>58</v>
      </c>
      <c r="B966" s="2" t="s">
        <v>12302</v>
      </c>
      <c r="C966" s="2" t="s">
        <v>12303</v>
      </c>
      <c r="D966" s="2" t="s">
        <v>12304</v>
      </c>
      <c r="F966" s="3" t="s">
        <v>58</v>
      </c>
      <c r="G966" s="3" t="s">
        <v>59</v>
      </c>
      <c r="H966" s="3" t="s">
        <v>58</v>
      </c>
      <c r="I966" s="3" t="s">
        <v>58</v>
      </c>
      <c r="J966" s="3" t="s">
        <v>60</v>
      </c>
      <c r="K966" s="2" t="s">
        <v>12305</v>
      </c>
      <c r="L966" s="2" t="s">
        <v>12306</v>
      </c>
      <c r="M966" s="3" t="s">
        <v>261</v>
      </c>
      <c r="O966" s="3" t="s">
        <v>63</v>
      </c>
      <c r="P966" s="3" t="s">
        <v>214</v>
      </c>
      <c r="R966" s="3" t="s">
        <v>65</v>
      </c>
      <c r="S966" s="4">
        <v>3</v>
      </c>
      <c r="T966" s="4">
        <v>3</v>
      </c>
      <c r="U966" s="5" t="s">
        <v>12307</v>
      </c>
      <c r="V966" s="5" t="s">
        <v>12307</v>
      </c>
      <c r="W966" s="5" t="s">
        <v>67</v>
      </c>
      <c r="X966" s="5" t="s">
        <v>67</v>
      </c>
      <c r="Y966" s="4">
        <v>76</v>
      </c>
      <c r="Z966" s="4">
        <v>57</v>
      </c>
      <c r="AA966" s="4">
        <v>57</v>
      </c>
      <c r="AB966" s="4">
        <v>1</v>
      </c>
      <c r="AC966" s="4">
        <v>1</v>
      </c>
      <c r="AD966" s="4">
        <v>4</v>
      </c>
      <c r="AE966" s="4">
        <v>4</v>
      </c>
      <c r="AF966" s="4">
        <v>2</v>
      </c>
      <c r="AG966" s="4">
        <v>2</v>
      </c>
      <c r="AH966" s="4">
        <v>1</v>
      </c>
      <c r="AI966" s="4">
        <v>1</v>
      </c>
      <c r="AJ966" s="4">
        <v>3</v>
      </c>
      <c r="AK966" s="4">
        <v>3</v>
      </c>
      <c r="AL966" s="4">
        <v>0</v>
      </c>
      <c r="AM966" s="4">
        <v>0</v>
      </c>
      <c r="AN966" s="4">
        <v>0</v>
      </c>
      <c r="AO966" s="4">
        <v>0</v>
      </c>
      <c r="AP966" s="3" t="s">
        <v>58</v>
      </c>
      <c r="AQ966" s="3" t="s">
        <v>58</v>
      </c>
      <c r="AS966" s="6" t="str">
        <f>HYPERLINK("https://creighton-primo.hosted.exlibrisgroup.com/primo-explore/search?tab=default_tab&amp;search_scope=EVERYTHING&amp;vid=01CRU&amp;lang=en_US&amp;offset=0&amp;query=any,contains,991003788829702656","Catalog Record")</f>
        <v>Catalog Record</v>
      </c>
      <c r="AT966" s="6" t="str">
        <f>HYPERLINK("http://www.worldcat.org/oclc/1506202","WorldCat Record")</f>
        <v>WorldCat Record</v>
      </c>
      <c r="AU966" s="3" t="s">
        <v>12308</v>
      </c>
      <c r="AV966" s="3" t="s">
        <v>12309</v>
      </c>
      <c r="AW966" s="3" t="s">
        <v>12310</v>
      </c>
      <c r="AX966" s="3" t="s">
        <v>12310</v>
      </c>
      <c r="AY966" s="3" t="s">
        <v>12311</v>
      </c>
      <c r="AZ966" s="3" t="s">
        <v>73</v>
      </c>
      <c r="BB966" s="3" t="s">
        <v>12312</v>
      </c>
      <c r="BC966" s="3" t="s">
        <v>12313</v>
      </c>
      <c r="BD966" s="3" t="s">
        <v>12314</v>
      </c>
    </row>
    <row r="967" spans="1:56" ht="51" customHeight="1" x14ac:dyDescent="0.25">
      <c r="A967" s="7" t="s">
        <v>58</v>
      </c>
      <c r="B967" s="2" t="s">
        <v>12315</v>
      </c>
      <c r="C967" s="2" t="s">
        <v>12316</v>
      </c>
      <c r="D967" s="2" t="s">
        <v>12317</v>
      </c>
      <c r="F967" s="3" t="s">
        <v>58</v>
      </c>
      <c r="G967" s="3" t="s">
        <v>59</v>
      </c>
      <c r="H967" s="3" t="s">
        <v>58</v>
      </c>
      <c r="I967" s="3" t="s">
        <v>58</v>
      </c>
      <c r="J967" s="3" t="s">
        <v>60</v>
      </c>
      <c r="K967" s="2" t="s">
        <v>12318</v>
      </c>
      <c r="L967" s="2" t="s">
        <v>12319</v>
      </c>
      <c r="M967" s="3" t="s">
        <v>1153</v>
      </c>
      <c r="O967" s="3" t="s">
        <v>63</v>
      </c>
      <c r="P967" s="3" t="s">
        <v>584</v>
      </c>
      <c r="R967" s="3" t="s">
        <v>65</v>
      </c>
      <c r="S967" s="4">
        <v>8</v>
      </c>
      <c r="T967" s="4">
        <v>8</v>
      </c>
      <c r="U967" s="5" t="s">
        <v>12320</v>
      </c>
      <c r="V967" s="5" t="s">
        <v>12320</v>
      </c>
      <c r="W967" s="5" t="s">
        <v>67</v>
      </c>
      <c r="X967" s="5" t="s">
        <v>67</v>
      </c>
      <c r="Y967" s="4">
        <v>435</v>
      </c>
      <c r="Z967" s="4">
        <v>311</v>
      </c>
      <c r="AA967" s="4">
        <v>325</v>
      </c>
      <c r="AB967" s="4">
        <v>3</v>
      </c>
      <c r="AC967" s="4">
        <v>3</v>
      </c>
      <c r="AD967" s="4">
        <v>20</v>
      </c>
      <c r="AE967" s="4">
        <v>20</v>
      </c>
      <c r="AF967" s="4">
        <v>5</v>
      </c>
      <c r="AG967" s="4">
        <v>5</v>
      </c>
      <c r="AH967" s="4">
        <v>6</v>
      </c>
      <c r="AI967" s="4">
        <v>6</v>
      </c>
      <c r="AJ967" s="4">
        <v>12</v>
      </c>
      <c r="AK967" s="4">
        <v>12</v>
      </c>
      <c r="AL967" s="4">
        <v>2</v>
      </c>
      <c r="AM967" s="4">
        <v>2</v>
      </c>
      <c r="AN967" s="4">
        <v>0</v>
      </c>
      <c r="AO967" s="4">
        <v>0</v>
      </c>
      <c r="AP967" s="3" t="s">
        <v>58</v>
      </c>
      <c r="AQ967" s="3" t="s">
        <v>68</v>
      </c>
      <c r="AR967" s="6" t="str">
        <f>HYPERLINK("http://catalog.hathitrust.org/Record/001240567","HathiTrust Record")</f>
        <v>HathiTrust Record</v>
      </c>
      <c r="AS967" s="6" t="str">
        <f>HYPERLINK("https://creighton-primo.hosted.exlibrisgroup.com/primo-explore/search?tab=default_tab&amp;search_scope=EVERYTHING&amp;vid=01CRU&amp;lang=en_US&amp;offset=0&amp;query=any,contains,991003131069702656","Catalog Record")</f>
        <v>Catalog Record</v>
      </c>
      <c r="AT967" s="6" t="str">
        <f>HYPERLINK("http://www.worldcat.org/oclc/674160","WorldCat Record")</f>
        <v>WorldCat Record</v>
      </c>
      <c r="AU967" s="3" t="s">
        <v>12321</v>
      </c>
      <c r="AV967" s="3" t="s">
        <v>12322</v>
      </c>
      <c r="AW967" s="3" t="s">
        <v>12323</v>
      </c>
      <c r="AX967" s="3" t="s">
        <v>12323</v>
      </c>
      <c r="AY967" s="3" t="s">
        <v>12324</v>
      </c>
      <c r="AZ967" s="3" t="s">
        <v>73</v>
      </c>
      <c r="BB967" s="3" t="s">
        <v>12325</v>
      </c>
      <c r="BC967" s="3" t="s">
        <v>12326</v>
      </c>
      <c r="BD967" s="3" t="s">
        <v>12327</v>
      </c>
    </row>
    <row r="968" spans="1:56" ht="51" customHeight="1" x14ac:dyDescent="0.25">
      <c r="A968" s="7" t="s">
        <v>58</v>
      </c>
      <c r="B968" s="2" t="s">
        <v>12328</v>
      </c>
      <c r="C968" s="2" t="s">
        <v>12329</v>
      </c>
      <c r="D968" s="2" t="s">
        <v>12330</v>
      </c>
      <c r="F968" s="3" t="s">
        <v>58</v>
      </c>
      <c r="G968" s="3" t="s">
        <v>59</v>
      </c>
      <c r="H968" s="3" t="s">
        <v>58</v>
      </c>
      <c r="I968" s="3" t="s">
        <v>58</v>
      </c>
      <c r="J968" s="3" t="s">
        <v>60</v>
      </c>
      <c r="K968" s="2" t="s">
        <v>12318</v>
      </c>
      <c r="L968" s="2" t="s">
        <v>12331</v>
      </c>
      <c r="M968" s="3" t="s">
        <v>1385</v>
      </c>
      <c r="O968" s="3" t="s">
        <v>63</v>
      </c>
      <c r="P968" s="3" t="s">
        <v>2784</v>
      </c>
      <c r="R968" s="3" t="s">
        <v>65</v>
      </c>
      <c r="S968" s="4">
        <v>9</v>
      </c>
      <c r="T968" s="4">
        <v>9</v>
      </c>
      <c r="U968" s="5" t="s">
        <v>10669</v>
      </c>
      <c r="V968" s="5" t="s">
        <v>10669</v>
      </c>
      <c r="W968" s="5" t="s">
        <v>67</v>
      </c>
      <c r="X968" s="5" t="s">
        <v>67</v>
      </c>
      <c r="Y968" s="4">
        <v>164</v>
      </c>
      <c r="Z968" s="4">
        <v>142</v>
      </c>
      <c r="AA968" s="4">
        <v>143</v>
      </c>
      <c r="AB968" s="4">
        <v>1</v>
      </c>
      <c r="AC968" s="4">
        <v>1</v>
      </c>
      <c r="AD968" s="4">
        <v>1</v>
      </c>
      <c r="AE968" s="4">
        <v>1</v>
      </c>
      <c r="AF968" s="4">
        <v>0</v>
      </c>
      <c r="AG968" s="4">
        <v>0</v>
      </c>
      <c r="AH968" s="4">
        <v>1</v>
      </c>
      <c r="AI968" s="4">
        <v>1</v>
      </c>
      <c r="AJ968" s="4">
        <v>0</v>
      </c>
      <c r="AK968" s="4">
        <v>0</v>
      </c>
      <c r="AL968" s="4">
        <v>0</v>
      </c>
      <c r="AM968" s="4">
        <v>0</v>
      </c>
      <c r="AN968" s="4">
        <v>0</v>
      </c>
      <c r="AO968" s="4">
        <v>0</v>
      </c>
      <c r="AP968" s="3" t="s">
        <v>58</v>
      </c>
      <c r="AQ968" s="3" t="s">
        <v>68</v>
      </c>
      <c r="AR968" s="6" t="str">
        <f>HYPERLINK("http://catalog.hathitrust.org/Record/007884933","HathiTrust Record")</f>
        <v>HathiTrust Record</v>
      </c>
      <c r="AS968" s="6" t="str">
        <f>HYPERLINK("https://creighton-primo.hosted.exlibrisgroup.com/primo-explore/search?tab=default_tab&amp;search_scope=EVERYTHING&amp;vid=01CRU&amp;lang=en_US&amp;offset=0&amp;query=any,contains,991004196609702656","Catalog Record")</f>
        <v>Catalog Record</v>
      </c>
      <c r="AT968" s="6" t="str">
        <f>HYPERLINK("http://www.worldcat.org/oclc/2644858","WorldCat Record")</f>
        <v>WorldCat Record</v>
      </c>
      <c r="AU968" s="3" t="s">
        <v>12332</v>
      </c>
      <c r="AV968" s="3" t="s">
        <v>12333</v>
      </c>
      <c r="AW968" s="3" t="s">
        <v>12334</v>
      </c>
      <c r="AX968" s="3" t="s">
        <v>12334</v>
      </c>
      <c r="AY968" s="3" t="s">
        <v>12335</v>
      </c>
      <c r="AZ968" s="3" t="s">
        <v>73</v>
      </c>
      <c r="BC968" s="3" t="s">
        <v>12336</v>
      </c>
      <c r="BD968" s="3" t="s">
        <v>12337</v>
      </c>
    </row>
    <row r="969" spans="1:56" ht="51" customHeight="1" x14ac:dyDescent="0.25">
      <c r="A969" s="7" t="s">
        <v>58</v>
      </c>
      <c r="B969" s="2" t="s">
        <v>12338</v>
      </c>
      <c r="C969" s="2" t="s">
        <v>12339</v>
      </c>
      <c r="D969" s="2" t="s">
        <v>12340</v>
      </c>
      <c r="F969" s="3" t="s">
        <v>58</v>
      </c>
      <c r="G969" s="3" t="s">
        <v>59</v>
      </c>
      <c r="H969" s="3" t="s">
        <v>58</v>
      </c>
      <c r="I969" s="3" t="s">
        <v>58</v>
      </c>
      <c r="J969" s="3" t="s">
        <v>60</v>
      </c>
      <c r="K969" s="2" t="s">
        <v>12341</v>
      </c>
      <c r="L969" s="2" t="s">
        <v>12342</v>
      </c>
      <c r="M969" s="3" t="s">
        <v>524</v>
      </c>
      <c r="O969" s="3" t="s">
        <v>63</v>
      </c>
      <c r="P969" s="3" t="s">
        <v>584</v>
      </c>
      <c r="Q969" s="2" t="s">
        <v>12343</v>
      </c>
      <c r="R969" s="3" t="s">
        <v>65</v>
      </c>
      <c r="S969" s="4">
        <v>42</v>
      </c>
      <c r="T969" s="4">
        <v>42</v>
      </c>
      <c r="U969" s="5" t="s">
        <v>9272</v>
      </c>
      <c r="V969" s="5" t="s">
        <v>9272</v>
      </c>
      <c r="W969" s="5" t="s">
        <v>12344</v>
      </c>
      <c r="X969" s="5" t="s">
        <v>12344</v>
      </c>
      <c r="Y969" s="4">
        <v>557</v>
      </c>
      <c r="Z969" s="4">
        <v>402</v>
      </c>
      <c r="AA969" s="4">
        <v>404</v>
      </c>
      <c r="AB969" s="4">
        <v>4</v>
      </c>
      <c r="AC969" s="4">
        <v>4</v>
      </c>
      <c r="AD969" s="4">
        <v>20</v>
      </c>
      <c r="AE969" s="4">
        <v>20</v>
      </c>
      <c r="AF969" s="4">
        <v>6</v>
      </c>
      <c r="AG969" s="4">
        <v>6</v>
      </c>
      <c r="AH969" s="4">
        <v>6</v>
      </c>
      <c r="AI969" s="4">
        <v>6</v>
      </c>
      <c r="AJ969" s="4">
        <v>12</v>
      </c>
      <c r="AK969" s="4">
        <v>12</v>
      </c>
      <c r="AL969" s="4">
        <v>3</v>
      </c>
      <c r="AM969" s="4">
        <v>3</v>
      </c>
      <c r="AN969" s="4">
        <v>0</v>
      </c>
      <c r="AO969" s="4">
        <v>0</v>
      </c>
      <c r="AP969" s="3" t="s">
        <v>58</v>
      </c>
      <c r="AQ969" s="3" t="s">
        <v>68</v>
      </c>
      <c r="AR969" s="6" t="str">
        <f>HYPERLINK("http://catalog.hathitrust.org/Record/000821041","HathiTrust Record")</f>
        <v>HathiTrust Record</v>
      </c>
      <c r="AS969" s="6" t="str">
        <f>HYPERLINK("https://creighton-primo.hosted.exlibrisgroup.com/primo-explore/search?tab=default_tab&amp;search_scope=EVERYTHING&amp;vid=01CRU&amp;lang=en_US&amp;offset=0&amp;query=any,contains,991000662529702656","Catalog Record")</f>
        <v>Catalog Record</v>
      </c>
      <c r="AT969" s="6" t="str">
        <f>HYPERLINK("http://www.worldcat.org/oclc/12262139","WorldCat Record")</f>
        <v>WorldCat Record</v>
      </c>
      <c r="AU969" s="3" t="s">
        <v>12345</v>
      </c>
      <c r="AV969" s="3" t="s">
        <v>12346</v>
      </c>
      <c r="AW969" s="3" t="s">
        <v>12347</v>
      </c>
      <c r="AX969" s="3" t="s">
        <v>12347</v>
      </c>
      <c r="AY969" s="3" t="s">
        <v>12348</v>
      </c>
      <c r="AZ969" s="3" t="s">
        <v>73</v>
      </c>
      <c r="BB969" s="3" t="s">
        <v>12349</v>
      </c>
      <c r="BC969" s="3" t="s">
        <v>12350</v>
      </c>
      <c r="BD969" s="3" t="s">
        <v>12351</v>
      </c>
    </row>
    <row r="970" spans="1:56" ht="51" customHeight="1" x14ac:dyDescent="0.25">
      <c r="A970" s="7" t="s">
        <v>58</v>
      </c>
      <c r="B970" s="2" t="s">
        <v>12352</v>
      </c>
      <c r="C970" s="2" t="s">
        <v>12353</v>
      </c>
      <c r="D970" s="2" t="s">
        <v>12354</v>
      </c>
      <c r="F970" s="3" t="s">
        <v>58</v>
      </c>
      <c r="G970" s="3" t="s">
        <v>59</v>
      </c>
      <c r="H970" s="3" t="s">
        <v>58</v>
      </c>
      <c r="I970" s="3" t="s">
        <v>58</v>
      </c>
      <c r="J970" s="3" t="s">
        <v>60</v>
      </c>
      <c r="K970" s="2" t="s">
        <v>12355</v>
      </c>
      <c r="L970" s="2" t="s">
        <v>12356</v>
      </c>
      <c r="M970" s="3" t="s">
        <v>62</v>
      </c>
      <c r="O970" s="3" t="s">
        <v>63</v>
      </c>
      <c r="P970" s="3" t="s">
        <v>571</v>
      </c>
      <c r="R970" s="3" t="s">
        <v>65</v>
      </c>
      <c r="S970" s="4">
        <v>5</v>
      </c>
      <c r="T970" s="4">
        <v>5</v>
      </c>
      <c r="U970" s="5" t="s">
        <v>12268</v>
      </c>
      <c r="V970" s="5" t="s">
        <v>12268</v>
      </c>
      <c r="W970" s="5" t="s">
        <v>1501</v>
      </c>
      <c r="X970" s="5" t="s">
        <v>1501</v>
      </c>
      <c r="Y970" s="4">
        <v>126</v>
      </c>
      <c r="Z970" s="4">
        <v>91</v>
      </c>
      <c r="AA970" s="4">
        <v>105</v>
      </c>
      <c r="AB970" s="4">
        <v>1</v>
      </c>
      <c r="AC970" s="4">
        <v>1</v>
      </c>
      <c r="AD970" s="4">
        <v>3</v>
      </c>
      <c r="AE970" s="4">
        <v>3</v>
      </c>
      <c r="AF970" s="4">
        <v>1</v>
      </c>
      <c r="AG970" s="4">
        <v>1</v>
      </c>
      <c r="AH970" s="4">
        <v>2</v>
      </c>
      <c r="AI970" s="4">
        <v>2</v>
      </c>
      <c r="AJ970" s="4">
        <v>1</v>
      </c>
      <c r="AK970" s="4">
        <v>1</v>
      </c>
      <c r="AL970" s="4">
        <v>0</v>
      </c>
      <c r="AM970" s="4">
        <v>0</v>
      </c>
      <c r="AN970" s="4">
        <v>0</v>
      </c>
      <c r="AO970" s="4">
        <v>0</v>
      </c>
      <c r="AP970" s="3" t="s">
        <v>58</v>
      </c>
      <c r="AQ970" s="3" t="s">
        <v>58</v>
      </c>
      <c r="AS970" s="6" t="str">
        <f>HYPERLINK("https://creighton-primo.hosted.exlibrisgroup.com/primo-explore/search?tab=default_tab&amp;search_scope=EVERYTHING&amp;vid=01CRU&amp;lang=en_US&amp;offset=0&amp;query=any,contains,991004428189702656","Catalog Record")</f>
        <v>Catalog Record</v>
      </c>
      <c r="AT970" s="6" t="str">
        <f>HYPERLINK("http://www.worldcat.org/oclc/3412266","WorldCat Record")</f>
        <v>WorldCat Record</v>
      </c>
      <c r="AU970" s="3" t="s">
        <v>12357</v>
      </c>
      <c r="AV970" s="3" t="s">
        <v>12358</v>
      </c>
      <c r="AW970" s="3" t="s">
        <v>12359</v>
      </c>
      <c r="AX970" s="3" t="s">
        <v>12359</v>
      </c>
      <c r="AY970" s="3" t="s">
        <v>12360</v>
      </c>
      <c r="AZ970" s="3" t="s">
        <v>73</v>
      </c>
      <c r="BC970" s="3" t="s">
        <v>12361</v>
      </c>
      <c r="BD970" s="3" t="s">
        <v>12362</v>
      </c>
    </row>
    <row r="971" spans="1:56" ht="51" customHeight="1" x14ac:dyDescent="0.25">
      <c r="A971" s="7" t="s">
        <v>58</v>
      </c>
      <c r="B971" s="2" t="s">
        <v>12363</v>
      </c>
      <c r="C971" s="2" t="s">
        <v>12364</v>
      </c>
      <c r="D971" s="2" t="s">
        <v>12365</v>
      </c>
      <c r="F971" s="3" t="s">
        <v>58</v>
      </c>
      <c r="G971" s="3" t="s">
        <v>59</v>
      </c>
      <c r="H971" s="3" t="s">
        <v>58</v>
      </c>
      <c r="I971" s="3" t="s">
        <v>58</v>
      </c>
      <c r="J971" s="3" t="s">
        <v>60</v>
      </c>
      <c r="K971" s="2" t="s">
        <v>12366</v>
      </c>
      <c r="L971" s="2" t="s">
        <v>12367</v>
      </c>
      <c r="M971" s="3" t="s">
        <v>196</v>
      </c>
      <c r="O971" s="3" t="s">
        <v>63</v>
      </c>
      <c r="P971" s="3" t="s">
        <v>510</v>
      </c>
      <c r="Q971" s="2" t="s">
        <v>12368</v>
      </c>
      <c r="R971" s="3" t="s">
        <v>65</v>
      </c>
      <c r="S971" s="4">
        <v>7</v>
      </c>
      <c r="T971" s="4">
        <v>7</v>
      </c>
      <c r="U971" s="5" t="s">
        <v>6132</v>
      </c>
      <c r="V971" s="5" t="s">
        <v>6132</v>
      </c>
      <c r="W971" s="5" t="s">
        <v>1144</v>
      </c>
      <c r="X971" s="5" t="s">
        <v>1144</v>
      </c>
      <c r="Y971" s="4">
        <v>183</v>
      </c>
      <c r="Z971" s="4">
        <v>127</v>
      </c>
      <c r="AA971" s="4">
        <v>129</v>
      </c>
      <c r="AB971" s="4">
        <v>3</v>
      </c>
      <c r="AC971" s="4">
        <v>3</v>
      </c>
      <c r="AD971" s="4">
        <v>9</v>
      </c>
      <c r="AE971" s="4">
        <v>9</v>
      </c>
      <c r="AF971" s="4">
        <v>0</v>
      </c>
      <c r="AG971" s="4">
        <v>0</v>
      </c>
      <c r="AH971" s="4">
        <v>5</v>
      </c>
      <c r="AI971" s="4">
        <v>5</v>
      </c>
      <c r="AJ971" s="4">
        <v>3</v>
      </c>
      <c r="AK971" s="4">
        <v>3</v>
      </c>
      <c r="AL971" s="4">
        <v>2</v>
      </c>
      <c r="AM971" s="4">
        <v>2</v>
      </c>
      <c r="AN971" s="4">
        <v>0</v>
      </c>
      <c r="AO971" s="4">
        <v>0</v>
      </c>
      <c r="AP971" s="3" t="s">
        <v>58</v>
      </c>
      <c r="AQ971" s="3" t="s">
        <v>68</v>
      </c>
      <c r="AR971" s="6" t="str">
        <f>HYPERLINK("http://catalog.hathitrust.org/Record/003165236","HathiTrust Record")</f>
        <v>HathiTrust Record</v>
      </c>
      <c r="AS971" s="6" t="str">
        <f>HYPERLINK("https://creighton-primo.hosted.exlibrisgroup.com/primo-explore/search?tab=default_tab&amp;search_scope=EVERYTHING&amp;vid=01CRU&amp;lang=en_US&amp;offset=0&amp;query=any,contains,991002691339702656","Catalog Record")</f>
        <v>Catalog Record</v>
      </c>
      <c r="AT971" s="6" t="str">
        <f>HYPERLINK("http://www.worldcat.org/oclc/35153996","WorldCat Record")</f>
        <v>WorldCat Record</v>
      </c>
      <c r="AU971" s="3" t="s">
        <v>12369</v>
      </c>
      <c r="AV971" s="3" t="s">
        <v>12370</v>
      </c>
      <c r="AW971" s="3" t="s">
        <v>12371</v>
      </c>
      <c r="AX971" s="3" t="s">
        <v>12371</v>
      </c>
      <c r="AY971" s="3" t="s">
        <v>12372</v>
      </c>
      <c r="AZ971" s="3" t="s">
        <v>73</v>
      </c>
      <c r="BB971" s="3" t="s">
        <v>12373</v>
      </c>
      <c r="BC971" s="3" t="s">
        <v>12374</v>
      </c>
      <c r="BD971" s="3" t="s">
        <v>12375</v>
      </c>
    </row>
    <row r="972" spans="1:56" ht="51" customHeight="1" x14ac:dyDescent="0.25">
      <c r="A972" s="7" t="s">
        <v>58</v>
      </c>
      <c r="B972" s="2" t="s">
        <v>12376</v>
      </c>
      <c r="C972" s="2" t="s">
        <v>12377</v>
      </c>
      <c r="D972" s="2" t="s">
        <v>12378</v>
      </c>
      <c r="F972" s="3" t="s">
        <v>58</v>
      </c>
      <c r="G972" s="3" t="s">
        <v>59</v>
      </c>
      <c r="H972" s="3" t="s">
        <v>58</v>
      </c>
      <c r="I972" s="3" t="s">
        <v>58</v>
      </c>
      <c r="J972" s="3" t="s">
        <v>60</v>
      </c>
      <c r="K972" s="2" t="s">
        <v>12379</v>
      </c>
      <c r="L972" s="2" t="s">
        <v>12380</v>
      </c>
      <c r="M972" s="3" t="s">
        <v>397</v>
      </c>
      <c r="N972" s="2" t="s">
        <v>1009</v>
      </c>
      <c r="O972" s="3" t="s">
        <v>63</v>
      </c>
      <c r="P972" s="3" t="s">
        <v>214</v>
      </c>
      <c r="R972" s="3" t="s">
        <v>65</v>
      </c>
      <c r="S972" s="4">
        <v>9</v>
      </c>
      <c r="T972" s="4">
        <v>9</v>
      </c>
      <c r="U972" s="5" t="s">
        <v>12381</v>
      </c>
      <c r="V972" s="5" t="s">
        <v>12381</v>
      </c>
      <c r="W972" s="5" t="s">
        <v>10968</v>
      </c>
      <c r="X972" s="5" t="s">
        <v>10968</v>
      </c>
      <c r="Y972" s="4">
        <v>888</v>
      </c>
      <c r="Z972" s="4">
        <v>810</v>
      </c>
      <c r="AA972" s="4">
        <v>1527</v>
      </c>
      <c r="AB972" s="4">
        <v>7</v>
      </c>
      <c r="AC972" s="4">
        <v>11</v>
      </c>
      <c r="AD972" s="4">
        <v>27</v>
      </c>
      <c r="AE972" s="4">
        <v>53</v>
      </c>
      <c r="AF972" s="4">
        <v>10</v>
      </c>
      <c r="AG972" s="4">
        <v>24</v>
      </c>
      <c r="AH972" s="4">
        <v>6</v>
      </c>
      <c r="AI972" s="4">
        <v>10</v>
      </c>
      <c r="AJ972" s="4">
        <v>14</v>
      </c>
      <c r="AK972" s="4">
        <v>24</v>
      </c>
      <c r="AL972" s="4">
        <v>4</v>
      </c>
      <c r="AM972" s="4">
        <v>7</v>
      </c>
      <c r="AN972" s="4">
        <v>0</v>
      </c>
      <c r="AO972" s="4">
        <v>0</v>
      </c>
      <c r="AP972" s="3" t="s">
        <v>58</v>
      </c>
      <c r="AQ972" s="3" t="s">
        <v>68</v>
      </c>
      <c r="AR972" s="6" t="str">
        <f>HYPERLINK("http://catalog.hathitrust.org/Record/000831042","HathiTrust Record")</f>
        <v>HathiTrust Record</v>
      </c>
      <c r="AS972" s="6" t="str">
        <f>HYPERLINK("https://creighton-primo.hosted.exlibrisgroup.com/primo-explore/search?tab=default_tab&amp;search_scope=EVERYTHING&amp;vid=01CRU&amp;lang=en_US&amp;offset=0&amp;query=any,contains,991000635629702656","Catalog Record")</f>
        <v>Catalog Record</v>
      </c>
      <c r="AT972" s="6" t="str">
        <f>HYPERLINK("http://www.worldcat.org/oclc/12081005","WorldCat Record")</f>
        <v>WorldCat Record</v>
      </c>
      <c r="AU972" s="3" t="s">
        <v>12382</v>
      </c>
      <c r="AV972" s="3" t="s">
        <v>12383</v>
      </c>
      <c r="AW972" s="3" t="s">
        <v>12384</v>
      </c>
      <c r="AX972" s="3" t="s">
        <v>12384</v>
      </c>
      <c r="AY972" s="3" t="s">
        <v>12385</v>
      </c>
      <c r="AZ972" s="3" t="s">
        <v>73</v>
      </c>
      <c r="BB972" s="3" t="s">
        <v>12386</v>
      </c>
      <c r="BC972" s="3" t="s">
        <v>12387</v>
      </c>
      <c r="BD972" s="3" t="s">
        <v>12388</v>
      </c>
    </row>
    <row r="973" spans="1:56" ht="51" customHeight="1" x14ac:dyDescent="0.25">
      <c r="A973" s="7" t="s">
        <v>58</v>
      </c>
      <c r="B973" s="2" t="s">
        <v>12389</v>
      </c>
      <c r="C973" s="2" t="s">
        <v>12390</v>
      </c>
      <c r="D973" s="2" t="s">
        <v>12391</v>
      </c>
      <c r="F973" s="3" t="s">
        <v>58</v>
      </c>
      <c r="G973" s="3" t="s">
        <v>59</v>
      </c>
      <c r="H973" s="3" t="s">
        <v>58</v>
      </c>
      <c r="I973" s="3" t="s">
        <v>58</v>
      </c>
      <c r="J973" s="3" t="s">
        <v>60</v>
      </c>
      <c r="K973" s="2" t="s">
        <v>12355</v>
      </c>
      <c r="L973" s="2" t="s">
        <v>12392</v>
      </c>
      <c r="M973" s="3" t="s">
        <v>368</v>
      </c>
      <c r="O973" s="3" t="s">
        <v>63</v>
      </c>
      <c r="P973" s="3" t="s">
        <v>584</v>
      </c>
      <c r="R973" s="3" t="s">
        <v>65</v>
      </c>
      <c r="S973" s="4">
        <v>2</v>
      </c>
      <c r="T973" s="4">
        <v>2</v>
      </c>
      <c r="U973" s="5" t="s">
        <v>12393</v>
      </c>
      <c r="V973" s="5" t="s">
        <v>12393</v>
      </c>
      <c r="W973" s="5" t="s">
        <v>1501</v>
      </c>
      <c r="X973" s="5" t="s">
        <v>1501</v>
      </c>
      <c r="Y973" s="4">
        <v>202</v>
      </c>
      <c r="Z973" s="4">
        <v>183</v>
      </c>
      <c r="AA973" s="4">
        <v>620</v>
      </c>
      <c r="AB973" s="4">
        <v>2</v>
      </c>
      <c r="AC973" s="4">
        <v>4</v>
      </c>
      <c r="AD973" s="4">
        <v>13</v>
      </c>
      <c r="AE973" s="4">
        <v>30</v>
      </c>
      <c r="AF973" s="4">
        <v>5</v>
      </c>
      <c r="AG973" s="4">
        <v>10</v>
      </c>
      <c r="AH973" s="4">
        <v>3</v>
      </c>
      <c r="AI973" s="4">
        <v>7</v>
      </c>
      <c r="AJ973" s="4">
        <v>6</v>
      </c>
      <c r="AK973" s="4">
        <v>16</v>
      </c>
      <c r="AL973" s="4">
        <v>1</v>
      </c>
      <c r="AM973" s="4">
        <v>3</v>
      </c>
      <c r="AN973" s="4">
        <v>0</v>
      </c>
      <c r="AO973" s="4">
        <v>0</v>
      </c>
      <c r="AP973" s="3" t="s">
        <v>58</v>
      </c>
      <c r="AQ973" s="3" t="s">
        <v>58</v>
      </c>
      <c r="AS973" s="6" t="str">
        <f>HYPERLINK("https://creighton-primo.hosted.exlibrisgroup.com/primo-explore/search?tab=default_tab&amp;search_scope=EVERYTHING&amp;vid=01CRU&amp;lang=en_US&amp;offset=0&amp;query=any,contains,991003953159702656","Catalog Record")</f>
        <v>Catalog Record</v>
      </c>
      <c r="AT973" s="6" t="str">
        <f>HYPERLINK("http://www.worldcat.org/oclc/1959491","WorldCat Record")</f>
        <v>WorldCat Record</v>
      </c>
      <c r="AU973" s="3" t="s">
        <v>12394</v>
      </c>
      <c r="AV973" s="3" t="s">
        <v>12395</v>
      </c>
      <c r="AW973" s="3" t="s">
        <v>12396</v>
      </c>
      <c r="AX973" s="3" t="s">
        <v>12396</v>
      </c>
      <c r="AY973" s="3" t="s">
        <v>12397</v>
      </c>
      <c r="AZ973" s="3" t="s">
        <v>73</v>
      </c>
      <c r="BB973" s="3" t="s">
        <v>12398</v>
      </c>
      <c r="BC973" s="3" t="s">
        <v>12399</v>
      </c>
      <c r="BD973" s="3" t="s">
        <v>12400</v>
      </c>
    </row>
    <row r="974" spans="1:56" ht="51" customHeight="1" x14ac:dyDescent="0.25">
      <c r="A974" s="7" t="s">
        <v>58</v>
      </c>
      <c r="B974" s="2" t="s">
        <v>12401</v>
      </c>
      <c r="C974" s="2" t="s">
        <v>12402</v>
      </c>
      <c r="D974" s="2" t="s">
        <v>12403</v>
      </c>
      <c r="F974" s="3" t="s">
        <v>58</v>
      </c>
      <c r="G974" s="3" t="s">
        <v>59</v>
      </c>
      <c r="H974" s="3" t="s">
        <v>58</v>
      </c>
      <c r="I974" s="3" t="s">
        <v>58</v>
      </c>
      <c r="J974" s="3" t="s">
        <v>60</v>
      </c>
      <c r="K974" s="2" t="s">
        <v>9029</v>
      </c>
      <c r="L974" s="2" t="s">
        <v>12404</v>
      </c>
      <c r="M974" s="3" t="s">
        <v>552</v>
      </c>
      <c r="N974" s="2" t="s">
        <v>424</v>
      </c>
      <c r="O974" s="3" t="s">
        <v>63</v>
      </c>
      <c r="P974" s="3" t="s">
        <v>584</v>
      </c>
      <c r="R974" s="3" t="s">
        <v>65</v>
      </c>
      <c r="S974" s="4">
        <v>1</v>
      </c>
      <c r="T974" s="4">
        <v>1</v>
      </c>
      <c r="U974" s="5" t="s">
        <v>12405</v>
      </c>
      <c r="V974" s="5" t="s">
        <v>12405</v>
      </c>
      <c r="W974" s="5" t="s">
        <v>12406</v>
      </c>
      <c r="X974" s="5" t="s">
        <v>12406</v>
      </c>
      <c r="Y974" s="4">
        <v>143</v>
      </c>
      <c r="Z974" s="4">
        <v>107</v>
      </c>
      <c r="AA974" s="4">
        <v>755</v>
      </c>
      <c r="AB974" s="4">
        <v>1</v>
      </c>
      <c r="AC974" s="4">
        <v>5</v>
      </c>
      <c r="AD974" s="4">
        <v>5</v>
      </c>
      <c r="AE974" s="4">
        <v>25</v>
      </c>
      <c r="AF974" s="4">
        <v>2</v>
      </c>
      <c r="AG974" s="4">
        <v>9</v>
      </c>
      <c r="AH974" s="4">
        <v>2</v>
      </c>
      <c r="AI974" s="4">
        <v>5</v>
      </c>
      <c r="AJ974" s="4">
        <v>2</v>
      </c>
      <c r="AK974" s="4">
        <v>12</v>
      </c>
      <c r="AL974" s="4">
        <v>0</v>
      </c>
      <c r="AM974" s="4">
        <v>4</v>
      </c>
      <c r="AN974" s="4">
        <v>0</v>
      </c>
      <c r="AO974" s="4">
        <v>0</v>
      </c>
      <c r="AP974" s="3" t="s">
        <v>58</v>
      </c>
      <c r="AQ974" s="3" t="s">
        <v>58</v>
      </c>
      <c r="AS974" s="6" t="str">
        <f>HYPERLINK("https://creighton-primo.hosted.exlibrisgroup.com/primo-explore/search?tab=default_tab&amp;search_scope=EVERYTHING&amp;vid=01CRU&amp;lang=en_US&amp;offset=0&amp;query=any,contains,991001836029702656","Catalog Record")</f>
        <v>Catalog Record</v>
      </c>
      <c r="AT974" s="6" t="str">
        <f>HYPERLINK("http://www.worldcat.org/oclc/26719613","WorldCat Record")</f>
        <v>WorldCat Record</v>
      </c>
      <c r="AU974" s="3" t="s">
        <v>12407</v>
      </c>
      <c r="AV974" s="3" t="s">
        <v>12408</v>
      </c>
      <c r="AW974" s="3" t="s">
        <v>12409</v>
      </c>
      <c r="AX974" s="3" t="s">
        <v>12409</v>
      </c>
      <c r="AY974" s="3" t="s">
        <v>12410</v>
      </c>
      <c r="AZ974" s="3" t="s">
        <v>73</v>
      </c>
      <c r="BB974" s="3" t="s">
        <v>12411</v>
      </c>
      <c r="BC974" s="3" t="s">
        <v>12412</v>
      </c>
      <c r="BD974" s="3" t="s">
        <v>12413</v>
      </c>
    </row>
    <row r="975" spans="1:56" ht="51" customHeight="1" x14ac:dyDescent="0.25">
      <c r="A975" s="7" t="s">
        <v>58</v>
      </c>
      <c r="B975" s="2" t="s">
        <v>12414</v>
      </c>
      <c r="C975" s="2" t="s">
        <v>12415</v>
      </c>
      <c r="D975" s="2" t="s">
        <v>12416</v>
      </c>
      <c r="F975" s="3" t="s">
        <v>58</v>
      </c>
      <c r="G975" s="3" t="s">
        <v>59</v>
      </c>
      <c r="H975" s="3" t="s">
        <v>58</v>
      </c>
      <c r="I975" s="3" t="s">
        <v>58</v>
      </c>
      <c r="J975" s="3" t="s">
        <v>60</v>
      </c>
      <c r="K975" s="2" t="s">
        <v>12417</v>
      </c>
      <c r="L975" s="2" t="s">
        <v>12418</v>
      </c>
      <c r="M975" s="3" t="s">
        <v>552</v>
      </c>
      <c r="O975" s="3" t="s">
        <v>63</v>
      </c>
      <c r="P975" s="3" t="s">
        <v>2630</v>
      </c>
      <c r="Q975" s="2" t="s">
        <v>9491</v>
      </c>
      <c r="R975" s="3" t="s">
        <v>65</v>
      </c>
      <c r="S975" s="4">
        <v>3</v>
      </c>
      <c r="T975" s="4">
        <v>3</v>
      </c>
      <c r="U975" s="5" t="s">
        <v>12419</v>
      </c>
      <c r="V975" s="5" t="s">
        <v>12419</v>
      </c>
      <c r="W975" s="5" t="s">
        <v>12420</v>
      </c>
      <c r="X975" s="5" t="s">
        <v>12420</v>
      </c>
      <c r="Y975" s="4">
        <v>382</v>
      </c>
      <c r="Z975" s="4">
        <v>307</v>
      </c>
      <c r="AA975" s="4">
        <v>331</v>
      </c>
      <c r="AB975" s="4">
        <v>2</v>
      </c>
      <c r="AC975" s="4">
        <v>2</v>
      </c>
      <c r="AD975" s="4">
        <v>17</v>
      </c>
      <c r="AE975" s="4">
        <v>17</v>
      </c>
      <c r="AF975" s="4">
        <v>4</v>
      </c>
      <c r="AG975" s="4">
        <v>4</v>
      </c>
      <c r="AH975" s="4">
        <v>6</v>
      </c>
      <c r="AI975" s="4">
        <v>6</v>
      </c>
      <c r="AJ975" s="4">
        <v>9</v>
      </c>
      <c r="AK975" s="4">
        <v>9</v>
      </c>
      <c r="AL975" s="4">
        <v>1</v>
      </c>
      <c r="AM975" s="4">
        <v>1</v>
      </c>
      <c r="AN975" s="4">
        <v>0</v>
      </c>
      <c r="AO975" s="4">
        <v>0</v>
      </c>
      <c r="AP975" s="3" t="s">
        <v>58</v>
      </c>
      <c r="AQ975" s="3" t="s">
        <v>68</v>
      </c>
      <c r="AR975" s="6" t="str">
        <f>HYPERLINK("http://catalog.hathitrust.org/Record/002205518","HathiTrust Record")</f>
        <v>HathiTrust Record</v>
      </c>
      <c r="AS975" s="6" t="str">
        <f>HYPERLINK("https://creighton-primo.hosted.exlibrisgroup.com/primo-explore/search?tab=default_tab&amp;search_scope=EVERYTHING&amp;vid=01CRU&amp;lang=en_US&amp;offset=0&amp;query=any,contains,991001655389702656","Catalog Record")</f>
        <v>Catalog Record</v>
      </c>
      <c r="AT975" s="6" t="str">
        <f>HYPERLINK("http://www.worldcat.org/oclc/21119205","WorldCat Record")</f>
        <v>WorldCat Record</v>
      </c>
      <c r="AU975" s="3" t="s">
        <v>12421</v>
      </c>
      <c r="AV975" s="3" t="s">
        <v>12422</v>
      </c>
      <c r="AW975" s="3" t="s">
        <v>12423</v>
      </c>
      <c r="AX975" s="3" t="s">
        <v>12423</v>
      </c>
      <c r="AY975" s="3" t="s">
        <v>12424</v>
      </c>
      <c r="AZ975" s="3" t="s">
        <v>73</v>
      </c>
      <c r="BB975" s="3" t="s">
        <v>12425</v>
      </c>
      <c r="BC975" s="3" t="s">
        <v>12426</v>
      </c>
      <c r="BD975" s="3" t="s">
        <v>12427</v>
      </c>
    </row>
    <row r="976" spans="1:56" ht="51" customHeight="1" x14ac:dyDescent="0.25">
      <c r="A976" s="7" t="s">
        <v>58</v>
      </c>
      <c r="B976" s="2" t="s">
        <v>12428</v>
      </c>
      <c r="C976" s="2" t="s">
        <v>12429</v>
      </c>
      <c r="D976" s="2" t="s">
        <v>12430</v>
      </c>
      <c r="F976" s="3" t="s">
        <v>58</v>
      </c>
      <c r="G976" s="3" t="s">
        <v>59</v>
      </c>
      <c r="H976" s="3" t="s">
        <v>58</v>
      </c>
      <c r="I976" s="3" t="s">
        <v>58</v>
      </c>
      <c r="J976" s="3" t="s">
        <v>60</v>
      </c>
      <c r="K976" s="2" t="s">
        <v>12431</v>
      </c>
      <c r="L976" s="2" t="s">
        <v>12432</v>
      </c>
      <c r="M976" s="3" t="s">
        <v>1091</v>
      </c>
      <c r="O976" s="3" t="s">
        <v>63</v>
      </c>
      <c r="P976" s="3" t="s">
        <v>760</v>
      </c>
      <c r="R976" s="3" t="s">
        <v>65</v>
      </c>
      <c r="S976" s="4">
        <v>3</v>
      </c>
      <c r="T976" s="4">
        <v>3</v>
      </c>
      <c r="U976" s="5" t="s">
        <v>5648</v>
      </c>
      <c r="V976" s="5" t="s">
        <v>5648</v>
      </c>
      <c r="W976" s="5" t="s">
        <v>5648</v>
      </c>
      <c r="X976" s="5" t="s">
        <v>5648</v>
      </c>
      <c r="Y976" s="4">
        <v>356</v>
      </c>
      <c r="Z976" s="4">
        <v>297</v>
      </c>
      <c r="AA976" s="4">
        <v>302</v>
      </c>
      <c r="AB976" s="4">
        <v>3</v>
      </c>
      <c r="AC976" s="4">
        <v>3</v>
      </c>
      <c r="AD976" s="4">
        <v>17</v>
      </c>
      <c r="AE976" s="4">
        <v>17</v>
      </c>
      <c r="AF976" s="4">
        <v>6</v>
      </c>
      <c r="AG976" s="4">
        <v>6</v>
      </c>
      <c r="AH976" s="4">
        <v>4</v>
      </c>
      <c r="AI976" s="4">
        <v>4</v>
      </c>
      <c r="AJ976" s="4">
        <v>10</v>
      </c>
      <c r="AK976" s="4">
        <v>10</v>
      </c>
      <c r="AL976" s="4">
        <v>2</v>
      </c>
      <c r="AM976" s="4">
        <v>2</v>
      </c>
      <c r="AN976" s="4">
        <v>0</v>
      </c>
      <c r="AO976" s="4">
        <v>0</v>
      </c>
      <c r="AP976" s="3" t="s">
        <v>58</v>
      </c>
      <c r="AQ976" s="3" t="s">
        <v>68</v>
      </c>
      <c r="AR976" s="6" t="str">
        <f>HYPERLINK("http://catalog.hathitrust.org/Record/004230444","HathiTrust Record")</f>
        <v>HathiTrust Record</v>
      </c>
      <c r="AS976" s="6" t="str">
        <f>HYPERLINK("https://creighton-primo.hosted.exlibrisgroup.com/primo-explore/search?tab=default_tab&amp;search_scope=EVERYTHING&amp;vid=01CRU&amp;lang=en_US&amp;offset=0&amp;query=any,contains,991003888489702656","Catalog Record")</f>
        <v>Catalog Record</v>
      </c>
      <c r="AT976" s="6" t="str">
        <f>HYPERLINK("http://www.worldcat.org/oclc/47200317","WorldCat Record")</f>
        <v>WorldCat Record</v>
      </c>
      <c r="AU976" s="3" t="s">
        <v>12433</v>
      </c>
      <c r="AV976" s="3" t="s">
        <v>12434</v>
      </c>
      <c r="AW976" s="3" t="s">
        <v>12435</v>
      </c>
      <c r="AX976" s="3" t="s">
        <v>12435</v>
      </c>
      <c r="AY976" s="3" t="s">
        <v>12436</v>
      </c>
      <c r="AZ976" s="3" t="s">
        <v>73</v>
      </c>
      <c r="BB976" s="3" t="s">
        <v>12437</v>
      </c>
      <c r="BC976" s="3" t="s">
        <v>12438</v>
      </c>
      <c r="BD976" s="3" t="s">
        <v>12439</v>
      </c>
    </row>
    <row r="977" spans="1:56" ht="51" customHeight="1" x14ac:dyDescent="0.25">
      <c r="A977" s="7" t="s">
        <v>58</v>
      </c>
      <c r="B977" s="2" t="s">
        <v>12440</v>
      </c>
      <c r="C977" s="2" t="s">
        <v>12441</v>
      </c>
      <c r="D977" s="2" t="s">
        <v>12442</v>
      </c>
      <c r="F977" s="3" t="s">
        <v>58</v>
      </c>
      <c r="G977" s="3" t="s">
        <v>59</v>
      </c>
      <c r="H977" s="3" t="s">
        <v>58</v>
      </c>
      <c r="I977" s="3" t="s">
        <v>58</v>
      </c>
      <c r="J977" s="3" t="s">
        <v>60</v>
      </c>
      <c r="K977" s="2" t="s">
        <v>12443</v>
      </c>
      <c r="L977" s="2" t="s">
        <v>12444</v>
      </c>
      <c r="M977" s="3" t="s">
        <v>4023</v>
      </c>
      <c r="O977" s="3" t="s">
        <v>63</v>
      </c>
      <c r="P977" s="3" t="s">
        <v>354</v>
      </c>
      <c r="Q977" s="2" t="s">
        <v>2187</v>
      </c>
      <c r="R977" s="3" t="s">
        <v>65</v>
      </c>
      <c r="S977" s="4">
        <v>2</v>
      </c>
      <c r="T977" s="4">
        <v>2</v>
      </c>
      <c r="U977" s="5" t="s">
        <v>12445</v>
      </c>
      <c r="V977" s="5" t="s">
        <v>12445</v>
      </c>
      <c r="W977" s="5" t="s">
        <v>12445</v>
      </c>
      <c r="X977" s="5" t="s">
        <v>12445</v>
      </c>
      <c r="Y977" s="4">
        <v>489</v>
      </c>
      <c r="Z977" s="4">
        <v>397</v>
      </c>
      <c r="AA977" s="4">
        <v>591</v>
      </c>
      <c r="AB977" s="4">
        <v>1</v>
      </c>
      <c r="AC977" s="4">
        <v>2</v>
      </c>
      <c r="AD977" s="4">
        <v>26</v>
      </c>
      <c r="AE977" s="4">
        <v>34</v>
      </c>
      <c r="AF977" s="4">
        <v>12</v>
      </c>
      <c r="AG977" s="4">
        <v>16</v>
      </c>
      <c r="AH977" s="4">
        <v>9</v>
      </c>
      <c r="AI977" s="4">
        <v>10</v>
      </c>
      <c r="AJ977" s="4">
        <v>14</v>
      </c>
      <c r="AK977" s="4">
        <v>18</v>
      </c>
      <c r="AL977" s="4">
        <v>0</v>
      </c>
      <c r="AM977" s="4">
        <v>1</v>
      </c>
      <c r="AN977" s="4">
        <v>0</v>
      </c>
      <c r="AO977" s="4">
        <v>0</v>
      </c>
      <c r="AP977" s="3" t="s">
        <v>58</v>
      </c>
      <c r="AQ977" s="3" t="s">
        <v>58</v>
      </c>
      <c r="AS977" s="6" t="str">
        <f>HYPERLINK("https://creighton-primo.hosted.exlibrisgroup.com/primo-explore/search?tab=default_tab&amp;search_scope=EVERYTHING&amp;vid=01CRU&amp;lang=en_US&amp;offset=0&amp;query=any,contains,991004462689702656","Catalog Record")</f>
        <v>Catalog Record</v>
      </c>
      <c r="AT977" s="6" t="str">
        <f>HYPERLINK("http://www.worldcat.org/oclc/52375031","WorldCat Record")</f>
        <v>WorldCat Record</v>
      </c>
      <c r="AU977" s="3" t="s">
        <v>12446</v>
      </c>
      <c r="AV977" s="3" t="s">
        <v>12447</v>
      </c>
      <c r="AW977" s="3" t="s">
        <v>12448</v>
      </c>
      <c r="AX977" s="3" t="s">
        <v>12448</v>
      </c>
      <c r="AY977" s="3" t="s">
        <v>12449</v>
      </c>
      <c r="AZ977" s="3" t="s">
        <v>73</v>
      </c>
      <c r="BB977" s="3" t="s">
        <v>12450</v>
      </c>
      <c r="BC977" s="3" t="s">
        <v>12451</v>
      </c>
      <c r="BD977" s="3" t="s">
        <v>12452</v>
      </c>
    </row>
    <row r="978" spans="1:56" ht="51" customHeight="1" x14ac:dyDescent="0.25">
      <c r="A978" s="7" t="s">
        <v>58</v>
      </c>
      <c r="B978" s="2" t="s">
        <v>12453</v>
      </c>
      <c r="C978" s="2" t="s">
        <v>12454</v>
      </c>
      <c r="D978" s="2" t="s">
        <v>12455</v>
      </c>
      <c r="F978" s="3" t="s">
        <v>58</v>
      </c>
      <c r="G978" s="3" t="s">
        <v>59</v>
      </c>
      <c r="H978" s="3" t="s">
        <v>58</v>
      </c>
      <c r="I978" s="3" t="s">
        <v>58</v>
      </c>
      <c r="J978" s="3" t="s">
        <v>60</v>
      </c>
      <c r="K978" s="2" t="s">
        <v>12456</v>
      </c>
      <c r="L978" s="2" t="s">
        <v>12457</v>
      </c>
      <c r="M978" s="3" t="s">
        <v>1499</v>
      </c>
      <c r="N978" s="2" t="s">
        <v>424</v>
      </c>
      <c r="O978" s="3" t="s">
        <v>63</v>
      </c>
      <c r="P978" s="3" t="s">
        <v>584</v>
      </c>
      <c r="R978" s="3" t="s">
        <v>65</v>
      </c>
      <c r="S978" s="4">
        <v>4</v>
      </c>
      <c r="T978" s="4">
        <v>4</v>
      </c>
      <c r="U978" s="5" t="s">
        <v>4325</v>
      </c>
      <c r="V978" s="5" t="s">
        <v>4325</v>
      </c>
      <c r="W978" s="5" t="s">
        <v>1108</v>
      </c>
      <c r="X978" s="5" t="s">
        <v>1108</v>
      </c>
      <c r="Y978" s="4">
        <v>565</v>
      </c>
      <c r="Z978" s="4">
        <v>419</v>
      </c>
      <c r="AA978" s="4">
        <v>439</v>
      </c>
      <c r="AB978" s="4">
        <v>2</v>
      </c>
      <c r="AC978" s="4">
        <v>2</v>
      </c>
      <c r="AD978" s="4">
        <v>14</v>
      </c>
      <c r="AE978" s="4">
        <v>14</v>
      </c>
      <c r="AF978" s="4">
        <v>2</v>
      </c>
      <c r="AG978" s="4">
        <v>2</v>
      </c>
      <c r="AH978" s="4">
        <v>6</v>
      </c>
      <c r="AI978" s="4">
        <v>6</v>
      </c>
      <c r="AJ978" s="4">
        <v>8</v>
      </c>
      <c r="AK978" s="4">
        <v>8</v>
      </c>
      <c r="AL978" s="4">
        <v>1</v>
      </c>
      <c r="AM978" s="4">
        <v>1</v>
      </c>
      <c r="AN978" s="4">
        <v>0</v>
      </c>
      <c r="AO978" s="4">
        <v>0</v>
      </c>
      <c r="AP978" s="3" t="s">
        <v>58</v>
      </c>
      <c r="AQ978" s="3" t="s">
        <v>68</v>
      </c>
      <c r="AR978" s="6" t="str">
        <f>HYPERLINK("http://catalog.hathitrust.org/Record/001249334","HathiTrust Record")</f>
        <v>HathiTrust Record</v>
      </c>
      <c r="AS978" s="6" t="str">
        <f>HYPERLINK("https://creighton-primo.hosted.exlibrisgroup.com/primo-explore/search?tab=default_tab&amp;search_scope=EVERYTHING&amp;vid=01CRU&amp;lang=en_US&amp;offset=0&amp;query=any,contains,991002816639702656","Catalog Record")</f>
        <v>Catalog Record</v>
      </c>
      <c r="AT978" s="6" t="str">
        <f>HYPERLINK("http://www.worldcat.org/oclc/460704","WorldCat Record")</f>
        <v>WorldCat Record</v>
      </c>
      <c r="AU978" s="3" t="s">
        <v>12458</v>
      </c>
      <c r="AV978" s="3" t="s">
        <v>12459</v>
      </c>
      <c r="AW978" s="3" t="s">
        <v>12460</v>
      </c>
      <c r="AX978" s="3" t="s">
        <v>12460</v>
      </c>
      <c r="AY978" s="3" t="s">
        <v>12461</v>
      </c>
      <c r="AZ978" s="3" t="s">
        <v>73</v>
      </c>
      <c r="BC978" s="3" t="s">
        <v>12462</v>
      </c>
      <c r="BD978" s="3" t="s">
        <v>12463</v>
      </c>
    </row>
    <row r="979" spans="1:56" ht="51" customHeight="1" x14ac:dyDescent="0.25">
      <c r="A979" s="7" t="s">
        <v>58</v>
      </c>
      <c r="B979" s="2" t="s">
        <v>12464</v>
      </c>
      <c r="C979" s="2" t="s">
        <v>12465</v>
      </c>
      <c r="D979" s="2" t="s">
        <v>12466</v>
      </c>
      <c r="F979" s="3" t="s">
        <v>58</v>
      </c>
      <c r="G979" s="3" t="s">
        <v>59</v>
      </c>
      <c r="H979" s="3" t="s">
        <v>58</v>
      </c>
      <c r="I979" s="3" t="s">
        <v>58</v>
      </c>
      <c r="J979" s="3" t="s">
        <v>60</v>
      </c>
      <c r="K979" s="2" t="s">
        <v>12467</v>
      </c>
      <c r="L979" s="2" t="s">
        <v>12468</v>
      </c>
      <c r="M979" s="3" t="s">
        <v>423</v>
      </c>
      <c r="O979" s="3" t="s">
        <v>63</v>
      </c>
      <c r="P979" s="3" t="s">
        <v>214</v>
      </c>
      <c r="R979" s="3" t="s">
        <v>65</v>
      </c>
      <c r="S979" s="4">
        <v>7</v>
      </c>
      <c r="T979" s="4">
        <v>7</v>
      </c>
      <c r="U979" s="5" t="s">
        <v>7458</v>
      </c>
      <c r="V979" s="5" t="s">
        <v>7458</v>
      </c>
      <c r="W979" s="5" t="s">
        <v>12469</v>
      </c>
      <c r="X979" s="5" t="s">
        <v>12469</v>
      </c>
      <c r="Y979" s="4">
        <v>415</v>
      </c>
      <c r="Z979" s="4">
        <v>359</v>
      </c>
      <c r="AA979" s="4">
        <v>563</v>
      </c>
      <c r="AB979" s="4">
        <v>1</v>
      </c>
      <c r="AC979" s="4">
        <v>2</v>
      </c>
      <c r="AD979" s="4">
        <v>10</v>
      </c>
      <c r="AE979" s="4">
        <v>20</v>
      </c>
      <c r="AF979" s="4">
        <v>4</v>
      </c>
      <c r="AG979" s="4">
        <v>6</v>
      </c>
      <c r="AH979" s="4">
        <v>3</v>
      </c>
      <c r="AI979" s="4">
        <v>8</v>
      </c>
      <c r="AJ979" s="4">
        <v>7</v>
      </c>
      <c r="AK979" s="4">
        <v>12</v>
      </c>
      <c r="AL979" s="4">
        <v>0</v>
      </c>
      <c r="AM979" s="4">
        <v>1</v>
      </c>
      <c r="AN979" s="4">
        <v>0</v>
      </c>
      <c r="AO979" s="4">
        <v>0</v>
      </c>
      <c r="AP979" s="3" t="s">
        <v>58</v>
      </c>
      <c r="AQ979" s="3" t="s">
        <v>58</v>
      </c>
      <c r="AS979" s="6" t="str">
        <f>HYPERLINK("https://creighton-primo.hosted.exlibrisgroup.com/primo-explore/search?tab=default_tab&amp;search_scope=EVERYTHING&amp;vid=01CRU&amp;lang=en_US&amp;offset=0&amp;query=any,contains,991002920219702656","Catalog Record")</f>
        <v>Catalog Record</v>
      </c>
      <c r="AT979" s="6" t="str">
        <f>HYPERLINK("http://www.worldcat.org/oclc/38739043","WorldCat Record")</f>
        <v>WorldCat Record</v>
      </c>
      <c r="AU979" s="3" t="s">
        <v>12470</v>
      </c>
      <c r="AV979" s="3" t="s">
        <v>12471</v>
      </c>
      <c r="AW979" s="3" t="s">
        <v>12472</v>
      </c>
      <c r="AX979" s="3" t="s">
        <v>12472</v>
      </c>
      <c r="AY979" s="3" t="s">
        <v>12473</v>
      </c>
      <c r="AZ979" s="3" t="s">
        <v>73</v>
      </c>
      <c r="BB979" s="3" t="s">
        <v>12474</v>
      </c>
      <c r="BC979" s="3" t="s">
        <v>12475</v>
      </c>
      <c r="BD979" s="3" t="s">
        <v>12476</v>
      </c>
    </row>
    <row r="980" spans="1:56" ht="51" customHeight="1" x14ac:dyDescent="0.25">
      <c r="A980" s="7" t="s">
        <v>58</v>
      </c>
      <c r="B980" s="2" t="s">
        <v>12477</v>
      </c>
      <c r="C980" s="2" t="s">
        <v>12478</v>
      </c>
      <c r="D980" s="2" t="s">
        <v>12479</v>
      </c>
      <c r="F980" s="3" t="s">
        <v>58</v>
      </c>
      <c r="G980" s="3" t="s">
        <v>59</v>
      </c>
      <c r="H980" s="3" t="s">
        <v>58</v>
      </c>
      <c r="I980" s="3" t="s">
        <v>58</v>
      </c>
      <c r="J980" s="3" t="s">
        <v>60</v>
      </c>
      <c r="K980" s="2" t="s">
        <v>12480</v>
      </c>
      <c r="L980" s="2" t="s">
        <v>12481</v>
      </c>
      <c r="M980" s="3" t="s">
        <v>951</v>
      </c>
      <c r="O980" s="3" t="s">
        <v>63</v>
      </c>
      <c r="P980" s="3" t="s">
        <v>584</v>
      </c>
      <c r="R980" s="3" t="s">
        <v>65</v>
      </c>
      <c r="S980" s="4">
        <v>4</v>
      </c>
      <c r="T980" s="4">
        <v>4</v>
      </c>
      <c r="U980" s="5" t="s">
        <v>4325</v>
      </c>
      <c r="V980" s="5" t="s">
        <v>4325</v>
      </c>
      <c r="W980" s="5" t="s">
        <v>12482</v>
      </c>
      <c r="X980" s="5" t="s">
        <v>12482</v>
      </c>
      <c r="Y980" s="4">
        <v>176</v>
      </c>
      <c r="Z980" s="4">
        <v>153</v>
      </c>
      <c r="AA980" s="4">
        <v>233</v>
      </c>
      <c r="AB980" s="4">
        <v>3</v>
      </c>
      <c r="AC980" s="4">
        <v>3</v>
      </c>
      <c r="AD980" s="4">
        <v>9</v>
      </c>
      <c r="AE980" s="4">
        <v>15</v>
      </c>
      <c r="AF980" s="4">
        <v>2</v>
      </c>
      <c r="AG980" s="4">
        <v>3</v>
      </c>
      <c r="AH980" s="4">
        <v>1</v>
      </c>
      <c r="AI980" s="4">
        <v>5</v>
      </c>
      <c r="AJ980" s="4">
        <v>6</v>
      </c>
      <c r="AK980" s="4">
        <v>9</v>
      </c>
      <c r="AL980" s="4">
        <v>2</v>
      </c>
      <c r="AM980" s="4">
        <v>2</v>
      </c>
      <c r="AN980" s="4">
        <v>0</v>
      </c>
      <c r="AO980" s="4">
        <v>0</v>
      </c>
      <c r="AP980" s="3" t="s">
        <v>58</v>
      </c>
      <c r="AQ980" s="3" t="s">
        <v>68</v>
      </c>
      <c r="AR980" s="6" t="str">
        <f>HYPERLINK("http://catalog.hathitrust.org/Record/004184423","HathiTrust Record")</f>
        <v>HathiTrust Record</v>
      </c>
      <c r="AS980" s="6" t="str">
        <f>HYPERLINK("https://creighton-primo.hosted.exlibrisgroup.com/primo-explore/search?tab=default_tab&amp;search_scope=EVERYTHING&amp;vid=01CRU&amp;lang=en_US&amp;offset=0&amp;query=any,contains,991003537479702656","Catalog Record")</f>
        <v>Catalog Record</v>
      </c>
      <c r="AT980" s="6" t="str">
        <f>HYPERLINK("http://www.worldcat.org/oclc/45901280","WorldCat Record")</f>
        <v>WorldCat Record</v>
      </c>
      <c r="AU980" s="3" t="s">
        <v>12483</v>
      </c>
      <c r="AV980" s="3" t="s">
        <v>12484</v>
      </c>
      <c r="AW980" s="3" t="s">
        <v>12485</v>
      </c>
      <c r="AX980" s="3" t="s">
        <v>12485</v>
      </c>
      <c r="AY980" s="3" t="s">
        <v>12486</v>
      </c>
      <c r="AZ980" s="3" t="s">
        <v>73</v>
      </c>
      <c r="BB980" s="3" t="s">
        <v>12487</v>
      </c>
      <c r="BC980" s="3" t="s">
        <v>12488</v>
      </c>
      <c r="BD980" s="3" t="s">
        <v>12489</v>
      </c>
    </row>
    <row r="981" spans="1:56" ht="51" customHeight="1" x14ac:dyDescent="0.25">
      <c r="A981" s="7" t="s">
        <v>58</v>
      </c>
      <c r="B981" s="2" t="s">
        <v>12490</v>
      </c>
      <c r="C981" s="2" t="s">
        <v>12491</v>
      </c>
      <c r="D981" s="2" t="s">
        <v>12492</v>
      </c>
      <c r="F981" s="3" t="s">
        <v>58</v>
      </c>
      <c r="G981" s="3" t="s">
        <v>59</v>
      </c>
      <c r="H981" s="3" t="s">
        <v>58</v>
      </c>
      <c r="I981" s="3" t="s">
        <v>58</v>
      </c>
      <c r="J981" s="3" t="s">
        <v>60</v>
      </c>
      <c r="K981" s="2" t="s">
        <v>12493</v>
      </c>
      <c r="L981" s="2" t="s">
        <v>12494</v>
      </c>
      <c r="M981" s="3" t="s">
        <v>1357</v>
      </c>
      <c r="O981" s="3" t="s">
        <v>63</v>
      </c>
      <c r="P981" s="3" t="s">
        <v>214</v>
      </c>
      <c r="R981" s="3" t="s">
        <v>65</v>
      </c>
      <c r="S981" s="4">
        <v>4</v>
      </c>
      <c r="T981" s="4">
        <v>4</v>
      </c>
      <c r="U981" s="5" t="s">
        <v>12495</v>
      </c>
      <c r="V981" s="5" t="s">
        <v>12495</v>
      </c>
      <c r="W981" s="5" t="s">
        <v>1108</v>
      </c>
      <c r="X981" s="5" t="s">
        <v>1108</v>
      </c>
      <c r="Y981" s="4">
        <v>170</v>
      </c>
      <c r="Z981" s="4">
        <v>149</v>
      </c>
      <c r="AA981" s="4">
        <v>172</v>
      </c>
      <c r="AB981" s="4">
        <v>2</v>
      </c>
      <c r="AC981" s="4">
        <v>2</v>
      </c>
      <c r="AD981" s="4">
        <v>5</v>
      </c>
      <c r="AE981" s="4">
        <v>6</v>
      </c>
      <c r="AF981" s="4">
        <v>0</v>
      </c>
      <c r="AG981" s="4">
        <v>0</v>
      </c>
      <c r="AH981" s="4">
        <v>2</v>
      </c>
      <c r="AI981" s="4">
        <v>3</v>
      </c>
      <c r="AJ981" s="4">
        <v>3</v>
      </c>
      <c r="AK981" s="4">
        <v>3</v>
      </c>
      <c r="AL981" s="4">
        <v>1</v>
      </c>
      <c r="AM981" s="4">
        <v>1</v>
      </c>
      <c r="AN981" s="4">
        <v>0</v>
      </c>
      <c r="AO981" s="4">
        <v>0</v>
      </c>
      <c r="AP981" s="3" t="s">
        <v>58</v>
      </c>
      <c r="AQ981" s="3" t="s">
        <v>68</v>
      </c>
      <c r="AR981" s="6" t="str">
        <f>HYPERLINK("http://catalog.hathitrust.org/Record/000001254","HathiTrust Record")</f>
        <v>HathiTrust Record</v>
      </c>
      <c r="AS981" s="6" t="str">
        <f>HYPERLINK("https://creighton-primo.hosted.exlibrisgroup.com/primo-explore/search?tab=default_tab&amp;search_scope=EVERYTHING&amp;vid=01CRU&amp;lang=en_US&amp;offset=0&amp;query=any,contains,991000554379702656","Catalog Record")</f>
        <v>Catalog Record</v>
      </c>
      <c r="AT981" s="6" t="str">
        <f>HYPERLINK("http://www.worldcat.org/oclc/93028","WorldCat Record")</f>
        <v>WorldCat Record</v>
      </c>
      <c r="AU981" s="3" t="s">
        <v>12496</v>
      </c>
      <c r="AV981" s="3" t="s">
        <v>12497</v>
      </c>
      <c r="AW981" s="3" t="s">
        <v>12498</v>
      </c>
      <c r="AX981" s="3" t="s">
        <v>12498</v>
      </c>
      <c r="AY981" s="3" t="s">
        <v>12499</v>
      </c>
      <c r="AZ981" s="3" t="s">
        <v>73</v>
      </c>
      <c r="BC981" s="3" t="s">
        <v>12500</v>
      </c>
      <c r="BD981" s="3" t="s">
        <v>12501</v>
      </c>
    </row>
    <row r="982" spans="1:56" ht="51" customHeight="1" x14ac:dyDescent="0.25">
      <c r="A982" s="7" t="s">
        <v>58</v>
      </c>
      <c r="B982" s="2" t="s">
        <v>12502</v>
      </c>
      <c r="C982" s="2" t="s">
        <v>12503</v>
      </c>
      <c r="D982" s="2" t="s">
        <v>12504</v>
      </c>
      <c r="F982" s="3" t="s">
        <v>58</v>
      </c>
      <c r="G982" s="3" t="s">
        <v>59</v>
      </c>
      <c r="H982" s="3" t="s">
        <v>58</v>
      </c>
      <c r="I982" s="3" t="s">
        <v>58</v>
      </c>
      <c r="J982" s="3" t="s">
        <v>60</v>
      </c>
      <c r="K982" s="2" t="s">
        <v>12505</v>
      </c>
      <c r="L982" s="2" t="s">
        <v>12506</v>
      </c>
      <c r="M982" s="3" t="s">
        <v>1091</v>
      </c>
      <c r="O982" s="3" t="s">
        <v>63</v>
      </c>
      <c r="P982" s="3" t="s">
        <v>2630</v>
      </c>
      <c r="R982" s="3" t="s">
        <v>65</v>
      </c>
      <c r="S982" s="4">
        <v>4</v>
      </c>
      <c r="T982" s="4">
        <v>4</v>
      </c>
      <c r="U982" s="5" t="s">
        <v>7458</v>
      </c>
      <c r="V982" s="5" t="s">
        <v>7458</v>
      </c>
      <c r="W982" s="5" t="s">
        <v>12507</v>
      </c>
      <c r="X982" s="5" t="s">
        <v>12507</v>
      </c>
      <c r="Y982" s="4">
        <v>153</v>
      </c>
      <c r="Z982" s="4">
        <v>144</v>
      </c>
      <c r="AA982" s="4">
        <v>160</v>
      </c>
      <c r="AB982" s="4">
        <v>2</v>
      </c>
      <c r="AC982" s="4">
        <v>2</v>
      </c>
      <c r="AD982" s="4">
        <v>4</v>
      </c>
      <c r="AE982" s="4">
        <v>6</v>
      </c>
      <c r="AF982" s="4">
        <v>0</v>
      </c>
      <c r="AG982" s="4">
        <v>1</v>
      </c>
      <c r="AH982" s="4">
        <v>1</v>
      </c>
      <c r="AI982" s="4">
        <v>1</v>
      </c>
      <c r="AJ982" s="4">
        <v>1</v>
      </c>
      <c r="AK982" s="4">
        <v>2</v>
      </c>
      <c r="AL982" s="4">
        <v>1</v>
      </c>
      <c r="AM982" s="4">
        <v>1</v>
      </c>
      <c r="AN982" s="4">
        <v>1</v>
      </c>
      <c r="AO982" s="4">
        <v>2</v>
      </c>
      <c r="AP982" s="3" t="s">
        <v>58</v>
      </c>
      <c r="AQ982" s="3" t="s">
        <v>58</v>
      </c>
      <c r="AS982" s="6" t="str">
        <f>HYPERLINK("https://creighton-primo.hosted.exlibrisgroup.com/primo-explore/search?tab=default_tab&amp;search_scope=EVERYTHING&amp;vid=01CRU&amp;lang=en_US&amp;offset=0&amp;query=any,contains,991003849569702656","Catalog Record")</f>
        <v>Catalog Record</v>
      </c>
      <c r="AT982" s="6" t="str">
        <f>HYPERLINK("http://www.worldcat.org/oclc/44905104","WorldCat Record")</f>
        <v>WorldCat Record</v>
      </c>
      <c r="AU982" s="3" t="s">
        <v>12508</v>
      </c>
      <c r="AV982" s="3" t="s">
        <v>12509</v>
      </c>
      <c r="AW982" s="3" t="s">
        <v>12510</v>
      </c>
      <c r="AX982" s="3" t="s">
        <v>12510</v>
      </c>
      <c r="AY982" s="3" t="s">
        <v>12511</v>
      </c>
      <c r="AZ982" s="3" t="s">
        <v>73</v>
      </c>
      <c r="BB982" s="3" t="s">
        <v>12512</v>
      </c>
      <c r="BC982" s="3" t="s">
        <v>12513</v>
      </c>
      <c r="BD982" s="3" t="s">
        <v>12514</v>
      </c>
    </row>
    <row r="983" spans="1:56" ht="51" customHeight="1" x14ac:dyDescent="0.25">
      <c r="A983" s="7" t="s">
        <v>58</v>
      </c>
      <c r="B983" s="2" t="s">
        <v>12515</v>
      </c>
      <c r="C983" s="2" t="s">
        <v>12516</v>
      </c>
      <c r="D983" s="2" t="s">
        <v>12517</v>
      </c>
      <c r="F983" s="3" t="s">
        <v>58</v>
      </c>
      <c r="G983" s="3" t="s">
        <v>59</v>
      </c>
      <c r="H983" s="3" t="s">
        <v>58</v>
      </c>
      <c r="I983" s="3" t="s">
        <v>58</v>
      </c>
      <c r="J983" s="3" t="s">
        <v>60</v>
      </c>
      <c r="K983" s="2" t="s">
        <v>12518</v>
      </c>
      <c r="L983" s="2" t="s">
        <v>12519</v>
      </c>
      <c r="M983" s="3" t="s">
        <v>2214</v>
      </c>
      <c r="O983" s="3" t="s">
        <v>63</v>
      </c>
      <c r="P983" s="3" t="s">
        <v>214</v>
      </c>
      <c r="R983" s="3" t="s">
        <v>65</v>
      </c>
      <c r="S983" s="4">
        <v>1</v>
      </c>
      <c r="T983" s="4">
        <v>1</v>
      </c>
      <c r="U983" s="5" t="s">
        <v>12520</v>
      </c>
      <c r="V983" s="5" t="s">
        <v>12520</v>
      </c>
      <c r="W983" s="5" t="s">
        <v>12520</v>
      </c>
      <c r="X983" s="5" t="s">
        <v>12520</v>
      </c>
      <c r="Y983" s="4">
        <v>659</v>
      </c>
      <c r="Z983" s="4">
        <v>565</v>
      </c>
      <c r="AA983" s="4">
        <v>595</v>
      </c>
      <c r="AB983" s="4">
        <v>5</v>
      </c>
      <c r="AC983" s="4">
        <v>5</v>
      </c>
      <c r="AD983" s="4">
        <v>32</v>
      </c>
      <c r="AE983" s="4">
        <v>32</v>
      </c>
      <c r="AF983" s="4">
        <v>14</v>
      </c>
      <c r="AG983" s="4">
        <v>14</v>
      </c>
      <c r="AH983" s="4">
        <v>8</v>
      </c>
      <c r="AI983" s="4">
        <v>8</v>
      </c>
      <c r="AJ983" s="4">
        <v>14</v>
      </c>
      <c r="AK983" s="4">
        <v>14</v>
      </c>
      <c r="AL983" s="4">
        <v>4</v>
      </c>
      <c r="AM983" s="4">
        <v>4</v>
      </c>
      <c r="AN983" s="4">
        <v>0</v>
      </c>
      <c r="AO983" s="4">
        <v>0</v>
      </c>
      <c r="AP983" s="3" t="s">
        <v>58</v>
      </c>
      <c r="AQ983" s="3" t="s">
        <v>58</v>
      </c>
      <c r="AS983" s="6" t="str">
        <f>HYPERLINK("https://creighton-primo.hosted.exlibrisgroup.com/primo-explore/search?tab=default_tab&amp;search_scope=EVERYTHING&amp;vid=01CRU&amp;lang=en_US&amp;offset=0&amp;query=any,contains,991004644429702656","Catalog Record")</f>
        <v>Catalog Record</v>
      </c>
      <c r="AT983" s="6" t="str">
        <f>HYPERLINK("http://www.worldcat.org/oclc/54913173","WorldCat Record")</f>
        <v>WorldCat Record</v>
      </c>
      <c r="AU983" s="3" t="s">
        <v>12521</v>
      </c>
      <c r="AV983" s="3" t="s">
        <v>12522</v>
      </c>
      <c r="AW983" s="3" t="s">
        <v>12523</v>
      </c>
      <c r="AX983" s="3" t="s">
        <v>12523</v>
      </c>
      <c r="AY983" s="3" t="s">
        <v>12524</v>
      </c>
      <c r="AZ983" s="3" t="s">
        <v>73</v>
      </c>
      <c r="BB983" s="3" t="s">
        <v>12525</v>
      </c>
      <c r="BC983" s="3" t="s">
        <v>12526</v>
      </c>
      <c r="BD983" s="3" t="s">
        <v>12527</v>
      </c>
    </row>
    <row r="984" spans="1:56" ht="51" customHeight="1" x14ac:dyDescent="0.25">
      <c r="A984" s="7" t="s">
        <v>58</v>
      </c>
      <c r="B984" s="2" t="s">
        <v>12528</v>
      </c>
      <c r="C984" s="2" t="s">
        <v>12529</v>
      </c>
      <c r="D984" s="2" t="s">
        <v>12530</v>
      </c>
      <c r="F984" s="3" t="s">
        <v>58</v>
      </c>
      <c r="G984" s="3" t="s">
        <v>59</v>
      </c>
      <c r="H984" s="3" t="s">
        <v>58</v>
      </c>
      <c r="I984" s="3" t="s">
        <v>58</v>
      </c>
      <c r="J984" s="3" t="s">
        <v>60</v>
      </c>
      <c r="K984" s="2" t="s">
        <v>12531</v>
      </c>
      <c r="L984" s="2" t="s">
        <v>11147</v>
      </c>
      <c r="M984" s="3" t="s">
        <v>1091</v>
      </c>
      <c r="O984" s="3" t="s">
        <v>63</v>
      </c>
      <c r="P984" s="3" t="s">
        <v>9271</v>
      </c>
      <c r="R984" s="3" t="s">
        <v>65</v>
      </c>
      <c r="S984" s="4">
        <v>4</v>
      </c>
      <c r="T984" s="4">
        <v>4</v>
      </c>
      <c r="U984" s="5" t="s">
        <v>12532</v>
      </c>
      <c r="V984" s="5" t="s">
        <v>12532</v>
      </c>
      <c r="W984" s="5" t="s">
        <v>12533</v>
      </c>
      <c r="X984" s="5" t="s">
        <v>12533</v>
      </c>
      <c r="Y984" s="4">
        <v>207</v>
      </c>
      <c r="Z984" s="4">
        <v>178</v>
      </c>
      <c r="AA984" s="4">
        <v>178</v>
      </c>
      <c r="AB984" s="4">
        <v>4</v>
      </c>
      <c r="AC984" s="4">
        <v>4</v>
      </c>
      <c r="AD984" s="4">
        <v>12</v>
      </c>
      <c r="AE984" s="4">
        <v>12</v>
      </c>
      <c r="AF984" s="4">
        <v>2</v>
      </c>
      <c r="AG984" s="4">
        <v>2</v>
      </c>
      <c r="AH984" s="4">
        <v>3</v>
      </c>
      <c r="AI984" s="4">
        <v>3</v>
      </c>
      <c r="AJ984" s="4">
        <v>6</v>
      </c>
      <c r="AK984" s="4">
        <v>6</v>
      </c>
      <c r="AL984" s="4">
        <v>3</v>
      </c>
      <c r="AM984" s="4">
        <v>3</v>
      </c>
      <c r="AN984" s="4">
        <v>0</v>
      </c>
      <c r="AO984" s="4">
        <v>0</v>
      </c>
      <c r="AP984" s="3" t="s">
        <v>58</v>
      </c>
      <c r="AQ984" s="3" t="s">
        <v>58</v>
      </c>
      <c r="AS984" s="6" t="str">
        <f>HYPERLINK("https://creighton-primo.hosted.exlibrisgroup.com/primo-explore/search?tab=default_tab&amp;search_scope=EVERYTHING&amp;vid=01CRU&amp;lang=en_US&amp;offset=0&amp;query=any,contains,991003639249702656","Catalog Record")</f>
        <v>Catalog Record</v>
      </c>
      <c r="AT984" s="6" t="str">
        <f>HYPERLINK("http://www.worldcat.org/oclc/47870022","WorldCat Record")</f>
        <v>WorldCat Record</v>
      </c>
      <c r="AU984" s="3" t="s">
        <v>12534</v>
      </c>
      <c r="AV984" s="3" t="s">
        <v>12535</v>
      </c>
      <c r="AW984" s="3" t="s">
        <v>12536</v>
      </c>
      <c r="AX984" s="3" t="s">
        <v>12536</v>
      </c>
      <c r="AY984" s="3" t="s">
        <v>12537</v>
      </c>
      <c r="AZ984" s="3" t="s">
        <v>73</v>
      </c>
      <c r="BB984" s="3" t="s">
        <v>12538</v>
      </c>
      <c r="BC984" s="3" t="s">
        <v>12539</v>
      </c>
      <c r="BD984" s="3" t="s">
        <v>12540</v>
      </c>
    </row>
    <row r="985" spans="1:56" ht="51" customHeight="1" x14ac:dyDescent="0.25">
      <c r="A985" s="7" t="s">
        <v>58</v>
      </c>
      <c r="B985" s="2" t="s">
        <v>12541</v>
      </c>
      <c r="C985" s="2" t="s">
        <v>12542</v>
      </c>
      <c r="D985" s="2" t="s">
        <v>12543</v>
      </c>
      <c r="F985" s="3" t="s">
        <v>58</v>
      </c>
      <c r="G985" s="3" t="s">
        <v>59</v>
      </c>
      <c r="H985" s="3" t="s">
        <v>58</v>
      </c>
      <c r="I985" s="3" t="s">
        <v>58</v>
      </c>
      <c r="J985" s="3" t="s">
        <v>60</v>
      </c>
      <c r="K985" s="2" t="s">
        <v>12544</v>
      </c>
      <c r="L985" s="2" t="s">
        <v>12545</v>
      </c>
      <c r="M985" s="3" t="s">
        <v>249</v>
      </c>
      <c r="O985" s="3" t="s">
        <v>63</v>
      </c>
      <c r="P985" s="3" t="s">
        <v>1837</v>
      </c>
      <c r="R985" s="3" t="s">
        <v>65</v>
      </c>
      <c r="S985" s="4">
        <v>2</v>
      </c>
      <c r="T985" s="4">
        <v>2</v>
      </c>
      <c r="U985" s="5" t="s">
        <v>7458</v>
      </c>
      <c r="V985" s="5" t="s">
        <v>7458</v>
      </c>
      <c r="W985" s="5" t="s">
        <v>2616</v>
      </c>
      <c r="X985" s="5" t="s">
        <v>2616</v>
      </c>
      <c r="Y985" s="4">
        <v>497</v>
      </c>
      <c r="Z985" s="4">
        <v>482</v>
      </c>
      <c r="AA985" s="4">
        <v>500</v>
      </c>
      <c r="AB985" s="4">
        <v>6</v>
      </c>
      <c r="AC985" s="4">
        <v>6</v>
      </c>
      <c r="AD985" s="4">
        <v>35</v>
      </c>
      <c r="AE985" s="4">
        <v>38</v>
      </c>
      <c r="AF985" s="4">
        <v>12</v>
      </c>
      <c r="AG985" s="4">
        <v>13</v>
      </c>
      <c r="AH985" s="4">
        <v>8</v>
      </c>
      <c r="AI985" s="4">
        <v>9</v>
      </c>
      <c r="AJ985" s="4">
        <v>20</v>
      </c>
      <c r="AK985" s="4">
        <v>21</v>
      </c>
      <c r="AL985" s="4">
        <v>5</v>
      </c>
      <c r="AM985" s="4">
        <v>5</v>
      </c>
      <c r="AN985" s="4">
        <v>0</v>
      </c>
      <c r="AO985" s="4">
        <v>0</v>
      </c>
      <c r="AP985" s="3" t="s">
        <v>58</v>
      </c>
      <c r="AQ985" s="3" t="s">
        <v>68</v>
      </c>
      <c r="AR985" s="6" t="str">
        <f>HYPERLINK("http://catalog.hathitrust.org/Record/001266187","HathiTrust Record")</f>
        <v>HathiTrust Record</v>
      </c>
      <c r="AS985" s="6" t="str">
        <f>HYPERLINK("https://creighton-primo.hosted.exlibrisgroup.com/primo-explore/search?tab=default_tab&amp;search_scope=EVERYTHING&amp;vid=01CRU&amp;lang=en_US&amp;offset=0&amp;query=any,contains,991002446889702656","Catalog Record")</f>
        <v>Catalog Record</v>
      </c>
      <c r="AT985" s="6" t="str">
        <f>HYPERLINK("http://www.worldcat.org/oclc/351805","WorldCat Record")</f>
        <v>WorldCat Record</v>
      </c>
      <c r="AU985" s="3" t="s">
        <v>12546</v>
      </c>
      <c r="AV985" s="3" t="s">
        <v>12547</v>
      </c>
      <c r="AW985" s="3" t="s">
        <v>12548</v>
      </c>
      <c r="AX985" s="3" t="s">
        <v>12548</v>
      </c>
      <c r="AY985" s="3" t="s">
        <v>12549</v>
      </c>
      <c r="AZ985" s="3" t="s">
        <v>73</v>
      </c>
      <c r="BC985" s="3" t="s">
        <v>12550</v>
      </c>
      <c r="BD985" s="3" t="s">
        <v>12551</v>
      </c>
    </row>
    <row r="986" spans="1:56" ht="51" customHeight="1" x14ac:dyDescent="0.25">
      <c r="A986" s="7" t="s">
        <v>58</v>
      </c>
      <c r="B986" s="2" t="s">
        <v>12552</v>
      </c>
      <c r="C986" s="2" t="s">
        <v>12553</v>
      </c>
      <c r="D986" s="2" t="s">
        <v>12554</v>
      </c>
      <c r="F986" s="3" t="s">
        <v>58</v>
      </c>
      <c r="G986" s="3" t="s">
        <v>59</v>
      </c>
      <c r="H986" s="3" t="s">
        <v>58</v>
      </c>
      <c r="I986" s="3" t="s">
        <v>58</v>
      </c>
      <c r="J986" s="3" t="s">
        <v>60</v>
      </c>
      <c r="K986" s="2" t="s">
        <v>12555</v>
      </c>
      <c r="L986" s="2" t="s">
        <v>12556</v>
      </c>
      <c r="M986" s="3" t="s">
        <v>815</v>
      </c>
      <c r="O986" s="3" t="s">
        <v>63</v>
      </c>
      <c r="P986" s="3" t="s">
        <v>510</v>
      </c>
      <c r="Q986" s="2" t="s">
        <v>12557</v>
      </c>
      <c r="R986" s="3" t="s">
        <v>65</v>
      </c>
      <c r="S986" s="4">
        <v>2</v>
      </c>
      <c r="T986" s="4">
        <v>2</v>
      </c>
      <c r="U986" s="5" t="s">
        <v>12558</v>
      </c>
      <c r="V986" s="5" t="s">
        <v>12558</v>
      </c>
      <c r="W986" s="5" t="s">
        <v>12559</v>
      </c>
      <c r="X986" s="5" t="s">
        <v>12559</v>
      </c>
      <c r="Y986" s="4">
        <v>419</v>
      </c>
      <c r="Z986" s="4">
        <v>348</v>
      </c>
      <c r="AA986" s="4">
        <v>426</v>
      </c>
      <c r="AB986" s="4">
        <v>1</v>
      </c>
      <c r="AC986" s="4">
        <v>3</v>
      </c>
      <c r="AD986" s="4">
        <v>6</v>
      </c>
      <c r="AE986" s="4">
        <v>11</v>
      </c>
      <c r="AF986" s="4">
        <v>1</v>
      </c>
      <c r="AG986" s="4">
        <v>4</v>
      </c>
      <c r="AH986" s="4">
        <v>2</v>
      </c>
      <c r="AI986" s="4">
        <v>3</v>
      </c>
      <c r="AJ986" s="4">
        <v>6</v>
      </c>
      <c r="AK986" s="4">
        <v>6</v>
      </c>
      <c r="AL986" s="4">
        <v>0</v>
      </c>
      <c r="AM986" s="4">
        <v>2</v>
      </c>
      <c r="AN986" s="4">
        <v>0</v>
      </c>
      <c r="AO986" s="4">
        <v>0</v>
      </c>
      <c r="AP986" s="3" t="s">
        <v>58</v>
      </c>
      <c r="AQ986" s="3" t="s">
        <v>68</v>
      </c>
      <c r="AR986" s="6" t="str">
        <f>HYPERLINK("http://catalog.hathitrust.org/Record/005844900","HathiTrust Record")</f>
        <v>HathiTrust Record</v>
      </c>
      <c r="AS986" s="6" t="str">
        <f>HYPERLINK("https://creighton-primo.hosted.exlibrisgroup.com/primo-explore/search?tab=default_tab&amp;search_scope=EVERYTHING&amp;vid=01CRU&amp;lang=en_US&amp;offset=0&amp;query=any,contains,991005320979702656","Catalog Record")</f>
        <v>Catalog Record</v>
      </c>
      <c r="AT986" s="6" t="str">
        <f>HYPERLINK("http://www.worldcat.org/oclc/213602275","WorldCat Record")</f>
        <v>WorldCat Record</v>
      </c>
      <c r="AU986" s="3" t="s">
        <v>12560</v>
      </c>
      <c r="AV986" s="3" t="s">
        <v>12561</v>
      </c>
      <c r="AW986" s="3" t="s">
        <v>12562</v>
      </c>
      <c r="AX986" s="3" t="s">
        <v>12562</v>
      </c>
      <c r="AY986" s="3" t="s">
        <v>12563</v>
      </c>
      <c r="AZ986" s="3" t="s">
        <v>73</v>
      </c>
      <c r="BB986" s="3" t="s">
        <v>12564</v>
      </c>
      <c r="BC986" s="3" t="s">
        <v>12565</v>
      </c>
      <c r="BD986" s="3" t="s">
        <v>12566</v>
      </c>
    </row>
    <row r="987" spans="1:56" ht="51" customHeight="1" x14ac:dyDescent="0.25">
      <c r="A987" s="7" t="s">
        <v>58</v>
      </c>
      <c r="B987" s="2" t="s">
        <v>12567</v>
      </c>
      <c r="C987" s="2" t="s">
        <v>12568</v>
      </c>
      <c r="D987" s="2" t="s">
        <v>12569</v>
      </c>
      <c r="F987" s="3" t="s">
        <v>58</v>
      </c>
      <c r="G987" s="3" t="s">
        <v>59</v>
      </c>
      <c r="H987" s="3" t="s">
        <v>58</v>
      </c>
      <c r="I987" s="3" t="s">
        <v>58</v>
      </c>
      <c r="J987" s="3" t="s">
        <v>60</v>
      </c>
      <c r="L987" s="2" t="s">
        <v>12570</v>
      </c>
      <c r="M987" s="3" t="s">
        <v>1061</v>
      </c>
      <c r="O987" s="3" t="s">
        <v>63</v>
      </c>
      <c r="P987" s="3" t="s">
        <v>9271</v>
      </c>
      <c r="Q987" s="2" t="s">
        <v>12571</v>
      </c>
      <c r="R987" s="3" t="s">
        <v>65</v>
      </c>
      <c r="S987" s="4">
        <v>4</v>
      </c>
      <c r="T987" s="4">
        <v>4</v>
      </c>
      <c r="U987" s="5" t="s">
        <v>4325</v>
      </c>
      <c r="V987" s="5" t="s">
        <v>4325</v>
      </c>
      <c r="W987" s="5" t="s">
        <v>1258</v>
      </c>
      <c r="X987" s="5" t="s">
        <v>1258</v>
      </c>
      <c r="Y987" s="4">
        <v>183</v>
      </c>
      <c r="Z987" s="4">
        <v>154</v>
      </c>
      <c r="AA987" s="4">
        <v>164</v>
      </c>
      <c r="AB987" s="4">
        <v>1</v>
      </c>
      <c r="AC987" s="4">
        <v>1</v>
      </c>
      <c r="AD987" s="4">
        <v>9</v>
      </c>
      <c r="AE987" s="4">
        <v>11</v>
      </c>
      <c r="AF987" s="4">
        <v>0</v>
      </c>
      <c r="AG987" s="4">
        <v>1</v>
      </c>
      <c r="AH987" s="4">
        <v>5</v>
      </c>
      <c r="AI987" s="4">
        <v>6</v>
      </c>
      <c r="AJ987" s="4">
        <v>6</v>
      </c>
      <c r="AK987" s="4">
        <v>6</v>
      </c>
      <c r="AL987" s="4">
        <v>0</v>
      </c>
      <c r="AM987" s="4">
        <v>0</v>
      </c>
      <c r="AN987" s="4">
        <v>0</v>
      </c>
      <c r="AO987" s="4">
        <v>0</v>
      </c>
      <c r="AP987" s="3" t="s">
        <v>58</v>
      </c>
      <c r="AQ987" s="3" t="s">
        <v>68</v>
      </c>
      <c r="AR987" s="6" t="str">
        <f>HYPERLINK("http://catalog.hathitrust.org/Record/003314972","HathiTrust Record")</f>
        <v>HathiTrust Record</v>
      </c>
      <c r="AS987" s="6" t="str">
        <f>HYPERLINK("https://creighton-primo.hosted.exlibrisgroup.com/primo-explore/search?tab=default_tab&amp;search_scope=EVERYTHING&amp;vid=01CRU&amp;lang=en_US&amp;offset=0&amp;query=any,contains,991002969129702656","Catalog Record")</f>
        <v>Catalog Record</v>
      </c>
      <c r="AT987" s="6" t="str">
        <f>HYPERLINK("http://www.worldcat.org/oclc/39741728","WorldCat Record")</f>
        <v>WorldCat Record</v>
      </c>
      <c r="AU987" s="3" t="s">
        <v>12572</v>
      </c>
      <c r="AV987" s="3" t="s">
        <v>12573</v>
      </c>
      <c r="AW987" s="3" t="s">
        <v>12574</v>
      </c>
      <c r="AX987" s="3" t="s">
        <v>12574</v>
      </c>
      <c r="AY987" s="3" t="s">
        <v>12575</v>
      </c>
      <c r="AZ987" s="3" t="s">
        <v>73</v>
      </c>
      <c r="BB987" s="3" t="s">
        <v>12576</v>
      </c>
      <c r="BC987" s="3" t="s">
        <v>12577</v>
      </c>
      <c r="BD987" s="3" t="s">
        <v>12578</v>
      </c>
    </row>
    <row r="988" spans="1:56" ht="51" customHeight="1" x14ac:dyDescent="0.25">
      <c r="A988" s="7" t="s">
        <v>58</v>
      </c>
      <c r="B988" s="2" t="s">
        <v>12579</v>
      </c>
      <c r="C988" s="2" t="s">
        <v>12580</v>
      </c>
      <c r="D988" s="2" t="s">
        <v>12581</v>
      </c>
      <c r="F988" s="3" t="s">
        <v>58</v>
      </c>
      <c r="G988" s="3" t="s">
        <v>59</v>
      </c>
      <c r="H988" s="3" t="s">
        <v>58</v>
      </c>
      <c r="I988" s="3" t="s">
        <v>58</v>
      </c>
      <c r="J988" s="3" t="s">
        <v>60</v>
      </c>
      <c r="K988" s="2" t="s">
        <v>12582</v>
      </c>
      <c r="L988" s="2" t="s">
        <v>12583</v>
      </c>
      <c r="M988" s="3" t="s">
        <v>951</v>
      </c>
      <c r="O988" s="3" t="s">
        <v>63</v>
      </c>
      <c r="P988" s="3" t="s">
        <v>9271</v>
      </c>
      <c r="R988" s="3" t="s">
        <v>65</v>
      </c>
      <c r="S988" s="4">
        <v>7</v>
      </c>
      <c r="T988" s="4">
        <v>7</v>
      </c>
      <c r="U988" s="5" t="s">
        <v>4325</v>
      </c>
      <c r="V988" s="5" t="s">
        <v>4325</v>
      </c>
      <c r="W988" s="5" t="s">
        <v>12584</v>
      </c>
      <c r="X988" s="5" t="s">
        <v>12584</v>
      </c>
      <c r="Y988" s="4">
        <v>324</v>
      </c>
      <c r="Z988" s="4">
        <v>275</v>
      </c>
      <c r="AA988" s="4">
        <v>285</v>
      </c>
      <c r="AB988" s="4">
        <v>3</v>
      </c>
      <c r="AC988" s="4">
        <v>3</v>
      </c>
      <c r="AD988" s="4">
        <v>17</v>
      </c>
      <c r="AE988" s="4">
        <v>17</v>
      </c>
      <c r="AF988" s="4">
        <v>6</v>
      </c>
      <c r="AG988" s="4">
        <v>6</v>
      </c>
      <c r="AH988" s="4">
        <v>6</v>
      </c>
      <c r="AI988" s="4">
        <v>6</v>
      </c>
      <c r="AJ988" s="4">
        <v>8</v>
      </c>
      <c r="AK988" s="4">
        <v>8</v>
      </c>
      <c r="AL988" s="4">
        <v>2</v>
      </c>
      <c r="AM988" s="4">
        <v>2</v>
      </c>
      <c r="AN988" s="4">
        <v>0</v>
      </c>
      <c r="AO988" s="4">
        <v>0</v>
      </c>
      <c r="AP988" s="3" t="s">
        <v>58</v>
      </c>
      <c r="AQ988" s="3" t="s">
        <v>58</v>
      </c>
      <c r="AS988" s="6" t="str">
        <f>HYPERLINK("https://creighton-primo.hosted.exlibrisgroup.com/primo-explore/search?tab=default_tab&amp;search_scope=EVERYTHING&amp;vid=01CRU&amp;lang=en_US&amp;offset=0&amp;query=any,contains,991003362519702656","Catalog Record")</f>
        <v>Catalog Record</v>
      </c>
      <c r="AT988" s="6" t="str">
        <f>HYPERLINK("http://www.worldcat.org/oclc/45270649","WorldCat Record")</f>
        <v>WorldCat Record</v>
      </c>
      <c r="AU988" s="3" t="s">
        <v>12585</v>
      </c>
      <c r="AV988" s="3" t="s">
        <v>12586</v>
      </c>
      <c r="AW988" s="3" t="s">
        <v>12587</v>
      </c>
      <c r="AX988" s="3" t="s">
        <v>12587</v>
      </c>
      <c r="AY988" s="3" t="s">
        <v>12588</v>
      </c>
      <c r="AZ988" s="3" t="s">
        <v>73</v>
      </c>
      <c r="BB988" s="3" t="s">
        <v>12589</v>
      </c>
      <c r="BC988" s="3" t="s">
        <v>12590</v>
      </c>
      <c r="BD988" s="3" t="s">
        <v>12591</v>
      </c>
    </row>
    <row r="989" spans="1:56" ht="51" customHeight="1" x14ac:dyDescent="0.25">
      <c r="A989" s="7" t="s">
        <v>58</v>
      </c>
      <c r="B989" s="2" t="s">
        <v>12592</v>
      </c>
      <c r="C989" s="2" t="s">
        <v>12593</v>
      </c>
      <c r="D989" s="2" t="s">
        <v>12594</v>
      </c>
      <c r="F989" s="3" t="s">
        <v>58</v>
      </c>
      <c r="G989" s="3" t="s">
        <v>59</v>
      </c>
      <c r="H989" s="3" t="s">
        <v>58</v>
      </c>
      <c r="I989" s="3" t="s">
        <v>58</v>
      </c>
      <c r="J989" s="3" t="s">
        <v>60</v>
      </c>
      <c r="L989" s="2" t="s">
        <v>12595</v>
      </c>
      <c r="M989" s="3" t="s">
        <v>745</v>
      </c>
      <c r="O989" s="3" t="s">
        <v>63</v>
      </c>
      <c r="P989" s="3" t="s">
        <v>9271</v>
      </c>
      <c r="R989" s="3" t="s">
        <v>65</v>
      </c>
      <c r="S989" s="4">
        <v>1</v>
      </c>
      <c r="T989" s="4">
        <v>1</v>
      </c>
      <c r="U989" s="5" t="s">
        <v>12596</v>
      </c>
      <c r="V989" s="5" t="s">
        <v>12596</v>
      </c>
      <c r="W989" s="5" t="s">
        <v>2616</v>
      </c>
      <c r="X989" s="5" t="s">
        <v>2616</v>
      </c>
      <c r="Y989" s="4">
        <v>274</v>
      </c>
      <c r="Z989" s="4">
        <v>254</v>
      </c>
      <c r="AA989" s="4">
        <v>255</v>
      </c>
      <c r="AB989" s="4">
        <v>4</v>
      </c>
      <c r="AC989" s="4">
        <v>4</v>
      </c>
      <c r="AD989" s="4">
        <v>16</v>
      </c>
      <c r="AE989" s="4">
        <v>16</v>
      </c>
      <c r="AF989" s="4">
        <v>3</v>
      </c>
      <c r="AG989" s="4">
        <v>3</v>
      </c>
      <c r="AH989" s="4">
        <v>4</v>
      </c>
      <c r="AI989" s="4">
        <v>4</v>
      </c>
      <c r="AJ989" s="4">
        <v>8</v>
      </c>
      <c r="AK989" s="4">
        <v>8</v>
      </c>
      <c r="AL989" s="4">
        <v>3</v>
      </c>
      <c r="AM989" s="4">
        <v>3</v>
      </c>
      <c r="AN989" s="4">
        <v>1</v>
      </c>
      <c r="AO989" s="4">
        <v>1</v>
      </c>
      <c r="AP989" s="3" t="s">
        <v>58</v>
      </c>
      <c r="AQ989" s="3" t="s">
        <v>68</v>
      </c>
      <c r="AR989" s="6" t="str">
        <f>HYPERLINK("http://catalog.hathitrust.org/Record/001249403","HathiTrust Record")</f>
        <v>HathiTrust Record</v>
      </c>
      <c r="AS989" s="6" t="str">
        <f>HYPERLINK("https://creighton-primo.hosted.exlibrisgroup.com/primo-explore/search?tab=default_tab&amp;search_scope=EVERYTHING&amp;vid=01CRU&amp;lang=en_US&amp;offset=0&amp;query=any,contains,991002823979702656","Catalog Record")</f>
        <v>Catalog Record</v>
      </c>
      <c r="AT989" s="6" t="str">
        <f>HYPERLINK("http://www.worldcat.org/oclc/474657","WorldCat Record")</f>
        <v>WorldCat Record</v>
      </c>
      <c r="AU989" s="3" t="s">
        <v>12597</v>
      </c>
      <c r="AV989" s="3" t="s">
        <v>12598</v>
      </c>
      <c r="AW989" s="3" t="s">
        <v>12599</v>
      </c>
      <c r="AX989" s="3" t="s">
        <v>12599</v>
      </c>
      <c r="AY989" s="3" t="s">
        <v>12600</v>
      </c>
      <c r="AZ989" s="3" t="s">
        <v>73</v>
      </c>
      <c r="BC989" s="3" t="s">
        <v>12601</v>
      </c>
      <c r="BD989" s="3" t="s">
        <v>12602</v>
      </c>
    </row>
    <row r="990" spans="1:56" ht="51" customHeight="1" x14ac:dyDescent="0.25">
      <c r="A990" s="7" t="s">
        <v>58</v>
      </c>
      <c r="B990" s="2" t="s">
        <v>12603</v>
      </c>
      <c r="C990" s="2" t="s">
        <v>12604</v>
      </c>
      <c r="D990" s="2" t="s">
        <v>12605</v>
      </c>
      <c r="F990" s="3" t="s">
        <v>58</v>
      </c>
      <c r="G990" s="3" t="s">
        <v>59</v>
      </c>
      <c r="H990" s="3" t="s">
        <v>58</v>
      </c>
      <c r="I990" s="3" t="s">
        <v>58</v>
      </c>
      <c r="J990" s="3" t="s">
        <v>60</v>
      </c>
      <c r="K990" s="2" t="s">
        <v>12606</v>
      </c>
      <c r="M990" s="3" t="s">
        <v>2757</v>
      </c>
      <c r="O990" s="3" t="s">
        <v>63</v>
      </c>
      <c r="P990" s="3" t="s">
        <v>2061</v>
      </c>
      <c r="R990" s="3" t="s">
        <v>65</v>
      </c>
      <c r="S990" s="4">
        <v>1</v>
      </c>
      <c r="T990" s="4">
        <v>1</v>
      </c>
      <c r="U990" s="5" t="s">
        <v>12596</v>
      </c>
      <c r="V990" s="5" t="s">
        <v>12596</v>
      </c>
      <c r="W990" s="5" t="s">
        <v>2616</v>
      </c>
      <c r="X990" s="5" t="s">
        <v>2616</v>
      </c>
      <c r="Y990" s="4">
        <v>15</v>
      </c>
      <c r="Z990" s="4">
        <v>14</v>
      </c>
      <c r="AA990" s="4">
        <v>14</v>
      </c>
      <c r="AB990" s="4">
        <v>1</v>
      </c>
      <c r="AC990" s="4">
        <v>1</v>
      </c>
      <c r="AD990" s="4">
        <v>0</v>
      </c>
      <c r="AE990" s="4">
        <v>0</v>
      </c>
      <c r="AF990" s="4">
        <v>0</v>
      </c>
      <c r="AG990" s="4">
        <v>0</v>
      </c>
      <c r="AH990" s="4">
        <v>0</v>
      </c>
      <c r="AI990" s="4">
        <v>0</v>
      </c>
      <c r="AJ990" s="4">
        <v>0</v>
      </c>
      <c r="AK990" s="4">
        <v>0</v>
      </c>
      <c r="AL990" s="4">
        <v>0</v>
      </c>
      <c r="AM990" s="4">
        <v>0</v>
      </c>
      <c r="AN990" s="4">
        <v>0</v>
      </c>
      <c r="AO990" s="4">
        <v>0</v>
      </c>
      <c r="AP990" s="3" t="s">
        <v>58</v>
      </c>
      <c r="AQ990" s="3" t="s">
        <v>58</v>
      </c>
      <c r="AS990" s="6" t="str">
        <f>HYPERLINK("https://creighton-primo.hosted.exlibrisgroup.com/primo-explore/search?tab=default_tab&amp;search_scope=EVERYTHING&amp;vid=01CRU&amp;lang=en_US&amp;offset=0&amp;query=any,contains,991000887689702656","Catalog Record")</f>
        <v>Catalog Record</v>
      </c>
      <c r="AT990" s="6" t="str">
        <f>HYPERLINK("http://www.worldcat.org/oclc/13895074","WorldCat Record")</f>
        <v>WorldCat Record</v>
      </c>
      <c r="AU990" s="3" t="s">
        <v>12607</v>
      </c>
      <c r="AV990" s="3" t="s">
        <v>12608</v>
      </c>
      <c r="AW990" s="3" t="s">
        <v>12609</v>
      </c>
      <c r="AX990" s="3" t="s">
        <v>12609</v>
      </c>
      <c r="AY990" s="3" t="s">
        <v>12610</v>
      </c>
      <c r="AZ990" s="3" t="s">
        <v>73</v>
      </c>
      <c r="BC990" s="3" t="s">
        <v>12611</v>
      </c>
      <c r="BD990" s="3" t="s">
        <v>12612</v>
      </c>
    </row>
    <row r="991" spans="1:56" ht="51" customHeight="1" x14ac:dyDescent="0.25">
      <c r="A991" s="7" t="s">
        <v>58</v>
      </c>
      <c r="B991" s="2" t="s">
        <v>12613</v>
      </c>
      <c r="C991" s="2" t="s">
        <v>12614</v>
      </c>
      <c r="D991" s="2" t="s">
        <v>12615</v>
      </c>
      <c r="F991" s="3" t="s">
        <v>58</v>
      </c>
      <c r="G991" s="3" t="s">
        <v>59</v>
      </c>
      <c r="H991" s="3" t="s">
        <v>58</v>
      </c>
      <c r="I991" s="3" t="s">
        <v>58</v>
      </c>
      <c r="J991" s="3" t="s">
        <v>60</v>
      </c>
      <c r="K991" s="2" t="s">
        <v>12616</v>
      </c>
      <c r="L991" s="2" t="s">
        <v>12617</v>
      </c>
      <c r="M991" s="3" t="s">
        <v>382</v>
      </c>
      <c r="O991" s="3" t="s">
        <v>63</v>
      </c>
      <c r="P991" s="3" t="s">
        <v>9271</v>
      </c>
      <c r="R991" s="3" t="s">
        <v>65</v>
      </c>
      <c r="S991" s="4">
        <v>4</v>
      </c>
      <c r="T991" s="4">
        <v>4</v>
      </c>
      <c r="U991" s="5" t="s">
        <v>4325</v>
      </c>
      <c r="V991" s="5" t="s">
        <v>4325</v>
      </c>
      <c r="W991" s="5" t="s">
        <v>11940</v>
      </c>
      <c r="X991" s="5" t="s">
        <v>11940</v>
      </c>
      <c r="Y991" s="4">
        <v>59</v>
      </c>
      <c r="Z991" s="4">
        <v>51</v>
      </c>
      <c r="AA991" s="4">
        <v>451</v>
      </c>
      <c r="AB991" s="4">
        <v>1</v>
      </c>
      <c r="AC991" s="4">
        <v>2</v>
      </c>
      <c r="AD991" s="4">
        <v>2</v>
      </c>
      <c r="AE991" s="4">
        <v>22</v>
      </c>
      <c r="AF991" s="4">
        <v>0</v>
      </c>
      <c r="AG991" s="4">
        <v>6</v>
      </c>
      <c r="AH991" s="4">
        <v>0</v>
      </c>
      <c r="AI991" s="4">
        <v>6</v>
      </c>
      <c r="AJ991" s="4">
        <v>1</v>
      </c>
      <c r="AK991" s="4">
        <v>13</v>
      </c>
      <c r="AL991" s="4">
        <v>0</v>
      </c>
      <c r="AM991" s="4">
        <v>1</v>
      </c>
      <c r="AN991" s="4">
        <v>1</v>
      </c>
      <c r="AO991" s="4">
        <v>1</v>
      </c>
      <c r="AP991" s="3" t="s">
        <v>58</v>
      </c>
      <c r="AQ991" s="3" t="s">
        <v>58</v>
      </c>
      <c r="AS991" s="6" t="str">
        <f>HYPERLINK("https://creighton-primo.hosted.exlibrisgroup.com/primo-explore/search?tab=default_tab&amp;search_scope=EVERYTHING&amp;vid=01CRU&amp;lang=en_US&amp;offset=0&amp;query=any,contains,991003643629702656","Catalog Record")</f>
        <v>Catalog Record</v>
      </c>
      <c r="AT991" s="6" t="str">
        <f>HYPERLINK("http://www.worldcat.org/oclc/43956338","WorldCat Record")</f>
        <v>WorldCat Record</v>
      </c>
      <c r="AU991" s="3" t="s">
        <v>12618</v>
      </c>
      <c r="AV991" s="3" t="s">
        <v>12619</v>
      </c>
      <c r="AW991" s="3" t="s">
        <v>12620</v>
      </c>
      <c r="AX991" s="3" t="s">
        <v>12620</v>
      </c>
      <c r="AY991" s="3" t="s">
        <v>12621</v>
      </c>
      <c r="AZ991" s="3" t="s">
        <v>73</v>
      </c>
      <c r="BB991" s="3" t="s">
        <v>12622</v>
      </c>
      <c r="BC991" s="3" t="s">
        <v>12623</v>
      </c>
      <c r="BD991" s="3" t="s">
        <v>12624</v>
      </c>
    </row>
    <row r="992" spans="1:56" ht="51" customHeight="1" x14ac:dyDescent="0.25">
      <c r="A992" s="7" t="s">
        <v>58</v>
      </c>
      <c r="B992" s="2" t="s">
        <v>12625</v>
      </c>
      <c r="C992" s="2" t="s">
        <v>12626</v>
      </c>
      <c r="D992" s="2" t="s">
        <v>12627</v>
      </c>
      <c r="F992" s="3" t="s">
        <v>58</v>
      </c>
      <c r="G992" s="3" t="s">
        <v>59</v>
      </c>
      <c r="H992" s="3" t="s">
        <v>58</v>
      </c>
      <c r="I992" s="3" t="s">
        <v>58</v>
      </c>
      <c r="J992" s="3" t="s">
        <v>60</v>
      </c>
      <c r="K992" s="2" t="s">
        <v>12628</v>
      </c>
      <c r="L992" s="2" t="s">
        <v>12629</v>
      </c>
      <c r="M992" s="3" t="s">
        <v>183</v>
      </c>
      <c r="O992" s="3" t="s">
        <v>63</v>
      </c>
      <c r="P992" s="3" t="s">
        <v>2630</v>
      </c>
      <c r="Q992" s="2" t="s">
        <v>12630</v>
      </c>
      <c r="R992" s="3" t="s">
        <v>65</v>
      </c>
      <c r="S992" s="4">
        <v>2</v>
      </c>
      <c r="T992" s="4">
        <v>2</v>
      </c>
      <c r="U992" s="5" t="s">
        <v>12631</v>
      </c>
      <c r="V992" s="5" t="s">
        <v>12631</v>
      </c>
      <c r="W992" s="5" t="s">
        <v>2616</v>
      </c>
      <c r="X992" s="5" t="s">
        <v>2616</v>
      </c>
      <c r="Y992" s="4">
        <v>231</v>
      </c>
      <c r="Z992" s="4">
        <v>191</v>
      </c>
      <c r="AA992" s="4">
        <v>212</v>
      </c>
      <c r="AB992" s="4">
        <v>3</v>
      </c>
      <c r="AC992" s="4">
        <v>3</v>
      </c>
      <c r="AD992" s="4">
        <v>11</v>
      </c>
      <c r="AE992" s="4">
        <v>11</v>
      </c>
      <c r="AF992" s="4">
        <v>3</v>
      </c>
      <c r="AG992" s="4">
        <v>3</v>
      </c>
      <c r="AH992" s="4">
        <v>3</v>
      </c>
      <c r="AI992" s="4">
        <v>3</v>
      </c>
      <c r="AJ992" s="4">
        <v>6</v>
      </c>
      <c r="AK992" s="4">
        <v>6</v>
      </c>
      <c r="AL992" s="4">
        <v>2</v>
      </c>
      <c r="AM992" s="4">
        <v>2</v>
      </c>
      <c r="AN992" s="4">
        <v>0</v>
      </c>
      <c r="AO992" s="4">
        <v>0</v>
      </c>
      <c r="AP992" s="3" t="s">
        <v>58</v>
      </c>
      <c r="AQ992" s="3" t="s">
        <v>68</v>
      </c>
      <c r="AR992" s="6" t="str">
        <f>HYPERLINK("http://catalog.hathitrust.org/Record/000294626","HathiTrust Record")</f>
        <v>HathiTrust Record</v>
      </c>
      <c r="AS992" s="6" t="str">
        <f>HYPERLINK("https://creighton-primo.hosted.exlibrisgroup.com/primo-explore/search?tab=default_tab&amp;search_scope=EVERYTHING&amp;vid=01CRU&amp;lang=en_US&amp;offset=0&amp;query=any,contains,991004373209702656","Catalog Record")</f>
        <v>Catalog Record</v>
      </c>
      <c r="AT992" s="6" t="str">
        <f>HYPERLINK("http://www.worldcat.org/oclc/3202761","WorldCat Record")</f>
        <v>WorldCat Record</v>
      </c>
      <c r="AU992" s="3" t="s">
        <v>12632</v>
      </c>
      <c r="AV992" s="3" t="s">
        <v>12633</v>
      </c>
      <c r="AW992" s="3" t="s">
        <v>12634</v>
      </c>
      <c r="AX992" s="3" t="s">
        <v>12634</v>
      </c>
      <c r="AY992" s="3" t="s">
        <v>12635</v>
      </c>
      <c r="AZ992" s="3" t="s">
        <v>73</v>
      </c>
      <c r="BB992" s="3" t="s">
        <v>12636</v>
      </c>
      <c r="BC992" s="3" t="s">
        <v>12637</v>
      </c>
      <c r="BD992" s="3" t="s">
        <v>12638</v>
      </c>
    </row>
    <row r="993" spans="1:56" ht="51" customHeight="1" x14ac:dyDescent="0.25">
      <c r="A993" s="7" t="s">
        <v>58</v>
      </c>
      <c r="B993" s="2" t="s">
        <v>12639</v>
      </c>
      <c r="C993" s="2" t="s">
        <v>12640</v>
      </c>
      <c r="D993" s="2" t="s">
        <v>12641</v>
      </c>
      <c r="F993" s="3" t="s">
        <v>58</v>
      </c>
      <c r="G993" s="3" t="s">
        <v>59</v>
      </c>
      <c r="H993" s="3" t="s">
        <v>58</v>
      </c>
      <c r="I993" s="3" t="s">
        <v>58</v>
      </c>
      <c r="J993" s="3" t="s">
        <v>60</v>
      </c>
      <c r="K993" s="2" t="s">
        <v>12642</v>
      </c>
      <c r="L993" s="2" t="s">
        <v>12643</v>
      </c>
      <c r="M993" s="3" t="s">
        <v>996</v>
      </c>
      <c r="O993" s="3" t="s">
        <v>63</v>
      </c>
      <c r="P993" s="3" t="s">
        <v>3323</v>
      </c>
      <c r="R993" s="3" t="s">
        <v>65</v>
      </c>
      <c r="S993" s="4">
        <v>1</v>
      </c>
      <c r="T993" s="4">
        <v>1</v>
      </c>
      <c r="U993" s="5" t="s">
        <v>12644</v>
      </c>
      <c r="V993" s="5" t="s">
        <v>12644</v>
      </c>
      <c r="W993" s="5" t="s">
        <v>2616</v>
      </c>
      <c r="X993" s="5" t="s">
        <v>2616</v>
      </c>
      <c r="Y993" s="4">
        <v>223</v>
      </c>
      <c r="Z993" s="4">
        <v>201</v>
      </c>
      <c r="AA993" s="4">
        <v>329</v>
      </c>
      <c r="AB993" s="4">
        <v>2</v>
      </c>
      <c r="AC993" s="4">
        <v>3</v>
      </c>
      <c r="AD993" s="4">
        <v>9</v>
      </c>
      <c r="AE993" s="4">
        <v>14</v>
      </c>
      <c r="AF993" s="4">
        <v>1</v>
      </c>
      <c r="AG993" s="4">
        <v>1</v>
      </c>
      <c r="AH993" s="4">
        <v>4</v>
      </c>
      <c r="AI993" s="4">
        <v>5</v>
      </c>
      <c r="AJ993" s="4">
        <v>5</v>
      </c>
      <c r="AK993" s="4">
        <v>8</v>
      </c>
      <c r="AL993" s="4">
        <v>1</v>
      </c>
      <c r="AM993" s="4">
        <v>2</v>
      </c>
      <c r="AN993" s="4">
        <v>0</v>
      </c>
      <c r="AO993" s="4">
        <v>0</v>
      </c>
      <c r="AP993" s="3" t="s">
        <v>58</v>
      </c>
      <c r="AQ993" s="3" t="s">
        <v>58</v>
      </c>
      <c r="AS993" s="6" t="str">
        <f>HYPERLINK("https://creighton-primo.hosted.exlibrisgroup.com/primo-explore/search?tab=default_tab&amp;search_scope=EVERYTHING&amp;vid=01CRU&amp;lang=en_US&amp;offset=0&amp;query=any,contains,991003568999702656","Catalog Record")</f>
        <v>Catalog Record</v>
      </c>
      <c r="AT993" s="6" t="str">
        <f>HYPERLINK("http://www.worldcat.org/oclc/1143804","WorldCat Record")</f>
        <v>WorldCat Record</v>
      </c>
      <c r="AU993" s="3" t="s">
        <v>12645</v>
      </c>
      <c r="AV993" s="3" t="s">
        <v>12646</v>
      </c>
      <c r="AW993" s="3" t="s">
        <v>12647</v>
      </c>
      <c r="AX993" s="3" t="s">
        <v>12647</v>
      </c>
      <c r="AY993" s="3" t="s">
        <v>12648</v>
      </c>
      <c r="AZ993" s="3" t="s">
        <v>73</v>
      </c>
      <c r="BC993" s="3" t="s">
        <v>12649</v>
      </c>
      <c r="BD993" s="3" t="s">
        <v>12650</v>
      </c>
    </row>
    <row r="994" spans="1:56" ht="51" customHeight="1" x14ac:dyDescent="0.25">
      <c r="A994" s="7" t="s">
        <v>58</v>
      </c>
      <c r="B994" s="2" t="s">
        <v>12651</v>
      </c>
      <c r="C994" s="2" t="s">
        <v>12652</v>
      </c>
      <c r="D994" s="2" t="s">
        <v>12653</v>
      </c>
      <c r="F994" s="3" t="s">
        <v>58</v>
      </c>
      <c r="G994" s="3" t="s">
        <v>59</v>
      </c>
      <c r="H994" s="3" t="s">
        <v>58</v>
      </c>
      <c r="I994" s="3" t="s">
        <v>58</v>
      </c>
      <c r="J994" s="3" t="s">
        <v>60</v>
      </c>
      <c r="K994" s="2" t="s">
        <v>12654</v>
      </c>
      <c r="L994" s="2" t="s">
        <v>12655</v>
      </c>
      <c r="M994" s="3" t="s">
        <v>196</v>
      </c>
      <c r="N994" s="2" t="s">
        <v>338</v>
      </c>
      <c r="O994" s="3" t="s">
        <v>63</v>
      </c>
      <c r="P994" s="3" t="s">
        <v>3109</v>
      </c>
      <c r="R994" s="3" t="s">
        <v>65</v>
      </c>
      <c r="S994" s="4">
        <v>3</v>
      </c>
      <c r="T994" s="4">
        <v>3</v>
      </c>
      <c r="U994" s="5" t="s">
        <v>12656</v>
      </c>
      <c r="V994" s="5" t="s">
        <v>12656</v>
      </c>
      <c r="W994" s="5" t="s">
        <v>12657</v>
      </c>
      <c r="X994" s="5" t="s">
        <v>12657</v>
      </c>
      <c r="Y994" s="4">
        <v>34</v>
      </c>
      <c r="Z994" s="4">
        <v>22</v>
      </c>
      <c r="AA994" s="4">
        <v>32</v>
      </c>
      <c r="AB994" s="4">
        <v>1</v>
      </c>
      <c r="AC994" s="4">
        <v>1</v>
      </c>
      <c r="AD994" s="4">
        <v>0</v>
      </c>
      <c r="AE994" s="4">
        <v>0</v>
      </c>
      <c r="AF994" s="4">
        <v>0</v>
      </c>
      <c r="AG994" s="4">
        <v>0</v>
      </c>
      <c r="AH994" s="4">
        <v>0</v>
      </c>
      <c r="AI994" s="4">
        <v>0</v>
      </c>
      <c r="AJ994" s="4">
        <v>0</v>
      </c>
      <c r="AK994" s="4">
        <v>0</v>
      </c>
      <c r="AL994" s="4">
        <v>0</v>
      </c>
      <c r="AM994" s="4">
        <v>0</v>
      </c>
      <c r="AN994" s="4">
        <v>0</v>
      </c>
      <c r="AO994" s="4">
        <v>0</v>
      </c>
      <c r="AP994" s="3" t="s">
        <v>58</v>
      </c>
      <c r="AQ994" s="3" t="s">
        <v>68</v>
      </c>
      <c r="AR994" s="6" t="str">
        <f>HYPERLINK("http://catalog.hathitrust.org/Record/004001336","HathiTrust Record")</f>
        <v>HathiTrust Record</v>
      </c>
      <c r="AS994" s="6" t="str">
        <f>HYPERLINK("https://creighton-primo.hosted.exlibrisgroup.com/primo-explore/search?tab=default_tab&amp;search_scope=EVERYTHING&amp;vid=01CRU&amp;lang=en_US&amp;offset=0&amp;query=any,contains,991005425419702656","Catalog Record")</f>
        <v>Catalog Record</v>
      </c>
      <c r="AT994" s="6" t="str">
        <f>HYPERLINK("http://www.worldcat.org/oclc/36074594","WorldCat Record")</f>
        <v>WorldCat Record</v>
      </c>
      <c r="AU994" s="3" t="s">
        <v>12658</v>
      </c>
      <c r="AV994" s="3" t="s">
        <v>12659</v>
      </c>
      <c r="AW994" s="3" t="s">
        <v>12660</v>
      </c>
      <c r="AX994" s="3" t="s">
        <v>12660</v>
      </c>
      <c r="AY994" s="3" t="s">
        <v>12661</v>
      </c>
      <c r="AZ994" s="3" t="s">
        <v>73</v>
      </c>
      <c r="BB994" s="3" t="s">
        <v>12662</v>
      </c>
      <c r="BC994" s="3" t="s">
        <v>12663</v>
      </c>
      <c r="BD994" s="3" t="s">
        <v>12664</v>
      </c>
    </row>
    <row r="995" spans="1:56" ht="51" customHeight="1" x14ac:dyDescent="0.25">
      <c r="A995" s="7" t="s">
        <v>58</v>
      </c>
      <c r="B995" s="2" t="s">
        <v>12665</v>
      </c>
      <c r="C995" s="2" t="s">
        <v>12666</v>
      </c>
      <c r="D995" s="2" t="s">
        <v>12667</v>
      </c>
      <c r="F995" s="3" t="s">
        <v>58</v>
      </c>
      <c r="G995" s="3" t="s">
        <v>59</v>
      </c>
      <c r="H995" s="3" t="s">
        <v>58</v>
      </c>
      <c r="I995" s="3" t="s">
        <v>58</v>
      </c>
      <c r="J995" s="3" t="s">
        <v>60</v>
      </c>
      <c r="K995" s="2" t="s">
        <v>12668</v>
      </c>
      <c r="L995" s="2" t="s">
        <v>12669</v>
      </c>
      <c r="M995" s="3" t="s">
        <v>2214</v>
      </c>
      <c r="O995" s="3" t="s">
        <v>63</v>
      </c>
      <c r="P995" s="3" t="s">
        <v>2061</v>
      </c>
      <c r="R995" s="3" t="s">
        <v>65</v>
      </c>
      <c r="S995" s="4">
        <v>4</v>
      </c>
      <c r="T995" s="4">
        <v>4</v>
      </c>
      <c r="U995" s="5" t="s">
        <v>12670</v>
      </c>
      <c r="V995" s="5" t="s">
        <v>12670</v>
      </c>
      <c r="W995" s="5" t="s">
        <v>11346</v>
      </c>
      <c r="X995" s="5" t="s">
        <v>11346</v>
      </c>
      <c r="Y995" s="4">
        <v>817</v>
      </c>
      <c r="Z995" s="4">
        <v>751</v>
      </c>
      <c r="AA995" s="4">
        <v>755</v>
      </c>
      <c r="AB995" s="4">
        <v>5</v>
      </c>
      <c r="AC995" s="4">
        <v>5</v>
      </c>
      <c r="AD995" s="4">
        <v>18</v>
      </c>
      <c r="AE995" s="4">
        <v>18</v>
      </c>
      <c r="AF995" s="4">
        <v>6</v>
      </c>
      <c r="AG995" s="4">
        <v>6</v>
      </c>
      <c r="AH995" s="4">
        <v>5</v>
      </c>
      <c r="AI995" s="4">
        <v>5</v>
      </c>
      <c r="AJ995" s="4">
        <v>5</v>
      </c>
      <c r="AK995" s="4">
        <v>5</v>
      </c>
      <c r="AL995" s="4">
        <v>4</v>
      </c>
      <c r="AM995" s="4">
        <v>4</v>
      </c>
      <c r="AN995" s="4">
        <v>0</v>
      </c>
      <c r="AO995" s="4">
        <v>0</v>
      </c>
      <c r="AP995" s="3" t="s">
        <v>58</v>
      </c>
      <c r="AQ995" s="3" t="s">
        <v>58</v>
      </c>
      <c r="AS995" s="6" t="str">
        <f>HYPERLINK("https://creighton-primo.hosted.exlibrisgroup.com/primo-explore/search?tab=default_tab&amp;search_scope=EVERYTHING&amp;vid=01CRU&amp;lang=en_US&amp;offset=0&amp;query=any,contains,991004631839702656","Catalog Record")</f>
        <v>Catalog Record</v>
      </c>
      <c r="AT995" s="6" t="str">
        <f>HYPERLINK("http://www.worldcat.org/oclc/61247490","WorldCat Record")</f>
        <v>WorldCat Record</v>
      </c>
      <c r="AU995" s="3" t="s">
        <v>12671</v>
      </c>
      <c r="AV995" s="3" t="s">
        <v>12672</v>
      </c>
      <c r="AW995" s="3" t="s">
        <v>12673</v>
      </c>
      <c r="AX995" s="3" t="s">
        <v>12673</v>
      </c>
      <c r="AY995" s="3" t="s">
        <v>12674</v>
      </c>
      <c r="AZ995" s="3" t="s">
        <v>73</v>
      </c>
      <c r="BB995" s="3" t="s">
        <v>12675</v>
      </c>
      <c r="BC995" s="3" t="s">
        <v>12676</v>
      </c>
      <c r="BD995" s="3" t="s">
        <v>12677</v>
      </c>
    </row>
    <row r="996" spans="1:56" ht="51" customHeight="1" x14ac:dyDescent="0.25">
      <c r="A996" s="7" t="s">
        <v>58</v>
      </c>
      <c r="B996" s="2" t="s">
        <v>12678</v>
      </c>
      <c r="C996" s="2" t="s">
        <v>12679</v>
      </c>
      <c r="D996" s="2" t="s">
        <v>12680</v>
      </c>
      <c r="F996" s="3" t="s">
        <v>58</v>
      </c>
      <c r="G996" s="3" t="s">
        <v>59</v>
      </c>
      <c r="H996" s="3" t="s">
        <v>58</v>
      </c>
      <c r="I996" s="3" t="s">
        <v>58</v>
      </c>
      <c r="J996" s="3" t="s">
        <v>60</v>
      </c>
      <c r="L996" s="2" t="s">
        <v>12681</v>
      </c>
      <c r="M996" s="3" t="s">
        <v>800</v>
      </c>
      <c r="N996" s="2" t="s">
        <v>338</v>
      </c>
      <c r="O996" s="3" t="s">
        <v>63</v>
      </c>
      <c r="P996" s="3" t="s">
        <v>584</v>
      </c>
      <c r="Q996" s="2" t="s">
        <v>12682</v>
      </c>
      <c r="R996" s="3" t="s">
        <v>65</v>
      </c>
      <c r="S996" s="4">
        <v>5</v>
      </c>
      <c r="T996" s="4">
        <v>5</v>
      </c>
      <c r="U996" s="5" t="s">
        <v>12091</v>
      </c>
      <c r="V996" s="5" t="s">
        <v>12091</v>
      </c>
      <c r="W996" s="5" t="s">
        <v>12683</v>
      </c>
      <c r="X996" s="5" t="s">
        <v>12683</v>
      </c>
      <c r="Y996" s="4">
        <v>198</v>
      </c>
      <c r="Z996" s="4">
        <v>108</v>
      </c>
      <c r="AA996" s="4">
        <v>110</v>
      </c>
      <c r="AB996" s="4">
        <v>1</v>
      </c>
      <c r="AC996" s="4">
        <v>1</v>
      </c>
      <c r="AD996" s="4">
        <v>7</v>
      </c>
      <c r="AE996" s="4">
        <v>7</v>
      </c>
      <c r="AF996" s="4">
        <v>1</v>
      </c>
      <c r="AG996" s="4">
        <v>1</v>
      </c>
      <c r="AH996" s="4">
        <v>4</v>
      </c>
      <c r="AI996" s="4">
        <v>4</v>
      </c>
      <c r="AJ996" s="4">
        <v>5</v>
      </c>
      <c r="AK996" s="4">
        <v>5</v>
      </c>
      <c r="AL996" s="4">
        <v>0</v>
      </c>
      <c r="AM996" s="4">
        <v>0</v>
      </c>
      <c r="AN996" s="4">
        <v>0</v>
      </c>
      <c r="AO996" s="4">
        <v>0</v>
      </c>
      <c r="AP996" s="3" t="s">
        <v>58</v>
      </c>
      <c r="AQ996" s="3" t="s">
        <v>68</v>
      </c>
      <c r="AR996" s="6" t="str">
        <f>HYPERLINK("http://catalog.hathitrust.org/Record/003067576","HathiTrust Record")</f>
        <v>HathiTrust Record</v>
      </c>
      <c r="AS996" s="6" t="str">
        <f>HYPERLINK("https://creighton-primo.hosted.exlibrisgroup.com/primo-explore/search?tab=default_tab&amp;search_scope=EVERYTHING&amp;vid=01CRU&amp;lang=en_US&amp;offset=0&amp;query=any,contains,991002631199702656","Catalog Record")</f>
        <v>Catalog Record</v>
      </c>
      <c r="AT996" s="6" t="str">
        <f>HYPERLINK("http://www.worldcat.org/oclc/34481785","WorldCat Record")</f>
        <v>WorldCat Record</v>
      </c>
      <c r="AU996" s="3" t="s">
        <v>12684</v>
      </c>
      <c r="AV996" s="3" t="s">
        <v>12685</v>
      </c>
      <c r="AW996" s="3" t="s">
        <v>12686</v>
      </c>
      <c r="AX996" s="3" t="s">
        <v>12686</v>
      </c>
      <c r="AY996" s="3" t="s">
        <v>12687</v>
      </c>
      <c r="AZ996" s="3" t="s">
        <v>73</v>
      </c>
      <c r="BB996" s="3" t="s">
        <v>12688</v>
      </c>
      <c r="BC996" s="3" t="s">
        <v>12689</v>
      </c>
      <c r="BD996" s="3" t="s">
        <v>12690</v>
      </c>
    </row>
    <row r="997" spans="1:56" ht="51" customHeight="1" x14ac:dyDescent="0.25">
      <c r="A997" s="7" t="s">
        <v>58</v>
      </c>
      <c r="B997" s="2" t="s">
        <v>12691</v>
      </c>
      <c r="C997" s="2" t="s">
        <v>12692</v>
      </c>
      <c r="D997" s="2" t="s">
        <v>12693</v>
      </c>
      <c r="F997" s="3" t="s">
        <v>58</v>
      </c>
      <c r="G997" s="3" t="s">
        <v>59</v>
      </c>
      <c r="H997" s="3" t="s">
        <v>58</v>
      </c>
      <c r="I997" s="3" t="s">
        <v>58</v>
      </c>
      <c r="J997" s="3" t="s">
        <v>60</v>
      </c>
      <c r="L997" s="2" t="s">
        <v>12694</v>
      </c>
      <c r="M997" s="3" t="s">
        <v>382</v>
      </c>
      <c r="O997" s="3" t="s">
        <v>63</v>
      </c>
      <c r="P997" s="3" t="s">
        <v>214</v>
      </c>
      <c r="R997" s="3" t="s">
        <v>65</v>
      </c>
      <c r="S997" s="4">
        <v>10</v>
      </c>
      <c r="T997" s="4">
        <v>10</v>
      </c>
      <c r="U997" s="5" t="s">
        <v>12695</v>
      </c>
      <c r="V997" s="5" t="s">
        <v>12695</v>
      </c>
      <c r="W997" s="5" t="s">
        <v>1136</v>
      </c>
      <c r="X997" s="5" t="s">
        <v>1136</v>
      </c>
      <c r="Y997" s="4">
        <v>377</v>
      </c>
      <c r="Z997" s="4">
        <v>290</v>
      </c>
      <c r="AA997" s="4">
        <v>297</v>
      </c>
      <c r="AB997" s="4">
        <v>3</v>
      </c>
      <c r="AC997" s="4">
        <v>3</v>
      </c>
      <c r="AD997" s="4">
        <v>17</v>
      </c>
      <c r="AE997" s="4">
        <v>17</v>
      </c>
      <c r="AF997" s="4">
        <v>7</v>
      </c>
      <c r="AG997" s="4">
        <v>7</v>
      </c>
      <c r="AH997" s="4">
        <v>3</v>
      </c>
      <c r="AI997" s="4">
        <v>3</v>
      </c>
      <c r="AJ997" s="4">
        <v>10</v>
      </c>
      <c r="AK997" s="4">
        <v>10</v>
      </c>
      <c r="AL997" s="4">
        <v>2</v>
      </c>
      <c r="AM997" s="4">
        <v>2</v>
      </c>
      <c r="AN997" s="4">
        <v>0</v>
      </c>
      <c r="AO997" s="4">
        <v>0</v>
      </c>
      <c r="AP997" s="3" t="s">
        <v>58</v>
      </c>
      <c r="AQ997" s="3" t="s">
        <v>58</v>
      </c>
      <c r="AS997" s="6" t="str">
        <f>HYPERLINK("https://creighton-primo.hosted.exlibrisgroup.com/primo-explore/search?tab=default_tab&amp;search_scope=EVERYTHING&amp;vid=01CRU&amp;lang=en_US&amp;offset=0&amp;query=any,contains,991002937149702656","Catalog Record")</f>
        <v>Catalog Record</v>
      </c>
      <c r="AT997" s="6" t="str">
        <f>HYPERLINK("http://www.worldcat.org/oclc/39069455","WorldCat Record")</f>
        <v>WorldCat Record</v>
      </c>
      <c r="AU997" s="3" t="s">
        <v>12696</v>
      </c>
      <c r="AV997" s="3" t="s">
        <v>12697</v>
      </c>
      <c r="AW997" s="3" t="s">
        <v>12698</v>
      </c>
      <c r="AX997" s="3" t="s">
        <v>12698</v>
      </c>
      <c r="AY997" s="3" t="s">
        <v>12699</v>
      </c>
      <c r="AZ997" s="3" t="s">
        <v>73</v>
      </c>
      <c r="BB997" s="3" t="s">
        <v>12700</v>
      </c>
      <c r="BC997" s="3" t="s">
        <v>12701</v>
      </c>
      <c r="BD997" s="3" t="s">
        <v>12702</v>
      </c>
    </row>
    <row r="998" spans="1:56" ht="51" customHeight="1" x14ac:dyDescent="0.25">
      <c r="A998" s="7" t="s">
        <v>58</v>
      </c>
      <c r="B998" s="2" t="s">
        <v>12703</v>
      </c>
      <c r="C998" s="2" t="s">
        <v>12704</v>
      </c>
      <c r="D998" s="2" t="s">
        <v>12705</v>
      </c>
      <c r="F998" s="3" t="s">
        <v>58</v>
      </c>
      <c r="G998" s="3" t="s">
        <v>59</v>
      </c>
      <c r="H998" s="3" t="s">
        <v>58</v>
      </c>
      <c r="I998" s="3" t="s">
        <v>58</v>
      </c>
      <c r="J998" s="3" t="s">
        <v>60</v>
      </c>
      <c r="K998" s="2" t="s">
        <v>10064</v>
      </c>
      <c r="L998" s="2" t="s">
        <v>12706</v>
      </c>
      <c r="M998" s="3" t="s">
        <v>1153</v>
      </c>
      <c r="O998" s="3" t="s">
        <v>63</v>
      </c>
      <c r="P998" s="3" t="s">
        <v>3109</v>
      </c>
      <c r="R998" s="3" t="s">
        <v>65</v>
      </c>
      <c r="S998" s="4">
        <v>2</v>
      </c>
      <c r="T998" s="4">
        <v>2</v>
      </c>
      <c r="U998" s="5" t="s">
        <v>12707</v>
      </c>
      <c r="V998" s="5" t="s">
        <v>12707</v>
      </c>
      <c r="W998" s="5" t="s">
        <v>12708</v>
      </c>
      <c r="X998" s="5" t="s">
        <v>12708</v>
      </c>
      <c r="Y998" s="4">
        <v>692</v>
      </c>
      <c r="Z998" s="4">
        <v>565</v>
      </c>
      <c r="AA998" s="4">
        <v>571</v>
      </c>
      <c r="AB998" s="4">
        <v>4</v>
      </c>
      <c r="AC998" s="4">
        <v>4</v>
      </c>
      <c r="AD998" s="4">
        <v>24</v>
      </c>
      <c r="AE998" s="4">
        <v>24</v>
      </c>
      <c r="AF998" s="4">
        <v>8</v>
      </c>
      <c r="AG998" s="4">
        <v>8</v>
      </c>
      <c r="AH998" s="4">
        <v>6</v>
      </c>
      <c r="AI998" s="4">
        <v>6</v>
      </c>
      <c r="AJ998" s="4">
        <v>15</v>
      </c>
      <c r="AK998" s="4">
        <v>15</v>
      </c>
      <c r="AL998" s="4">
        <v>3</v>
      </c>
      <c r="AM998" s="4">
        <v>3</v>
      </c>
      <c r="AN998" s="4">
        <v>0</v>
      </c>
      <c r="AO998" s="4">
        <v>0</v>
      </c>
      <c r="AP998" s="3" t="s">
        <v>58</v>
      </c>
      <c r="AQ998" s="3" t="s">
        <v>68</v>
      </c>
      <c r="AR998" s="6" t="str">
        <f>HYPERLINK("http://catalog.hathitrust.org/Record/001240603","HathiTrust Record")</f>
        <v>HathiTrust Record</v>
      </c>
      <c r="AS998" s="6" t="str">
        <f>HYPERLINK("https://creighton-primo.hosted.exlibrisgroup.com/primo-explore/search?tab=default_tab&amp;search_scope=EVERYTHING&amp;vid=01CRU&amp;lang=en_US&amp;offset=0&amp;query=any,contains,991002899919702656","Catalog Record")</f>
        <v>Catalog Record</v>
      </c>
      <c r="AT998" s="6" t="str">
        <f>HYPERLINK("http://www.worldcat.org/oclc/516321","WorldCat Record")</f>
        <v>WorldCat Record</v>
      </c>
      <c r="AU998" s="3" t="s">
        <v>12709</v>
      </c>
      <c r="AV998" s="3" t="s">
        <v>12710</v>
      </c>
      <c r="AW998" s="3" t="s">
        <v>12711</v>
      </c>
      <c r="AX998" s="3" t="s">
        <v>12711</v>
      </c>
      <c r="AY998" s="3" t="s">
        <v>12712</v>
      </c>
      <c r="AZ998" s="3" t="s">
        <v>73</v>
      </c>
      <c r="BB998" s="3" t="s">
        <v>12713</v>
      </c>
      <c r="BC998" s="3" t="s">
        <v>12714</v>
      </c>
      <c r="BD998" s="3" t="s">
        <v>12715</v>
      </c>
    </row>
    <row r="999" spans="1:56" ht="51" customHeight="1" x14ac:dyDescent="0.25">
      <c r="A999" s="7" t="s">
        <v>58</v>
      </c>
      <c r="B999" s="2" t="s">
        <v>12716</v>
      </c>
      <c r="C999" s="2" t="s">
        <v>12717</v>
      </c>
      <c r="D999" s="2" t="s">
        <v>12718</v>
      </c>
      <c r="F999" s="3" t="s">
        <v>58</v>
      </c>
      <c r="G999" s="3" t="s">
        <v>59</v>
      </c>
      <c r="H999" s="3" t="s">
        <v>58</v>
      </c>
      <c r="I999" s="3" t="s">
        <v>58</v>
      </c>
      <c r="J999" s="3" t="s">
        <v>60</v>
      </c>
      <c r="L999" s="2" t="s">
        <v>12719</v>
      </c>
      <c r="M999" s="3" t="s">
        <v>2326</v>
      </c>
      <c r="O999" s="3" t="s">
        <v>63</v>
      </c>
      <c r="P999" s="3" t="s">
        <v>1837</v>
      </c>
      <c r="R999" s="3" t="s">
        <v>65</v>
      </c>
      <c r="S999" s="4">
        <v>1</v>
      </c>
      <c r="T999" s="4">
        <v>1</v>
      </c>
      <c r="U999" s="5" t="s">
        <v>12720</v>
      </c>
      <c r="V999" s="5" t="s">
        <v>12720</v>
      </c>
      <c r="W999" s="5" t="s">
        <v>12720</v>
      </c>
      <c r="X999" s="5" t="s">
        <v>12720</v>
      </c>
      <c r="Y999" s="4">
        <v>155</v>
      </c>
      <c r="Z999" s="4">
        <v>114</v>
      </c>
      <c r="AA999" s="4">
        <v>114</v>
      </c>
      <c r="AB999" s="4">
        <v>2</v>
      </c>
      <c r="AC999" s="4">
        <v>2</v>
      </c>
      <c r="AD999" s="4">
        <v>5</v>
      </c>
      <c r="AE999" s="4">
        <v>5</v>
      </c>
      <c r="AF999" s="4">
        <v>0</v>
      </c>
      <c r="AG999" s="4">
        <v>0</v>
      </c>
      <c r="AH999" s="4">
        <v>3</v>
      </c>
      <c r="AI999" s="4">
        <v>3</v>
      </c>
      <c r="AJ999" s="4">
        <v>3</v>
      </c>
      <c r="AK999" s="4">
        <v>3</v>
      </c>
      <c r="AL999" s="4">
        <v>1</v>
      </c>
      <c r="AM999" s="4">
        <v>1</v>
      </c>
      <c r="AN999" s="4">
        <v>0</v>
      </c>
      <c r="AO999" s="4">
        <v>0</v>
      </c>
      <c r="AP999" s="3" t="s">
        <v>58</v>
      </c>
      <c r="AQ999" s="3" t="s">
        <v>58</v>
      </c>
      <c r="AS999" s="6" t="str">
        <f>HYPERLINK("https://creighton-primo.hosted.exlibrisgroup.com/primo-explore/search?tab=default_tab&amp;search_scope=EVERYTHING&amp;vid=01CRU&amp;lang=en_US&amp;offset=0&amp;query=any,contains,991000386999702656","Catalog Record")</f>
        <v>Catalog Record</v>
      </c>
      <c r="AT999" s="6" t="str">
        <f>HYPERLINK("http://www.worldcat.org/oclc/368050663","WorldCat Record")</f>
        <v>WorldCat Record</v>
      </c>
      <c r="AU999" s="3" t="s">
        <v>12721</v>
      </c>
      <c r="AV999" s="3" t="s">
        <v>12722</v>
      </c>
      <c r="AW999" s="3" t="s">
        <v>12723</v>
      </c>
      <c r="AX999" s="3" t="s">
        <v>12723</v>
      </c>
      <c r="AY999" s="3" t="s">
        <v>12724</v>
      </c>
      <c r="AZ999" s="3" t="s">
        <v>73</v>
      </c>
      <c r="BB999" s="3" t="s">
        <v>12725</v>
      </c>
      <c r="BC999" s="3" t="s">
        <v>12726</v>
      </c>
      <c r="BD999" s="3" t="s">
        <v>12727</v>
      </c>
    </row>
    <row r="1000" spans="1:56" ht="51" customHeight="1" x14ac:dyDescent="0.25">
      <c r="A1000" s="7" t="s">
        <v>58</v>
      </c>
      <c r="B1000" s="2" t="s">
        <v>12728</v>
      </c>
      <c r="C1000" s="2" t="s">
        <v>12729</v>
      </c>
      <c r="D1000" s="2" t="s">
        <v>12730</v>
      </c>
      <c r="F1000" s="3" t="s">
        <v>58</v>
      </c>
      <c r="G1000" s="3" t="s">
        <v>59</v>
      </c>
      <c r="H1000" s="3" t="s">
        <v>58</v>
      </c>
      <c r="I1000" s="3" t="s">
        <v>58</v>
      </c>
      <c r="J1000" s="3" t="s">
        <v>60</v>
      </c>
      <c r="K1000" s="2" t="s">
        <v>12731</v>
      </c>
      <c r="L1000" s="2" t="s">
        <v>12732</v>
      </c>
      <c r="M1000" s="3" t="s">
        <v>1544</v>
      </c>
      <c r="O1000" s="3" t="s">
        <v>63</v>
      </c>
      <c r="P1000" s="3" t="s">
        <v>584</v>
      </c>
      <c r="Q1000" s="2" t="s">
        <v>12733</v>
      </c>
      <c r="R1000" s="3" t="s">
        <v>65</v>
      </c>
      <c r="S1000" s="4">
        <v>5</v>
      </c>
      <c r="T1000" s="4">
        <v>5</v>
      </c>
      <c r="U1000" s="5" t="s">
        <v>12734</v>
      </c>
      <c r="V1000" s="5" t="s">
        <v>12734</v>
      </c>
      <c r="W1000" s="5" t="s">
        <v>12735</v>
      </c>
      <c r="X1000" s="5" t="s">
        <v>12735</v>
      </c>
      <c r="Y1000" s="4">
        <v>287</v>
      </c>
      <c r="Z1000" s="4">
        <v>201</v>
      </c>
      <c r="AA1000" s="4">
        <v>210</v>
      </c>
      <c r="AB1000" s="4">
        <v>3</v>
      </c>
      <c r="AC1000" s="4">
        <v>3</v>
      </c>
      <c r="AD1000" s="4">
        <v>15</v>
      </c>
      <c r="AE1000" s="4">
        <v>15</v>
      </c>
      <c r="AF1000" s="4">
        <v>4</v>
      </c>
      <c r="AG1000" s="4">
        <v>4</v>
      </c>
      <c r="AH1000" s="4">
        <v>5</v>
      </c>
      <c r="AI1000" s="4">
        <v>5</v>
      </c>
      <c r="AJ1000" s="4">
        <v>9</v>
      </c>
      <c r="AK1000" s="4">
        <v>9</v>
      </c>
      <c r="AL1000" s="4">
        <v>2</v>
      </c>
      <c r="AM1000" s="4">
        <v>2</v>
      </c>
      <c r="AN1000" s="4">
        <v>0</v>
      </c>
      <c r="AO1000" s="4">
        <v>0</v>
      </c>
      <c r="AP1000" s="3" t="s">
        <v>58</v>
      </c>
      <c r="AQ1000" s="3" t="s">
        <v>58</v>
      </c>
      <c r="AS1000" s="6" t="str">
        <f>HYPERLINK("https://creighton-primo.hosted.exlibrisgroup.com/primo-explore/search?tab=default_tab&amp;search_scope=EVERYTHING&amp;vid=01CRU&amp;lang=en_US&amp;offset=0&amp;query=any,contains,991001879179702656","Catalog Record")</f>
        <v>Catalog Record</v>
      </c>
      <c r="AT1000" s="6" t="str">
        <f>HYPERLINK("http://www.worldcat.org/oclc/23694258","WorldCat Record")</f>
        <v>WorldCat Record</v>
      </c>
      <c r="AU1000" s="3" t="s">
        <v>12736</v>
      </c>
      <c r="AV1000" s="3" t="s">
        <v>12737</v>
      </c>
      <c r="AW1000" s="3" t="s">
        <v>12738</v>
      </c>
      <c r="AX1000" s="3" t="s">
        <v>12738</v>
      </c>
      <c r="AY1000" s="3" t="s">
        <v>12739</v>
      </c>
      <c r="AZ1000" s="3" t="s">
        <v>73</v>
      </c>
      <c r="BB1000" s="3" t="s">
        <v>12740</v>
      </c>
      <c r="BC1000" s="3" t="s">
        <v>12741</v>
      </c>
      <c r="BD1000" s="3" t="s">
        <v>12742</v>
      </c>
    </row>
    <row r="1001" spans="1:56" ht="51" customHeight="1" x14ac:dyDescent="0.25">
      <c r="A1001" s="7" t="s">
        <v>58</v>
      </c>
      <c r="B1001" s="2" t="s">
        <v>12743</v>
      </c>
      <c r="C1001" s="2" t="s">
        <v>12744</v>
      </c>
      <c r="D1001" s="2" t="s">
        <v>12745</v>
      </c>
      <c r="F1001" s="3" t="s">
        <v>58</v>
      </c>
      <c r="G1001" s="3" t="s">
        <v>59</v>
      </c>
      <c r="H1001" s="3" t="s">
        <v>58</v>
      </c>
      <c r="I1001" s="3" t="s">
        <v>58</v>
      </c>
      <c r="J1001" s="3" t="s">
        <v>60</v>
      </c>
      <c r="K1001" s="2" t="s">
        <v>12746</v>
      </c>
      <c r="L1001" s="2" t="s">
        <v>12747</v>
      </c>
      <c r="M1001" s="3" t="s">
        <v>996</v>
      </c>
      <c r="N1001" s="2" t="s">
        <v>8254</v>
      </c>
      <c r="O1001" s="3" t="s">
        <v>63</v>
      </c>
      <c r="P1001" s="3" t="s">
        <v>3323</v>
      </c>
      <c r="R1001" s="3" t="s">
        <v>65</v>
      </c>
      <c r="S1001" s="4">
        <v>3</v>
      </c>
      <c r="T1001" s="4">
        <v>3</v>
      </c>
      <c r="U1001" s="5" t="s">
        <v>12748</v>
      </c>
      <c r="V1001" s="5" t="s">
        <v>12748</v>
      </c>
      <c r="W1001" s="5" t="s">
        <v>12749</v>
      </c>
      <c r="X1001" s="5" t="s">
        <v>12749</v>
      </c>
      <c r="Y1001" s="4">
        <v>251</v>
      </c>
      <c r="Z1001" s="4">
        <v>233</v>
      </c>
      <c r="AA1001" s="4">
        <v>236</v>
      </c>
      <c r="AB1001" s="4">
        <v>3</v>
      </c>
      <c r="AC1001" s="4">
        <v>3</v>
      </c>
      <c r="AD1001" s="4">
        <v>10</v>
      </c>
      <c r="AE1001" s="4">
        <v>10</v>
      </c>
      <c r="AF1001" s="4">
        <v>1</v>
      </c>
      <c r="AG1001" s="4">
        <v>1</v>
      </c>
      <c r="AH1001" s="4">
        <v>2</v>
      </c>
      <c r="AI1001" s="4">
        <v>2</v>
      </c>
      <c r="AJ1001" s="4">
        <v>6</v>
      </c>
      <c r="AK1001" s="4">
        <v>6</v>
      </c>
      <c r="AL1001" s="4">
        <v>2</v>
      </c>
      <c r="AM1001" s="4">
        <v>2</v>
      </c>
      <c r="AN1001" s="4">
        <v>0</v>
      </c>
      <c r="AO1001" s="4">
        <v>0</v>
      </c>
      <c r="AP1001" s="3" t="s">
        <v>58</v>
      </c>
      <c r="AQ1001" s="3" t="s">
        <v>68</v>
      </c>
      <c r="AR1001" s="6" t="str">
        <f>HYPERLINK("http://catalog.hathitrust.org/Record/001249625","HathiTrust Record")</f>
        <v>HathiTrust Record</v>
      </c>
      <c r="AS1001" s="6" t="str">
        <f>HYPERLINK("https://creighton-primo.hosted.exlibrisgroup.com/primo-explore/search?tab=default_tab&amp;search_scope=EVERYTHING&amp;vid=01CRU&amp;lang=en_US&amp;offset=0&amp;query=any,contains,991003072899702656","Catalog Record")</f>
        <v>Catalog Record</v>
      </c>
      <c r="AT1001" s="6" t="str">
        <f>HYPERLINK("http://www.worldcat.org/oclc/627076","WorldCat Record")</f>
        <v>WorldCat Record</v>
      </c>
      <c r="AU1001" s="3" t="s">
        <v>12750</v>
      </c>
      <c r="AV1001" s="3" t="s">
        <v>12751</v>
      </c>
      <c r="AW1001" s="3" t="s">
        <v>12752</v>
      </c>
      <c r="AX1001" s="3" t="s">
        <v>12752</v>
      </c>
      <c r="AY1001" s="3" t="s">
        <v>12753</v>
      </c>
      <c r="AZ1001" s="3" t="s">
        <v>73</v>
      </c>
      <c r="BC1001" s="3" t="s">
        <v>12754</v>
      </c>
      <c r="BD1001" s="3" t="s">
        <v>12755</v>
      </c>
    </row>
    <row r="1002" spans="1:56" ht="51" customHeight="1" x14ac:dyDescent="0.25">
      <c r="A1002" s="7" t="s">
        <v>58</v>
      </c>
      <c r="B1002" s="2" t="s">
        <v>12756</v>
      </c>
      <c r="C1002" s="2" t="s">
        <v>12757</v>
      </c>
      <c r="D1002" s="2" t="s">
        <v>12758</v>
      </c>
      <c r="F1002" s="3" t="s">
        <v>58</v>
      </c>
      <c r="G1002" s="3" t="s">
        <v>59</v>
      </c>
      <c r="H1002" s="3" t="s">
        <v>58</v>
      </c>
      <c r="I1002" s="3" t="s">
        <v>58</v>
      </c>
      <c r="J1002" s="3" t="s">
        <v>60</v>
      </c>
      <c r="K1002" s="2" t="s">
        <v>12759</v>
      </c>
      <c r="L1002" s="2" t="s">
        <v>12760</v>
      </c>
      <c r="M1002" s="3" t="s">
        <v>626</v>
      </c>
      <c r="O1002" s="3" t="s">
        <v>63</v>
      </c>
      <c r="P1002" s="3" t="s">
        <v>214</v>
      </c>
      <c r="R1002" s="3" t="s">
        <v>65</v>
      </c>
      <c r="S1002" s="4">
        <v>2</v>
      </c>
      <c r="T1002" s="4">
        <v>2</v>
      </c>
      <c r="U1002" s="5" t="s">
        <v>1572</v>
      </c>
      <c r="V1002" s="5" t="s">
        <v>1572</v>
      </c>
      <c r="W1002" s="5" t="s">
        <v>5488</v>
      </c>
      <c r="X1002" s="5" t="s">
        <v>5488</v>
      </c>
      <c r="Y1002" s="4">
        <v>337</v>
      </c>
      <c r="Z1002" s="4">
        <v>319</v>
      </c>
      <c r="AA1002" s="4">
        <v>323</v>
      </c>
      <c r="AB1002" s="4">
        <v>1</v>
      </c>
      <c r="AC1002" s="4">
        <v>1</v>
      </c>
      <c r="AD1002" s="4">
        <v>3</v>
      </c>
      <c r="AE1002" s="4">
        <v>3</v>
      </c>
      <c r="AF1002" s="4">
        <v>0</v>
      </c>
      <c r="AG1002" s="4">
        <v>0</v>
      </c>
      <c r="AH1002" s="4">
        <v>1</v>
      </c>
      <c r="AI1002" s="4">
        <v>1</v>
      </c>
      <c r="AJ1002" s="4">
        <v>1</v>
      </c>
      <c r="AK1002" s="4">
        <v>1</v>
      </c>
      <c r="AL1002" s="4">
        <v>0</v>
      </c>
      <c r="AM1002" s="4">
        <v>0</v>
      </c>
      <c r="AN1002" s="4">
        <v>1</v>
      </c>
      <c r="AO1002" s="4">
        <v>1</v>
      </c>
      <c r="AP1002" s="3" t="s">
        <v>58</v>
      </c>
      <c r="AQ1002" s="3" t="s">
        <v>68</v>
      </c>
      <c r="AR1002" s="6" t="str">
        <f>HYPERLINK("http://catalog.hathitrust.org/Record/000779910","HathiTrust Record")</f>
        <v>HathiTrust Record</v>
      </c>
      <c r="AS1002" s="6" t="str">
        <f>HYPERLINK("https://creighton-primo.hosted.exlibrisgroup.com/primo-explore/search?tab=default_tab&amp;search_scope=EVERYTHING&amp;vid=01CRU&amp;lang=en_US&amp;offset=0&amp;query=any,contains,991000212649702656","Catalog Record")</f>
        <v>Catalog Record</v>
      </c>
      <c r="AT1002" s="6" t="str">
        <f>HYPERLINK("http://www.worldcat.org/oclc/9555744","WorldCat Record")</f>
        <v>WorldCat Record</v>
      </c>
      <c r="AU1002" s="3" t="s">
        <v>12761</v>
      </c>
      <c r="AV1002" s="3" t="s">
        <v>12762</v>
      </c>
      <c r="AW1002" s="3" t="s">
        <v>12763</v>
      </c>
      <c r="AX1002" s="3" t="s">
        <v>12763</v>
      </c>
      <c r="AY1002" s="3" t="s">
        <v>12764</v>
      </c>
      <c r="AZ1002" s="3" t="s">
        <v>73</v>
      </c>
      <c r="BB1002" s="3" t="s">
        <v>12765</v>
      </c>
      <c r="BC1002" s="3" t="s">
        <v>12766</v>
      </c>
      <c r="BD1002" s="3" t="s">
        <v>12767</v>
      </c>
    </row>
    <row r="1003" spans="1:56" ht="51" customHeight="1" x14ac:dyDescent="0.25">
      <c r="A1003" s="7" t="s">
        <v>58</v>
      </c>
      <c r="B1003" s="2" t="s">
        <v>12768</v>
      </c>
      <c r="C1003" s="2" t="s">
        <v>12769</v>
      </c>
      <c r="D1003" s="2" t="s">
        <v>12770</v>
      </c>
      <c r="F1003" s="3" t="s">
        <v>58</v>
      </c>
      <c r="G1003" s="3" t="s">
        <v>59</v>
      </c>
      <c r="H1003" s="3" t="s">
        <v>58</v>
      </c>
      <c r="I1003" s="3" t="s">
        <v>58</v>
      </c>
      <c r="J1003" s="3" t="s">
        <v>60</v>
      </c>
      <c r="K1003" s="2" t="s">
        <v>12771</v>
      </c>
      <c r="L1003" s="2" t="s">
        <v>12772</v>
      </c>
      <c r="M1003" s="3" t="s">
        <v>183</v>
      </c>
      <c r="N1003" s="2" t="s">
        <v>338</v>
      </c>
      <c r="O1003" s="3" t="s">
        <v>63</v>
      </c>
      <c r="P1003" s="3" t="s">
        <v>214</v>
      </c>
      <c r="R1003" s="3" t="s">
        <v>65</v>
      </c>
      <c r="S1003" s="4">
        <v>2</v>
      </c>
      <c r="T1003" s="4">
        <v>2</v>
      </c>
      <c r="U1003" s="5" t="s">
        <v>12773</v>
      </c>
      <c r="V1003" s="5" t="s">
        <v>12773</v>
      </c>
      <c r="W1003" s="5" t="s">
        <v>12774</v>
      </c>
      <c r="X1003" s="5" t="s">
        <v>12774</v>
      </c>
      <c r="Y1003" s="4">
        <v>1244</v>
      </c>
      <c r="Z1003" s="4">
        <v>1157</v>
      </c>
      <c r="AA1003" s="4">
        <v>1485</v>
      </c>
      <c r="AB1003" s="4">
        <v>6</v>
      </c>
      <c r="AC1003" s="4">
        <v>6</v>
      </c>
      <c r="AD1003" s="4">
        <v>32</v>
      </c>
      <c r="AE1003" s="4">
        <v>40</v>
      </c>
      <c r="AF1003" s="4">
        <v>11</v>
      </c>
      <c r="AG1003" s="4">
        <v>16</v>
      </c>
      <c r="AH1003" s="4">
        <v>10</v>
      </c>
      <c r="AI1003" s="4">
        <v>11</v>
      </c>
      <c r="AJ1003" s="4">
        <v>16</v>
      </c>
      <c r="AK1003" s="4">
        <v>20</v>
      </c>
      <c r="AL1003" s="4">
        <v>4</v>
      </c>
      <c r="AM1003" s="4">
        <v>4</v>
      </c>
      <c r="AN1003" s="4">
        <v>0</v>
      </c>
      <c r="AO1003" s="4">
        <v>0</v>
      </c>
      <c r="AP1003" s="3" t="s">
        <v>58</v>
      </c>
      <c r="AQ1003" s="3" t="s">
        <v>68</v>
      </c>
      <c r="AR1003" s="6" t="str">
        <f>HYPERLINK("http://catalog.hathitrust.org/Record/000251246","HathiTrust Record")</f>
        <v>HathiTrust Record</v>
      </c>
      <c r="AS1003" s="6" t="str">
        <f>HYPERLINK("https://creighton-primo.hosted.exlibrisgroup.com/primo-explore/search?tab=default_tab&amp;search_scope=EVERYTHING&amp;vid=01CRU&amp;lang=en_US&amp;offset=0&amp;query=any,contains,991004313889702656","Catalog Record")</f>
        <v>Catalog Record</v>
      </c>
      <c r="AT1003" s="6" t="str">
        <f>HYPERLINK("http://www.worldcat.org/oclc/3002613","WorldCat Record")</f>
        <v>WorldCat Record</v>
      </c>
      <c r="AU1003" s="3" t="s">
        <v>12775</v>
      </c>
      <c r="AV1003" s="3" t="s">
        <v>12776</v>
      </c>
      <c r="AW1003" s="3" t="s">
        <v>12777</v>
      </c>
      <c r="AX1003" s="3" t="s">
        <v>12777</v>
      </c>
      <c r="AY1003" s="3" t="s">
        <v>12778</v>
      </c>
      <c r="AZ1003" s="3" t="s">
        <v>73</v>
      </c>
      <c r="BB1003" s="3" t="s">
        <v>12779</v>
      </c>
      <c r="BC1003" s="3" t="s">
        <v>12780</v>
      </c>
      <c r="BD1003" s="3" t="s">
        <v>12781</v>
      </c>
    </row>
    <row r="1004" spans="1:56" ht="51" customHeight="1" x14ac:dyDescent="0.25">
      <c r="A1004" s="7" t="s">
        <v>58</v>
      </c>
      <c r="B1004" s="2" t="s">
        <v>12782</v>
      </c>
      <c r="C1004" s="2" t="s">
        <v>12783</v>
      </c>
      <c r="D1004" s="2" t="s">
        <v>12784</v>
      </c>
      <c r="F1004" s="3" t="s">
        <v>58</v>
      </c>
      <c r="G1004" s="3" t="s">
        <v>59</v>
      </c>
      <c r="H1004" s="3" t="s">
        <v>58</v>
      </c>
      <c r="I1004" s="3" t="s">
        <v>58</v>
      </c>
      <c r="J1004" s="3" t="s">
        <v>60</v>
      </c>
      <c r="K1004" s="2" t="s">
        <v>10940</v>
      </c>
      <c r="L1004" s="2" t="s">
        <v>12785</v>
      </c>
      <c r="M1004" s="3" t="s">
        <v>10013</v>
      </c>
      <c r="O1004" s="3" t="s">
        <v>63</v>
      </c>
      <c r="P1004" s="3" t="s">
        <v>214</v>
      </c>
      <c r="Q1004" s="2" t="s">
        <v>12786</v>
      </c>
      <c r="R1004" s="3" t="s">
        <v>65</v>
      </c>
      <c r="S1004" s="4">
        <v>12</v>
      </c>
      <c r="T1004" s="4">
        <v>12</v>
      </c>
      <c r="U1004" s="5" t="s">
        <v>11306</v>
      </c>
      <c r="V1004" s="5" t="s">
        <v>11306</v>
      </c>
      <c r="W1004" s="5" t="s">
        <v>12787</v>
      </c>
      <c r="X1004" s="5" t="s">
        <v>12787</v>
      </c>
      <c r="Y1004" s="4">
        <v>784</v>
      </c>
      <c r="Z1004" s="4">
        <v>748</v>
      </c>
      <c r="AA1004" s="4">
        <v>1028</v>
      </c>
      <c r="AB1004" s="4">
        <v>8</v>
      </c>
      <c r="AC1004" s="4">
        <v>8</v>
      </c>
      <c r="AD1004" s="4">
        <v>36</v>
      </c>
      <c r="AE1004" s="4">
        <v>46</v>
      </c>
      <c r="AF1004" s="4">
        <v>17</v>
      </c>
      <c r="AG1004" s="4">
        <v>20</v>
      </c>
      <c r="AH1004" s="4">
        <v>4</v>
      </c>
      <c r="AI1004" s="4">
        <v>9</v>
      </c>
      <c r="AJ1004" s="4">
        <v>14</v>
      </c>
      <c r="AK1004" s="4">
        <v>19</v>
      </c>
      <c r="AL1004" s="4">
        <v>7</v>
      </c>
      <c r="AM1004" s="4">
        <v>7</v>
      </c>
      <c r="AN1004" s="4">
        <v>0</v>
      </c>
      <c r="AO1004" s="4">
        <v>0</v>
      </c>
      <c r="AP1004" s="3" t="s">
        <v>58</v>
      </c>
      <c r="AQ1004" s="3" t="s">
        <v>58</v>
      </c>
      <c r="AR1004" s="6" t="str">
        <f>HYPERLINK("http://catalog.hathitrust.org/Record/001250194","HathiTrust Record")</f>
        <v>HathiTrust Record</v>
      </c>
      <c r="AS1004" s="6" t="str">
        <f>HYPERLINK("https://creighton-primo.hosted.exlibrisgroup.com/primo-explore/search?tab=default_tab&amp;search_scope=EVERYTHING&amp;vid=01CRU&amp;lang=en_US&amp;offset=0&amp;query=any,contains,991003175299702656","Catalog Record")</f>
        <v>Catalog Record</v>
      </c>
      <c r="AT1004" s="6" t="str">
        <f>HYPERLINK("http://www.worldcat.org/oclc/710636","WorldCat Record")</f>
        <v>WorldCat Record</v>
      </c>
      <c r="AU1004" s="3" t="s">
        <v>12788</v>
      </c>
      <c r="AV1004" s="3" t="s">
        <v>12789</v>
      </c>
      <c r="AW1004" s="3" t="s">
        <v>12790</v>
      </c>
      <c r="AX1004" s="3" t="s">
        <v>12790</v>
      </c>
      <c r="AY1004" s="3" t="s">
        <v>12791</v>
      </c>
      <c r="AZ1004" s="3" t="s">
        <v>73</v>
      </c>
      <c r="BC1004" s="3" t="s">
        <v>12792</v>
      </c>
      <c r="BD1004" s="3" t="s">
        <v>12793</v>
      </c>
    </row>
    <row r="1005" spans="1:56" ht="51" customHeight="1" x14ac:dyDescent="0.25">
      <c r="A1005" s="7" t="s">
        <v>58</v>
      </c>
      <c r="B1005" s="2" t="s">
        <v>12794</v>
      </c>
      <c r="C1005" s="2" t="s">
        <v>12795</v>
      </c>
      <c r="D1005" s="2" t="s">
        <v>12796</v>
      </c>
      <c r="F1005" s="3" t="s">
        <v>58</v>
      </c>
      <c r="G1005" s="3" t="s">
        <v>59</v>
      </c>
      <c r="H1005" s="3" t="s">
        <v>58</v>
      </c>
      <c r="I1005" s="3" t="s">
        <v>58</v>
      </c>
      <c r="J1005" s="3" t="s">
        <v>60</v>
      </c>
      <c r="K1005" s="2" t="s">
        <v>12797</v>
      </c>
      <c r="L1005" s="2" t="s">
        <v>12798</v>
      </c>
      <c r="M1005" s="3" t="s">
        <v>12799</v>
      </c>
      <c r="O1005" s="3" t="s">
        <v>63</v>
      </c>
      <c r="P1005" s="3" t="s">
        <v>584</v>
      </c>
      <c r="R1005" s="3" t="s">
        <v>65</v>
      </c>
      <c r="S1005" s="4">
        <v>8</v>
      </c>
      <c r="T1005" s="4">
        <v>8</v>
      </c>
      <c r="U1005" s="5" t="s">
        <v>12800</v>
      </c>
      <c r="V1005" s="5" t="s">
        <v>12800</v>
      </c>
      <c r="W1005" s="5" t="s">
        <v>2616</v>
      </c>
      <c r="X1005" s="5" t="s">
        <v>2616</v>
      </c>
      <c r="Y1005" s="4">
        <v>102</v>
      </c>
      <c r="Z1005" s="4">
        <v>56</v>
      </c>
      <c r="AA1005" s="4">
        <v>183</v>
      </c>
      <c r="AB1005" s="4">
        <v>1</v>
      </c>
      <c r="AC1005" s="4">
        <v>2</v>
      </c>
      <c r="AD1005" s="4">
        <v>2</v>
      </c>
      <c r="AE1005" s="4">
        <v>5</v>
      </c>
      <c r="AF1005" s="4">
        <v>1</v>
      </c>
      <c r="AG1005" s="4">
        <v>2</v>
      </c>
      <c r="AH1005" s="4">
        <v>0</v>
      </c>
      <c r="AI1005" s="4">
        <v>1</v>
      </c>
      <c r="AJ1005" s="4">
        <v>1</v>
      </c>
      <c r="AK1005" s="4">
        <v>2</v>
      </c>
      <c r="AL1005" s="4">
        <v>0</v>
      </c>
      <c r="AM1005" s="4">
        <v>1</v>
      </c>
      <c r="AN1005" s="4">
        <v>0</v>
      </c>
      <c r="AO1005" s="4">
        <v>0</v>
      </c>
      <c r="AP1005" s="3" t="s">
        <v>58</v>
      </c>
      <c r="AQ1005" s="3" t="s">
        <v>58</v>
      </c>
      <c r="AS1005" s="6" t="str">
        <f>HYPERLINK("https://creighton-primo.hosted.exlibrisgroup.com/primo-explore/search?tab=default_tab&amp;search_scope=EVERYTHING&amp;vid=01CRU&amp;lang=en_US&amp;offset=0&amp;query=any,contains,991004809799702656","Catalog Record")</f>
        <v>Catalog Record</v>
      </c>
      <c r="AT1005" s="6" t="str">
        <f>HYPERLINK("http://www.worldcat.org/oclc/5268059","WorldCat Record")</f>
        <v>WorldCat Record</v>
      </c>
      <c r="AU1005" s="3" t="s">
        <v>12801</v>
      </c>
      <c r="AV1005" s="3" t="s">
        <v>12802</v>
      </c>
      <c r="AW1005" s="3" t="s">
        <v>12803</v>
      </c>
      <c r="AX1005" s="3" t="s">
        <v>12803</v>
      </c>
      <c r="AY1005" s="3" t="s">
        <v>12804</v>
      </c>
      <c r="AZ1005" s="3" t="s">
        <v>73</v>
      </c>
      <c r="BC1005" s="3" t="s">
        <v>12805</v>
      </c>
      <c r="BD1005" s="3" t="s">
        <v>12806</v>
      </c>
    </row>
    <row r="1006" spans="1:56" ht="51" customHeight="1" x14ac:dyDescent="0.25">
      <c r="A1006" s="7" t="s">
        <v>58</v>
      </c>
      <c r="B1006" s="2" t="s">
        <v>12807</v>
      </c>
      <c r="C1006" s="2" t="s">
        <v>12808</v>
      </c>
      <c r="D1006" s="2" t="s">
        <v>12809</v>
      </c>
      <c r="F1006" s="3" t="s">
        <v>58</v>
      </c>
      <c r="G1006" s="3" t="s">
        <v>59</v>
      </c>
      <c r="H1006" s="3" t="s">
        <v>58</v>
      </c>
      <c r="I1006" s="3" t="s">
        <v>58</v>
      </c>
      <c r="J1006" s="3" t="s">
        <v>60</v>
      </c>
      <c r="K1006" s="2" t="s">
        <v>12810</v>
      </c>
      <c r="L1006" s="2" t="s">
        <v>12811</v>
      </c>
      <c r="M1006" s="3" t="s">
        <v>353</v>
      </c>
      <c r="O1006" s="3" t="s">
        <v>63</v>
      </c>
      <c r="P1006" s="3" t="s">
        <v>214</v>
      </c>
      <c r="R1006" s="3" t="s">
        <v>65</v>
      </c>
      <c r="S1006" s="4">
        <v>20</v>
      </c>
      <c r="T1006" s="4">
        <v>20</v>
      </c>
      <c r="U1006" s="5" t="s">
        <v>12812</v>
      </c>
      <c r="V1006" s="5" t="s">
        <v>12812</v>
      </c>
      <c r="W1006" s="5" t="s">
        <v>12813</v>
      </c>
      <c r="X1006" s="5" t="s">
        <v>12813</v>
      </c>
      <c r="Y1006" s="4">
        <v>399</v>
      </c>
      <c r="Z1006" s="4">
        <v>311</v>
      </c>
      <c r="AA1006" s="4">
        <v>449</v>
      </c>
      <c r="AB1006" s="4">
        <v>4</v>
      </c>
      <c r="AC1006" s="4">
        <v>5</v>
      </c>
      <c r="AD1006" s="4">
        <v>6</v>
      </c>
      <c r="AE1006" s="4">
        <v>8</v>
      </c>
      <c r="AF1006" s="4">
        <v>3</v>
      </c>
      <c r="AG1006" s="4">
        <v>3</v>
      </c>
      <c r="AH1006" s="4">
        <v>1</v>
      </c>
      <c r="AI1006" s="4">
        <v>2</v>
      </c>
      <c r="AJ1006" s="4">
        <v>2</v>
      </c>
      <c r="AK1006" s="4">
        <v>3</v>
      </c>
      <c r="AL1006" s="4">
        <v>2</v>
      </c>
      <c r="AM1006" s="4">
        <v>3</v>
      </c>
      <c r="AN1006" s="4">
        <v>0</v>
      </c>
      <c r="AO1006" s="4">
        <v>0</v>
      </c>
      <c r="AP1006" s="3" t="s">
        <v>58</v>
      </c>
      <c r="AQ1006" s="3" t="s">
        <v>58</v>
      </c>
      <c r="AS1006" s="6" t="str">
        <f>HYPERLINK("https://creighton-primo.hosted.exlibrisgroup.com/primo-explore/search?tab=default_tab&amp;search_scope=EVERYTHING&amp;vid=01CRU&amp;lang=en_US&amp;offset=0&amp;query=any,contains,991001182179702656","Catalog Record")</f>
        <v>Catalog Record</v>
      </c>
      <c r="AT1006" s="6" t="str">
        <f>HYPERLINK("http://www.worldcat.org/oclc/17155033","WorldCat Record")</f>
        <v>WorldCat Record</v>
      </c>
      <c r="AU1006" s="3" t="s">
        <v>12814</v>
      </c>
      <c r="AV1006" s="3" t="s">
        <v>12815</v>
      </c>
      <c r="AW1006" s="3" t="s">
        <v>12816</v>
      </c>
      <c r="AX1006" s="3" t="s">
        <v>12816</v>
      </c>
      <c r="AY1006" s="3" t="s">
        <v>12817</v>
      </c>
      <c r="AZ1006" s="3" t="s">
        <v>73</v>
      </c>
      <c r="BB1006" s="3" t="s">
        <v>12818</v>
      </c>
      <c r="BC1006" s="3" t="s">
        <v>12819</v>
      </c>
      <c r="BD1006" s="3" t="s">
        <v>12820</v>
      </c>
    </row>
    <row r="1007" spans="1:56" ht="51" customHeight="1" x14ac:dyDescent="0.25">
      <c r="A1007" s="7" t="s">
        <v>58</v>
      </c>
      <c r="B1007" s="2" t="s">
        <v>12821</v>
      </c>
      <c r="C1007" s="2" t="s">
        <v>12822</v>
      </c>
      <c r="D1007" s="2" t="s">
        <v>12823</v>
      </c>
      <c r="F1007" s="3" t="s">
        <v>58</v>
      </c>
      <c r="G1007" s="3" t="s">
        <v>59</v>
      </c>
      <c r="H1007" s="3" t="s">
        <v>58</v>
      </c>
      <c r="I1007" s="3" t="s">
        <v>58</v>
      </c>
      <c r="J1007" s="3" t="s">
        <v>60</v>
      </c>
      <c r="L1007" s="2" t="s">
        <v>12824</v>
      </c>
      <c r="M1007" s="3" t="s">
        <v>759</v>
      </c>
      <c r="O1007" s="3" t="s">
        <v>63</v>
      </c>
      <c r="P1007" s="3" t="s">
        <v>214</v>
      </c>
      <c r="R1007" s="3" t="s">
        <v>65</v>
      </c>
      <c r="S1007" s="4">
        <v>9</v>
      </c>
      <c r="T1007" s="4">
        <v>9</v>
      </c>
      <c r="U1007" s="5" t="s">
        <v>12825</v>
      </c>
      <c r="V1007" s="5" t="s">
        <v>12825</v>
      </c>
      <c r="W1007" s="5" t="s">
        <v>8127</v>
      </c>
      <c r="X1007" s="5" t="s">
        <v>8127</v>
      </c>
      <c r="Y1007" s="4">
        <v>388</v>
      </c>
      <c r="Z1007" s="4">
        <v>318</v>
      </c>
      <c r="AA1007" s="4">
        <v>326</v>
      </c>
      <c r="AB1007" s="4">
        <v>5</v>
      </c>
      <c r="AC1007" s="4">
        <v>5</v>
      </c>
      <c r="AD1007" s="4">
        <v>12</v>
      </c>
      <c r="AE1007" s="4">
        <v>12</v>
      </c>
      <c r="AF1007" s="4">
        <v>3</v>
      </c>
      <c r="AG1007" s="4">
        <v>3</v>
      </c>
      <c r="AH1007" s="4">
        <v>2</v>
      </c>
      <c r="AI1007" s="4">
        <v>2</v>
      </c>
      <c r="AJ1007" s="4">
        <v>4</v>
      </c>
      <c r="AK1007" s="4">
        <v>4</v>
      </c>
      <c r="AL1007" s="4">
        <v>4</v>
      </c>
      <c r="AM1007" s="4">
        <v>4</v>
      </c>
      <c r="AN1007" s="4">
        <v>0</v>
      </c>
      <c r="AO1007" s="4">
        <v>0</v>
      </c>
      <c r="AP1007" s="3" t="s">
        <v>58</v>
      </c>
      <c r="AQ1007" s="3" t="s">
        <v>68</v>
      </c>
      <c r="AR1007" s="6" t="str">
        <f>HYPERLINK("http://catalog.hathitrust.org/Record/000695621","HathiTrust Record")</f>
        <v>HathiTrust Record</v>
      </c>
      <c r="AS1007" s="6" t="str">
        <f>HYPERLINK("https://creighton-primo.hosted.exlibrisgroup.com/primo-explore/search?tab=default_tab&amp;search_scope=EVERYTHING&amp;vid=01CRU&amp;lang=en_US&amp;offset=0&amp;query=any,contains,991004790309702656","Catalog Record")</f>
        <v>Catalog Record</v>
      </c>
      <c r="AT1007" s="6" t="str">
        <f>HYPERLINK("http://www.worldcat.org/oclc/5170922","WorldCat Record")</f>
        <v>WorldCat Record</v>
      </c>
      <c r="AU1007" s="3" t="s">
        <v>12826</v>
      </c>
      <c r="AV1007" s="3" t="s">
        <v>12827</v>
      </c>
      <c r="AW1007" s="3" t="s">
        <v>12828</v>
      </c>
      <c r="AX1007" s="3" t="s">
        <v>12828</v>
      </c>
      <c r="AY1007" s="3" t="s">
        <v>12829</v>
      </c>
      <c r="AZ1007" s="3" t="s">
        <v>73</v>
      </c>
      <c r="BB1007" s="3" t="s">
        <v>12830</v>
      </c>
      <c r="BC1007" s="3" t="s">
        <v>12831</v>
      </c>
      <c r="BD1007" s="3" t="s">
        <v>12832</v>
      </c>
    </row>
    <row r="1008" spans="1:56" ht="51" customHeight="1" x14ac:dyDescent="0.25">
      <c r="A1008" s="7" t="s">
        <v>58</v>
      </c>
      <c r="B1008" s="2" t="s">
        <v>12833</v>
      </c>
      <c r="C1008" s="2" t="s">
        <v>12834</v>
      </c>
      <c r="D1008" s="2" t="s">
        <v>12835</v>
      </c>
      <c r="F1008" s="3" t="s">
        <v>58</v>
      </c>
      <c r="G1008" s="3" t="s">
        <v>59</v>
      </c>
      <c r="H1008" s="3" t="s">
        <v>58</v>
      </c>
      <c r="I1008" s="3" t="s">
        <v>58</v>
      </c>
      <c r="J1008" s="3" t="s">
        <v>60</v>
      </c>
      <c r="K1008" s="2" t="s">
        <v>12836</v>
      </c>
      <c r="L1008" s="2" t="s">
        <v>12837</v>
      </c>
      <c r="M1008" s="3" t="s">
        <v>397</v>
      </c>
      <c r="N1008" s="2" t="s">
        <v>12838</v>
      </c>
      <c r="O1008" s="3" t="s">
        <v>63</v>
      </c>
      <c r="P1008" s="3" t="s">
        <v>816</v>
      </c>
      <c r="R1008" s="3" t="s">
        <v>65</v>
      </c>
      <c r="S1008" s="4">
        <v>19</v>
      </c>
      <c r="T1008" s="4">
        <v>19</v>
      </c>
      <c r="U1008" s="5" t="s">
        <v>12812</v>
      </c>
      <c r="V1008" s="5" t="s">
        <v>12812</v>
      </c>
      <c r="W1008" s="5" t="s">
        <v>8127</v>
      </c>
      <c r="X1008" s="5" t="s">
        <v>8127</v>
      </c>
      <c r="Y1008" s="4">
        <v>114</v>
      </c>
      <c r="Z1008" s="4">
        <v>106</v>
      </c>
      <c r="AA1008" s="4">
        <v>108</v>
      </c>
      <c r="AB1008" s="4">
        <v>1</v>
      </c>
      <c r="AC1008" s="4">
        <v>1</v>
      </c>
      <c r="AD1008" s="4">
        <v>0</v>
      </c>
      <c r="AE1008" s="4">
        <v>0</v>
      </c>
      <c r="AF1008" s="4">
        <v>0</v>
      </c>
      <c r="AG1008" s="4">
        <v>0</v>
      </c>
      <c r="AH1008" s="4">
        <v>0</v>
      </c>
      <c r="AI1008" s="4">
        <v>0</v>
      </c>
      <c r="AJ1008" s="4">
        <v>0</v>
      </c>
      <c r="AK1008" s="4">
        <v>0</v>
      </c>
      <c r="AL1008" s="4">
        <v>0</v>
      </c>
      <c r="AM1008" s="4">
        <v>0</v>
      </c>
      <c r="AN1008" s="4">
        <v>0</v>
      </c>
      <c r="AO1008" s="4">
        <v>0</v>
      </c>
      <c r="AP1008" s="3" t="s">
        <v>58</v>
      </c>
      <c r="AQ1008" s="3" t="s">
        <v>58</v>
      </c>
      <c r="AS1008" s="6" t="str">
        <f>HYPERLINK("https://creighton-primo.hosted.exlibrisgroup.com/primo-explore/search?tab=default_tab&amp;search_scope=EVERYTHING&amp;vid=01CRU&amp;lang=en_US&amp;offset=0&amp;query=any,contains,991000772849702656","Catalog Record")</f>
        <v>Catalog Record</v>
      </c>
      <c r="AT1008" s="6" t="str">
        <f>HYPERLINK("http://www.worldcat.org/oclc/13042639","WorldCat Record")</f>
        <v>WorldCat Record</v>
      </c>
      <c r="AU1008" s="3" t="s">
        <v>12839</v>
      </c>
      <c r="AV1008" s="3" t="s">
        <v>12840</v>
      </c>
      <c r="AW1008" s="3" t="s">
        <v>12841</v>
      </c>
      <c r="AX1008" s="3" t="s">
        <v>12841</v>
      </c>
      <c r="AY1008" s="3" t="s">
        <v>12842</v>
      </c>
      <c r="AZ1008" s="3" t="s">
        <v>73</v>
      </c>
      <c r="BB1008" s="3" t="s">
        <v>12843</v>
      </c>
      <c r="BC1008" s="3" t="s">
        <v>12844</v>
      </c>
      <c r="BD1008" s="3" t="s">
        <v>12845</v>
      </c>
    </row>
    <row r="1009" spans="1:56" ht="51" customHeight="1" x14ac:dyDescent="0.25">
      <c r="A1009" s="7" t="s">
        <v>58</v>
      </c>
      <c r="B1009" s="2" t="s">
        <v>12846</v>
      </c>
      <c r="C1009" s="2" t="s">
        <v>12847</v>
      </c>
      <c r="D1009" s="2" t="s">
        <v>12848</v>
      </c>
      <c r="F1009" s="3" t="s">
        <v>58</v>
      </c>
      <c r="G1009" s="3" t="s">
        <v>59</v>
      </c>
      <c r="H1009" s="3" t="s">
        <v>58</v>
      </c>
      <c r="I1009" s="3" t="s">
        <v>58</v>
      </c>
      <c r="J1009" s="3" t="s">
        <v>60</v>
      </c>
      <c r="K1009" s="2" t="s">
        <v>12849</v>
      </c>
      <c r="L1009" s="2" t="s">
        <v>12850</v>
      </c>
      <c r="M1009" s="3" t="s">
        <v>1544</v>
      </c>
      <c r="O1009" s="3" t="s">
        <v>63</v>
      </c>
      <c r="P1009" s="3" t="s">
        <v>816</v>
      </c>
      <c r="R1009" s="3" t="s">
        <v>65</v>
      </c>
      <c r="S1009" s="4">
        <v>20</v>
      </c>
      <c r="T1009" s="4">
        <v>20</v>
      </c>
      <c r="U1009" s="5" t="s">
        <v>9999</v>
      </c>
      <c r="V1009" s="5" t="s">
        <v>9999</v>
      </c>
      <c r="W1009" s="5" t="s">
        <v>12851</v>
      </c>
      <c r="X1009" s="5" t="s">
        <v>12851</v>
      </c>
      <c r="Y1009" s="4">
        <v>374</v>
      </c>
      <c r="Z1009" s="4">
        <v>350</v>
      </c>
      <c r="AA1009" s="4">
        <v>482</v>
      </c>
      <c r="AB1009" s="4">
        <v>3</v>
      </c>
      <c r="AC1009" s="4">
        <v>3</v>
      </c>
      <c r="AD1009" s="4">
        <v>4</v>
      </c>
      <c r="AE1009" s="4">
        <v>11</v>
      </c>
      <c r="AF1009" s="4">
        <v>1</v>
      </c>
      <c r="AG1009" s="4">
        <v>3</v>
      </c>
      <c r="AH1009" s="4">
        <v>1</v>
      </c>
      <c r="AI1009" s="4">
        <v>4</v>
      </c>
      <c r="AJ1009" s="4">
        <v>2</v>
      </c>
      <c r="AK1009" s="4">
        <v>8</v>
      </c>
      <c r="AL1009" s="4">
        <v>1</v>
      </c>
      <c r="AM1009" s="4">
        <v>1</v>
      </c>
      <c r="AN1009" s="4">
        <v>0</v>
      </c>
      <c r="AO1009" s="4">
        <v>0</v>
      </c>
      <c r="AP1009" s="3" t="s">
        <v>58</v>
      </c>
      <c r="AQ1009" s="3" t="s">
        <v>58</v>
      </c>
      <c r="AS1009" s="6" t="str">
        <f>HYPERLINK("https://creighton-primo.hosted.exlibrisgroup.com/primo-explore/search?tab=default_tab&amp;search_scope=EVERYTHING&amp;vid=01CRU&amp;lang=en_US&amp;offset=0&amp;query=any,contains,991002027619702656","Catalog Record")</f>
        <v>Catalog Record</v>
      </c>
      <c r="AT1009" s="6" t="str">
        <f>HYPERLINK("http://www.worldcat.org/oclc/25789074","WorldCat Record")</f>
        <v>WorldCat Record</v>
      </c>
      <c r="AU1009" s="3" t="s">
        <v>12852</v>
      </c>
      <c r="AV1009" s="3" t="s">
        <v>12853</v>
      </c>
      <c r="AW1009" s="3" t="s">
        <v>12854</v>
      </c>
      <c r="AX1009" s="3" t="s">
        <v>12854</v>
      </c>
      <c r="AY1009" s="3" t="s">
        <v>12855</v>
      </c>
      <c r="AZ1009" s="3" t="s">
        <v>73</v>
      </c>
      <c r="BB1009" s="3" t="s">
        <v>12856</v>
      </c>
      <c r="BC1009" s="3" t="s">
        <v>12857</v>
      </c>
      <c r="BD1009" s="3" t="s">
        <v>12858</v>
      </c>
    </row>
    <row r="1010" spans="1:56" ht="51" customHeight="1" x14ac:dyDescent="0.25">
      <c r="A1010" s="7" t="s">
        <v>58</v>
      </c>
      <c r="B1010" s="2" t="s">
        <v>12859</v>
      </c>
      <c r="C1010" s="2" t="s">
        <v>12860</v>
      </c>
      <c r="D1010" s="2" t="s">
        <v>12861</v>
      </c>
      <c r="F1010" s="3" t="s">
        <v>58</v>
      </c>
      <c r="G1010" s="3" t="s">
        <v>59</v>
      </c>
      <c r="H1010" s="3" t="s">
        <v>58</v>
      </c>
      <c r="I1010" s="3" t="s">
        <v>58</v>
      </c>
      <c r="J1010" s="3" t="s">
        <v>60</v>
      </c>
      <c r="K1010" s="2" t="s">
        <v>12862</v>
      </c>
      <c r="L1010" s="2" t="s">
        <v>12863</v>
      </c>
      <c r="M1010" s="3" t="s">
        <v>1061</v>
      </c>
      <c r="N1010" s="2" t="s">
        <v>338</v>
      </c>
      <c r="O1010" s="3" t="s">
        <v>63</v>
      </c>
      <c r="P1010" s="3" t="s">
        <v>214</v>
      </c>
      <c r="R1010" s="3" t="s">
        <v>65</v>
      </c>
      <c r="S1010" s="4">
        <v>6</v>
      </c>
      <c r="T1010" s="4">
        <v>6</v>
      </c>
      <c r="U1010" s="5" t="s">
        <v>12864</v>
      </c>
      <c r="V1010" s="5" t="s">
        <v>12864</v>
      </c>
      <c r="W1010" s="5" t="s">
        <v>12865</v>
      </c>
      <c r="X1010" s="5" t="s">
        <v>12865</v>
      </c>
      <c r="Y1010" s="4">
        <v>748</v>
      </c>
      <c r="Z1010" s="4">
        <v>699</v>
      </c>
      <c r="AA1010" s="4">
        <v>718</v>
      </c>
      <c r="AB1010" s="4">
        <v>5</v>
      </c>
      <c r="AC1010" s="4">
        <v>5</v>
      </c>
      <c r="AD1010" s="4">
        <v>15</v>
      </c>
      <c r="AE1010" s="4">
        <v>15</v>
      </c>
      <c r="AF1010" s="4">
        <v>4</v>
      </c>
      <c r="AG1010" s="4">
        <v>4</v>
      </c>
      <c r="AH1010" s="4">
        <v>5</v>
      </c>
      <c r="AI1010" s="4">
        <v>5</v>
      </c>
      <c r="AJ1010" s="4">
        <v>9</v>
      </c>
      <c r="AK1010" s="4">
        <v>9</v>
      </c>
      <c r="AL1010" s="4">
        <v>3</v>
      </c>
      <c r="AM1010" s="4">
        <v>3</v>
      </c>
      <c r="AN1010" s="4">
        <v>0</v>
      </c>
      <c r="AO1010" s="4">
        <v>0</v>
      </c>
      <c r="AP1010" s="3" t="s">
        <v>58</v>
      </c>
      <c r="AQ1010" s="3" t="s">
        <v>68</v>
      </c>
      <c r="AR1010" s="6" t="str">
        <f>HYPERLINK("http://catalog.hathitrust.org/Record/003156157","HathiTrust Record")</f>
        <v>HathiTrust Record</v>
      </c>
      <c r="AS1010" s="6" t="str">
        <f>HYPERLINK("https://creighton-primo.hosted.exlibrisgroup.com/primo-explore/search?tab=default_tab&amp;search_scope=EVERYTHING&amp;vid=01CRU&amp;lang=en_US&amp;offset=0&amp;query=any,contains,991002736049702656","Catalog Record")</f>
        <v>Catalog Record</v>
      </c>
      <c r="AT1010" s="6" t="str">
        <f>HYPERLINK("http://www.worldcat.org/oclc/35911261","WorldCat Record")</f>
        <v>WorldCat Record</v>
      </c>
      <c r="AU1010" s="3" t="s">
        <v>12866</v>
      </c>
      <c r="AV1010" s="3" t="s">
        <v>12867</v>
      </c>
      <c r="AW1010" s="3" t="s">
        <v>12868</v>
      </c>
      <c r="AX1010" s="3" t="s">
        <v>12868</v>
      </c>
      <c r="AY1010" s="3" t="s">
        <v>12869</v>
      </c>
      <c r="AZ1010" s="3" t="s">
        <v>73</v>
      </c>
      <c r="BB1010" s="3" t="s">
        <v>12870</v>
      </c>
      <c r="BC1010" s="3" t="s">
        <v>12871</v>
      </c>
      <c r="BD1010" s="3" t="s">
        <v>12872</v>
      </c>
    </row>
    <row r="1011" spans="1:56" ht="51" customHeight="1" x14ac:dyDescent="0.25">
      <c r="A1011" s="7" t="s">
        <v>58</v>
      </c>
      <c r="B1011" s="2" t="s">
        <v>12873</v>
      </c>
      <c r="C1011" s="2" t="s">
        <v>12874</v>
      </c>
      <c r="D1011" s="2" t="s">
        <v>12875</v>
      </c>
      <c r="F1011" s="3" t="s">
        <v>58</v>
      </c>
      <c r="G1011" s="3" t="s">
        <v>59</v>
      </c>
      <c r="H1011" s="3" t="s">
        <v>58</v>
      </c>
      <c r="I1011" s="3" t="s">
        <v>58</v>
      </c>
      <c r="J1011" s="3" t="s">
        <v>60</v>
      </c>
      <c r="K1011" s="2" t="s">
        <v>12876</v>
      </c>
      <c r="L1011" s="2" t="s">
        <v>12877</v>
      </c>
      <c r="M1011" s="3" t="s">
        <v>1091</v>
      </c>
      <c r="O1011" s="3" t="s">
        <v>63</v>
      </c>
      <c r="P1011" s="3" t="s">
        <v>584</v>
      </c>
      <c r="R1011" s="3" t="s">
        <v>65</v>
      </c>
      <c r="S1011" s="4">
        <v>4</v>
      </c>
      <c r="T1011" s="4">
        <v>4</v>
      </c>
      <c r="U1011" s="5" t="s">
        <v>12878</v>
      </c>
      <c r="V1011" s="5" t="s">
        <v>12878</v>
      </c>
      <c r="W1011" s="5" t="s">
        <v>1094</v>
      </c>
      <c r="X1011" s="5" t="s">
        <v>1094</v>
      </c>
      <c r="Y1011" s="4">
        <v>185</v>
      </c>
      <c r="Z1011" s="4">
        <v>131</v>
      </c>
      <c r="AA1011" s="4">
        <v>146</v>
      </c>
      <c r="AB1011" s="4">
        <v>1</v>
      </c>
      <c r="AC1011" s="4">
        <v>1</v>
      </c>
      <c r="AD1011" s="4">
        <v>1</v>
      </c>
      <c r="AE1011" s="4">
        <v>1</v>
      </c>
      <c r="AF1011" s="4">
        <v>0</v>
      </c>
      <c r="AG1011" s="4">
        <v>0</v>
      </c>
      <c r="AH1011" s="4">
        <v>0</v>
      </c>
      <c r="AI1011" s="4">
        <v>0</v>
      </c>
      <c r="AJ1011" s="4">
        <v>1</v>
      </c>
      <c r="AK1011" s="4">
        <v>1</v>
      </c>
      <c r="AL1011" s="4">
        <v>0</v>
      </c>
      <c r="AM1011" s="4">
        <v>0</v>
      </c>
      <c r="AN1011" s="4">
        <v>0</v>
      </c>
      <c r="AO1011" s="4">
        <v>0</v>
      </c>
      <c r="AP1011" s="3" t="s">
        <v>58</v>
      </c>
      <c r="AQ1011" s="3" t="s">
        <v>58</v>
      </c>
      <c r="AS1011" s="6" t="str">
        <f>HYPERLINK("https://creighton-primo.hosted.exlibrisgroup.com/primo-explore/search?tab=default_tab&amp;search_scope=EVERYTHING&amp;vid=01CRU&amp;lang=en_US&amp;offset=0&amp;query=any,contains,991003684389702656","Catalog Record")</f>
        <v>Catalog Record</v>
      </c>
      <c r="AT1011" s="6" t="str">
        <f>HYPERLINK("http://www.worldcat.org/oclc/45580437","WorldCat Record")</f>
        <v>WorldCat Record</v>
      </c>
      <c r="AU1011" s="3" t="s">
        <v>12879</v>
      </c>
      <c r="AV1011" s="3" t="s">
        <v>12880</v>
      </c>
      <c r="AW1011" s="3" t="s">
        <v>12881</v>
      </c>
      <c r="AX1011" s="3" t="s">
        <v>12881</v>
      </c>
      <c r="AY1011" s="3" t="s">
        <v>12882</v>
      </c>
      <c r="AZ1011" s="3" t="s">
        <v>73</v>
      </c>
      <c r="BB1011" s="3" t="s">
        <v>12883</v>
      </c>
      <c r="BC1011" s="3" t="s">
        <v>12884</v>
      </c>
      <c r="BD1011" s="3" t="s">
        <v>12885</v>
      </c>
    </row>
    <row r="1012" spans="1:56" ht="51" customHeight="1" x14ac:dyDescent="0.25">
      <c r="A1012" s="7" t="s">
        <v>58</v>
      </c>
      <c r="B1012" s="2" t="s">
        <v>12886</v>
      </c>
      <c r="C1012" s="2" t="s">
        <v>12887</v>
      </c>
      <c r="D1012" s="2" t="s">
        <v>12888</v>
      </c>
      <c r="F1012" s="3" t="s">
        <v>58</v>
      </c>
      <c r="G1012" s="3" t="s">
        <v>59</v>
      </c>
      <c r="H1012" s="3" t="s">
        <v>58</v>
      </c>
      <c r="I1012" s="3" t="s">
        <v>58</v>
      </c>
      <c r="J1012" s="3" t="s">
        <v>60</v>
      </c>
      <c r="K1012" s="2" t="s">
        <v>12771</v>
      </c>
      <c r="L1012" s="2" t="s">
        <v>12889</v>
      </c>
      <c r="M1012" s="3" t="s">
        <v>653</v>
      </c>
      <c r="N1012" s="2" t="s">
        <v>1009</v>
      </c>
      <c r="O1012" s="3" t="s">
        <v>63</v>
      </c>
      <c r="P1012" s="3" t="s">
        <v>214</v>
      </c>
      <c r="R1012" s="3" t="s">
        <v>65</v>
      </c>
      <c r="S1012" s="4">
        <v>8</v>
      </c>
      <c r="T1012" s="4">
        <v>8</v>
      </c>
      <c r="U1012" s="5" t="s">
        <v>8363</v>
      </c>
      <c r="V1012" s="5" t="s">
        <v>8363</v>
      </c>
      <c r="W1012" s="5" t="s">
        <v>12890</v>
      </c>
      <c r="X1012" s="5" t="s">
        <v>12890</v>
      </c>
      <c r="Y1012" s="4">
        <v>1184</v>
      </c>
      <c r="Z1012" s="4">
        <v>1106</v>
      </c>
      <c r="AA1012" s="4">
        <v>1331</v>
      </c>
      <c r="AB1012" s="4">
        <v>2</v>
      </c>
      <c r="AC1012" s="4">
        <v>4</v>
      </c>
      <c r="AD1012" s="4">
        <v>26</v>
      </c>
      <c r="AE1012" s="4">
        <v>31</v>
      </c>
      <c r="AF1012" s="4">
        <v>12</v>
      </c>
      <c r="AG1012" s="4">
        <v>13</v>
      </c>
      <c r="AH1012" s="4">
        <v>6</v>
      </c>
      <c r="AI1012" s="4">
        <v>8</v>
      </c>
      <c r="AJ1012" s="4">
        <v>16</v>
      </c>
      <c r="AK1012" s="4">
        <v>17</v>
      </c>
      <c r="AL1012" s="4">
        <v>0</v>
      </c>
      <c r="AM1012" s="4">
        <v>2</v>
      </c>
      <c r="AN1012" s="4">
        <v>0</v>
      </c>
      <c r="AO1012" s="4">
        <v>0</v>
      </c>
      <c r="AP1012" s="3" t="s">
        <v>58</v>
      </c>
      <c r="AQ1012" s="3" t="s">
        <v>68</v>
      </c>
      <c r="AR1012" s="6" t="str">
        <f>HYPERLINK("http://catalog.hathitrust.org/Record/002525158","HathiTrust Record")</f>
        <v>HathiTrust Record</v>
      </c>
      <c r="AS1012" s="6" t="str">
        <f>HYPERLINK("https://creighton-primo.hosted.exlibrisgroup.com/primo-explore/search?tab=default_tab&amp;search_scope=EVERYTHING&amp;vid=01CRU&amp;lang=en_US&amp;offset=0&amp;query=any,contains,991001767019702656","Catalog Record")</f>
        <v>Catalog Record</v>
      </c>
      <c r="AT1012" s="6" t="str">
        <f>HYPERLINK("http://www.worldcat.org/oclc/22310756","WorldCat Record")</f>
        <v>WorldCat Record</v>
      </c>
      <c r="AU1012" s="3" t="s">
        <v>12891</v>
      </c>
      <c r="AV1012" s="3" t="s">
        <v>12892</v>
      </c>
      <c r="AW1012" s="3" t="s">
        <v>12893</v>
      </c>
      <c r="AX1012" s="3" t="s">
        <v>12893</v>
      </c>
      <c r="AY1012" s="3" t="s">
        <v>12894</v>
      </c>
      <c r="AZ1012" s="3" t="s">
        <v>73</v>
      </c>
      <c r="BB1012" s="3" t="s">
        <v>12895</v>
      </c>
      <c r="BC1012" s="3" t="s">
        <v>12896</v>
      </c>
      <c r="BD1012" s="3" t="s">
        <v>12897</v>
      </c>
    </row>
    <row r="1013" spans="1:56" ht="51" customHeight="1" x14ac:dyDescent="0.25">
      <c r="A1013" s="7" t="s">
        <v>58</v>
      </c>
      <c r="B1013" s="2" t="s">
        <v>12898</v>
      </c>
      <c r="C1013" s="2" t="s">
        <v>12899</v>
      </c>
      <c r="D1013" s="2" t="s">
        <v>12900</v>
      </c>
      <c r="F1013" s="3" t="s">
        <v>58</v>
      </c>
      <c r="G1013" s="3" t="s">
        <v>59</v>
      </c>
      <c r="H1013" s="3" t="s">
        <v>58</v>
      </c>
      <c r="I1013" s="3" t="s">
        <v>58</v>
      </c>
      <c r="J1013" s="3" t="s">
        <v>60</v>
      </c>
      <c r="K1013" s="2" t="s">
        <v>12901</v>
      </c>
      <c r="L1013" s="2" t="s">
        <v>12902</v>
      </c>
      <c r="M1013" s="3" t="s">
        <v>397</v>
      </c>
      <c r="O1013" s="3" t="s">
        <v>63</v>
      </c>
      <c r="P1013" s="3" t="s">
        <v>816</v>
      </c>
      <c r="R1013" s="3" t="s">
        <v>65</v>
      </c>
      <c r="S1013" s="4">
        <v>5</v>
      </c>
      <c r="T1013" s="4">
        <v>5</v>
      </c>
      <c r="U1013" s="5" t="s">
        <v>12903</v>
      </c>
      <c r="V1013" s="5" t="s">
        <v>12903</v>
      </c>
      <c r="W1013" s="5" t="s">
        <v>8127</v>
      </c>
      <c r="X1013" s="5" t="s">
        <v>8127</v>
      </c>
      <c r="Y1013" s="4">
        <v>899</v>
      </c>
      <c r="Z1013" s="4">
        <v>852</v>
      </c>
      <c r="AA1013" s="4">
        <v>858</v>
      </c>
      <c r="AB1013" s="4">
        <v>9</v>
      </c>
      <c r="AC1013" s="4">
        <v>9</v>
      </c>
      <c r="AD1013" s="4">
        <v>6</v>
      </c>
      <c r="AE1013" s="4">
        <v>6</v>
      </c>
      <c r="AF1013" s="4">
        <v>2</v>
      </c>
      <c r="AG1013" s="4">
        <v>2</v>
      </c>
      <c r="AH1013" s="4">
        <v>1</v>
      </c>
      <c r="AI1013" s="4">
        <v>1</v>
      </c>
      <c r="AJ1013" s="4">
        <v>3</v>
      </c>
      <c r="AK1013" s="4">
        <v>3</v>
      </c>
      <c r="AL1013" s="4">
        <v>1</v>
      </c>
      <c r="AM1013" s="4">
        <v>1</v>
      </c>
      <c r="AN1013" s="4">
        <v>0</v>
      </c>
      <c r="AO1013" s="4">
        <v>0</v>
      </c>
      <c r="AP1013" s="3" t="s">
        <v>58</v>
      </c>
      <c r="AQ1013" s="3" t="s">
        <v>68</v>
      </c>
      <c r="AR1013" s="6" t="str">
        <f>HYPERLINK("http://catalog.hathitrust.org/Record/000471297","HathiTrust Record")</f>
        <v>HathiTrust Record</v>
      </c>
      <c r="AS1013" s="6" t="str">
        <f>HYPERLINK("https://creighton-primo.hosted.exlibrisgroup.com/primo-explore/search?tab=default_tab&amp;search_scope=EVERYTHING&amp;vid=01CRU&amp;lang=en_US&amp;offset=0&amp;query=any,contains,991000646139702656","Catalog Record")</f>
        <v>Catalog Record</v>
      </c>
      <c r="AT1013" s="6" t="str">
        <f>HYPERLINK("http://www.worldcat.org/oclc/12133644","WorldCat Record")</f>
        <v>WorldCat Record</v>
      </c>
      <c r="AU1013" s="3" t="s">
        <v>12904</v>
      </c>
      <c r="AV1013" s="3" t="s">
        <v>12905</v>
      </c>
      <c r="AW1013" s="3" t="s">
        <v>12906</v>
      </c>
      <c r="AX1013" s="3" t="s">
        <v>12906</v>
      </c>
      <c r="AY1013" s="3" t="s">
        <v>12907</v>
      </c>
      <c r="AZ1013" s="3" t="s">
        <v>73</v>
      </c>
      <c r="BB1013" s="3" t="s">
        <v>12908</v>
      </c>
      <c r="BC1013" s="3" t="s">
        <v>12909</v>
      </c>
      <c r="BD1013" s="3" t="s">
        <v>12910</v>
      </c>
    </row>
    <row r="1014" spans="1:56" ht="51" customHeight="1" x14ac:dyDescent="0.25">
      <c r="A1014" s="7" t="s">
        <v>58</v>
      </c>
      <c r="B1014" s="2" t="s">
        <v>12911</v>
      </c>
      <c r="C1014" s="2" t="s">
        <v>12912</v>
      </c>
      <c r="D1014" s="2" t="s">
        <v>12913</v>
      </c>
      <c r="F1014" s="3" t="s">
        <v>58</v>
      </c>
      <c r="G1014" s="3" t="s">
        <v>59</v>
      </c>
      <c r="H1014" s="3" t="s">
        <v>58</v>
      </c>
      <c r="I1014" s="3" t="s">
        <v>58</v>
      </c>
      <c r="J1014" s="3" t="s">
        <v>60</v>
      </c>
      <c r="K1014" s="2" t="s">
        <v>12914</v>
      </c>
      <c r="L1014" s="2" t="s">
        <v>12915</v>
      </c>
      <c r="M1014" s="3" t="s">
        <v>1061</v>
      </c>
      <c r="N1014" s="2" t="s">
        <v>338</v>
      </c>
      <c r="O1014" s="3" t="s">
        <v>63</v>
      </c>
      <c r="P1014" s="3" t="s">
        <v>214</v>
      </c>
      <c r="R1014" s="3" t="s">
        <v>65</v>
      </c>
      <c r="S1014" s="4">
        <v>4</v>
      </c>
      <c r="T1014" s="4">
        <v>4</v>
      </c>
      <c r="U1014" s="5" t="s">
        <v>12916</v>
      </c>
      <c r="V1014" s="5" t="s">
        <v>12916</v>
      </c>
      <c r="W1014" s="5" t="s">
        <v>12917</v>
      </c>
      <c r="X1014" s="5" t="s">
        <v>12917</v>
      </c>
      <c r="Y1014" s="4">
        <v>276</v>
      </c>
      <c r="Z1014" s="4">
        <v>249</v>
      </c>
      <c r="AA1014" s="4">
        <v>255</v>
      </c>
      <c r="AB1014" s="4">
        <v>2</v>
      </c>
      <c r="AC1014" s="4">
        <v>2</v>
      </c>
      <c r="AD1014" s="4">
        <v>6</v>
      </c>
      <c r="AE1014" s="4">
        <v>6</v>
      </c>
      <c r="AF1014" s="4">
        <v>1</v>
      </c>
      <c r="AG1014" s="4">
        <v>1</v>
      </c>
      <c r="AH1014" s="4">
        <v>2</v>
      </c>
      <c r="AI1014" s="4">
        <v>2</v>
      </c>
      <c r="AJ1014" s="4">
        <v>3</v>
      </c>
      <c r="AK1014" s="4">
        <v>3</v>
      </c>
      <c r="AL1014" s="4">
        <v>1</v>
      </c>
      <c r="AM1014" s="4">
        <v>1</v>
      </c>
      <c r="AN1014" s="4">
        <v>0</v>
      </c>
      <c r="AO1014" s="4">
        <v>0</v>
      </c>
      <c r="AP1014" s="3" t="s">
        <v>58</v>
      </c>
      <c r="AQ1014" s="3" t="s">
        <v>58</v>
      </c>
      <c r="AS1014" s="6" t="str">
        <f>HYPERLINK("https://creighton-primo.hosted.exlibrisgroup.com/primo-explore/search?tab=default_tab&amp;search_scope=EVERYTHING&amp;vid=01CRU&amp;lang=en_US&amp;offset=0&amp;query=any,contains,991002819929702656","Catalog Record")</f>
        <v>Catalog Record</v>
      </c>
      <c r="AT1014" s="6" t="str">
        <f>HYPERLINK("http://www.worldcat.org/oclc/37044064","WorldCat Record")</f>
        <v>WorldCat Record</v>
      </c>
      <c r="AU1014" s="3" t="s">
        <v>12918</v>
      </c>
      <c r="AV1014" s="3" t="s">
        <v>12919</v>
      </c>
      <c r="AW1014" s="3" t="s">
        <v>12920</v>
      </c>
      <c r="AX1014" s="3" t="s">
        <v>12920</v>
      </c>
      <c r="AY1014" s="3" t="s">
        <v>12921</v>
      </c>
      <c r="AZ1014" s="3" t="s">
        <v>73</v>
      </c>
      <c r="BB1014" s="3" t="s">
        <v>12922</v>
      </c>
      <c r="BC1014" s="3" t="s">
        <v>12923</v>
      </c>
      <c r="BD1014" s="3" t="s">
        <v>12924</v>
      </c>
    </row>
    <row r="1015" spans="1:56" ht="51" customHeight="1" x14ac:dyDescent="0.25">
      <c r="A1015" s="7" t="s">
        <v>58</v>
      </c>
      <c r="B1015" s="2" t="s">
        <v>12925</v>
      </c>
      <c r="C1015" s="2" t="s">
        <v>12926</v>
      </c>
      <c r="D1015" s="2" t="s">
        <v>12927</v>
      </c>
      <c r="F1015" s="3" t="s">
        <v>68</v>
      </c>
      <c r="G1015" s="3" t="s">
        <v>59</v>
      </c>
      <c r="H1015" s="3" t="s">
        <v>58</v>
      </c>
      <c r="I1015" s="3" t="s">
        <v>58</v>
      </c>
      <c r="J1015" s="3" t="s">
        <v>60</v>
      </c>
      <c r="K1015" s="2" t="s">
        <v>12928</v>
      </c>
      <c r="M1015" s="3" t="s">
        <v>2132</v>
      </c>
      <c r="O1015" s="3" t="s">
        <v>63</v>
      </c>
      <c r="P1015" s="3" t="s">
        <v>3323</v>
      </c>
      <c r="R1015" s="3" t="s">
        <v>65</v>
      </c>
      <c r="S1015" s="4">
        <v>3</v>
      </c>
      <c r="T1015" s="4">
        <v>3</v>
      </c>
      <c r="U1015" s="5" t="s">
        <v>12929</v>
      </c>
      <c r="V1015" s="5" t="s">
        <v>12929</v>
      </c>
      <c r="W1015" s="5" t="s">
        <v>12930</v>
      </c>
      <c r="X1015" s="5" t="s">
        <v>12930</v>
      </c>
      <c r="Y1015" s="4">
        <v>162</v>
      </c>
      <c r="Z1015" s="4">
        <v>157</v>
      </c>
      <c r="AA1015" s="4">
        <v>205</v>
      </c>
      <c r="AB1015" s="4">
        <v>2</v>
      </c>
      <c r="AC1015" s="4">
        <v>2</v>
      </c>
      <c r="AD1015" s="4">
        <v>8</v>
      </c>
      <c r="AE1015" s="4">
        <v>10</v>
      </c>
      <c r="AF1015" s="4">
        <v>2</v>
      </c>
      <c r="AG1015" s="4">
        <v>2</v>
      </c>
      <c r="AH1015" s="4">
        <v>1</v>
      </c>
      <c r="AI1015" s="4">
        <v>2</v>
      </c>
      <c r="AJ1015" s="4">
        <v>6</v>
      </c>
      <c r="AK1015" s="4">
        <v>7</v>
      </c>
      <c r="AL1015" s="4">
        <v>1</v>
      </c>
      <c r="AM1015" s="4">
        <v>1</v>
      </c>
      <c r="AN1015" s="4">
        <v>0</v>
      </c>
      <c r="AO1015" s="4">
        <v>0</v>
      </c>
      <c r="AP1015" s="3" t="s">
        <v>58</v>
      </c>
      <c r="AQ1015" s="3" t="s">
        <v>68</v>
      </c>
      <c r="AR1015" s="6" t="str">
        <f>HYPERLINK("http://catalog.hathitrust.org/Record/001249877","HathiTrust Record")</f>
        <v>HathiTrust Record</v>
      </c>
      <c r="AS1015" s="6" t="str">
        <f>HYPERLINK("https://creighton-primo.hosted.exlibrisgroup.com/primo-explore/search?tab=default_tab&amp;search_scope=EVERYTHING&amp;vid=01CRU&amp;lang=en_US&amp;offset=0&amp;query=any,contains,991003393819702656","Catalog Record")</f>
        <v>Catalog Record</v>
      </c>
      <c r="AT1015" s="6" t="str">
        <f>HYPERLINK("http://www.worldcat.org/oclc/932208","WorldCat Record")</f>
        <v>WorldCat Record</v>
      </c>
      <c r="AU1015" s="3" t="s">
        <v>12931</v>
      </c>
      <c r="AV1015" s="3" t="s">
        <v>12932</v>
      </c>
      <c r="AW1015" s="3" t="s">
        <v>12933</v>
      </c>
      <c r="AX1015" s="3" t="s">
        <v>12933</v>
      </c>
      <c r="AY1015" s="3" t="s">
        <v>12934</v>
      </c>
      <c r="AZ1015" s="3" t="s">
        <v>73</v>
      </c>
      <c r="BC1015" s="3" t="s">
        <v>12935</v>
      </c>
      <c r="BD1015" s="3" t="s">
        <v>12936</v>
      </c>
    </row>
    <row r="1016" spans="1:56" ht="51" customHeight="1" x14ac:dyDescent="0.25">
      <c r="A1016" s="7" t="s">
        <v>58</v>
      </c>
      <c r="B1016" s="2" t="s">
        <v>12937</v>
      </c>
      <c r="C1016" s="2" t="s">
        <v>12938</v>
      </c>
      <c r="D1016" s="2" t="s">
        <v>12939</v>
      </c>
      <c r="F1016" s="3" t="s">
        <v>58</v>
      </c>
      <c r="G1016" s="3" t="s">
        <v>59</v>
      </c>
      <c r="H1016" s="3" t="s">
        <v>58</v>
      </c>
      <c r="I1016" s="3" t="s">
        <v>58</v>
      </c>
      <c r="J1016" s="3" t="s">
        <v>60</v>
      </c>
      <c r="K1016" s="2" t="s">
        <v>12940</v>
      </c>
      <c r="L1016" s="2" t="s">
        <v>12941</v>
      </c>
      <c r="M1016" s="3" t="s">
        <v>261</v>
      </c>
      <c r="N1016" s="2" t="s">
        <v>12942</v>
      </c>
      <c r="O1016" s="3" t="s">
        <v>63</v>
      </c>
      <c r="P1016" s="3" t="s">
        <v>411</v>
      </c>
      <c r="R1016" s="3" t="s">
        <v>65</v>
      </c>
      <c r="S1016" s="4">
        <v>8</v>
      </c>
      <c r="T1016" s="4">
        <v>8</v>
      </c>
      <c r="U1016" s="5" t="s">
        <v>12943</v>
      </c>
      <c r="V1016" s="5" t="s">
        <v>12943</v>
      </c>
      <c r="W1016" s="5" t="s">
        <v>12930</v>
      </c>
      <c r="X1016" s="5" t="s">
        <v>12930</v>
      </c>
      <c r="Y1016" s="4">
        <v>330</v>
      </c>
      <c r="Z1016" s="4">
        <v>266</v>
      </c>
      <c r="AA1016" s="4">
        <v>269</v>
      </c>
      <c r="AB1016" s="4">
        <v>4</v>
      </c>
      <c r="AC1016" s="4">
        <v>4</v>
      </c>
      <c r="AD1016" s="4">
        <v>11</v>
      </c>
      <c r="AE1016" s="4">
        <v>11</v>
      </c>
      <c r="AF1016" s="4">
        <v>3</v>
      </c>
      <c r="AG1016" s="4">
        <v>3</v>
      </c>
      <c r="AH1016" s="4">
        <v>4</v>
      </c>
      <c r="AI1016" s="4">
        <v>4</v>
      </c>
      <c r="AJ1016" s="4">
        <v>3</v>
      </c>
      <c r="AK1016" s="4">
        <v>3</v>
      </c>
      <c r="AL1016" s="4">
        <v>3</v>
      </c>
      <c r="AM1016" s="4">
        <v>3</v>
      </c>
      <c r="AN1016" s="4">
        <v>0</v>
      </c>
      <c r="AO1016" s="4">
        <v>0</v>
      </c>
      <c r="AP1016" s="3" t="s">
        <v>58</v>
      </c>
      <c r="AQ1016" s="3" t="s">
        <v>58</v>
      </c>
      <c r="AS1016" s="6" t="str">
        <f>HYPERLINK("https://creighton-primo.hosted.exlibrisgroup.com/primo-explore/search?tab=default_tab&amp;search_scope=EVERYTHING&amp;vid=01CRU&amp;lang=en_US&amp;offset=0&amp;query=any,contains,991003652389702656","Catalog Record")</f>
        <v>Catalog Record</v>
      </c>
      <c r="AT1016" s="6" t="str">
        <f>HYPERLINK("http://www.worldcat.org/oclc/1256128","WorldCat Record")</f>
        <v>WorldCat Record</v>
      </c>
      <c r="AU1016" s="3" t="s">
        <v>12944</v>
      </c>
      <c r="AV1016" s="3" t="s">
        <v>12945</v>
      </c>
      <c r="AW1016" s="3" t="s">
        <v>12946</v>
      </c>
      <c r="AX1016" s="3" t="s">
        <v>12946</v>
      </c>
      <c r="AY1016" s="3" t="s">
        <v>12947</v>
      </c>
      <c r="AZ1016" s="3" t="s">
        <v>73</v>
      </c>
      <c r="BB1016" s="3" t="s">
        <v>12948</v>
      </c>
      <c r="BC1016" s="3" t="s">
        <v>12949</v>
      </c>
      <c r="BD1016" s="3" t="s">
        <v>12950</v>
      </c>
    </row>
    <row r="1017" spans="1:56" ht="51" customHeight="1" x14ac:dyDescent="0.25">
      <c r="A1017" s="7" t="s">
        <v>58</v>
      </c>
      <c r="B1017" s="2" t="s">
        <v>12951</v>
      </c>
      <c r="C1017" s="2" t="s">
        <v>12952</v>
      </c>
      <c r="D1017" s="2" t="s">
        <v>12953</v>
      </c>
      <c r="F1017" s="3" t="s">
        <v>58</v>
      </c>
      <c r="G1017" s="3" t="s">
        <v>59</v>
      </c>
      <c r="H1017" s="3" t="s">
        <v>58</v>
      </c>
      <c r="I1017" s="3" t="s">
        <v>58</v>
      </c>
      <c r="J1017" s="3" t="s">
        <v>60</v>
      </c>
      <c r="K1017" s="2" t="s">
        <v>12954</v>
      </c>
      <c r="L1017" s="2" t="s">
        <v>12955</v>
      </c>
      <c r="M1017" s="3" t="s">
        <v>800</v>
      </c>
      <c r="N1017" s="2" t="s">
        <v>12956</v>
      </c>
      <c r="O1017" s="3" t="s">
        <v>63</v>
      </c>
      <c r="P1017" s="3" t="s">
        <v>411</v>
      </c>
      <c r="R1017" s="3" t="s">
        <v>65</v>
      </c>
      <c r="S1017" s="4">
        <v>8</v>
      </c>
      <c r="T1017" s="4">
        <v>8</v>
      </c>
      <c r="U1017" s="5" t="s">
        <v>12957</v>
      </c>
      <c r="V1017" s="5" t="s">
        <v>12957</v>
      </c>
      <c r="W1017" s="5" t="s">
        <v>680</v>
      </c>
      <c r="X1017" s="5" t="s">
        <v>680</v>
      </c>
      <c r="Y1017" s="4">
        <v>506</v>
      </c>
      <c r="Z1017" s="4">
        <v>454</v>
      </c>
      <c r="AA1017" s="4">
        <v>495</v>
      </c>
      <c r="AB1017" s="4">
        <v>5</v>
      </c>
      <c r="AC1017" s="4">
        <v>5</v>
      </c>
      <c r="AD1017" s="4">
        <v>15</v>
      </c>
      <c r="AE1017" s="4">
        <v>16</v>
      </c>
      <c r="AF1017" s="4">
        <v>5</v>
      </c>
      <c r="AG1017" s="4">
        <v>6</v>
      </c>
      <c r="AH1017" s="4">
        <v>4</v>
      </c>
      <c r="AI1017" s="4">
        <v>4</v>
      </c>
      <c r="AJ1017" s="4">
        <v>8</v>
      </c>
      <c r="AK1017" s="4">
        <v>8</v>
      </c>
      <c r="AL1017" s="4">
        <v>3</v>
      </c>
      <c r="AM1017" s="4">
        <v>3</v>
      </c>
      <c r="AN1017" s="4">
        <v>0</v>
      </c>
      <c r="AO1017" s="4">
        <v>0</v>
      </c>
      <c r="AP1017" s="3" t="s">
        <v>58</v>
      </c>
      <c r="AQ1017" s="3" t="s">
        <v>68</v>
      </c>
      <c r="AR1017" s="6" t="str">
        <f>HYPERLINK("http://catalog.hathitrust.org/Record/003022493","HathiTrust Record")</f>
        <v>HathiTrust Record</v>
      </c>
      <c r="AS1017" s="6" t="str">
        <f>HYPERLINK("https://creighton-primo.hosted.exlibrisgroup.com/primo-explore/search?tab=default_tab&amp;search_scope=EVERYTHING&amp;vid=01CRU&amp;lang=en_US&amp;offset=0&amp;query=any,contains,991002459649702656","Catalog Record")</f>
        <v>Catalog Record</v>
      </c>
      <c r="AT1017" s="6" t="str">
        <f>HYPERLINK("http://www.worldcat.org/oclc/32051035","WorldCat Record")</f>
        <v>WorldCat Record</v>
      </c>
      <c r="AU1017" s="3" t="s">
        <v>12958</v>
      </c>
      <c r="AV1017" s="3" t="s">
        <v>12959</v>
      </c>
      <c r="AW1017" s="3" t="s">
        <v>12960</v>
      </c>
      <c r="AX1017" s="3" t="s">
        <v>12960</v>
      </c>
      <c r="AY1017" s="3" t="s">
        <v>12961</v>
      </c>
      <c r="AZ1017" s="3" t="s">
        <v>73</v>
      </c>
      <c r="BB1017" s="3" t="s">
        <v>12962</v>
      </c>
      <c r="BC1017" s="3" t="s">
        <v>12963</v>
      </c>
      <c r="BD1017" s="3" t="s">
        <v>12964</v>
      </c>
    </row>
    <row r="1018" spans="1:56" ht="51" customHeight="1" x14ac:dyDescent="0.25">
      <c r="A1018" s="7" t="s">
        <v>58</v>
      </c>
      <c r="B1018" s="2" t="s">
        <v>12965</v>
      </c>
      <c r="C1018" s="2" t="s">
        <v>12966</v>
      </c>
      <c r="D1018" s="2" t="s">
        <v>12967</v>
      </c>
      <c r="F1018" s="3" t="s">
        <v>58</v>
      </c>
      <c r="G1018" s="3" t="s">
        <v>59</v>
      </c>
      <c r="H1018" s="3" t="s">
        <v>58</v>
      </c>
      <c r="I1018" s="3" t="s">
        <v>58</v>
      </c>
      <c r="J1018" s="3" t="s">
        <v>60</v>
      </c>
      <c r="K1018" s="2" t="s">
        <v>12968</v>
      </c>
      <c r="L1018" s="2" t="s">
        <v>12969</v>
      </c>
      <c r="M1018" s="3" t="s">
        <v>1720</v>
      </c>
      <c r="O1018" s="3" t="s">
        <v>63</v>
      </c>
      <c r="P1018" s="3" t="s">
        <v>214</v>
      </c>
      <c r="Q1018" s="2" t="s">
        <v>12970</v>
      </c>
      <c r="R1018" s="3" t="s">
        <v>65</v>
      </c>
      <c r="S1018" s="4">
        <v>2</v>
      </c>
      <c r="T1018" s="4">
        <v>2</v>
      </c>
      <c r="U1018" s="5" t="s">
        <v>12971</v>
      </c>
      <c r="V1018" s="5" t="s">
        <v>12971</v>
      </c>
      <c r="W1018" s="5" t="s">
        <v>11664</v>
      </c>
      <c r="X1018" s="5" t="s">
        <v>11664</v>
      </c>
      <c r="Y1018" s="4">
        <v>620</v>
      </c>
      <c r="Z1018" s="4">
        <v>530</v>
      </c>
      <c r="AA1018" s="4">
        <v>538</v>
      </c>
      <c r="AB1018" s="4">
        <v>7</v>
      </c>
      <c r="AC1018" s="4">
        <v>7</v>
      </c>
      <c r="AD1018" s="4">
        <v>27</v>
      </c>
      <c r="AE1018" s="4">
        <v>27</v>
      </c>
      <c r="AF1018" s="4">
        <v>10</v>
      </c>
      <c r="AG1018" s="4">
        <v>10</v>
      </c>
      <c r="AH1018" s="4">
        <v>6</v>
      </c>
      <c r="AI1018" s="4">
        <v>6</v>
      </c>
      <c r="AJ1018" s="4">
        <v>10</v>
      </c>
      <c r="AK1018" s="4">
        <v>10</v>
      </c>
      <c r="AL1018" s="4">
        <v>6</v>
      </c>
      <c r="AM1018" s="4">
        <v>6</v>
      </c>
      <c r="AN1018" s="4">
        <v>0</v>
      </c>
      <c r="AO1018" s="4">
        <v>0</v>
      </c>
      <c r="AP1018" s="3" t="s">
        <v>58</v>
      </c>
      <c r="AQ1018" s="3" t="s">
        <v>68</v>
      </c>
      <c r="AR1018" s="6" t="str">
        <f>HYPERLINK("http://catalog.hathitrust.org/Record/001240619","HathiTrust Record")</f>
        <v>HathiTrust Record</v>
      </c>
      <c r="AS1018" s="6" t="str">
        <f>HYPERLINK("https://creighton-primo.hosted.exlibrisgroup.com/primo-explore/search?tab=default_tab&amp;search_scope=EVERYTHING&amp;vid=01CRU&amp;lang=en_US&amp;offset=0&amp;query=any,contains,991002706959702656","Catalog Record")</f>
        <v>Catalog Record</v>
      </c>
      <c r="AT1018" s="6" t="str">
        <f>HYPERLINK("http://www.worldcat.org/oclc/407425","WorldCat Record")</f>
        <v>WorldCat Record</v>
      </c>
      <c r="AU1018" s="3" t="s">
        <v>12972</v>
      </c>
      <c r="AV1018" s="3" t="s">
        <v>12973</v>
      </c>
      <c r="AW1018" s="3" t="s">
        <v>12974</v>
      </c>
      <c r="AX1018" s="3" t="s">
        <v>12974</v>
      </c>
      <c r="AY1018" s="3" t="s">
        <v>12975</v>
      </c>
      <c r="AZ1018" s="3" t="s">
        <v>73</v>
      </c>
      <c r="BC1018" s="3" t="s">
        <v>12976</v>
      </c>
      <c r="BD1018" s="3" t="s">
        <v>12977</v>
      </c>
    </row>
    <row r="1019" spans="1:56" ht="51" customHeight="1" x14ac:dyDescent="0.25">
      <c r="A1019" s="7" t="s">
        <v>58</v>
      </c>
      <c r="B1019" s="2" t="s">
        <v>12978</v>
      </c>
      <c r="C1019" s="2" t="s">
        <v>12979</v>
      </c>
      <c r="D1019" s="2" t="s">
        <v>12980</v>
      </c>
      <c r="F1019" s="3" t="s">
        <v>58</v>
      </c>
      <c r="G1019" s="3" t="s">
        <v>59</v>
      </c>
      <c r="H1019" s="3" t="s">
        <v>58</v>
      </c>
      <c r="I1019" s="3" t="s">
        <v>58</v>
      </c>
      <c r="J1019" s="3" t="s">
        <v>60</v>
      </c>
      <c r="K1019" s="2" t="s">
        <v>610</v>
      </c>
      <c r="L1019" s="2" t="s">
        <v>12981</v>
      </c>
      <c r="M1019" s="3" t="s">
        <v>2132</v>
      </c>
      <c r="N1019" s="2" t="s">
        <v>1470</v>
      </c>
      <c r="O1019" s="3" t="s">
        <v>63</v>
      </c>
      <c r="P1019" s="3" t="s">
        <v>214</v>
      </c>
      <c r="R1019" s="3" t="s">
        <v>65</v>
      </c>
      <c r="S1019" s="4">
        <v>3</v>
      </c>
      <c r="T1019" s="4">
        <v>3</v>
      </c>
      <c r="U1019" s="5" t="s">
        <v>12982</v>
      </c>
      <c r="V1019" s="5" t="s">
        <v>12982</v>
      </c>
      <c r="W1019" s="5" t="s">
        <v>11664</v>
      </c>
      <c r="X1019" s="5" t="s">
        <v>11664</v>
      </c>
      <c r="Y1019" s="4">
        <v>776</v>
      </c>
      <c r="Z1019" s="4">
        <v>678</v>
      </c>
      <c r="AA1019" s="4">
        <v>686</v>
      </c>
      <c r="AB1019" s="4">
        <v>3</v>
      </c>
      <c r="AC1019" s="4">
        <v>3</v>
      </c>
      <c r="AD1019" s="4">
        <v>34</v>
      </c>
      <c r="AE1019" s="4">
        <v>34</v>
      </c>
      <c r="AF1019" s="4">
        <v>13</v>
      </c>
      <c r="AG1019" s="4">
        <v>13</v>
      </c>
      <c r="AH1019" s="4">
        <v>8</v>
      </c>
      <c r="AI1019" s="4">
        <v>8</v>
      </c>
      <c r="AJ1019" s="4">
        <v>22</v>
      </c>
      <c r="AK1019" s="4">
        <v>22</v>
      </c>
      <c r="AL1019" s="4">
        <v>1</v>
      </c>
      <c r="AM1019" s="4">
        <v>1</v>
      </c>
      <c r="AN1019" s="4">
        <v>0</v>
      </c>
      <c r="AO1019" s="4">
        <v>0</v>
      </c>
      <c r="AP1019" s="3" t="s">
        <v>58</v>
      </c>
      <c r="AQ1019" s="3" t="s">
        <v>68</v>
      </c>
      <c r="AR1019" s="6" t="str">
        <f>HYPERLINK("http://catalog.hathitrust.org/Record/001240622","HathiTrust Record")</f>
        <v>HathiTrust Record</v>
      </c>
      <c r="AS1019" s="6" t="str">
        <f>HYPERLINK("https://creighton-primo.hosted.exlibrisgroup.com/primo-explore/search?tab=default_tab&amp;search_scope=EVERYTHING&amp;vid=01CRU&amp;lang=en_US&amp;offset=0&amp;query=any,contains,991002678209702656","Catalog Record")</f>
        <v>Catalog Record</v>
      </c>
      <c r="AT1019" s="6" t="str">
        <f>HYPERLINK("http://www.worldcat.org/oclc/397592","WorldCat Record")</f>
        <v>WorldCat Record</v>
      </c>
      <c r="AU1019" s="3" t="s">
        <v>12983</v>
      </c>
      <c r="AV1019" s="3" t="s">
        <v>12984</v>
      </c>
      <c r="AW1019" s="3" t="s">
        <v>12985</v>
      </c>
      <c r="AX1019" s="3" t="s">
        <v>12985</v>
      </c>
      <c r="AY1019" s="3" t="s">
        <v>12986</v>
      </c>
      <c r="AZ1019" s="3" t="s">
        <v>73</v>
      </c>
      <c r="BC1019" s="3" t="s">
        <v>12987</v>
      </c>
      <c r="BD1019" s="3" t="s">
        <v>12988</v>
      </c>
    </row>
    <row r="1020" spans="1:56" ht="51" customHeight="1" x14ac:dyDescent="0.25">
      <c r="A1020" s="7" t="s">
        <v>58</v>
      </c>
      <c r="B1020" s="2" t="s">
        <v>12989</v>
      </c>
      <c r="C1020" s="2" t="s">
        <v>12990</v>
      </c>
      <c r="D1020" s="2" t="s">
        <v>12991</v>
      </c>
      <c r="F1020" s="3" t="s">
        <v>58</v>
      </c>
      <c r="G1020" s="3" t="s">
        <v>59</v>
      </c>
      <c r="H1020" s="3" t="s">
        <v>58</v>
      </c>
      <c r="I1020" s="3" t="s">
        <v>58</v>
      </c>
      <c r="J1020" s="3" t="s">
        <v>60</v>
      </c>
      <c r="K1020" s="2" t="s">
        <v>12992</v>
      </c>
      <c r="L1020" s="2" t="s">
        <v>12993</v>
      </c>
      <c r="M1020" s="3" t="s">
        <v>12994</v>
      </c>
      <c r="O1020" s="3" t="s">
        <v>63</v>
      </c>
      <c r="P1020" s="3" t="s">
        <v>584</v>
      </c>
      <c r="R1020" s="3" t="s">
        <v>65</v>
      </c>
      <c r="S1020" s="4">
        <v>4</v>
      </c>
      <c r="T1020" s="4">
        <v>4</v>
      </c>
      <c r="U1020" s="5" t="s">
        <v>12995</v>
      </c>
      <c r="V1020" s="5" t="s">
        <v>12995</v>
      </c>
      <c r="W1020" s="5" t="s">
        <v>2616</v>
      </c>
      <c r="X1020" s="5" t="s">
        <v>2616</v>
      </c>
      <c r="Y1020" s="4">
        <v>777</v>
      </c>
      <c r="Z1020" s="4">
        <v>671</v>
      </c>
      <c r="AA1020" s="4">
        <v>849</v>
      </c>
      <c r="AB1020" s="4">
        <v>3</v>
      </c>
      <c r="AC1020" s="4">
        <v>4</v>
      </c>
      <c r="AD1020" s="4">
        <v>32</v>
      </c>
      <c r="AE1020" s="4">
        <v>36</v>
      </c>
      <c r="AF1020" s="4">
        <v>15</v>
      </c>
      <c r="AG1020" s="4">
        <v>17</v>
      </c>
      <c r="AH1020" s="4">
        <v>7</v>
      </c>
      <c r="AI1020" s="4">
        <v>8</v>
      </c>
      <c r="AJ1020" s="4">
        <v>16</v>
      </c>
      <c r="AK1020" s="4">
        <v>17</v>
      </c>
      <c r="AL1020" s="4">
        <v>2</v>
      </c>
      <c r="AM1020" s="4">
        <v>3</v>
      </c>
      <c r="AN1020" s="4">
        <v>0</v>
      </c>
      <c r="AO1020" s="4">
        <v>0</v>
      </c>
      <c r="AP1020" s="3" t="s">
        <v>58</v>
      </c>
      <c r="AQ1020" s="3" t="s">
        <v>58</v>
      </c>
      <c r="AR1020" s="6" t="str">
        <f>HYPERLINK("http://catalog.hathitrust.org/Record/001249935","HathiTrust Record")</f>
        <v>HathiTrust Record</v>
      </c>
      <c r="AS1020" s="6" t="str">
        <f>HYPERLINK("https://creighton-primo.hosted.exlibrisgroup.com/primo-explore/search?tab=default_tab&amp;search_scope=EVERYTHING&amp;vid=01CRU&amp;lang=en_US&amp;offset=0&amp;query=any,contains,991002716269702656","Catalog Record")</f>
        <v>Catalog Record</v>
      </c>
      <c r="AT1020" s="6" t="str">
        <f>HYPERLINK("http://www.worldcat.org/oclc/411364","WorldCat Record")</f>
        <v>WorldCat Record</v>
      </c>
      <c r="AU1020" s="3" t="s">
        <v>12996</v>
      </c>
      <c r="AV1020" s="3" t="s">
        <v>12997</v>
      </c>
      <c r="AW1020" s="3" t="s">
        <v>12998</v>
      </c>
      <c r="AX1020" s="3" t="s">
        <v>12998</v>
      </c>
      <c r="AY1020" s="3" t="s">
        <v>12999</v>
      </c>
      <c r="AZ1020" s="3" t="s">
        <v>73</v>
      </c>
      <c r="BC1020" s="3" t="s">
        <v>13000</v>
      </c>
      <c r="BD1020" s="3" t="s">
        <v>13001</v>
      </c>
    </row>
    <row r="1021" spans="1:56" ht="51" customHeight="1" x14ac:dyDescent="0.25">
      <c r="A1021" s="7" t="s">
        <v>58</v>
      </c>
      <c r="B1021" s="2" t="s">
        <v>13002</v>
      </c>
      <c r="C1021" s="2" t="s">
        <v>13003</v>
      </c>
      <c r="D1021" s="2" t="s">
        <v>13004</v>
      </c>
      <c r="F1021" s="3" t="s">
        <v>58</v>
      </c>
      <c r="G1021" s="3" t="s">
        <v>59</v>
      </c>
      <c r="H1021" s="3" t="s">
        <v>58</v>
      </c>
      <c r="I1021" s="3" t="s">
        <v>58</v>
      </c>
      <c r="J1021" s="3" t="s">
        <v>60</v>
      </c>
      <c r="K1021" s="2" t="s">
        <v>13005</v>
      </c>
      <c r="L1021" s="2" t="s">
        <v>13006</v>
      </c>
      <c r="M1021" s="3" t="s">
        <v>196</v>
      </c>
      <c r="O1021" s="3" t="s">
        <v>63</v>
      </c>
      <c r="P1021" s="3" t="s">
        <v>214</v>
      </c>
      <c r="R1021" s="3" t="s">
        <v>65</v>
      </c>
      <c r="S1021" s="4">
        <v>4</v>
      </c>
      <c r="T1021" s="4">
        <v>4</v>
      </c>
      <c r="U1021" s="5" t="s">
        <v>13007</v>
      </c>
      <c r="V1021" s="5" t="s">
        <v>13007</v>
      </c>
      <c r="W1021" s="5" t="s">
        <v>13008</v>
      </c>
      <c r="X1021" s="5" t="s">
        <v>13008</v>
      </c>
      <c r="Y1021" s="4">
        <v>807</v>
      </c>
      <c r="Z1021" s="4">
        <v>722</v>
      </c>
      <c r="AA1021" s="4">
        <v>724</v>
      </c>
      <c r="AB1021" s="4">
        <v>3</v>
      </c>
      <c r="AC1021" s="4">
        <v>3</v>
      </c>
      <c r="AD1021" s="4">
        <v>16</v>
      </c>
      <c r="AE1021" s="4">
        <v>16</v>
      </c>
      <c r="AF1021" s="4">
        <v>7</v>
      </c>
      <c r="AG1021" s="4">
        <v>7</v>
      </c>
      <c r="AH1021" s="4">
        <v>3</v>
      </c>
      <c r="AI1021" s="4">
        <v>3</v>
      </c>
      <c r="AJ1021" s="4">
        <v>8</v>
      </c>
      <c r="AK1021" s="4">
        <v>8</v>
      </c>
      <c r="AL1021" s="4">
        <v>2</v>
      </c>
      <c r="AM1021" s="4">
        <v>2</v>
      </c>
      <c r="AN1021" s="4">
        <v>0</v>
      </c>
      <c r="AO1021" s="4">
        <v>0</v>
      </c>
      <c r="AP1021" s="3" t="s">
        <v>58</v>
      </c>
      <c r="AQ1021" s="3" t="s">
        <v>58</v>
      </c>
      <c r="AS1021" s="6" t="str">
        <f>HYPERLINK("https://creighton-primo.hosted.exlibrisgroup.com/primo-explore/search?tab=default_tab&amp;search_scope=EVERYTHING&amp;vid=01CRU&amp;lang=en_US&amp;offset=0&amp;query=any,contains,991005234759702656","Catalog Record")</f>
        <v>Catalog Record</v>
      </c>
      <c r="AT1021" s="6" t="str">
        <f>HYPERLINK("http://www.worldcat.org/oclc/31078912","WorldCat Record")</f>
        <v>WorldCat Record</v>
      </c>
      <c r="AU1021" s="3" t="s">
        <v>13009</v>
      </c>
      <c r="AV1021" s="3" t="s">
        <v>13010</v>
      </c>
      <c r="AW1021" s="3" t="s">
        <v>13011</v>
      </c>
      <c r="AX1021" s="3" t="s">
        <v>13011</v>
      </c>
      <c r="AY1021" s="3" t="s">
        <v>13012</v>
      </c>
      <c r="AZ1021" s="3" t="s">
        <v>73</v>
      </c>
      <c r="BB1021" s="3" t="s">
        <v>13013</v>
      </c>
      <c r="BC1021" s="3" t="s">
        <v>13014</v>
      </c>
      <c r="BD1021" s="3" t="s">
        <v>13015</v>
      </c>
    </row>
    <row r="1022" spans="1:56" ht="51" customHeight="1" x14ac:dyDescent="0.25">
      <c r="A1022" s="7" t="s">
        <v>58</v>
      </c>
      <c r="B1022" s="2" t="s">
        <v>13016</v>
      </c>
      <c r="C1022" s="2" t="s">
        <v>13017</v>
      </c>
      <c r="D1022" s="2" t="s">
        <v>13018</v>
      </c>
      <c r="F1022" s="3" t="s">
        <v>58</v>
      </c>
      <c r="G1022" s="3" t="s">
        <v>59</v>
      </c>
      <c r="H1022" s="3" t="s">
        <v>58</v>
      </c>
      <c r="I1022" s="3" t="s">
        <v>58</v>
      </c>
      <c r="J1022" s="3" t="s">
        <v>60</v>
      </c>
      <c r="K1022" s="2" t="s">
        <v>13019</v>
      </c>
      <c r="L1022" s="2" t="s">
        <v>13020</v>
      </c>
      <c r="M1022" s="3" t="s">
        <v>538</v>
      </c>
      <c r="O1022" s="3" t="s">
        <v>63</v>
      </c>
      <c r="P1022" s="3" t="s">
        <v>214</v>
      </c>
      <c r="R1022" s="3" t="s">
        <v>65</v>
      </c>
      <c r="S1022" s="4">
        <v>5</v>
      </c>
      <c r="T1022" s="4">
        <v>5</v>
      </c>
      <c r="U1022" s="5" t="s">
        <v>13021</v>
      </c>
      <c r="V1022" s="5" t="s">
        <v>13021</v>
      </c>
      <c r="W1022" s="5" t="s">
        <v>13022</v>
      </c>
      <c r="X1022" s="5" t="s">
        <v>13022</v>
      </c>
      <c r="Y1022" s="4">
        <v>118</v>
      </c>
      <c r="Z1022" s="4">
        <v>104</v>
      </c>
      <c r="AA1022" s="4">
        <v>1046</v>
      </c>
      <c r="AB1022" s="4">
        <v>1</v>
      </c>
      <c r="AC1022" s="4">
        <v>10</v>
      </c>
      <c r="AD1022" s="4">
        <v>0</v>
      </c>
      <c r="AE1022" s="4">
        <v>39</v>
      </c>
      <c r="AF1022" s="4">
        <v>0</v>
      </c>
      <c r="AG1022" s="4">
        <v>16</v>
      </c>
      <c r="AH1022" s="4">
        <v>0</v>
      </c>
      <c r="AI1022" s="4">
        <v>8</v>
      </c>
      <c r="AJ1022" s="4">
        <v>0</v>
      </c>
      <c r="AK1022" s="4">
        <v>19</v>
      </c>
      <c r="AL1022" s="4">
        <v>0</v>
      </c>
      <c r="AM1022" s="4">
        <v>6</v>
      </c>
      <c r="AN1022" s="4">
        <v>0</v>
      </c>
      <c r="AO1022" s="4">
        <v>0</v>
      </c>
      <c r="AP1022" s="3" t="s">
        <v>58</v>
      </c>
      <c r="AQ1022" s="3" t="s">
        <v>58</v>
      </c>
      <c r="AS1022" s="6" t="str">
        <f>HYPERLINK("https://creighton-primo.hosted.exlibrisgroup.com/primo-explore/search?tab=default_tab&amp;search_scope=EVERYTHING&amp;vid=01CRU&amp;lang=en_US&amp;offset=0&amp;query=any,contains,991000216359702656","Catalog Record")</f>
        <v>Catalog Record</v>
      </c>
      <c r="AT1022" s="6" t="str">
        <f>HYPERLINK("http://www.worldcat.org/oclc/66931","WorldCat Record")</f>
        <v>WorldCat Record</v>
      </c>
      <c r="AU1022" s="3" t="s">
        <v>13023</v>
      </c>
      <c r="AV1022" s="3" t="s">
        <v>13024</v>
      </c>
      <c r="AW1022" s="3" t="s">
        <v>13025</v>
      </c>
      <c r="AX1022" s="3" t="s">
        <v>13025</v>
      </c>
      <c r="AY1022" s="3" t="s">
        <v>13026</v>
      </c>
      <c r="AZ1022" s="3" t="s">
        <v>73</v>
      </c>
      <c r="BB1022" s="3" t="s">
        <v>13027</v>
      </c>
      <c r="BC1022" s="3" t="s">
        <v>13028</v>
      </c>
      <c r="BD1022" s="3" t="s">
        <v>13029</v>
      </c>
    </row>
    <row r="1023" spans="1:56" ht="51" customHeight="1" x14ac:dyDescent="0.25">
      <c r="A1023" s="7" t="s">
        <v>58</v>
      </c>
      <c r="B1023" s="2" t="s">
        <v>13030</v>
      </c>
      <c r="C1023" s="2" t="s">
        <v>13031</v>
      </c>
      <c r="D1023" s="2" t="s">
        <v>13032</v>
      </c>
      <c r="F1023" s="3" t="s">
        <v>58</v>
      </c>
      <c r="G1023" s="3" t="s">
        <v>59</v>
      </c>
      <c r="H1023" s="3" t="s">
        <v>58</v>
      </c>
      <c r="I1023" s="3" t="s">
        <v>58</v>
      </c>
      <c r="J1023" s="3" t="s">
        <v>60</v>
      </c>
      <c r="K1023" s="2" t="s">
        <v>13033</v>
      </c>
      <c r="L1023" s="2" t="s">
        <v>13034</v>
      </c>
      <c r="M1023" s="3" t="s">
        <v>62</v>
      </c>
      <c r="O1023" s="3" t="s">
        <v>63</v>
      </c>
      <c r="P1023" s="3" t="s">
        <v>510</v>
      </c>
      <c r="R1023" s="3" t="s">
        <v>65</v>
      </c>
      <c r="S1023" s="4">
        <v>4</v>
      </c>
      <c r="T1023" s="4">
        <v>4</v>
      </c>
      <c r="U1023" s="5" t="s">
        <v>13035</v>
      </c>
      <c r="V1023" s="5" t="s">
        <v>13035</v>
      </c>
      <c r="W1023" s="5" t="s">
        <v>13036</v>
      </c>
      <c r="X1023" s="5" t="s">
        <v>13036</v>
      </c>
      <c r="Y1023" s="4">
        <v>123</v>
      </c>
      <c r="Z1023" s="4">
        <v>110</v>
      </c>
      <c r="AA1023" s="4">
        <v>452</v>
      </c>
      <c r="AB1023" s="4">
        <v>1</v>
      </c>
      <c r="AC1023" s="4">
        <v>4</v>
      </c>
      <c r="AD1023" s="4">
        <v>6</v>
      </c>
      <c r="AE1023" s="4">
        <v>20</v>
      </c>
      <c r="AF1023" s="4">
        <v>2</v>
      </c>
      <c r="AG1023" s="4">
        <v>7</v>
      </c>
      <c r="AH1023" s="4">
        <v>1</v>
      </c>
      <c r="AI1023" s="4">
        <v>5</v>
      </c>
      <c r="AJ1023" s="4">
        <v>5</v>
      </c>
      <c r="AK1023" s="4">
        <v>9</v>
      </c>
      <c r="AL1023" s="4">
        <v>0</v>
      </c>
      <c r="AM1023" s="4">
        <v>3</v>
      </c>
      <c r="AN1023" s="4">
        <v>0</v>
      </c>
      <c r="AO1023" s="4">
        <v>0</v>
      </c>
      <c r="AP1023" s="3" t="s">
        <v>58</v>
      </c>
      <c r="AQ1023" s="3" t="s">
        <v>68</v>
      </c>
      <c r="AR1023" s="6" t="str">
        <f>HYPERLINK("http://catalog.hathitrust.org/Record/004410293","HathiTrust Record")</f>
        <v>HathiTrust Record</v>
      </c>
      <c r="AS1023" s="6" t="str">
        <f>HYPERLINK("https://creighton-primo.hosted.exlibrisgroup.com/primo-explore/search?tab=default_tab&amp;search_scope=EVERYTHING&amp;vid=01CRU&amp;lang=en_US&amp;offset=0&amp;query=any,contains,991000910439702656","Catalog Record")</f>
        <v>Catalog Record</v>
      </c>
      <c r="AT1023" s="6" t="str">
        <f>HYPERLINK("http://www.worldcat.org/oclc/159551","WorldCat Record")</f>
        <v>WorldCat Record</v>
      </c>
      <c r="AU1023" s="3" t="s">
        <v>13037</v>
      </c>
      <c r="AV1023" s="3" t="s">
        <v>13038</v>
      </c>
      <c r="AW1023" s="3" t="s">
        <v>13039</v>
      </c>
      <c r="AX1023" s="3" t="s">
        <v>13039</v>
      </c>
      <c r="AY1023" s="3" t="s">
        <v>13040</v>
      </c>
      <c r="AZ1023" s="3" t="s">
        <v>73</v>
      </c>
      <c r="BB1023" s="3" t="s">
        <v>13041</v>
      </c>
      <c r="BC1023" s="3" t="s">
        <v>13042</v>
      </c>
      <c r="BD1023" s="3" t="s">
        <v>13043</v>
      </c>
    </row>
    <row r="1024" spans="1:56" ht="51" customHeight="1" x14ac:dyDescent="0.25">
      <c r="A1024" s="7" t="s">
        <v>58</v>
      </c>
      <c r="B1024" s="2" t="s">
        <v>13044</v>
      </c>
      <c r="C1024" s="2" t="s">
        <v>13045</v>
      </c>
      <c r="D1024" s="2" t="s">
        <v>13046</v>
      </c>
      <c r="F1024" s="3" t="s">
        <v>58</v>
      </c>
      <c r="G1024" s="3" t="s">
        <v>59</v>
      </c>
      <c r="H1024" s="3" t="s">
        <v>58</v>
      </c>
      <c r="I1024" s="3" t="s">
        <v>58</v>
      </c>
      <c r="J1024" s="3" t="s">
        <v>60</v>
      </c>
      <c r="K1024" s="2" t="s">
        <v>13047</v>
      </c>
      <c r="L1024" s="2" t="s">
        <v>13048</v>
      </c>
      <c r="M1024" s="3" t="s">
        <v>62</v>
      </c>
      <c r="O1024" s="3" t="s">
        <v>63</v>
      </c>
      <c r="P1024" s="3" t="s">
        <v>2061</v>
      </c>
      <c r="R1024" s="3" t="s">
        <v>65</v>
      </c>
      <c r="S1024" s="4">
        <v>10</v>
      </c>
      <c r="T1024" s="4">
        <v>10</v>
      </c>
      <c r="U1024" s="5" t="s">
        <v>13049</v>
      </c>
      <c r="V1024" s="5" t="s">
        <v>13049</v>
      </c>
      <c r="W1024" s="5" t="s">
        <v>8127</v>
      </c>
      <c r="X1024" s="5" t="s">
        <v>8127</v>
      </c>
      <c r="Y1024" s="4">
        <v>399</v>
      </c>
      <c r="Z1024" s="4">
        <v>358</v>
      </c>
      <c r="AA1024" s="4">
        <v>995</v>
      </c>
      <c r="AB1024" s="4">
        <v>4</v>
      </c>
      <c r="AC1024" s="4">
        <v>9</v>
      </c>
      <c r="AD1024" s="4">
        <v>18</v>
      </c>
      <c r="AE1024" s="4">
        <v>42</v>
      </c>
      <c r="AF1024" s="4">
        <v>8</v>
      </c>
      <c r="AG1024" s="4">
        <v>17</v>
      </c>
      <c r="AH1024" s="4">
        <v>3</v>
      </c>
      <c r="AI1024" s="4">
        <v>8</v>
      </c>
      <c r="AJ1024" s="4">
        <v>8</v>
      </c>
      <c r="AK1024" s="4">
        <v>19</v>
      </c>
      <c r="AL1024" s="4">
        <v>3</v>
      </c>
      <c r="AM1024" s="4">
        <v>8</v>
      </c>
      <c r="AN1024" s="4">
        <v>0</v>
      </c>
      <c r="AO1024" s="4">
        <v>0</v>
      </c>
      <c r="AP1024" s="3" t="s">
        <v>58</v>
      </c>
      <c r="AQ1024" s="3" t="s">
        <v>68</v>
      </c>
      <c r="AR1024" s="6" t="str">
        <f>HYPERLINK("http://catalog.hathitrust.org/Record/009510717","HathiTrust Record")</f>
        <v>HathiTrust Record</v>
      </c>
      <c r="AS1024" s="6" t="str">
        <f>HYPERLINK("https://creighton-primo.hosted.exlibrisgroup.com/primo-explore/search?tab=default_tab&amp;search_scope=EVERYTHING&amp;vid=01CRU&amp;lang=en_US&amp;offset=0&amp;query=any,contains,991002865759702656","Catalog Record")</f>
        <v>Catalog Record</v>
      </c>
      <c r="AT1024" s="6" t="str">
        <f>HYPERLINK("http://www.worldcat.org/oclc/495552","WorldCat Record")</f>
        <v>WorldCat Record</v>
      </c>
      <c r="AU1024" s="3" t="s">
        <v>13050</v>
      </c>
      <c r="AV1024" s="3" t="s">
        <v>13051</v>
      </c>
      <c r="AW1024" s="3" t="s">
        <v>13052</v>
      </c>
      <c r="AX1024" s="3" t="s">
        <v>13052</v>
      </c>
      <c r="AY1024" s="3" t="s">
        <v>13053</v>
      </c>
      <c r="AZ1024" s="3" t="s">
        <v>73</v>
      </c>
      <c r="BB1024" s="3" t="s">
        <v>13054</v>
      </c>
      <c r="BC1024" s="3" t="s">
        <v>13055</v>
      </c>
      <c r="BD1024" s="3" t="s">
        <v>13056</v>
      </c>
    </row>
    <row r="1025" spans="1:56" ht="51" customHeight="1" x14ac:dyDescent="0.25">
      <c r="A1025" s="7" t="s">
        <v>58</v>
      </c>
      <c r="B1025" s="2" t="s">
        <v>13057</v>
      </c>
      <c r="C1025" s="2" t="s">
        <v>13058</v>
      </c>
      <c r="D1025" s="2" t="s">
        <v>13059</v>
      </c>
      <c r="F1025" s="3" t="s">
        <v>58</v>
      </c>
      <c r="G1025" s="3" t="s">
        <v>59</v>
      </c>
      <c r="H1025" s="3" t="s">
        <v>58</v>
      </c>
      <c r="I1025" s="3" t="s">
        <v>58</v>
      </c>
      <c r="J1025" s="3" t="s">
        <v>60</v>
      </c>
      <c r="K1025" s="2" t="s">
        <v>13060</v>
      </c>
      <c r="L1025" s="2" t="s">
        <v>13061</v>
      </c>
      <c r="M1025" s="3" t="s">
        <v>1499</v>
      </c>
      <c r="O1025" s="3" t="s">
        <v>63</v>
      </c>
      <c r="P1025" s="3" t="s">
        <v>3323</v>
      </c>
      <c r="R1025" s="3" t="s">
        <v>65</v>
      </c>
      <c r="S1025" s="4">
        <v>13</v>
      </c>
      <c r="T1025" s="4">
        <v>13</v>
      </c>
      <c r="U1025" s="5" t="s">
        <v>13062</v>
      </c>
      <c r="V1025" s="5" t="s">
        <v>13062</v>
      </c>
      <c r="W1025" s="5" t="s">
        <v>11678</v>
      </c>
      <c r="X1025" s="5" t="s">
        <v>11678</v>
      </c>
      <c r="Y1025" s="4">
        <v>168</v>
      </c>
      <c r="Z1025" s="4">
        <v>123</v>
      </c>
      <c r="AA1025" s="4">
        <v>133</v>
      </c>
      <c r="AB1025" s="4">
        <v>2</v>
      </c>
      <c r="AC1025" s="4">
        <v>2</v>
      </c>
      <c r="AD1025" s="4">
        <v>4</v>
      </c>
      <c r="AE1025" s="4">
        <v>5</v>
      </c>
      <c r="AF1025" s="4">
        <v>0</v>
      </c>
      <c r="AG1025" s="4">
        <v>0</v>
      </c>
      <c r="AH1025" s="4">
        <v>2</v>
      </c>
      <c r="AI1025" s="4">
        <v>2</v>
      </c>
      <c r="AJ1025" s="4">
        <v>1</v>
      </c>
      <c r="AK1025" s="4">
        <v>2</v>
      </c>
      <c r="AL1025" s="4">
        <v>1</v>
      </c>
      <c r="AM1025" s="4">
        <v>1</v>
      </c>
      <c r="AN1025" s="4">
        <v>0</v>
      </c>
      <c r="AO1025" s="4">
        <v>0</v>
      </c>
      <c r="AP1025" s="3" t="s">
        <v>58</v>
      </c>
      <c r="AQ1025" s="3" t="s">
        <v>68</v>
      </c>
      <c r="AR1025" s="6" t="str">
        <f>HYPERLINK("http://catalog.hathitrust.org/Record/001867326","HathiTrust Record")</f>
        <v>HathiTrust Record</v>
      </c>
      <c r="AS1025" s="6" t="str">
        <f>HYPERLINK("https://creighton-primo.hosted.exlibrisgroup.com/primo-explore/search?tab=default_tab&amp;search_scope=EVERYTHING&amp;vid=01CRU&amp;lang=en_US&amp;offset=0&amp;query=any,contains,991000512939702656","Catalog Record")</f>
        <v>Catalog Record</v>
      </c>
      <c r="AT1025" s="6" t="str">
        <f>HYPERLINK("http://www.worldcat.org/oclc/84336","WorldCat Record")</f>
        <v>WorldCat Record</v>
      </c>
      <c r="AU1025" s="3" t="s">
        <v>13063</v>
      </c>
      <c r="AV1025" s="3" t="s">
        <v>13064</v>
      </c>
      <c r="AW1025" s="3" t="s">
        <v>13065</v>
      </c>
      <c r="AX1025" s="3" t="s">
        <v>13065</v>
      </c>
      <c r="AY1025" s="3" t="s">
        <v>13066</v>
      </c>
      <c r="AZ1025" s="3" t="s">
        <v>73</v>
      </c>
      <c r="BC1025" s="3" t="s">
        <v>13067</v>
      </c>
      <c r="BD1025" s="3" t="s">
        <v>13068</v>
      </c>
    </row>
    <row r="1026" spans="1:56" ht="51" customHeight="1" x14ac:dyDescent="0.25">
      <c r="A1026" s="7" t="s">
        <v>58</v>
      </c>
      <c r="B1026" s="2" t="s">
        <v>13069</v>
      </c>
      <c r="C1026" s="2" t="s">
        <v>13070</v>
      </c>
      <c r="D1026" s="2" t="s">
        <v>13071</v>
      </c>
      <c r="F1026" s="3" t="s">
        <v>58</v>
      </c>
      <c r="G1026" s="3" t="s">
        <v>59</v>
      </c>
      <c r="H1026" s="3" t="s">
        <v>58</v>
      </c>
      <c r="I1026" s="3" t="s">
        <v>58</v>
      </c>
      <c r="J1026" s="3" t="s">
        <v>60</v>
      </c>
      <c r="K1026" s="2" t="s">
        <v>13072</v>
      </c>
      <c r="L1026" s="2" t="s">
        <v>13073</v>
      </c>
      <c r="M1026" s="3" t="s">
        <v>249</v>
      </c>
      <c r="O1026" s="3" t="s">
        <v>63</v>
      </c>
      <c r="P1026" s="3" t="s">
        <v>2061</v>
      </c>
      <c r="R1026" s="3" t="s">
        <v>65</v>
      </c>
      <c r="S1026" s="4">
        <v>46</v>
      </c>
      <c r="T1026" s="4">
        <v>46</v>
      </c>
      <c r="U1026" s="5" t="s">
        <v>13074</v>
      </c>
      <c r="V1026" s="5" t="s">
        <v>13074</v>
      </c>
      <c r="W1026" s="5" t="s">
        <v>7158</v>
      </c>
      <c r="X1026" s="5" t="s">
        <v>7158</v>
      </c>
      <c r="Y1026" s="4">
        <v>772</v>
      </c>
      <c r="Z1026" s="4">
        <v>624</v>
      </c>
      <c r="AA1026" s="4">
        <v>821</v>
      </c>
      <c r="AB1026" s="4">
        <v>5</v>
      </c>
      <c r="AC1026" s="4">
        <v>5</v>
      </c>
      <c r="AD1026" s="4">
        <v>30</v>
      </c>
      <c r="AE1026" s="4">
        <v>37</v>
      </c>
      <c r="AF1026" s="4">
        <v>12</v>
      </c>
      <c r="AG1026" s="4">
        <v>16</v>
      </c>
      <c r="AH1026" s="4">
        <v>6</v>
      </c>
      <c r="AI1026" s="4">
        <v>7</v>
      </c>
      <c r="AJ1026" s="4">
        <v>13</v>
      </c>
      <c r="AK1026" s="4">
        <v>18</v>
      </c>
      <c r="AL1026" s="4">
        <v>4</v>
      </c>
      <c r="AM1026" s="4">
        <v>4</v>
      </c>
      <c r="AN1026" s="4">
        <v>0</v>
      </c>
      <c r="AO1026" s="4">
        <v>0</v>
      </c>
      <c r="AP1026" s="3" t="s">
        <v>58</v>
      </c>
      <c r="AQ1026" s="3" t="s">
        <v>68</v>
      </c>
      <c r="AR1026" s="6" t="str">
        <f>HYPERLINK("http://catalog.hathitrust.org/Record/001250024","HathiTrust Record")</f>
        <v>HathiTrust Record</v>
      </c>
      <c r="AS1026" s="6" t="str">
        <f>HYPERLINK("https://creighton-primo.hosted.exlibrisgroup.com/primo-explore/search?tab=default_tab&amp;search_scope=EVERYTHING&amp;vid=01CRU&amp;lang=en_US&amp;offset=0&amp;query=any,contains,991002715429702656","Catalog Record")</f>
        <v>Catalog Record</v>
      </c>
      <c r="AT1026" s="6" t="str">
        <f>HYPERLINK("http://www.worldcat.org/oclc/411150","WorldCat Record")</f>
        <v>WorldCat Record</v>
      </c>
      <c r="AU1026" s="3" t="s">
        <v>13075</v>
      </c>
      <c r="AV1026" s="3" t="s">
        <v>13076</v>
      </c>
      <c r="AW1026" s="3" t="s">
        <v>13077</v>
      </c>
      <c r="AX1026" s="3" t="s">
        <v>13077</v>
      </c>
      <c r="AY1026" s="3" t="s">
        <v>13078</v>
      </c>
      <c r="AZ1026" s="3" t="s">
        <v>73</v>
      </c>
      <c r="BC1026" s="3" t="s">
        <v>13079</v>
      </c>
      <c r="BD1026" s="3" t="s">
        <v>13080</v>
      </c>
    </row>
    <row r="1027" spans="1:56" ht="51" customHeight="1" x14ac:dyDescent="0.25">
      <c r="A1027" s="7" t="s">
        <v>58</v>
      </c>
      <c r="B1027" s="2" t="s">
        <v>13081</v>
      </c>
      <c r="C1027" s="2" t="s">
        <v>13082</v>
      </c>
      <c r="D1027" s="2" t="s">
        <v>13083</v>
      </c>
      <c r="F1027" s="3" t="s">
        <v>58</v>
      </c>
      <c r="G1027" s="3" t="s">
        <v>59</v>
      </c>
      <c r="H1027" s="3" t="s">
        <v>58</v>
      </c>
      <c r="I1027" s="3" t="s">
        <v>58</v>
      </c>
      <c r="J1027" s="3" t="s">
        <v>60</v>
      </c>
      <c r="K1027" s="2" t="s">
        <v>13084</v>
      </c>
      <c r="L1027" s="2" t="s">
        <v>12356</v>
      </c>
      <c r="M1027" s="3" t="s">
        <v>62</v>
      </c>
      <c r="O1027" s="3" t="s">
        <v>63</v>
      </c>
      <c r="P1027" s="3" t="s">
        <v>584</v>
      </c>
      <c r="Q1027" s="2" t="s">
        <v>13085</v>
      </c>
      <c r="R1027" s="3" t="s">
        <v>65</v>
      </c>
      <c r="S1027" s="4">
        <v>43</v>
      </c>
      <c r="T1027" s="4">
        <v>43</v>
      </c>
      <c r="U1027" s="5" t="s">
        <v>13086</v>
      </c>
      <c r="V1027" s="5" t="s">
        <v>13086</v>
      </c>
      <c r="W1027" s="5" t="s">
        <v>11678</v>
      </c>
      <c r="X1027" s="5" t="s">
        <v>11678</v>
      </c>
      <c r="Y1027" s="4">
        <v>595</v>
      </c>
      <c r="Z1027" s="4">
        <v>472</v>
      </c>
      <c r="AA1027" s="4">
        <v>503</v>
      </c>
      <c r="AB1027" s="4">
        <v>7</v>
      </c>
      <c r="AC1027" s="4">
        <v>7</v>
      </c>
      <c r="AD1027" s="4">
        <v>26</v>
      </c>
      <c r="AE1027" s="4">
        <v>26</v>
      </c>
      <c r="AF1027" s="4">
        <v>10</v>
      </c>
      <c r="AG1027" s="4">
        <v>10</v>
      </c>
      <c r="AH1027" s="4">
        <v>5</v>
      </c>
      <c r="AI1027" s="4">
        <v>5</v>
      </c>
      <c r="AJ1027" s="4">
        <v>10</v>
      </c>
      <c r="AK1027" s="4">
        <v>10</v>
      </c>
      <c r="AL1027" s="4">
        <v>6</v>
      </c>
      <c r="AM1027" s="4">
        <v>6</v>
      </c>
      <c r="AN1027" s="4">
        <v>0</v>
      </c>
      <c r="AO1027" s="4">
        <v>0</v>
      </c>
      <c r="AP1027" s="3" t="s">
        <v>58</v>
      </c>
      <c r="AQ1027" s="3" t="s">
        <v>58</v>
      </c>
      <c r="AS1027" s="6" t="str">
        <f>HYPERLINK("https://creighton-primo.hosted.exlibrisgroup.com/primo-explore/search?tab=default_tab&amp;search_scope=EVERYTHING&amp;vid=01CRU&amp;lang=en_US&amp;offset=0&amp;query=any,contains,991000913539702656","Catalog Record")</f>
        <v>Catalog Record</v>
      </c>
      <c r="AT1027" s="6" t="str">
        <f>HYPERLINK("http://www.worldcat.org/oclc/160094","WorldCat Record")</f>
        <v>WorldCat Record</v>
      </c>
      <c r="AU1027" s="3" t="s">
        <v>13087</v>
      </c>
      <c r="AV1027" s="3" t="s">
        <v>13088</v>
      </c>
      <c r="AW1027" s="3" t="s">
        <v>13089</v>
      </c>
      <c r="AX1027" s="3" t="s">
        <v>13089</v>
      </c>
      <c r="AY1027" s="3" t="s">
        <v>13090</v>
      </c>
      <c r="AZ1027" s="3" t="s">
        <v>73</v>
      </c>
      <c r="BB1027" s="3" t="s">
        <v>13091</v>
      </c>
      <c r="BC1027" s="3" t="s">
        <v>13092</v>
      </c>
      <c r="BD1027" s="3" t="s">
        <v>13093</v>
      </c>
    </row>
    <row r="1028" spans="1:56" ht="51" customHeight="1" x14ac:dyDescent="0.25">
      <c r="A1028" s="7" t="s">
        <v>58</v>
      </c>
      <c r="B1028" s="2" t="s">
        <v>13094</v>
      </c>
      <c r="C1028" s="2" t="s">
        <v>13095</v>
      </c>
      <c r="D1028" s="2" t="s">
        <v>13096</v>
      </c>
      <c r="F1028" s="3" t="s">
        <v>58</v>
      </c>
      <c r="G1028" s="3" t="s">
        <v>59</v>
      </c>
      <c r="H1028" s="3" t="s">
        <v>58</v>
      </c>
      <c r="I1028" s="3" t="s">
        <v>58</v>
      </c>
      <c r="J1028" s="3" t="s">
        <v>60</v>
      </c>
      <c r="K1028" s="2" t="s">
        <v>13097</v>
      </c>
      <c r="L1028" s="2" t="s">
        <v>13098</v>
      </c>
      <c r="M1028" s="3" t="s">
        <v>382</v>
      </c>
      <c r="N1028" s="2" t="s">
        <v>7495</v>
      </c>
      <c r="O1028" s="3" t="s">
        <v>63</v>
      </c>
      <c r="P1028" s="3" t="s">
        <v>584</v>
      </c>
      <c r="R1028" s="3" t="s">
        <v>65</v>
      </c>
      <c r="S1028" s="4">
        <v>14</v>
      </c>
      <c r="T1028" s="4">
        <v>14</v>
      </c>
      <c r="U1028" s="5" t="s">
        <v>13086</v>
      </c>
      <c r="V1028" s="5" t="s">
        <v>13086</v>
      </c>
      <c r="W1028" s="5" t="s">
        <v>13099</v>
      </c>
      <c r="X1028" s="5" t="s">
        <v>13099</v>
      </c>
      <c r="Y1028" s="4">
        <v>518</v>
      </c>
      <c r="Z1028" s="4">
        <v>407</v>
      </c>
      <c r="AA1028" s="4">
        <v>440</v>
      </c>
      <c r="AB1028" s="4">
        <v>6</v>
      </c>
      <c r="AC1028" s="4">
        <v>6</v>
      </c>
      <c r="AD1028" s="4">
        <v>23</v>
      </c>
      <c r="AE1028" s="4">
        <v>24</v>
      </c>
      <c r="AF1028" s="4">
        <v>9</v>
      </c>
      <c r="AG1028" s="4">
        <v>10</v>
      </c>
      <c r="AH1028" s="4">
        <v>3</v>
      </c>
      <c r="AI1028" s="4">
        <v>3</v>
      </c>
      <c r="AJ1028" s="4">
        <v>10</v>
      </c>
      <c r="AK1028" s="4">
        <v>11</v>
      </c>
      <c r="AL1028" s="4">
        <v>5</v>
      </c>
      <c r="AM1028" s="4">
        <v>5</v>
      </c>
      <c r="AN1028" s="4">
        <v>0</v>
      </c>
      <c r="AO1028" s="4">
        <v>0</v>
      </c>
      <c r="AP1028" s="3" t="s">
        <v>58</v>
      </c>
      <c r="AQ1028" s="3" t="s">
        <v>68</v>
      </c>
      <c r="AR1028" s="6" t="str">
        <f>HYPERLINK("http://catalog.hathitrust.org/Record/004046764","HathiTrust Record")</f>
        <v>HathiTrust Record</v>
      </c>
      <c r="AS1028" s="6" t="str">
        <f>HYPERLINK("https://creighton-primo.hosted.exlibrisgroup.com/primo-explore/search?tab=default_tab&amp;search_scope=EVERYTHING&amp;vid=01CRU&amp;lang=en_US&amp;offset=0&amp;query=any,contains,991003225049702656","Catalog Record")</f>
        <v>Catalog Record</v>
      </c>
      <c r="AT1028" s="6" t="str">
        <f>HYPERLINK("http://www.worldcat.org/oclc/59388903","WorldCat Record")</f>
        <v>WorldCat Record</v>
      </c>
      <c r="AU1028" s="3" t="s">
        <v>13100</v>
      </c>
      <c r="AV1028" s="3" t="s">
        <v>13101</v>
      </c>
      <c r="AW1028" s="3" t="s">
        <v>13102</v>
      </c>
      <c r="AX1028" s="3" t="s">
        <v>13102</v>
      </c>
      <c r="AY1028" s="3" t="s">
        <v>13103</v>
      </c>
      <c r="AZ1028" s="3" t="s">
        <v>73</v>
      </c>
      <c r="BB1028" s="3" t="s">
        <v>13104</v>
      </c>
      <c r="BC1028" s="3" t="s">
        <v>13105</v>
      </c>
      <c r="BD1028" s="3" t="s">
        <v>13106</v>
      </c>
    </row>
    <row r="1029" spans="1:56" ht="51" customHeight="1" x14ac:dyDescent="0.25">
      <c r="A1029" s="7" t="s">
        <v>58</v>
      </c>
      <c r="B1029" s="2" t="s">
        <v>13107</v>
      </c>
      <c r="C1029" s="2" t="s">
        <v>13108</v>
      </c>
      <c r="D1029" s="2" t="s">
        <v>13109</v>
      </c>
      <c r="F1029" s="3" t="s">
        <v>58</v>
      </c>
      <c r="G1029" s="3" t="s">
        <v>59</v>
      </c>
      <c r="H1029" s="3" t="s">
        <v>58</v>
      </c>
      <c r="I1029" s="3" t="s">
        <v>58</v>
      </c>
      <c r="J1029" s="3" t="s">
        <v>60</v>
      </c>
      <c r="K1029" s="2" t="s">
        <v>13110</v>
      </c>
      <c r="L1029" s="2" t="s">
        <v>13111</v>
      </c>
      <c r="M1029" s="3" t="s">
        <v>1784</v>
      </c>
      <c r="O1029" s="3" t="s">
        <v>63</v>
      </c>
      <c r="P1029" s="3" t="s">
        <v>2061</v>
      </c>
      <c r="R1029" s="3" t="s">
        <v>65</v>
      </c>
      <c r="S1029" s="4">
        <v>5</v>
      </c>
      <c r="T1029" s="4">
        <v>5</v>
      </c>
      <c r="U1029" s="5" t="s">
        <v>13112</v>
      </c>
      <c r="V1029" s="5" t="s">
        <v>13112</v>
      </c>
      <c r="W1029" s="5" t="s">
        <v>3151</v>
      </c>
      <c r="X1029" s="5" t="s">
        <v>3151</v>
      </c>
      <c r="Y1029" s="4">
        <v>855</v>
      </c>
      <c r="Z1029" s="4">
        <v>745</v>
      </c>
      <c r="AA1029" s="4">
        <v>768</v>
      </c>
      <c r="AB1029" s="4">
        <v>6</v>
      </c>
      <c r="AC1029" s="4">
        <v>6</v>
      </c>
      <c r="AD1029" s="4">
        <v>28</v>
      </c>
      <c r="AE1029" s="4">
        <v>28</v>
      </c>
      <c r="AF1029" s="4">
        <v>10</v>
      </c>
      <c r="AG1029" s="4">
        <v>10</v>
      </c>
      <c r="AH1029" s="4">
        <v>4</v>
      </c>
      <c r="AI1029" s="4">
        <v>4</v>
      </c>
      <c r="AJ1029" s="4">
        <v>14</v>
      </c>
      <c r="AK1029" s="4">
        <v>14</v>
      </c>
      <c r="AL1029" s="4">
        <v>4</v>
      </c>
      <c r="AM1029" s="4">
        <v>4</v>
      </c>
      <c r="AN1029" s="4">
        <v>0</v>
      </c>
      <c r="AO1029" s="4">
        <v>0</v>
      </c>
      <c r="AP1029" s="3" t="s">
        <v>58</v>
      </c>
      <c r="AQ1029" s="3" t="s">
        <v>58</v>
      </c>
      <c r="AS1029" s="6" t="str">
        <f>HYPERLINK("https://creighton-primo.hosted.exlibrisgroup.com/primo-explore/search?tab=default_tab&amp;search_scope=EVERYTHING&amp;vid=01CRU&amp;lang=en_US&amp;offset=0&amp;query=any,contains,991004746699702656","Catalog Record")</f>
        <v>Catalog Record</v>
      </c>
      <c r="AT1029" s="6" t="str">
        <f>HYPERLINK("http://www.worldcat.org/oclc/4913024","WorldCat Record")</f>
        <v>WorldCat Record</v>
      </c>
      <c r="AU1029" s="3" t="s">
        <v>13113</v>
      </c>
      <c r="AV1029" s="3" t="s">
        <v>13114</v>
      </c>
      <c r="AW1029" s="3" t="s">
        <v>13115</v>
      </c>
      <c r="AX1029" s="3" t="s">
        <v>13115</v>
      </c>
      <c r="AY1029" s="3" t="s">
        <v>13116</v>
      </c>
      <c r="AZ1029" s="3" t="s">
        <v>73</v>
      </c>
      <c r="BB1029" s="3" t="s">
        <v>13117</v>
      </c>
      <c r="BC1029" s="3" t="s">
        <v>13118</v>
      </c>
      <c r="BD1029" s="3" t="s">
        <v>13119</v>
      </c>
    </row>
    <row r="1030" spans="1:56" ht="51" customHeight="1" x14ac:dyDescent="0.25">
      <c r="A1030" s="7" t="s">
        <v>58</v>
      </c>
      <c r="B1030" s="2" t="s">
        <v>13120</v>
      </c>
      <c r="C1030" s="2" t="s">
        <v>13121</v>
      </c>
      <c r="D1030" s="2" t="s">
        <v>13122</v>
      </c>
      <c r="F1030" s="3" t="s">
        <v>58</v>
      </c>
      <c r="G1030" s="3" t="s">
        <v>59</v>
      </c>
      <c r="H1030" s="3" t="s">
        <v>58</v>
      </c>
      <c r="I1030" s="3" t="s">
        <v>58</v>
      </c>
      <c r="J1030" s="3" t="s">
        <v>60</v>
      </c>
      <c r="K1030" s="2" t="s">
        <v>13123</v>
      </c>
      <c r="L1030" s="2" t="s">
        <v>13124</v>
      </c>
      <c r="M1030" s="3" t="s">
        <v>1720</v>
      </c>
      <c r="N1030" s="2" t="s">
        <v>9270</v>
      </c>
      <c r="O1030" s="3" t="s">
        <v>63</v>
      </c>
      <c r="P1030" s="3" t="s">
        <v>3323</v>
      </c>
      <c r="R1030" s="3" t="s">
        <v>65</v>
      </c>
      <c r="S1030" s="4">
        <v>52</v>
      </c>
      <c r="T1030" s="4">
        <v>52</v>
      </c>
      <c r="U1030" s="5" t="s">
        <v>952</v>
      </c>
      <c r="V1030" s="5" t="s">
        <v>952</v>
      </c>
      <c r="W1030" s="5" t="s">
        <v>13125</v>
      </c>
      <c r="X1030" s="5" t="s">
        <v>13125</v>
      </c>
      <c r="Y1030" s="4">
        <v>402</v>
      </c>
      <c r="Z1030" s="4">
        <v>327</v>
      </c>
      <c r="AA1030" s="4">
        <v>839</v>
      </c>
      <c r="AB1030" s="4">
        <v>3</v>
      </c>
      <c r="AC1030" s="4">
        <v>5</v>
      </c>
      <c r="AD1030" s="4">
        <v>14</v>
      </c>
      <c r="AE1030" s="4">
        <v>36</v>
      </c>
      <c r="AF1030" s="4">
        <v>7</v>
      </c>
      <c r="AG1030" s="4">
        <v>16</v>
      </c>
      <c r="AH1030" s="4">
        <v>2</v>
      </c>
      <c r="AI1030" s="4">
        <v>7</v>
      </c>
      <c r="AJ1030" s="4">
        <v>6</v>
      </c>
      <c r="AK1030" s="4">
        <v>19</v>
      </c>
      <c r="AL1030" s="4">
        <v>2</v>
      </c>
      <c r="AM1030" s="4">
        <v>4</v>
      </c>
      <c r="AN1030" s="4">
        <v>0</v>
      </c>
      <c r="AO1030" s="4">
        <v>0</v>
      </c>
      <c r="AP1030" s="3" t="s">
        <v>58</v>
      </c>
      <c r="AQ1030" s="3" t="s">
        <v>58</v>
      </c>
      <c r="AS1030" s="6" t="str">
        <f>HYPERLINK("https://creighton-primo.hosted.exlibrisgroup.com/primo-explore/search?tab=default_tab&amp;search_scope=EVERYTHING&amp;vid=01CRU&amp;lang=en_US&amp;offset=0&amp;query=any,contains,991001445759702656","Catalog Record")</f>
        <v>Catalog Record</v>
      </c>
      <c r="AT1030" s="6" t="str">
        <f>HYPERLINK("http://www.worldcat.org/oclc/231169","WorldCat Record")</f>
        <v>WorldCat Record</v>
      </c>
      <c r="AU1030" s="3" t="s">
        <v>13126</v>
      </c>
      <c r="AV1030" s="3" t="s">
        <v>13127</v>
      </c>
      <c r="AW1030" s="3" t="s">
        <v>13128</v>
      </c>
      <c r="AX1030" s="3" t="s">
        <v>13128</v>
      </c>
      <c r="AY1030" s="3" t="s">
        <v>13129</v>
      </c>
      <c r="AZ1030" s="3" t="s">
        <v>73</v>
      </c>
      <c r="BC1030" s="3" t="s">
        <v>13130</v>
      </c>
      <c r="BD1030" s="3" t="s">
        <v>13131</v>
      </c>
    </row>
    <row r="1031" spans="1:56" ht="51" customHeight="1" x14ac:dyDescent="0.25">
      <c r="A1031" s="7" t="s">
        <v>58</v>
      </c>
      <c r="B1031" s="2" t="s">
        <v>13132</v>
      </c>
      <c r="C1031" s="2" t="s">
        <v>13133</v>
      </c>
      <c r="D1031" s="2" t="s">
        <v>13134</v>
      </c>
      <c r="F1031" s="3" t="s">
        <v>58</v>
      </c>
      <c r="G1031" s="3" t="s">
        <v>59</v>
      </c>
      <c r="H1031" s="3" t="s">
        <v>58</v>
      </c>
      <c r="I1031" s="3" t="s">
        <v>58</v>
      </c>
      <c r="J1031" s="3" t="s">
        <v>60</v>
      </c>
      <c r="K1031" s="2" t="s">
        <v>13135</v>
      </c>
      <c r="L1031" s="2" t="s">
        <v>13136</v>
      </c>
      <c r="M1031" s="3" t="s">
        <v>2295</v>
      </c>
      <c r="O1031" s="3" t="s">
        <v>63</v>
      </c>
      <c r="P1031" s="3" t="s">
        <v>3323</v>
      </c>
      <c r="R1031" s="3" t="s">
        <v>65</v>
      </c>
      <c r="S1031" s="4">
        <v>1</v>
      </c>
      <c r="T1031" s="4">
        <v>1</v>
      </c>
      <c r="U1031" s="5" t="s">
        <v>13137</v>
      </c>
      <c r="V1031" s="5" t="s">
        <v>13137</v>
      </c>
      <c r="W1031" s="5" t="s">
        <v>13137</v>
      </c>
      <c r="X1031" s="5" t="s">
        <v>13137</v>
      </c>
      <c r="Y1031" s="4">
        <v>14</v>
      </c>
      <c r="Z1031" s="4">
        <v>7</v>
      </c>
      <c r="AA1031" s="4">
        <v>367</v>
      </c>
      <c r="AB1031" s="4">
        <v>1</v>
      </c>
      <c r="AC1031" s="4">
        <v>3</v>
      </c>
      <c r="AD1031" s="4">
        <v>0</v>
      </c>
      <c r="AE1031" s="4">
        <v>28</v>
      </c>
      <c r="AF1031" s="4">
        <v>0</v>
      </c>
      <c r="AG1031" s="4">
        <v>11</v>
      </c>
      <c r="AH1031" s="4">
        <v>0</v>
      </c>
      <c r="AI1031" s="4">
        <v>8</v>
      </c>
      <c r="AJ1031" s="4">
        <v>0</v>
      </c>
      <c r="AK1031" s="4">
        <v>15</v>
      </c>
      <c r="AL1031" s="4">
        <v>0</v>
      </c>
      <c r="AM1031" s="4">
        <v>2</v>
      </c>
      <c r="AN1031" s="4">
        <v>0</v>
      </c>
      <c r="AO1031" s="4">
        <v>0</v>
      </c>
      <c r="AP1031" s="3" t="s">
        <v>58</v>
      </c>
      <c r="AQ1031" s="3" t="s">
        <v>58</v>
      </c>
      <c r="AS1031" s="6" t="str">
        <f>HYPERLINK("https://creighton-primo.hosted.exlibrisgroup.com/primo-explore/search?tab=default_tab&amp;search_scope=EVERYTHING&amp;vid=01CRU&amp;lang=en_US&amp;offset=0&amp;query=any,contains,991004543499702656","Catalog Record")</f>
        <v>Catalog Record</v>
      </c>
      <c r="AT1031" s="6" t="str">
        <f>HYPERLINK("http://www.worldcat.org/oclc/54811943","WorldCat Record")</f>
        <v>WorldCat Record</v>
      </c>
      <c r="AU1031" s="3" t="s">
        <v>13138</v>
      </c>
      <c r="AV1031" s="3" t="s">
        <v>13139</v>
      </c>
      <c r="AW1031" s="3" t="s">
        <v>13140</v>
      </c>
      <c r="AX1031" s="3" t="s">
        <v>13140</v>
      </c>
      <c r="AY1031" s="3" t="s">
        <v>13141</v>
      </c>
      <c r="AZ1031" s="3" t="s">
        <v>73</v>
      </c>
      <c r="BB1031" s="3" t="s">
        <v>13142</v>
      </c>
      <c r="BC1031" s="3" t="s">
        <v>13143</v>
      </c>
      <c r="BD1031" s="3" t="s">
        <v>13144</v>
      </c>
    </row>
    <row r="1032" spans="1:56" ht="51" customHeight="1" x14ac:dyDescent="0.25">
      <c r="A1032" s="7" t="s">
        <v>58</v>
      </c>
      <c r="B1032" s="2" t="s">
        <v>13145</v>
      </c>
      <c r="C1032" s="2" t="s">
        <v>13146</v>
      </c>
      <c r="D1032" s="2" t="s">
        <v>13147</v>
      </c>
      <c r="F1032" s="3" t="s">
        <v>58</v>
      </c>
      <c r="G1032" s="3" t="s">
        <v>59</v>
      </c>
      <c r="H1032" s="3" t="s">
        <v>58</v>
      </c>
      <c r="I1032" s="3" t="s">
        <v>58</v>
      </c>
      <c r="J1032" s="3" t="s">
        <v>60</v>
      </c>
      <c r="K1032" s="2" t="s">
        <v>13148</v>
      </c>
      <c r="L1032" s="2" t="s">
        <v>13149</v>
      </c>
      <c r="M1032" s="3" t="s">
        <v>138</v>
      </c>
      <c r="O1032" s="3" t="s">
        <v>63</v>
      </c>
      <c r="P1032" s="3" t="s">
        <v>2061</v>
      </c>
      <c r="R1032" s="3" t="s">
        <v>65</v>
      </c>
      <c r="S1032" s="4">
        <v>10</v>
      </c>
      <c r="T1032" s="4">
        <v>10</v>
      </c>
      <c r="U1032" s="5" t="s">
        <v>8890</v>
      </c>
      <c r="V1032" s="5" t="s">
        <v>8890</v>
      </c>
      <c r="W1032" s="5" t="s">
        <v>3553</v>
      </c>
      <c r="X1032" s="5" t="s">
        <v>3553</v>
      </c>
      <c r="Y1032" s="4">
        <v>404</v>
      </c>
      <c r="Z1032" s="4">
        <v>308</v>
      </c>
      <c r="AA1032" s="4">
        <v>308</v>
      </c>
      <c r="AB1032" s="4">
        <v>2</v>
      </c>
      <c r="AC1032" s="4">
        <v>2</v>
      </c>
      <c r="AD1032" s="4">
        <v>13</v>
      </c>
      <c r="AE1032" s="4">
        <v>13</v>
      </c>
      <c r="AF1032" s="4">
        <v>0</v>
      </c>
      <c r="AG1032" s="4">
        <v>0</v>
      </c>
      <c r="AH1032" s="4">
        <v>6</v>
      </c>
      <c r="AI1032" s="4">
        <v>6</v>
      </c>
      <c r="AJ1032" s="4">
        <v>9</v>
      </c>
      <c r="AK1032" s="4">
        <v>9</v>
      </c>
      <c r="AL1032" s="4">
        <v>1</v>
      </c>
      <c r="AM1032" s="4">
        <v>1</v>
      </c>
      <c r="AN1032" s="4">
        <v>0</v>
      </c>
      <c r="AO1032" s="4">
        <v>0</v>
      </c>
      <c r="AP1032" s="3" t="s">
        <v>58</v>
      </c>
      <c r="AQ1032" s="3" t="s">
        <v>58</v>
      </c>
      <c r="AS1032" s="6" t="str">
        <f>HYPERLINK("https://creighton-primo.hosted.exlibrisgroup.com/primo-explore/search?tab=default_tab&amp;search_scope=EVERYTHING&amp;vid=01CRU&amp;lang=en_US&amp;offset=0&amp;query=any,contains,991005044659702656","Catalog Record")</f>
        <v>Catalog Record</v>
      </c>
      <c r="AT1032" s="6" t="str">
        <f>HYPERLINK("http://www.worldcat.org/oclc/6816028","WorldCat Record")</f>
        <v>WorldCat Record</v>
      </c>
      <c r="AU1032" s="3" t="s">
        <v>13150</v>
      </c>
      <c r="AV1032" s="3" t="s">
        <v>13151</v>
      </c>
      <c r="AW1032" s="3" t="s">
        <v>13152</v>
      </c>
      <c r="AX1032" s="3" t="s">
        <v>13152</v>
      </c>
      <c r="AY1032" s="3" t="s">
        <v>13153</v>
      </c>
      <c r="AZ1032" s="3" t="s">
        <v>73</v>
      </c>
      <c r="BB1032" s="3" t="s">
        <v>13154</v>
      </c>
      <c r="BC1032" s="3" t="s">
        <v>13155</v>
      </c>
      <c r="BD1032" s="3" t="s">
        <v>13156</v>
      </c>
    </row>
    <row r="1033" spans="1:56" ht="51" customHeight="1" x14ac:dyDescent="0.25">
      <c r="A1033" s="7" t="s">
        <v>58</v>
      </c>
      <c r="B1033" s="2" t="s">
        <v>13157</v>
      </c>
      <c r="C1033" s="2" t="s">
        <v>13158</v>
      </c>
      <c r="D1033" s="2" t="s">
        <v>13159</v>
      </c>
      <c r="F1033" s="3" t="s">
        <v>58</v>
      </c>
      <c r="G1033" s="3" t="s">
        <v>59</v>
      </c>
      <c r="H1033" s="3" t="s">
        <v>58</v>
      </c>
      <c r="I1033" s="3" t="s">
        <v>58</v>
      </c>
      <c r="J1033" s="3" t="s">
        <v>60</v>
      </c>
      <c r="K1033" s="2" t="s">
        <v>13160</v>
      </c>
      <c r="L1033" s="2" t="s">
        <v>13161</v>
      </c>
      <c r="M1033" s="3" t="s">
        <v>397</v>
      </c>
      <c r="O1033" s="3" t="s">
        <v>63</v>
      </c>
      <c r="P1033" s="3" t="s">
        <v>411</v>
      </c>
      <c r="R1033" s="3" t="s">
        <v>65</v>
      </c>
      <c r="S1033" s="4">
        <v>54</v>
      </c>
      <c r="T1033" s="4">
        <v>54</v>
      </c>
      <c r="U1033" s="5" t="s">
        <v>952</v>
      </c>
      <c r="V1033" s="5" t="s">
        <v>952</v>
      </c>
      <c r="W1033" s="5" t="s">
        <v>8127</v>
      </c>
      <c r="X1033" s="5" t="s">
        <v>8127</v>
      </c>
      <c r="Y1033" s="4">
        <v>190</v>
      </c>
      <c r="Z1033" s="4">
        <v>165</v>
      </c>
      <c r="AA1033" s="4">
        <v>376</v>
      </c>
      <c r="AB1033" s="4">
        <v>1</v>
      </c>
      <c r="AC1033" s="4">
        <v>3</v>
      </c>
      <c r="AD1033" s="4">
        <v>6</v>
      </c>
      <c r="AE1033" s="4">
        <v>13</v>
      </c>
      <c r="AF1033" s="4">
        <v>1</v>
      </c>
      <c r="AG1033" s="4">
        <v>3</v>
      </c>
      <c r="AH1033" s="4">
        <v>5</v>
      </c>
      <c r="AI1033" s="4">
        <v>7</v>
      </c>
      <c r="AJ1033" s="4">
        <v>2</v>
      </c>
      <c r="AK1033" s="4">
        <v>6</v>
      </c>
      <c r="AL1033" s="4">
        <v>0</v>
      </c>
      <c r="AM1033" s="4">
        <v>2</v>
      </c>
      <c r="AN1033" s="4">
        <v>0</v>
      </c>
      <c r="AO1033" s="4">
        <v>0</v>
      </c>
      <c r="AP1033" s="3" t="s">
        <v>58</v>
      </c>
      <c r="AQ1033" s="3" t="s">
        <v>68</v>
      </c>
      <c r="AR1033" s="6" t="str">
        <f>HYPERLINK("http://catalog.hathitrust.org/Record/009919507","HathiTrust Record")</f>
        <v>HathiTrust Record</v>
      </c>
      <c r="AS1033" s="6" t="str">
        <f>HYPERLINK("https://creighton-primo.hosted.exlibrisgroup.com/primo-explore/search?tab=default_tab&amp;search_scope=EVERYTHING&amp;vid=01CRU&amp;lang=en_US&amp;offset=0&amp;query=any,contains,991000771469702656","Catalog Record")</f>
        <v>Catalog Record</v>
      </c>
      <c r="AT1033" s="6" t="str">
        <f>HYPERLINK("http://www.worldcat.org/oclc/13015613","WorldCat Record")</f>
        <v>WorldCat Record</v>
      </c>
      <c r="AU1033" s="3" t="s">
        <v>13162</v>
      </c>
      <c r="AV1033" s="3" t="s">
        <v>13163</v>
      </c>
      <c r="AW1033" s="3" t="s">
        <v>13164</v>
      </c>
      <c r="AX1033" s="3" t="s">
        <v>13164</v>
      </c>
      <c r="AY1033" s="3" t="s">
        <v>13165</v>
      </c>
      <c r="AZ1033" s="3" t="s">
        <v>73</v>
      </c>
      <c r="BB1033" s="3" t="s">
        <v>13166</v>
      </c>
      <c r="BC1033" s="3" t="s">
        <v>13167</v>
      </c>
      <c r="BD1033" s="3" t="s">
        <v>13168</v>
      </c>
    </row>
    <row r="1034" spans="1:56" ht="51" customHeight="1" x14ac:dyDescent="0.25">
      <c r="A1034" s="7" t="s">
        <v>58</v>
      </c>
      <c r="B1034" s="2" t="s">
        <v>13169</v>
      </c>
      <c r="C1034" s="2" t="s">
        <v>13170</v>
      </c>
      <c r="D1034" s="2" t="s">
        <v>13171</v>
      </c>
      <c r="F1034" s="3" t="s">
        <v>58</v>
      </c>
      <c r="G1034" s="3" t="s">
        <v>59</v>
      </c>
      <c r="H1034" s="3" t="s">
        <v>58</v>
      </c>
      <c r="I1034" s="3" t="s">
        <v>58</v>
      </c>
      <c r="J1034" s="3" t="s">
        <v>60</v>
      </c>
      <c r="K1034" s="2" t="s">
        <v>13172</v>
      </c>
      <c r="L1034" s="2" t="s">
        <v>13173</v>
      </c>
      <c r="M1034" s="3" t="s">
        <v>231</v>
      </c>
      <c r="O1034" s="3" t="s">
        <v>63</v>
      </c>
      <c r="P1034" s="3" t="s">
        <v>2061</v>
      </c>
      <c r="R1034" s="3" t="s">
        <v>65</v>
      </c>
      <c r="S1034" s="4">
        <v>23</v>
      </c>
      <c r="T1034" s="4">
        <v>23</v>
      </c>
      <c r="U1034" s="5" t="s">
        <v>13174</v>
      </c>
      <c r="V1034" s="5" t="s">
        <v>13174</v>
      </c>
      <c r="W1034" s="5" t="s">
        <v>11678</v>
      </c>
      <c r="X1034" s="5" t="s">
        <v>11678</v>
      </c>
      <c r="Y1034" s="4">
        <v>591</v>
      </c>
      <c r="Z1034" s="4">
        <v>533</v>
      </c>
      <c r="AA1034" s="4">
        <v>762</v>
      </c>
      <c r="AB1034" s="4">
        <v>5</v>
      </c>
      <c r="AC1034" s="4">
        <v>6</v>
      </c>
      <c r="AD1034" s="4">
        <v>18</v>
      </c>
      <c r="AE1034" s="4">
        <v>30</v>
      </c>
      <c r="AF1034" s="4">
        <v>4</v>
      </c>
      <c r="AG1034" s="4">
        <v>12</v>
      </c>
      <c r="AH1034" s="4">
        <v>2</v>
      </c>
      <c r="AI1034" s="4">
        <v>4</v>
      </c>
      <c r="AJ1034" s="4">
        <v>10</v>
      </c>
      <c r="AK1034" s="4">
        <v>15</v>
      </c>
      <c r="AL1034" s="4">
        <v>4</v>
      </c>
      <c r="AM1034" s="4">
        <v>5</v>
      </c>
      <c r="AN1034" s="4">
        <v>0</v>
      </c>
      <c r="AO1034" s="4">
        <v>0</v>
      </c>
      <c r="AP1034" s="3" t="s">
        <v>58</v>
      </c>
      <c r="AQ1034" s="3" t="s">
        <v>58</v>
      </c>
      <c r="AS1034" s="6" t="str">
        <f>HYPERLINK("https://creighton-primo.hosted.exlibrisgroup.com/primo-explore/search?tab=default_tab&amp;search_scope=EVERYTHING&amp;vid=01CRU&amp;lang=en_US&amp;offset=0&amp;query=any,contains,991002715319702656","Catalog Record")</f>
        <v>Catalog Record</v>
      </c>
      <c r="AT1034" s="6" t="str">
        <f>HYPERLINK("http://www.worldcat.org/oclc/411100","WorldCat Record")</f>
        <v>WorldCat Record</v>
      </c>
      <c r="AU1034" s="3" t="s">
        <v>13175</v>
      </c>
      <c r="AV1034" s="3" t="s">
        <v>13176</v>
      </c>
      <c r="AW1034" s="3" t="s">
        <v>13177</v>
      </c>
      <c r="AX1034" s="3" t="s">
        <v>13177</v>
      </c>
      <c r="AY1034" s="3" t="s">
        <v>13178</v>
      </c>
      <c r="AZ1034" s="3" t="s">
        <v>73</v>
      </c>
      <c r="BC1034" s="3" t="s">
        <v>13179</v>
      </c>
      <c r="BD1034" s="3" t="s">
        <v>13180</v>
      </c>
    </row>
    <row r="1035" spans="1:56" ht="51" customHeight="1" x14ac:dyDescent="0.25">
      <c r="A1035" s="7" t="s">
        <v>58</v>
      </c>
      <c r="B1035" s="2" t="s">
        <v>13181</v>
      </c>
      <c r="C1035" s="2" t="s">
        <v>13182</v>
      </c>
      <c r="D1035" s="2" t="s">
        <v>13183</v>
      </c>
      <c r="F1035" s="3" t="s">
        <v>58</v>
      </c>
      <c r="G1035" s="3" t="s">
        <v>59</v>
      </c>
      <c r="H1035" s="3" t="s">
        <v>58</v>
      </c>
      <c r="I1035" s="3" t="s">
        <v>58</v>
      </c>
      <c r="J1035" s="3" t="s">
        <v>60</v>
      </c>
      <c r="L1035" s="2" t="s">
        <v>13184</v>
      </c>
      <c r="M1035" s="3" t="s">
        <v>996</v>
      </c>
      <c r="O1035" s="3" t="s">
        <v>63</v>
      </c>
      <c r="P1035" s="3" t="s">
        <v>13185</v>
      </c>
      <c r="R1035" s="3" t="s">
        <v>65</v>
      </c>
      <c r="S1035" s="4">
        <v>5</v>
      </c>
      <c r="T1035" s="4">
        <v>5</v>
      </c>
      <c r="U1035" s="5" t="s">
        <v>13086</v>
      </c>
      <c r="V1035" s="5" t="s">
        <v>13086</v>
      </c>
      <c r="W1035" s="5" t="s">
        <v>600</v>
      </c>
      <c r="X1035" s="5" t="s">
        <v>600</v>
      </c>
      <c r="Y1035" s="4">
        <v>581</v>
      </c>
      <c r="Z1035" s="4">
        <v>456</v>
      </c>
      <c r="AA1035" s="4">
        <v>474</v>
      </c>
      <c r="AB1035" s="4">
        <v>6</v>
      </c>
      <c r="AC1035" s="4">
        <v>6</v>
      </c>
      <c r="AD1035" s="4">
        <v>19</v>
      </c>
      <c r="AE1035" s="4">
        <v>19</v>
      </c>
      <c r="AF1035" s="4">
        <v>2</v>
      </c>
      <c r="AG1035" s="4">
        <v>2</v>
      </c>
      <c r="AH1035" s="4">
        <v>6</v>
      </c>
      <c r="AI1035" s="4">
        <v>6</v>
      </c>
      <c r="AJ1035" s="4">
        <v>9</v>
      </c>
      <c r="AK1035" s="4">
        <v>9</v>
      </c>
      <c r="AL1035" s="4">
        <v>5</v>
      </c>
      <c r="AM1035" s="4">
        <v>5</v>
      </c>
      <c r="AN1035" s="4">
        <v>0</v>
      </c>
      <c r="AO1035" s="4">
        <v>0</v>
      </c>
      <c r="AP1035" s="3" t="s">
        <v>58</v>
      </c>
      <c r="AQ1035" s="3" t="s">
        <v>68</v>
      </c>
      <c r="AR1035" s="6" t="str">
        <f>HYPERLINK("http://catalog.hathitrust.org/Record/001250056","HathiTrust Record")</f>
        <v>HathiTrust Record</v>
      </c>
      <c r="AS1035" s="6" t="str">
        <f>HYPERLINK("https://creighton-primo.hosted.exlibrisgroup.com/primo-explore/search?tab=default_tab&amp;search_scope=EVERYTHING&amp;vid=01CRU&amp;lang=en_US&amp;offset=0&amp;query=any,contains,991002183009702656","Catalog Record")</f>
        <v>Catalog Record</v>
      </c>
      <c r="AT1035" s="6" t="str">
        <f>HYPERLINK("http://www.worldcat.org/oclc/279277","WorldCat Record")</f>
        <v>WorldCat Record</v>
      </c>
      <c r="AU1035" s="3" t="s">
        <v>13186</v>
      </c>
      <c r="AV1035" s="3" t="s">
        <v>13187</v>
      </c>
      <c r="AW1035" s="3" t="s">
        <v>13188</v>
      </c>
      <c r="AX1035" s="3" t="s">
        <v>13188</v>
      </c>
      <c r="AY1035" s="3" t="s">
        <v>13189</v>
      </c>
      <c r="AZ1035" s="3" t="s">
        <v>73</v>
      </c>
      <c r="BB1035" s="3" t="s">
        <v>13190</v>
      </c>
      <c r="BC1035" s="3" t="s">
        <v>13191</v>
      </c>
      <c r="BD1035" s="3" t="s">
        <v>13192</v>
      </c>
    </row>
    <row r="1036" spans="1:56" ht="51" customHeight="1" x14ac:dyDescent="0.25">
      <c r="A1036" s="7" t="s">
        <v>58</v>
      </c>
      <c r="B1036" s="2" t="s">
        <v>13193</v>
      </c>
      <c r="C1036" s="2" t="s">
        <v>13194</v>
      </c>
      <c r="D1036" s="2" t="s">
        <v>13195</v>
      </c>
      <c r="F1036" s="3" t="s">
        <v>58</v>
      </c>
      <c r="G1036" s="3" t="s">
        <v>59</v>
      </c>
      <c r="H1036" s="3" t="s">
        <v>58</v>
      </c>
      <c r="I1036" s="3" t="s">
        <v>58</v>
      </c>
      <c r="J1036" s="3" t="s">
        <v>60</v>
      </c>
      <c r="K1036" s="2" t="s">
        <v>13196</v>
      </c>
      <c r="L1036" s="2" t="s">
        <v>13197</v>
      </c>
      <c r="M1036" s="3" t="s">
        <v>1061</v>
      </c>
      <c r="O1036" s="3" t="s">
        <v>63</v>
      </c>
      <c r="P1036" s="3" t="s">
        <v>584</v>
      </c>
      <c r="R1036" s="3" t="s">
        <v>65</v>
      </c>
      <c r="S1036" s="4">
        <v>4</v>
      </c>
      <c r="T1036" s="4">
        <v>4</v>
      </c>
      <c r="U1036" s="5" t="s">
        <v>13112</v>
      </c>
      <c r="V1036" s="5" t="s">
        <v>13112</v>
      </c>
      <c r="W1036" s="5" t="s">
        <v>13198</v>
      </c>
      <c r="X1036" s="5" t="s">
        <v>13198</v>
      </c>
      <c r="Y1036" s="4">
        <v>445</v>
      </c>
      <c r="Z1036" s="4">
        <v>384</v>
      </c>
      <c r="AA1036" s="4">
        <v>405</v>
      </c>
      <c r="AB1036" s="4">
        <v>2</v>
      </c>
      <c r="AC1036" s="4">
        <v>2</v>
      </c>
      <c r="AD1036" s="4">
        <v>18</v>
      </c>
      <c r="AE1036" s="4">
        <v>19</v>
      </c>
      <c r="AF1036" s="4">
        <v>9</v>
      </c>
      <c r="AG1036" s="4">
        <v>9</v>
      </c>
      <c r="AH1036" s="4">
        <v>4</v>
      </c>
      <c r="AI1036" s="4">
        <v>5</v>
      </c>
      <c r="AJ1036" s="4">
        <v>9</v>
      </c>
      <c r="AK1036" s="4">
        <v>10</v>
      </c>
      <c r="AL1036" s="4">
        <v>1</v>
      </c>
      <c r="AM1036" s="4">
        <v>1</v>
      </c>
      <c r="AN1036" s="4">
        <v>0</v>
      </c>
      <c r="AO1036" s="4">
        <v>0</v>
      </c>
      <c r="AP1036" s="3" t="s">
        <v>58</v>
      </c>
      <c r="AQ1036" s="3" t="s">
        <v>68</v>
      </c>
      <c r="AR1036" s="6" t="str">
        <f>HYPERLINK("http://catalog.hathitrust.org/Record/003957245","HathiTrust Record")</f>
        <v>HathiTrust Record</v>
      </c>
      <c r="AS1036" s="6" t="str">
        <f>HYPERLINK("https://creighton-primo.hosted.exlibrisgroup.com/primo-explore/search?tab=default_tab&amp;search_scope=EVERYTHING&amp;vid=01CRU&amp;lang=en_US&amp;offset=0&amp;query=any,contains,991002878409702656","Catalog Record")</f>
        <v>Catalog Record</v>
      </c>
      <c r="AT1036" s="6" t="str">
        <f>HYPERLINK("http://www.worldcat.org/oclc/37935089","WorldCat Record")</f>
        <v>WorldCat Record</v>
      </c>
      <c r="AU1036" s="3" t="s">
        <v>13199</v>
      </c>
      <c r="AV1036" s="3" t="s">
        <v>13200</v>
      </c>
      <c r="AW1036" s="3" t="s">
        <v>13201</v>
      </c>
      <c r="AX1036" s="3" t="s">
        <v>13201</v>
      </c>
      <c r="AY1036" s="3" t="s">
        <v>13202</v>
      </c>
      <c r="AZ1036" s="3" t="s">
        <v>73</v>
      </c>
      <c r="BB1036" s="3" t="s">
        <v>13203</v>
      </c>
      <c r="BC1036" s="3" t="s">
        <v>13204</v>
      </c>
      <c r="BD1036" s="3" t="s">
        <v>13205</v>
      </c>
    </row>
    <row r="1037" spans="1:56" ht="51" customHeight="1" x14ac:dyDescent="0.25">
      <c r="A1037" s="7" t="s">
        <v>58</v>
      </c>
      <c r="B1037" s="2" t="s">
        <v>13206</v>
      </c>
      <c r="C1037" s="2" t="s">
        <v>13207</v>
      </c>
      <c r="D1037" s="2" t="s">
        <v>13208</v>
      </c>
      <c r="F1037" s="3" t="s">
        <v>58</v>
      </c>
      <c r="G1037" s="3" t="s">
        <v>59</v>
      </c>
      <c r="H1037" s="3" t="s">
        <v>58</v>
      </c>
      <c r="I1037" s="3" t="s">
        <v>58</v>
      </c>
      <c r="J1037" s="3" t="s">
        <v>60</v>
      </c>
      <c r="K1037" s="2" t="s">
        <v>13209</v>
      </c>
      <c r="L1037" s="2" t="s">
        <v>13210</v>
      </c>
      <c r="M1037" s="3" t="s">
        <v>800</v>
      </c>
      <c r="O1037" s="3" t="s">
        <v>63</v>
      </c>
      <c r="P1037" s="3" t="s">
        <v>214</v>
      </c>
      <c r="Q1037" s="2" t="s">
        <v>9702</v>
      </c>
      <c r="R1037" s="3" t="s">
        <v>65</v>
      </c>
      <c r="S1037" s="4">
        <v>25</v>
      </c>
      <c r="T1037" s="4">
        <v>25</v>
      </c>
      <c r="U1037" s="5" t="s">
        <v>13211</v>
      </c>
      <c r="V1037" s="5" t="s">
        <v>13211</v>
      </c>
      <c r="W1037" s="5" t="s">
        <v>13212</v>
      </c>
      <c r="X1037" s="5" t="s">
        <v>13212</v>
      </c>
      <c r="Y1037" s="4">
        <v>137</v>
      </c>
      <c r="Z1037" s="4">
        <v>122</v>
      </c>
      <c r="AA1037" s="4">
        <v>172</v>
      </c>
      <c r="AB1037" s="4">
        <v>2</v>
      </c>
      <c r="AC1037" s="4">
        <v>2</v>
      </c>
      <c r="AD1037" s="4">
        <v>9</v>
      </c>
      <c r="AE1037" s="4">
        <v>11</v>
      </c>
      <c r="AF1037" s="4">
        <v>0</v>
      </c>
      <c r="AG1037" s="4">
        <v>0</v>
      </c>
      <c r="AH1037" s="4">
        <v>4</v>
      </c>
      <c r="AI1037" s="4">
        <v>4</v>
      </c>
      <c r="AJ1037" s="4">
        <v>5</v>
      </c>
      <c r="AK1037" s="4">
        <v>5</v>
      </c>
      <c r="AL1037" s="4">
        <v>1</v>
      </c>
      <c r="AM1037" s="4">
        <v>1</v>
      </c>
      <c r="AN1037" s="4">
        <v>0</v>
      </c>
      <c r="AO1037" s="4">
        <v>2</v>
      </c>
      <c r="AP1037" s="3" t="s">
        <v>58</v>
      </c>
      <c r="AQ1037" s="3" t="s">
        <v>68</v>
      </c>
      <c r="AR1037" s="6" t="str">
        <f>HYPERLINK("http://catalog.hathitrust.org/Record/007130547","HathiTrust Record")</f>
        <v>HathiTrust Record</v>
      </c>
      <c r="AS1037" s="6" t="str">
        <f>HYPERLINK("https://creighton-primo.hosted.exlibrisgroup.com/primo-explore/search?tab=default_tab&amp;search_scope=EVERYTHING&amp;vid=01CRU&amp;lang=en_US&amp;offset=0&amp;query=any,contains,991002425739702656","Catalog Record")</f>
        <v>Catalog Record</v>
      </c>
      <c r="AT1037" s="6" t="str">
        <f>HYPERLINK("http://www.worldcat.org/oclc/31607610","WorldCat Record")</f>
        <v>WorldCat Record</v>
      </c>
      <c r="AU1037" s="3" t="s">
        <v>13213</v>
      </c>
      <c r="AV1037" s="3" t="s">
        <v>13214</v>
      </c>
      <c r="AW1037" s="3" t="s">
        <v>13215</v>
      </c>
      <c r="AX1037" s="3" t="s">
        <v>13215</v>
      </c>
      <c r="AY1037" s="3" t="s">
        <v>13216</v>
      </c>
      <c r="AZ1037" s="3" t="s">
        <v>73</v>
      </c>
      <c r="BB1037" s="3" t="s">
        <v>13217</v>
      </c>
      <c r="BC1037" s="3" t="s">
        <v>13218</v>
      </c>
      <c r="BD1037" s="3" t="s">
        <v>13219</v>
      </c>
    </row>
    <row r="1038" spans="1:56" ht="51" customHeight="1" x14ac:dyDescent="0.25">
      <c r="A1038" s="7" t="s">
        <v>58</v>
      </c>
      <c r="B1038" s="2" t="s">
        <v>13220</v>
      </c>
      <c r="C1038" s="2" t="s">
        <v>13221</v>
      </c>
      <c r="D1038" s="2" t="s">
        <v>13222</v>
      </c>
      <c r="F1038" s="3" t="s">
        <v>58</v>
      </c>
      <c r="G1038" s="3" t="s">
        <v>59</v>
      </c>
      <c r="H1038" s="3" t="s">
        <v>58</v>
      </c>
      <c r="I1038" s="3" t="s">
        <v>58</v>
      </c>
      <c r="J1038" s="3" t="s">
        <v>60</v>
      </c>
      <c r="K1038" s="2" t="s">
        <v>13223</v>
      </c>
      <c r="L1038" s="2" t="s">
        <v>13224</v>
      </c>
      <c r="M1038" s="3" t="s">
        <v>154</v>
      </c>
      <c r="O1038" s="3" t="s">
        <v>63</v>
      </c>
      <c r="P1038" s="3" t="s">
        <v>3323</v>
      </c>
      <c r="R1038" s="3" t="s">
        <v>65</v>
      </c>
      <c r="S1038" s="4">
        <v>6</v>
      </c>
      <c r="T1038" s="4">
        <v>6</v>
      </c>
      <c r="U1038" s="5" t="s">
        <v>1572</v>
      </c>
      <c r="V1038" s="5" t="s">
        <v>1572</v>
      </c>
      <c r="W1038" s="5" t="s">
        <v>13225</v>
      </c>
      <c r="X1038" s="5" t="s">
        <v>13225</v>
      </c>
      <c r="Y1038" s="4">
        <v>87</v>
      </c>
      <c r="Z1038" s="4">
        <v>74</v>
      </c>
      <c r="AA1038" s="4">
        <v>144</v>
      </c>
      <c r="AB1038" s="4">
        <v>1</v>
      </c>
      <c r="AC1038" s="4">
        <v>1</v>
      </c>
      <c r="AD1038" s="4">
        <v>3</v>
      </c>
      <c r="AE1038" s="4">
        <v>5</v>
      </c>
      <c r="AF1038" s="4">
        <v>0</v>
      </c>
      <c r="AG1038" s="4">
        <v>1</v>
      </c>
      <c r="AH1038" s="4">
        <v>2</v>
      </c>
      <c r="AI1038" s="4">
        <v>3</v>
      </c>
      <c r="AJ1038" s="4">
        <v>2</v>
      </c>
      <c r="AK1038" s="4">
        <v>2</v>
      </c>
      <c r="AL1038" s="4">
        <v>0</v>
      </c>
      <c r="AM1038" s="4">
        <v>0</v>
      </c>
      <c r="AN1038" s="4">
        <v>0</v>
      </c>
      <c r="AO1038" s="4">
        <v>0</v>
      </c>
      <c r="AP1038" s="3" t="s">
        <v>58</v>
      </c>
      <c r="AQ1038" s="3" t="s">
        <v>58</v>
      </c>
      <c r="AS1038" s="6" t="str">
        <f>HYPERLINK("https://creighton-primo.hosted.exlibrisgroup.com/primo-explore/search?tab=default_tab&amp;search_scope=EVERYTHING&amp;vid=01CRU&amp;lang=en_US&amp;offset=0&amp;query=any,contains,991001871399702656","Catalog Record")</f>
        <v>Catalog Record</v>
      </c>
      <c r="AT1038" s="6" t="str">
        <f>HYPERLINK("http://www.worldcat.org/oclc/23613394","WorldCat Record")</f>
        <v>WorldCat Record</v>
      </c>
      <c r="AU1038" s="3" t="s">
        <v>13226</v>
      </c>
      <c r="AV1038" s="3" t="s">
        <v>13227</v>
      </c>
      <c r="AW1038" s="3" t="s">
        <v>13228</v>
      </c>
      <c r="AX1038" s="3" t="s">
        <v>13228</v>
      </c>
      <c r="AY1038" s="3" t="s">
        <v>13229</v>
      </c>
      <c r="AZ1038" s="3" t="s">
        <v>73</v>
      </c>
      <c r="BB1038" s="3" t="s">
        <v>13230</v>
      </c>
      <c r="BC1038" s="3" t="s">
        <v>13231</v>
      </c>
      <c r="BD1038" s="3" t="s">
        <v>13232</v>
      </c>
    </row>
    <row r="1039" spans="1:56" ht="51" customHeight="1" x14ac:dyDescent="0.25">
      <c r="A1039" s="7" t="s">
        <v>58</v>
      </c>
      <c r="B1039" s="2" t="s">
        <v>13233</v>
      </c>
      <c r="C1039" s="2" t="s">
        <v>13234</v>
      </c>
      <c r="D1039" s="2" t="s">
        <v>13235</v>
      </c>
      <c r="E1039" s="3" t="s">
        <v>223</v>
      </c>
      <c r="F1039" s="3" t="s">
        <v>68</v>
      </c>
      <c r="G1039" s="3" t="s">
        <v>59</v>
      </c>
      <c r="H1039" s="3" t="s">
        <v>58</v>
      </c>
      <c r="I1039" s="3" t="s">
        <v>58</v>
      </c>
      <c r="J1039" s="3" t="s">
        <v>60</v>
      </c>
      <c r="L1039" s="2" t="s">
        <v>13236</v>
      </c>
      <c r="M1039" s="3" t="s">
        <v>731</v>
      </c>
      <c r="N1039" s="2" t="s">
        <v>13237</v>
      </c>
      <c r="O1039" s="3" t="s">
        <v>63</v>
      </c>
      <c r="P1039" s="3" t="s">
        <v>3323</v>
      </c>
      <c r="R1039" s="3" t="s">
        <v>65</v>
      </c>
      <c r="S1039" s="4">
        <v>2</v>
      </c>
      <c r="T1039" s="4">
        <v>3</v>
      </c>
      <c r="U1039" s="5" t="s">
        <v>13238</v>
      </c>
      <c r="V1039" s="5" t="s">
        <v>13238</v>
      </c>
      <c r="W1039" s="5" t="s">
        <v>13239</v>
      </c>
      <c r="X1039" s="5" t="s">
        <v>13239</v>
      </c>
      <c r="Y1039" s="4">
        <v>44</v>
      </c>
      <c r="Z1039" s="4">
        <v>38</v>
      </c>
      <c r="AA1039" s="4">
        <v>49</v>
      </c>
      <c r="AB1039" s="4">
        <v>1</v>
      </c>
      <c r="AC1039" s="4">
        <v>1</v>
      </c>
      <c r="AD1039" s="4">
        <v>3</v>
      </c>
      <c r="AE1039" s="4">
        <v>5</v>
      </c>
      <c r="AF1039" s="4">
        <v>0</v>
      </c>
      <c r="AG1039" s="4">
        <v>1</v>
      </c>
      <c r="AH1039" s="4">
        <v>2</v>
      </c>
      <c r="AI1039" s="4">
        <v>2</v>
      </c>
      <c r="AJ1039" s="4">
        <v>2</v>
      </c>
      <c r="AK1039" s="4">
        <v>3</v>
      </c>
      <c r="AL1039" s="4">
        <v>0</v>
      </c>
      <c r="AM1039" s="4">
        <v>0</v>
      </c>
      <c r="AN1039" s="4">
        <v>0</v>
      </c>
      <c r="AO1039" s="4">
        <v>0</v>
      </c>
      <c r="AP1039" s="3" t="s">
        <v>58</v>
      </c>
      <c r="AQ1039" s="3" t="s">
        <v>58</v>
      </c>
      <c r="AS1039" s="6" t="str">
        <f>HYPERLINK("https://creighton-primo.hosted.exlibrisgroup.com/primo-explore/search?tab=default_tab&amp;search_scope=EVERYTHING&amp;vid=01CRU&amp;lang=en_US&amp;offset=0&amp;query=any,contains,991004718979702656","Catalog Record")</f>
        <v>Catalog Record</v>
      </c>
      <c r="AT1039" s="6" t="str">
        <f>HYPERLINK("http://www.worldcat.org/oclc/4789863","WorldCat Record")</f>
        <v>WorldCat Record</v>
      </c>
      <c r="AU1039" s="3" t="s">
        <v>13240</v>
      </c>
      <c r="AV1039" s="3" t="s">
        <v>13241</v>
      </c>
      <c r="AW1039" s="3" t="s">
        <v>13242</v>
      </c>
      <c r="AX1039" s="3" t="s">
        <v>13242</v>
      </c>
      <c r="AY1039" s="3" t="s">
        <v>13243</v>
      </c>
      <c r="AZ1039" s="3" t="s">
        <v>73</v>
      </c>
      <c r="BC1039" s="3" t="s">
        <v>13244</v>
      </c>
      <c r="BD1039" s="3" t="s">
        <v>13245</v>
      </c>
    </row>
    <row r="1040" spans="1:56" ht="51" customHeight="1" x14ac:dyDescent="0.25">
      <c r="A1040" s="7" t="s">
        <v>58</v>
      </c>
      <c r="B1040" s="2" t="s">
        <v>13233</v>
      </c>
      <c r="C1040" s="2" t="s">
        <v>13234</v>
      </c>
      <c r="D1040" s="2" t="s">
        <v>13235</v>
      </c>
      <c r="E1040" s="3" t="s">
        <v>210</v>
      </c>
      <c r="F1040" s="3" t="s">
        <v>68</v>
      </c>
      <c r="G1040" s="3" t="s">
        <v>59</v>
      </c>
      <c r="H1040" s="3" t="s">
        <v>58</v>
      </c>
      <c r="I1040" s="3" t="s">
        <v>58</v>
      </c>
      <c r="J1040" s="3" t="s">
        <v>60</v>
      </c>
      <c r="L1040" s="2" t="s">
        <v>13236</v>
      </c>
      <c r="M1040" s="3" t="s">
        <v>731</v>
      </c>
      <c r="N1040" s="2" t="s">
        <v>13237</v>
      </c>
      <c r="O1040" s="3" t="s">
        <v>63</v>
      </c>
      <c r="P1040" s="3" t="s">
        <v>3323</v>
      </c>
      <c r="R1040" s="3" t="s">
        <v>65</v>
      </c>
      <c r="S1040" s="4">
        <v>1</v>
      </c>
      <c r="T1040" s="4">
        <v>3</v>
      </c>
      <c r="U1040" s="5" t="s">
        <v>13246</v>
      </c>
      <c r="V1040" s="5" t="s">
        <v>13238</v>
      </c>
      <c r="W1040" s="5" t="s">
        <v>13239</v>
      </c>
      <c r="X1040" s="5" t="s">
        <v>13239</v>
      </c>
      <c r="Y1040" s="4">
        <v>44</v>
      </c>
      <c r="Z1040" s="4">
        <v>38</v>
      </c>
      <c r="AA1040" s="4">
        <v>49</v>
      </c>
      <c r="AB1040" s="4">
        <v>1</v>
      </c>
      <c r="AC1040" s="4">
        <v>1</v>
      </c>
      <c r="AD1040" s="4">
        <v>3</v>
      </c>
      <c r="AE1040" s="4">
        <v>5</v>
      </c>
      <c r="AF1040" s="4">
        <v>0</v>
      </c>
      <c r="AG1040" s="4">
        <v>1</v>
      </c>
      <c r="AH1040" s="4">
        <v>2</v>
      </c>
      <c r="AI1040" s="4">
        <v>2</v>
      </c>
      <c r="AJ1040" s="4">
        <v>2</v>
      </c>
      <c r="AK1040" s="4">
        <v>3</v>
      </c>
      <c r="AL1040" s="4">
        <v>0</v>
      </c>
      <c r="AM1040" s="4">
        <v>0</v>
      </c>
      <c r="AN1040" s="4">
        <v>0</v>
      </c>
      <c r="AO1040" s="4">
        <v>0</v>
      </c>
      <c r="AP1040" s="3" t="s">
        <v>58</v>
      </c>
      <c r="AQ1040" s="3" t="s">
        <v>58</v>
      </c>
      <c r="AS1040" s="6" t="str">
        <f>HYPERLINK("https://creighton-primo.hosted.exlibrisgroup.com/primo-explore/search?tab=default_tab&amp;search_scope=EVERYTHING&amp;vid=01CRU&amp;lang=en_US&amp;offset=0&amp;query=any,contains,991004718979702656","Catalog Record")</f>
        <v>Catalog Record</v>
      </c>
      <c r="AT1040" s="6" t="str">
        <f>HYPERLINK("http://www.worldcat.org/oclc/4789863","WorldCat Record")</f>
        <v>WorldCat Record</v>
      </c>
      <c r="AU1040" s="3" t="s">
        <v>13240</v>
      </c>
      <c r="AV1040" s="3" t="s">
        <v>13241</v>
      </c>
      <c r="AW1040" s="3" t="s">
        <v>13242</v>
      </c>
      <c r="AX1040" s="3" t="s">
        <v>13242</v>
      </c>
      <c r="AY1040" s="3" t="s">
        <v>13243</v>
      </c>
      <c r="AZ1040" s="3" t="s">
        <v>73</v>
      </c>
      <c r="BC1040" s="3" t="s">
        <v>13247</v>
      </c>
      <c r="BD1040" s="3" t="s">
        <v>13248</v>
      </c>
    </row>
    <row r="1041" spans="1:56" ht="51" customHeight="1" x14ac:dyDescent="0.25">
      <c r="A1041" s="7" t="s">
        <v>58</v>
      </c>
      <c r="B1041" s="2" t="s">
        <v>13233</v>
      </c>
      <c r="C1041" s="2" t="s">
        <v>13234</v>
      </c>
      <c r="D1041" s="2" t="s">
        <v>13235</v>
      </c>
      <c r="E1041" s="3" t="s">
        <v>279</v>
      </c>
      <c r="F1041" s="3" t="s">
        <v>68</v>
      </c>
      <c r="G1041" s="3" t="s">
        <v>59</v>
      </c>
      <c r="H1041" s="3" t="s">
        <v>58</v>
      </c>
      <c r="I1041" s="3" t="s">
        <v>58</v>
      </c>
      <c r="J1041" s="3" t="s">
        <v>60</v>
      </c>
      <c r="L1041" s="2" t="s">
        <v>13236</v>
      </c>
      <c r="M1041" s="3" t="s">
        <v>731</v>
      </c>
      <c r="N1041" s="2" t="s">
        <v>13237</v>
      </c>
      <c r="O1041" s="3" t="s">
        <v>63</v>
      </c>
      <c r="P1041" s="3" t="s">
        <v>3323</v>
      </c>
      <c r="R1041" s="3" t="s">
        <v>65</v>
      </c>
      <c r="S1041" s="4">
        <v>0</v>
      </c>
      <c r="T1041" s="4">
        <v>3</v>
      </c>
      <c r="V1041" s="5" t="s">
        <v>13238</v>
      </c>
      <c r="W1041" s="5" t="s">
        <v>13239</v>
      </c>
      <c r="X1041" s="5" t="s">
        <v>13239</v>
      </c>
      <c r="Y1041" s="4">
        <v>44</v>
      </c>
      <c r="Z1041" s="4">
        <v>38</v>
      </c>
      <c r="AA1041" s="4">
        <v>49</v>
      </c>
      <c r="AB1041" s="4">
        <v>1</v>
      </c>
      <c r="AC1041" s="4">
        <v>1</v>
      </c>
      <c r="AD1041" s="4">
        <v>3</v>
      </c>
      <c r="AE1041" s="4">
        <v>5</v>
      </c>
      <c r="AF1041" s="4">
        <v>0</v>
      </c>
      <c r="AG1041" s="4">
        <v>1</v>
      </c>
      <c r="AH1041" s="4">
        <v>2</v>
      </c>
      <c r="AI1041" s="4">
        <v>2</v>
      </c>
      <c r="AJ1041" s="4">
        <v>2</v>
      </c>
      <c r="AK1041" s="4">
        <v>3</v>
      </c>
      <c r="AL1041" s="4">
        <v>0</v>
      </c>
      <c r="AM1041" s="4">
        <v>0</v>
      </c>
      <c r="AN1041" s="4">
        <v>0</v>
      </c>
      <c r="AO1041" s="4">
        <v>0</v>
      </c>
      <c r="AP1041" s="3" t="s">
        <v>58</v>
      </c>
      <c r="AQ1041" s="3" t="s">
        <v>58</v>
      </c>
      <c r="AS1041" s="6" t="str">
        <f>HYPERLINK("https://creighton-primo.hosted.exlibrisgroup.com/primo-explore/search?tab=default_tab&amp;search_scope=EVERYTHING&amp;vid=01CRU&amp;lang=en_US&amp;offset=0&amp;query=any,contains,991004718979702656","Catalog Record")</f>
        <v>Catalog Record</v>
      </c>
      <c r="AT1041" s="6" t="str">
        <f>HYPERLINK("http://www.worldcat.org/oclc/4789863","WorldCat Record")</f>
        <v>WorldCat Record</v>
      </c>
      <c r="AU1041" s="3" t="s">
        <v>13240</v>
      </c>
      <c r="AV1041" s="3" t="s">
        <v>13241</v>
      </c>
      <c r="AW1041" s="3" t="s">
        <v>13242</v>
      </c>
      <c r="AX1041" s="3" t="s">
        <v>13242</v>
      </c>
      <c r="AY1041" s="3" t="s">
        <v>13243</v>
      </c>
      <c r="AZ1041" s="3" t="s">
        <v>73</v>
      </c>
      <c r="BC1041" s="3" t="s">
        <v>13249</v>
      </c>
      <c r="BD1041" s="3" t="s">
        <v>13250</v>
      </c>
    </row>
    <row r="1042" spans="1:56" ht="51" customHeight="1" x14ac:dyDescent="0.25">
      <c r="A1042" s="7" t="s">
        <v>58</v>
      </c>
      <c r="B1042" s="2" t="s">
        <v>13233</v>
      </c>
      <c r="C1042" s="2" t="s">
        <v>13234</v>
      </c>
      <c r="D1042" s="2" t="s">
        <v>13235</v>
      </c>
      <c r="E1042" s="3" t="s">
        <v>297</v>
      </c>
      <c r="F1042" s="3" t="s">
        <v>68</v>
      </c>
      <c r="G1042" s="3" t="s">
        <v>59</v>
      </c>
      <c r="H1042" s="3" t="s">
        <v>58</v>
      </c>
      <c r="I1042" s="3" t="s">
        <v>58</v>
      </c>
      <c r="J1042" s="3" t="s">
        <v>60</v>
      </c>
      <c r="L1042" s="2" t="s">
        <v>13236</v>
      </c>
      <c r="M1042" s="3" t="s">
        <v>731</v>
      </c>
      <c r="N1042" s="2" t="s">
        <v>13237</v>
      </c>
      <c r="O1042" s="3" t="s">
        <v>63</v>
      </c>
      <c r="P1042" s="3" t="s">
        <v>3323</v>
      </c>
      <c r="R1042" s="3" t="s">
        <v>65</v>
      </c>
      <c r="S1042" s="4">
        <v>0</v>
      </c>
      <c r="T1042" s="4">
        <v>3</v>
      </c>
      <c r="V1042" s="5" t="s">
        <v>13238</v>
      </c>
      <c r="W1042" s="5" t="s">
        <v>13239</v>
      </c>
      <c r="X1042" s="5" t="s">
        <v>13239</v>
      </c>
      <c r="Y1042" s="4">
        <v>44</v>
      </c>
      <c r="Z1042" s="4">
        <v>38</v>
      </c>
      <c r="AA1042" s="4">
        <v>49</v>
      </c>
      <c r="AB1042" s="4">
        <v>1</v>
      </c>
      <c r="AC1042" s="4">
        <v>1</v>
      </c>
      <c r="AD1042" s="4">
        <v>3</v>
      </c>
      <c r="AE1042" s="4">
        <v>5</v>
      </c>
      <c r="AF1042" s="4">
        <v>0</v>
      </c>
      <c r="AG1042" s="4">
        <v>1</v>
      </c>
      <c r="AH1042" s="4">
        <v>2</v>
      </c>
      <c r="AI1042" s="4">
        <v>2</v>
      </c>
      <c r="AJ1042" s="4">
        <v>2</v>
      </c>
      <c r="AK1042" s="4">
        <v>3</v>
      </c>
      <c r="AL1042" s="4">
        <v>0</v>
      </c>
      <c r="AM1042" s="4">
        <v>0</v>
      </c>
      <c r="AN1042" s="4">
        <v>0</v>
      </c>
      <c r="AO1042" s="4">
        <v>0</v>
      </c>
      <c r="AP1042" s="3" t="s">
        <v>58</v>
      </c>
      <c r="AQ1042" s="3" t="s">
        <v>58</v>
      </c>
      <c r="AS1042" s="6" t="str">
        <f>HYPERLINK("https://creighton-primo.hosted.exlibrisgroup.com/primo-explore/search?tab=default_tab&amp;search_scope=EVERYTHING&amp;vid=01CRU&amp;lang=en_US&amp;offset=0&amp;query=any,contains,991004718979702656","Catalog Record")</f>
        <v>Catalog Record</v>
      </c>
      <c r="AT1042" s="6" t="str">
        <f>HYPERLINK("http://www.worldcat.org/oclc/4789863","WorldCat Record")</f>
        <v>WorldCat Record</v>
      </c>
      <c r="AU1042" s="3" t="s">
        <v>13240</v>
      </c>
      <c r="AV1042" s="3" t="s">
        <v>13241</v>
      </c>
      <c r="AW1042" s="3" t="s">
        <v>13242</v>
      </c>
      <c r="AX1042" s="3" t="s">
        <v>13242</v>
      </c>
      <c r="AY1042" s="3" t="s">
        <v>13243</v>
      </c>
      <c r="AZ1042" s="3" t="s">
        <v>73</v>
      </c>
      <c r="BC1042" s="3" t="s">
        <v>13251</v>
      </c>
      <c r="BD1042" s="3" t="s">
        <v>13252</v>
      </c>
    </row>
    <row r="1043" spans="1:56" ht="51" customHeight="1" x14ac:dyDescent="0.25">
      <c r="A1043" s="7" t="s">
        <v>58</v>
      </c>
      <c r="B1043" s="2" t="s">
        <v>13253</v>
      </c>
      <c r="C1043" s="2" t="s">
        <v>13254</v>
      </c>
      <c r="D1043" s="2" t="s">
        <v>13255</v>
      </c>
      <c r="F1043" s="3" t="s">
        <v>58</v>
      </c>
      <c r="G1043" s="3" t="s">
        <v>59</v>
      </c>
      <c r="H1043" s="3" t="s">
        <v>58</v>
      </c>
      <c r="I1043" s="3" t="s">
        <v>58</v>
      </c>
      <c r="J1043" s="3" t="s">
        <v>60</v>
      </c>
      <c r="L1043" s="2" t="s">
        <v>13256</v>
      </c>
      <c r="M1043" s="3" t="s">
        <v>552</v>
      </c>
      <c r="O1043" s="3" t="s">
        <v>63</v>
      </c>
      <c r="P1043" s="3" t="s">
        <v>3323</v>
      </c>
      <c r="Q1043" s="2" t="s">
        <v>13257</v>
      </c>
      <c r="R1043" s="3" t="s">
        <v>65</v>
      </c>
      <c r="S1043" s="4">
        <v>12</v>
      </c>
      <c r="T1043" s="4">
        <v>12</v>
      </c>
      <c r="U1043" s="5" t="s">
        <v>13258</v>
      </c>
      <c r="V1043" s="5" t="s">
        <v>13258</v>
      </c>
      <c r="W1043" s="5" t="s">
        <v>12631</v>
      </c>
      <c r="X1043" s="5" t="s">
        <v>12631</v>
      </c>
      <c r="Y1043" s="4">
        <v>368</v>
      </c>
      <c r="Z1043" s="4">
        <v>265</v>
      </c>
      <c r="AA1043" s="4">
        <v>267</v>
      </c>
      <c r="AB1043" s="4">
        <v>1</v>
      </c>
      <c r="AC1043" s="4">
        <v>1</v>
      </c>
      <c r="AD1043" s="4">
        <v>12</v>
      </c>
      <c r="AE1043" s="4">
        <v>12</v>
      </c>
      <c r="AF1043" s="4">
        <v>3</v>
      </c>
      <c r="AG1043" s="4">
        <v>3</v>
      </c>
      <c r="AH1043" s="4">
        <v>3</v>
      </c>
      <c r="AI1043" s="4">
        <v>3</v>
      </c>
      <c r="AJ1043" s="4">
        <v>10</v>
      </c>
      <c r="AK1043" s="4">
        <v>10</v>
      </c>
      <c r="AL1043" s="4">
        <v>0</v>
      </c>
      <c r="AM1043" s="4">
        <v>0</v>
      </c>
      <c r="AN1043" s="4">
        <v>0</v>
      </c>
      <c r="AO1043" s="4">
        <v>0</v>
      </c>
      <c r="AP1043" s="3" t="s">
        <v>58</v>
      </c>
      <c r="AQ1043" s="3" t="s">
        <v>68</v>
      </c>
      <c r="AR1043" s="6" t="str">
        <f>HYPERLINK("http://catalog.hathitrust.org/Record/002220445","HathiTrust Record")</f>
        <v>HathiTrust Record</v>
      </c>
      <c r="AS1043" s="6" t="str">
        <f>HYPERLINK("https://creighton-primo.hosted.exlibrisgroup.com/primo-explore/search?tab=default_tab&amp;search_scope=EVERYTHING&amp;vid=01CRU&amp;lang=en_US&amp;offset=0&amp;query=any,contains,991001728619702656","Catalog Record")</f>
        <v>Catalog Record</v>
      </c>
      <c r="AT1043" s="6" t="str">
        <f>HYPERLINK("http://www.worldcat.org/oclc/21907375","WorldCat Record")</f>
        <v>WorldCat Record</v>
      </c>
      <c r="AU1043" s="3" t="s">
        <v>13259</v>
      </c>
      <c r="AV1043" s="3" t="s">
        <v>13260</v>
      </c>
      <c r="AW1043" s="3" t="s">
        <v>13261</v>
      </c>
      <c r="AX1043" s="3" t="s">
        <v>13261</v>
      </c>
      <c r="AY1043" s="3" t="s">
        <v>13262</v>
      </c>
      <c r="AZ1043" s="3" t="s">
        <v>73</v>
      </c>
      <c r="BB1043" s="3" t="s">
        <v>13263</v>
      </c>
      <c r="BC1043" s="3" t="s">
        <v>13264</v>
      </c>
      <c r="BD1043" s="3" t="s">
        <v>13265</v>
      </c>
    </row>
    <row r="1044" spans="1:56" ht="51" customHeight="1" x14ac:dyDescent="0.25">
      <c r="A1044" s="7" t="s">
        <v>58</v>
      </c>
      <c r="B1044" s="2" t="s">
        <v>13266</v>
      </c>
      <c r="C1044" s="2" t="s">
        <v>13267</v>
      </c>
      <c r="D1044" s="2" t="s">
        <v>13268</v>
      </c>
      <c r="F1044" s="3" t="s">
        <v>58</v>
      </c>
      <c r="G1044" s="3" t="s">
        <v>59</v>
      </c>
      <c r="H1044" s="3" t="s">
        <v>58</v>
      </c>
      <c r="I1044" s="3" t="s">
        <v>58</v>
      </c>
      <c r="J1044" s="3" t="s">
        <v>60</v>
      </c>
      <c r="K1044" s="2" t="s">
        <v>13269</v>
      </c>
      <c r="L1044" s="2" t="s">
        <v>13270</v>
      </c>
      <c r="M1044" s="3" t="s">
        <v>249</v>
      </c>
      <c r="O1044" s="3" t="s">
        <v>63</v>
      </c>
      <c r="P1044" s="3" t="s">
        <v>3323</v>
      </c>
      <c r="R1044" s="3" t="s">
        <v>65</v>
      </c>
      <c r="S1044" s="4">
        <v>8</v>
      </c>
      <c r="T1044" s="4">
        <v>8</v>
      </c>
      <c r="U1044" s="5" t="s">
        <v>13271</v>
      </c>
      <c r="V1044" s="5" t="s">
        <v>13271</v>
      </c>
      <c r="W1044" s="5" t="s">
        <v>2034</v>
      </c>
      <c r="X1044" s="5" t="s">
        <v>2034</v>
      </c>
      <c r="Y1044" s="4">
        <v>217</v>
      </c>
      <c r="Z1044" s="4">
        <v>187</v>
      </c>
      <c r="AA1044" s="4">
        <v>255</v>
      </c>
      <c r="AB1044" s="4">
        <v>1</v>
      </c>
      <c r="AC1044" s="4">
        <v>2</v>
      </c>
      <c r="AD1044" s="4">
        <v>4</v>
      </c>
      <c r="AE1044" s="4">
        <v>6</v>
      </c>
      <c r="AF1044" s="4">
        <v>1</v>
      </c>
      <c r="AG1044" s="4">
        <v>2</v>
      </c>
      <c r="AH1044" s="4">
        <v>1</v>
      </c>
      <c r="AI1044" s="4">
        <v>1</v>
      </c>
      <c r="AJ1044" s="4">
        <v>2</v>
      </c>
      <c r="AK1044" s="4">
        <v>3</v>
      </c>
      <c r="AL1044" s="4">
        <v>0</v>
      </c>
      <c r="AM1044" s="4">
        <v>1</v>
      </c>
      <c r="AN1044" s="4">
        <v>0</v>
      </c>
      <c r="AO1044" s="4">
        <v>0</v>
      </c>
      <c r="AP1044" s="3" t="s">
        <v>58</v>
      </c>
      <c r="AQ1044" s="3" t="s">
        <v>68</v>
      </c>
      <c r="AR1044" s="6" t="str">
        <f>HYPERLINK("http://catalog.hathitrust.org/Record/001250168","HathiTrust Record")</f>
        <v>HathiTrust Record</v>
      </c>
      <c r="AS1044" s="6" t="str">
        <f>HYPERLINK("https://creighton-primo.hosted.exlibrisgroup.com/primo-explore/search?tab=default_tab&amp;search_scope=EVERYTHING&amp;vid=01CRU&amp;lang=en_US&amp;offset=0&amp;query=any,contains,991002715459702656","Catalog Record")</f>
        <v>Catalog Record</v>
      </c>
      <c r="AT1044" s="6" t="str">
        <f>HYPERLINK("http://www.worldcat.org/oclc/411154","WorldCat Record")</f>
        <v>WorldCat Record</v>
      </c>
      <c r="AU1044" s="3" t="s">
        <v>13272</v>
      </c>
      <c r="AV1044" s="3" t="s">
        <v>13273</v>
      </c>
      <c r="AW1044" s="3" t="s">
        <v>13274</v>
      </c>
      <c r="AX1044" s="3" t="s">
        <v>13274</v>
      </c>
      <c r="AY1044" s="3" t="s">
        <v>13275</v>
      </c>
      <c r="AZ1044" s="3" t="s">
        <v>73</v>
      </c>
      <c r="BC1044" s="3" t="s">
        <v>13276</v>
      </c>
      <c r="BD1044" s="3" t="s">
        <v>13277</v>
      </c>
    </row>
    <row r="1045" spans="1:56" ht="51" customHeight="1" x14ac:dyDescent="0.25">
      <c r="A1045" s="7" t="s">
        <v>58</v>
      </c>
      <c r="B1045" s="2" t="s">
        <v>13278</v>
      </c>
      <c r="C1045" s="2" t="s">
        <v>13279</v>
      </c>
      <c r="D1045" s="2" t="s">
        <v>13280</v>
      </c>
      <c r="E1045" s="3" t="s">
        <v>13281</v>
      </c>
      <c r="F1045" s="3" t="s">
        <v>68</v>
      </c>
      <c r="G1045" s="3" t="s">
        <v>59</v>
      </c>
      <c r="H1045" s="3" t="s">
        <v>58</v>
      </c>
      <c r="I1045" s="3" t="s">
        <v>58</v>
      </c>
      <c r="J1045" s="3" t="s">
        <v>60</v>
      </c>
      <c r="K1045" s="2" t="s">
        <v>13282</v>
      </c>
      <c r="L1045" s="2" t="s">
        <v>13283</v>
      </c>
      <c r="M1045" s="3" t="s">
        <v>1153</v>
      </c>
      <c r="O1045" s="3" t="s">
        <v>63</v>
      </c>
      <c r="P1045" s="3" t="s">
        <v>3323</v>
      </c>
      <c r="Q1045" s="2" t="s">
        <v>13284</v>
      </c>
      <c r="R1045" s="3" t="s">
        <v>65</v>
      </c>
      <c r="S1045" s="4">
        <v>7</v>
      </c>
      <c r="T1045" s="4">
        <v>21</v>
      </c>
      <c r="U1045" s="5" t="s">
        <v>13285</v>
      </c>
      <c r="V1045" s="5" t="s">
        <v>13285</v>
      </c>
      <c r="W1045" s="5" t="s">
        <v>2616</v>
      </c>
      <c r="X1045" s="5" t="s">
        <v>2616</v>
      </c>
      <c r="Y1045" s="4">
        <v>97</v>
      </c>
      <c r="Z1045" s="4">
        <v>74</v>
      </c>
      <c r="AA1045" s="4">
        <v>76</v>
      </c>
      <c r="AB1045" s="4">
        <v>2</v>
      </c>
      <c r="AC1045" s="4">
        <v>2</v>
      </c>
      <c r="AD1045" s="4">
        <v>1</v>
      </c>
      <c r="AE1045" s="4">
        <v>1</v>
      </c>
      <c r="AF1045" s="4">
        <v>0</v>
      </c>
      <c r="AG1045" s="4">
        <v>0</v>
      </c>
      <c r="AH1045" s="4">
        <v>0</v>
      </c>
      <c r="AI1045" s="4">
        <v>0</v>
      </c>
      <c r="AJ1045" s="4">
        <v>0</v>
      </c>
      <c r="AK1045" s="4">
        <v>0</v>
      </c>
      <c r="AL1045" s="4">
        <v>1</v>
      </c>
      <c r="AM1045" s="4">
        <v>1</v>
      </c>
      <c r="AN1045" s="4">
        <v>0</v>
      </c>
      <c r="AO1045" s="4">
        <v>0</v>
      </c>
      <c r="AP1045" s="3" t="s">
        <v>58</v>
      </c>
      <c r="AQ1045" s="3" t="s">
        <v>68</v>
      </c>
      <c r="AR1045" s="6" t="str">
        <f>HYPERLINK("http://catalog.hathitrust.org/Record/001250756","HathiTrust Record")</f>
        <v>HathiTrust Record</v>
      </c>
      <c r="AS1045" s="6" t="str">
        <f>HYPERLINK("https://creighton-primo.hosted.exlibrisgroup.com/primo-explore/search?tab=default_tab&amp;search_scope=EVERYTHING&amp;vid=01CRU&amp;lang=en_US&amp;offset=0&amp;query=any,contains,991003211839702656","Catalog Record")</f>
        <v>Catalog Record</v>
      </c>
      <c r="AT1045" s="6" t="str">
        <f>HYPERLINK("http://www.worldcat.org/oclc/738270","WorldCat Record")</f>
        <v>WorldCat Record</v>
      </c>
      <c r="AU1045" s="3" t="s">
        <v>13286</v>
      </c>
      <c r="AV1045" s="3" t="s">
        <v>13287</v>
      </c>
      <c r="AW1045" s="3" t="s">
        <v>13288</v>
      </c>
      <c r="AX1045" s="3" t="s">
        <v>13288</v>
      </c>
      <c r="AY1045" s="3" t="s">
        <v>13289</v>
      </c>
      <c r="AZ1045" s="3" t="s">
        <v>73</v>
      </c>
      <c r="BC1045" s="3" t="s">
        <v>13290</v>
      </c>
      <c r="BD1045" s="3" t="s">
        <v>13291</v>
      </c>
    </row>
    <row r="1046" spans="1:56" ht="51" customHeight="1" x14ac:dyDescent="0.25">
      <c r="A1046" s="7" t="s">
        <v>58</v>
      </c>
      <c r="B1046" s="2" t="s">
        <v>13278</v>
      </c>
      <c r="C1046" s="2" t="s">
        <v>13279</v>
      </c>
      <c r="D1046" s="2" t="s">
        <v>13280</v>
      </c>
      <c r="E1046" s="3" t="s">
        <v>13292</v>
      </c>
      <c r="F1046" s="3" t="s">
        <v>68</v>
      </c>
      <c r="G1046" s="3" t="s">
        <v>59</v>
      </c>
      <c r="H1046" s="3" t="s">
        <v>58</v>
      </c>
      <c r="I1046" s="3" t="s">
        <v>58</v>
      </c>
      <c r="J1046" s="3" t="s">
        <v>60</v>
      </c>
      <c r="K1046" s="2" t="s">
        <v>13282</v>
      </c>
      <c r="L1046" s="2" t="s">
        <v>13283</v>
      </c>
      <c r="M1046" s="3" t="s">
        <v>1153</v>
      </c>
      <c r="O1046" s="3" t="s">
        <v>63</v>
      </c>
      <c r="P1046" s="3" t="s">
        <v>3323</v>
      </c>
      <c r="Q1046" s="2" t="s">
        <v>13284</v>
      </c>
      <c r="R1046" s="3" t="s">
        <v>65</v>
      </c>
      <c r="S1046" s="4">
        <v>4</v>
      </c>
      <c r="T1046" s="4">
        <v>21</v>
      </c>
      <c r="U1046" s="5" t="s">
        <v>13285</v>
      </c>
      <c r="V1046" s="5" t="s">
        <v>13285</v>
      </c>
      <c r="W1046" s="5" t="s">
        <v>2616</v>
      </c>
      <c r="X1046" s="5" t="s">
        <v>2616</v>
      </c>
      <c r="Y1046" s="4">
        <v>97</v>
      </c>
      <c r="Z1046" s="4">
        <v>74</v>
      </c>
      <c r="AA1046" s="4">
        <v>76</v>
      </c>
      <c r="AB1046" s="4">
        <v>2</v>
      </c>
      <c r="AC1046" s="4">
        <v>2</v>
      </c>
      <c r="AD1046" s="4">
        <v>1</v>
      </c>
      <c r="AE1046" s="4">
        <v>1</v>
      </c>
      <c r="AF1046" s="4">
        <v>0</v>
      </c>
      <c r="AG1046" s="4">
        <v>0</v>
      </c>
      <c r="AH1046" s="4">
        <v>0</v>
      </c>
      <c r="AI1046" s="4">
        <v>0</v>
      </c>
      <c r="AJ1046" s="4">
        <v>0</v>
      </c>
      <c r="AK1046" s="4">
        <v>0</v>
      </c>
      <c r="AL1046" s="4">
        <v>1</v>
      </c>
      <c r="AM1046" s="4">
        <v>1</v>
      </c>
      <c r="AN1046" s="4">
        <v>0</v>
      </c>
      <c r="AO1046" s="4">
        <v>0</v>
      </c>
      <c r="AP1046" s="3" t="s">
        <v>58</v>
      </c>
      <c r="AQ1046" s="3" t="s">
        <v>68</v>
      </c>
      <c r="AR1046" s="6" t="str">
        <f>HYPERLINK("http://catalog.hathitrust.org/Record/001250756","HathiTrust Record")</f>
        <v>HathiTrust Record</v>
      </c>
      <c r="AS1046" s="6" t="str">
        <f>HYPERLINK("https://creighton-primo.hosted.exlibrisgroup.com/primo-explore/search?tab=default_tab&amp;search_scope=EVERYTHING&amp;vid=01CRU&amp;lang=en_US&amp;offset=0&amp;query=any,contains,991003211839702656","Catalog Record")</f>
        <v>Catalog Record</v>
      </c>
      <c r="AT1046" s="6" t="str">
        <f>HYPERLINK("http://www.worldcat.org/oclc/738270","WorldCat Record")</f>
        <v>WorldCat Record</v>
      </c>
      <c r="AU1046" s="3" t="s">
        <v>13286</v>
      </c>
      <c r="AV1046" s="3" t="s">
        <v>13287</v>
      </c>
      <c r="AW1046" s="3" t="s">
        <v>13288</v>
      </c>
      <c r="AX1046" s="3" t="s">
        <v>13288</v>
      </c>
      <c r="AY1046" s="3" t="s">
        <v>13289</v>
      </c>
      <c r="AZ1046" s="3" t="s">
        <v>73</v>
      </c>
      <c r="BC1046" s="3" t="s">
        <v>13293</v>
      </c>
      <c r="BD1046" s="3" t="s">
        <v>13294</v>
      </c>
    </row>
    <row r="1047" spans="1:56" ht="51" customHeight="1" x14ac:dyDescent="0.25">
      <c r="A1047" s="7" t="s">
        <v>58</v>
      </c>
      <c r="B1047" s="2" t="s">
        <v>13278</v>
      </c>
      <c r="C1047" s="2" t="s">
        <v>13279</v>
      </c>
      <c r="D1047" s="2" t="s">
        <v>13280</v>
      </c>
      <c r="E1047" s="3" t="s">
        <v>223</v>
      </c>
      <c r="F1047" s="3" t="s">
        <v>68</v>
      </c>
      <c r="G1047" s="3" t="s">
        <v>59</v>
      </c>
      <c r="H1047" s="3" t="s">
        <v>58</v>
      </c>
      <c r="I1047" s="3" t="s">
        <v>58</v>
      </c>
      <c r="J1047" s="3" t="s">
        <v>60</v>
      </c>
      <c r="K1047" s="2" t="s">
        <v>13282</v>
      </c>
      <c r="L1047" s="2" t="s">
        <v>13283</v>
      </c>
      <c r="M1047" s="3" t="s">
        <v>1153</v>
      </c>
      <c r="O1047" s="3" t="s">
        <v>63</v>
      </c>
      <c r="P1047" s="3" t="s">
        <v>3323</v>
      </c>
      <c r="Q1047" s="2" t="s">
        <v>13284</v>
      </c>
      <c r="R1047" s="3" t="s">
        <v>65</v>
      </c>
      <c r="S1047" s="4">
        <v>10</v>
      </c>
      <c r="T1047" s="4">
        <v>21</v>
      </c>
      <c r="U1047" s="5" t="s">
        <v>13285</v>
      </c>
      <c r="V1047" s="5" t="s">
        <v>13285</v>
      </c>
      <c r="W1047" s="5" t="s">
        <v>2616</v>
      </c>
      <c r="X1047" s="5" t="s">
        <v>2616</v>
      </c>
      <c r="Y1047" s="4">
        <v>97</v>
      </c>
      <c r="Z1047" s="4">
        <v>74</v>
      </c>
      <c r="AA1047" s="4">
        <v>76</v>
      </c>
      <c r="AB1047" s="4">
        <v>2</v>
      </c>
      <c r="AC1047" s="4">
        <v>2</v>
      </c>
      <c r="AD1047" s="4">
        <v>1</v>
      </c>
      <c r="AE1047" s="4">
        <v>1</v>
      </c>
      <c r="AF1047" s="4">
        <v>0</v>
      </c>
      <c r="AG1047" s="4">
        <v>0</v>
      </c>
      <c r="AH1047" s="4">
        <v>0</v>
      </c>
      <c r="AI1047" s="4">
        <v>0</v>
      </c>
      <c r="AJ1047" s="4">
        <v>0</v>
      </c>
      <c r="AK1047" s="4">
        <v>0</v>
      </c>
      <c r="AL1047" s="4">
        <v>1</v>
      </c>
      <c r="AM1047" s="4">
        <v>1</v>
      </c>
      <c r="AN1047" s="4">
        <v>0</v>
      </c>
      <c r="AO1047" s="4">
        <v>0</v>
      </c>
      <c r="AP1047" s="3" t="s">
        <v>58</v>
      </c>
      <c r="AQ1047" s="3" t="s">
        <v>68</v>
      </c>
      <c r="AR1047" s="6" t="str">
        <f>HYPERLINK("http://catalog.hathitrust.org/Record/001250756","HathiTrust Record")</f>
        <v>HathiTrust Record</v>
      </c>
      <c r="AS1047" s="6" t="str">
        <f>HYPERLINK("https://creighton-primo.hosted.exlibrisgroup.com/primo-explore/search?tab=default_tab&amp;search_scope=EVERYTHING&amp;vid=01CRU&amp;lang=en_US&amp;offset=0&amp;query=any,contains,991003211839702656","Catalog Record")</f>
        <v>Catalog Record</v>
      </c>
      <c r="AT1047" s="6" t="str">
        <f>HYPERLINK("http://www.worldcat.org/oclc/738270","WorldCat Record")</f>
        <v>WorldCat Record</v>
      </c>
      <c r="AU1047" s="3" t="s">
        <v>13286</v>
      </c>
      <c r="AV1047" s="3" t="s">
        <v>13287</v>
      </c>
      <c r="AW1047" s="3" t="s">
        <v>13288</v>
      </c>
      <c r="AX1047" s="3" t="s">
        <v>13288</v>
      </c>
      <c r="AY1047" s="3" t="s">
        <v>13289</v>
      </c>
      <c r="AZ1047" s="3" t="s">
        <v>73</v>
      </c>
      <c r="BC1047" s="3" t="s">
        <v>13295</v>
      </c>
      <c r="BD1047" s="3" t="s">
        <v>13296</v>
      </c>
    </row>
    <row r="1048" spans="1:56" ht="51" customHeight="1" x14ac:dyDescent="0.25">
      <c r="A1048" s="7" t="s">
        <v>58</v>
      </c>
      <c r="B1048" s="2" t="s">
        <v>13297</v>
      </c>
      <c r="C1048" s="2" t="s">
        <v>13298</v>
      </c>
      <c r="D1048" s="2" t="s">
        <v>13299</v>
      </c>
      <c r="F1048" s="3" t="s">
        <v>58</v>
      </c>
      <c r="G1048" s="3" t="s">
        <v>59</v>
      </c>
      <c r="H1048" s="3" t="s">
        <v>58</v>
      </c>
      <c r="I1048" s="3" t="s">
        <v>58</v>
      </c>
      <c r="J1048" s="3" t="s">
        <v>60</v>
      </c>
      <c r="K1048" s="2" t="s">
        <v>13300</v>
      </c>
      <c r="L1048" s="2" t="s">
        <v>13301</v>
      </c>
      <c r="M1048" s="3" t="s">
        <v>884</v>
      </c>
      <c r="O1048" s="3" t="s">
        <v>63</v>
      </c>
      <c r="P1048" s="3" t="s">
        <v>13302</v>
      </c>
      <c r="R1048" s="3" t="s">
        <v>65</v>
      </c>
      <c r="S1048" s="4">
        <v>7</v>
      </c>
      <c r="T1048" s="4">
        <v>7</v>
      </c>
      <c r="U1048" s="5" t="s">
        <v>13303</v>
      </c>
      <c r="V1048" s="5" t="s">
        <v>13303</v>
      </c>
      <c r="W1048" s="5" t="s">
        <v>2616</v>
      </c>
      <c r="X1048" s="5" t="s">
        <v>2616</v>
      </c>
      <c r="Y1048" s="4">
        <v>61</v>
      </c>
      <c r="Z1048" s="4">
        <v>44</v>
      </c>
      <c r="AA1048" s="4">
        <v>47</v>
      </c>
      <c r="AB1048" s="4">
        <v>1</v>
      </c>
      <c r="AC1048" s="4">
        <v>1</v>
      </c>
      <c r="AD1048" s="4">
        <v>2</v>
      </c>
      <c r="AE1048" s="4">
        <v>2</v>
      </c>
      <c r="AF1048" s="4">
        <v>0</v>
      </c>
      <c r="AG1048" s="4">
        <v>0</v>
      </c>
      <c r="AH1048" s="4">
        <v>0</v>
      </c>
      <c r="AI1048" s="4">
        <v>0</v>
      </c>
      <c r="AJ1048" s="4">
        <v>2</v>
      </c>
      <c r="AK1048" s="4">
        <v>2</v>
      </c>
      <c r="AL1048" s="4">
        <v>0</v>
      </c>
      <c r="AM1048" s="4">
        <v>0</v>
      </c>
      <c r="AN1048" s="4">
        <v>0</v>
      </c>
      <c r="AO1048" s="4">
        <v>0</v>
      </c>
      <c r="AP1048" s="3" t="s">
        <v>58</v>
      </c>
      <c r="AQ1048" s="3" t="s">
        <v>68</v>
      </c>
      <c r="AR1048" s="6" t="str">
        <f>HYPERLINK("http://catalog.hathitrust.org/Record/001867242","HathiTrust Record")</f>
        <v>HathiTrust Record</v>
      </c>
      <c r="AS1048" s="6" t="str">
        <f>HYPERLINK("https://creighton-primo.hosted.exlibrisgroup.com/primo-explore/search?tab=default_tab&amp;search_scope=EVERYTHING&amp;vid=01CRU&amp;lang=en_US&amp;offset=0&amp;query=any,contains,991000306259702656","Catalog Record")</f>
        <v>Catalog Record</v>
      </c>
      <c r="AT1048" s="6" t="str">
        <f>HYPERLINK("http://www.worldcat.org/oclc/10070793","WorldCat Record")</f>
        <v>WorldCat Record</v>
      </c>
      <c r="AU1048" s="3" t="s">
        <v>13304</v>
      </c>
      <c r="AV1048" s="3" t="s">
        <v>13305</v>
      </c>
      <c r="AW1048" s="3" t="s">
        <v>13306</v>
      </c>
      <c r="AX1048" s="3" t="s">
        <v>13306</v>
      </c>
      <c r="AY1048" s="3" t="s">
        <v>13307</v>
      </c>
      <c r="AZ1048" s="3" t="s">
        <v>73</v>
      </c>
      <c r="BC1048" s="3" t="s">
        <v>13308</v>
      </c>
      <c r="BD1048" s="3" t="s">
        <v>13309</v>
      </c>
    </row>
    <row r="1049" spans="1:56" ht="51" customHeight="1" x14ac:dyDescent="0.25">
      <c r="A1049" s="7" t="s">
        <v>58</v>
      </c>
      <c r="B1049" s="2" t="s">
        <v>13310</v>
      </c>
      <c r="C1049" s="2" t="s">
        <v>13311</v>
      </c>
      <c r="D1049" s="2" t="s">
        <v>13312</v>
      </c>
      <c r="F1049" s="3" t="s">
        <v>58</v>
      </c>
      <c r="G1049" s="3" t="s">
        <v>59</v>
      </c>
      <c r="H1049" s="3" t="s">
        <v>58</v>
      </c>
      <c r="I1049" s="3" t="s">
        <v>58</v>
      </c>
      <c r="J1049" s="3" t="s">
        <v>60</v>
      </c>
      <c r="K1049" s="2" t="s">
        <v>13313</v>
      </c>
      <c r="L1049" s="2" t="s">
        <v>13314</v>
      </c>
      <c r="M1049" s="3" t="s">
        <v>138</v>
      </c>
      <c r="O1049" s="3" t="s">
        <v>63</v>
      </c>
      <c r="P1049" s="3" t="s">
        <v>584</v>
      </c>
      <c r="R1049" s="3" t="s">
        <v>65</v>
      </c>
      <c r="S1049" s="4">
        <v>16</v>
      </c>
      <c r="T1049" s="4">
        <v>16</v>
      </c>
      <c r="U1049" s="5" t="s">
        <v>4759</v>
      </c>
      <c r="V1049" s="5" t="s">
        <v>4759</v>
      </c>
      <c r="W1049" s="5" t="s">
        <v>8127</v>
      </c>
      <c r="X1049" s="5" t="s">
        <v>8127</v>
      </c>
      <c r="Y1049" s="4">
        <v>656</v>
      </c>
      <c r="Z1049" s="4">
        <v>442</v>
      </c>
      <c r="AA1049" s="4">
        <v>446</v>
      </c>
      <c r="AB1049" s="4">
        <v>4</v>
      </c>
      <c r="AC1049" s="4">
        <v>4</v>
      </c>
      <c r="AD1049" s="4">
        <v>18</v>
      </c>
      <c r="AE1049" s="4">
        <v>18</v>
      </c>
      <c r="AF1049" s="4">
        <v>7</v>
      </c>
      <c r="AG1049" s="4">
        <v>7</v>
      </c>
      <c r="AH1049" s="4">
        <v>4</v>
      </c>
      <c r="AI1049" s="4">
        <v>4</v>
      </c>
      <c r="AJ1049" s="4">
        <v>10</v>
      </c>
      <c r="AK1049" s="4">
        <v>10</v>
      </c>
      <c r="AL1049" s="4">
        <v>3</v>
      </c>
      <c r="AM1049" s="4">
        <v>3</v>
      </c>
      <c r="AN1049" s="4">
        <v>0</v>
      </c>
      <c r="AO1049" s="4">
        <v>0</v>
      </c>
      <c r="AP1049" s="3" t="s">
        <v>58</v>
      </c>
      <c r="AQ1049" s="3" t="s">
        <v>58</v>
      </c>
      <c r="AS1049" s="6" t="str">
        <f>HYPERLINK("https://creighton-primo.hosted.exlibrisgroup.com/primo-explore/search?tab=default_tab&amp;search_scope=EVERYTHING&amp;vid=01CRU&amp;lang=en_US&amp;offset=0&amp;query=any,contains,991005393799702656","Catalog Record")</f>
        <v>Catalog Record</v>
      </c>
      <c r="AT1049" s="6" t="str">
        <f>HYPERLINK("http://www.worldcat.org/oclc/8193940","WorldCat Record")</f>
        <v>WorldCat Record</v>
      </c>
      <c r="AU1049" s="3" t="s">
        <v>13315</v>
      </c>
      <c r="AV1049" s="3" t="s">
        <v>13316</v>
      </c>
      <c r="AW1049" s="3" t="s">
        <v>13317</v>
      </c>
      <c r="AX1049" s="3" t="s">
        <v>13317</v>
      </c>
      <c r="AY1049" s="3" t="s">
        <v>13318</v>
      </c>
      <c r="AZ1049" s="3" t="s">
        <v>73</v>
      </c>
      <c r="BB1049" s="3" t="s">
        <v>13319</v>
      </c>
      <c r="BC1049" s="3" t="s">
        <v>13320</v>
      </c>
      <c r="BD1049" s="3" t="s">
        <v>13321</v>
      </c>
    </row>
    <row r="1050" spans="1:56" ht="51" customHeight="1" x14ac:dyDescent="0.25">
      <c r="A1050" s="7" t="s">
        <v>58</v>
      </c>
      <c r="B1050" s="2" t="s">
        <v>13322</v>
      </c>
      <c r="C1050" s="2" t="s">
        <v>13323</v>
      </c>
      <c r="D1050" s="2" t="s">
        <v>13324</v>
      </c>
      <c r="F1050" s="3" t="s">
        <v>58</v>
      </c>
      <c r="G1050" s="3" t="s">
        <v>59</v>
      </c>
      <c r="H1050" s="3" t="s">
        <v>58</v>
      </c>
      <c r="I1050" s="3" t="s">
        <v>58</v>
      </c>
      <c r="J1050" s="3" t="s">
        <v>60</v>
      </c>
      <c r="K1050" s="2" t="s">
        <v>13325</v>
      </c>
      <c r="L1050" s="2" t="s">
        <v>13326</v>
      </c>
      <c r="M1050" s="3" t="s">
        <v>249</v>
      </c>
      <c r="N1050" s="2" t="s">
        <v>13327</v>
      </c>
      <c r="O1050" s="3" t="s">
        <v>63</v>
      </c>
      <c r="P1050" s="3" t="s">
        <v>214</v>
      </c>
      <c r="Q1050" s="2" t="s">
        <v>13328</v>
      </c>
      <c r="R1050" s="3" t="s">
        <v>65</v>
      </c>
      <c r="S1050" s="4">
        <v>13</v>
      </c>
      <c r="T1050" s="4">
        <v>13</v>
      </c>
      <c r="U1050" s="5" t="s">
        <v>13329</v>
      </c>
      <c r="V1050" s="5" t="s">
        <v>13329</v>
      </c>
      <c r="W1050" s="5" t="s">
        <v>13330</v>
      </c>
      <c r="X1050" s="5" t="s">
        <v>13330</v>
      </c>
      <c r="Y1050" s="4">
        <v>732</v>
      </c>
      <c r="Z1050" s="4">
        <v>696</v>
      </c>
      <c r="AA1050" s="4">
        <v>797</v>
      </c>
      <c r="AB1050" s="4">
        <v>5</v>
      </c>
      <c r="AC1050" s="4">
        <v>7</v>
      </c>
      <c r="AD1050" s="4">
        <v>19</v>
      </c>
      <c r="AE1050" s="4">
        <v>23</v>
      </c>
      <c r="AF1050" s="4">
        <v>8</v>
      </c>
      <c r="AG1050" s="4">
        <v>9</v>
      </c>
      <c r="AH1050" s="4">
        <v>2</v>
      </c>
      <c r="AI1050" s="4">
        <v>2</v>
      </c>
      <c r="AJ1050" s="4">
        <v>7</v>
      </c>
      <c r="AK1050" s="4">
        <v>10</v>
      </c>
      <c r="AL1050" s="4">
        <v>3</v>
      </c>
      <c r="AM1050" s="4">
        <v>4</v>
      </c>
      <c r="AN1050" s="4">
        <v>0</v>
      </c>
      <c r="AO1050" s="4">
        <v>0</v>
      </c>
      <c r="AP1050" s="3" t="s">
        <v>58</v>
      </c>
      <c r="AQ1050" s="3" t="s">
        <v>68</v>
      </c>
      <c r="AR1050" s="6" t="str">
        <f>HYPERLINK("http://catalog.hathitrust.org/Record/001249904","HathiTrust Record")</f>
        <v>HathiTrust Record</v>
      </c>
      <c r="AS1050" s="6" t="str">
        <f>HYPERLINK("https://creighton-primo.hosted.exlibrisgroup.com/primo-explore/search?tab=default_tab&amp;search_scope=EVERYTHING&amp;vid=01CRU&amp;lang=en_US&amp;offset=0&amp;query=any,contains,991003790699702656","Catalog Record")</f>
        <v>Catalog Record</v>
      </c>
      <c r="AT1050" s="6" t="str">
        <f>HYPERLINK("http://www.worldcat.org/oclc/1509398","WorldCat Record")</f>
        <v>WorldCat Record</v>
      </c>
      <c r="AU1050" s="3" t="s">
        <v>13331</v>
      </c>
      <c r="AV1050" s="3" t="s">
        <v>13332</v>
      </c>
      <c r="AW1050" s="3" t="s">
        <v>13333</v>
      </c>
      <c r="AX1050" s="3" t="s">
        <v>13333</v>
      </c>
      <c r="AY1050" s="3" t="s">
        <v>13334</v>
      </c>
      <c r="AZ1050" s="3" t="s">
        <v>73</v>
      </c>
      <c r="BC1050" s="3" t="s">
        <v>13335</v>
      </c>
      <c r="BD1050" s="3" t="s">
        <v>13336</v>
      </c>
    </row>
    <row r="1051" spans="1:56" ht="51" customHeight="1" x14ac:dyDescent="0.25">
      <c r="A1051" s="7" t="s">
        <v>58</v>
      </c>
      <c r="B1051" s="2" t="s">
        <v>13337</v>
      </c>
      <c r="C1051" s="2" t="s">
        <v>13338</v>
      </c>
      <c r="D1051" s="2" t="s">
        <v>13339</v>
      </c>
      <c r="F1051" s="3" t="s">
        <v>58</v>
      </c>
      <c r="G1051" s="3" t="s">
        <v>59</v>
      </c>
      <c r="H1051" s="3" t="s">
        <v>58</v>
      </c>
      <c r="I1051" s="3" t="s">
        <v>58</v>
      </c>
      <c r="J1051" s="3" t="s">
        <v>60</v>
      </c>
      <c r="K1051" s="2" t="s">
        <v>13340</v>
      </c>
      <c r="L1051" s="2" t="s">
        <v>13341</v>
      </c>
      <c r="M1051" s="3" t="s">
        <v>325</v>
      </c>
      <c r="O1051" s="3" t="s">
        <v>63</v>
      </c>
      <c r="P1051" s="3" t="s">
        <v>214</v>
      </c>
      <c r="Q1051" s="2" t="s">
        <v>13342</v>
      </c>
      <c r="R1051" s="3" t="s">
        <v>65</v>
      </c>
      <c r="S1051" s="4">
        <v>12</v>
      </c>
      <c r="T1051" s="4">
        <v>12</v>
      </c>
      <c r="U1051" s="5" t="s">
        <v>11149</v>
      </c>
      <c r="V1051" s="5" t="s">
        <v>11149</v>
      </c>
      <c r="W1051" s="5" t="s">
        <v>13343</v>
      </c>
      <c r="X1051" s="5" t="s">
        <v>13343</v>
      </c>
      <c r="Y1051" s="4">
        <v>580</v>
      </c>
      <c r="Z1051" s="4">
        <v>532</v>
      </c>
      <c r="AA1051" s="4">
        <v>1663</v>
      </c>
      <c r="AB1051" s="4">
        <v>5</v>
      </c>
      <c r="AC1051" s="4">
        <v>9</v>
      </c>
      <c r="AD1051" s="4">
        <v>21</v>
      </c>
      <c r="AE1051" s="4">
        <v>56</v>
      </c>
      <c r="AF1051" s="4">
        <v>8</v>
      </c>
      <c r="AG1051" s="4">
        <v>23</v>
      </c>
      <c r="AH1051" s="4">
        <v>3</v>
      </c>
      <c r="AI1051" s="4">
        <v>11</v>
      </c>
      <c r="AJ1051" s="4">
        <v>9</v>
      </c>
      <c r="AK1051" s="4">
        <v>24</v>
      </c>
      <c r="AL1051" s="4">
        <v>4</v>
      </c>
      <c r="AM1051" s="4">
        <v>8</v>
      </c>
      <c r="AN1051" s="4">
        <v>0</v>
      </c>
      <c r="AO1051" s="4">
        <v>2</v>
      </c>
      <c r="AP1051" s="3" t="s">
        <v>58</v>
      </c>
      <c r="AQ1051" s="3" t="s">
        <v>68</v>
      </c>
      <c r="AR1051" s="6" t="str">
        <f>HYPERLINK("http://catalog.hathitrust.org/Record/001250254","HathiTrust Record")</f>
        <v>HathiTrust Record</v>
      </c>
      <c r="AS1051" s="6" t="str">
        <f>HYPERLINK("https://creighton-primo.hosted.exlibrisgroup.com/primo-explore/search?tab=default_tab&amp;search_scope=EVERYTHING&amp;vid=01CRU&amp;lang=en_US&amp;offset=0&amp;query=any,contains,991005355479702656","Catalog Record")</f>
        <v>Catalog Record</v>
      </c>
      <c r="AT1051" s="6" t="str">
        <f>HYPERLINK("http://www.worldcat.org/oclc/445761","WorldCat Record")</f>
        <v>WorldCat Record</v>
      </c>
      <c r="AU1051" s="3" t="s">
        <v>13344</v>
      </c>
      <c r="AV1051" s="3" t="s">
        <v>13345</v>
      </c>
      <c r="AW1051" s="3" t="s">
        <v>13346</v>
      </c>
      <c r="AX1051" s="3" t="s">
        <v>13346</v>
      </c>
      <c r="AY1051" s="3" t="s">
        <v>13347</v>
      </c>
      <c r="AZ1051" s="3" t="s">
        <v>73</v>
      </c>
      <c r="BC1051" s="3" t="s">
        <v>13348</v>
      </c>
      <c r="BD1051" s="3" t="s">
        <v>13349</v>
      </c>
    </row>
    <row r="1052" spans="1:56" ht="51" customHeight="1" x14ac:dyDescent="0.25">
      <c r="A1052" s="7" t="s">
        <v>58</v>
      </c>
      <c r="B1052" s="2" t="s">
        <v>13350</v>
      </c>
      <c r="C1052" s="2" t="s">
        <v>13351</v>
      </c>
      <c r="D1052" s="2" t="s">
        <v>13352</v>
      </c>
      <c r="F1052" s="3" t="s">
        <v>58</v>
      </c>
      <c r="G1052" s="3" t="s">
        <v>59</v>
      </c>
      <c r="H1052" s="3" t="s">
        <v>58</v>
      </c>
      <c r="I1052" s="3" t="s">
        <v>58</v>
      </c>
      <c r="J1052" s="3" t="s">
        <v>60</v>
      </c>
      <c r="K1052" s="2" t="s">
        <v>13353</v>
      </c>
      <c r="L1052" s="2" t="s">
        <v>13354</v>
      </c>
      <c r="M1052" s="3" t="s">
        <v>2757</v>
      </c>
      <c r="O1052" s="3" t="s">
        <v>63</v>
      </c>
      <c r="P1052" s="3" t="s">
        <v>2061</v>
      </c>
      <c r="Q1052" s="2" t="s">
        <v>13355</v>
      </c>
      <c r="R1052" s="3" t="s">
        <v>65</v>
      </c>
      <c r="S1052" s="4">
        <v>4</v>
      </c>
      <c r="T1052" s="4">
        <v>4</v>
      </c>
      <c r="U1052" s="5" t="s">
        <v>13356</v>
      </c>
      <c r="V1052" s="5" t="s">
        <v>13356</v>
      </c>
      <c r="W1052" s="5" t="s">
        <v>2616</v>
      </c>
      <c r="X1052" s="5" t="s">
        <v>2616</v>
      </c>
      <c r="Y1052" s="4">
        <v>683</v>
      </c>
      <c r="Z1052" s="4">
        <v>589</v>
      </c>
      <c r="AA1052" s="4">
        <v>630</v>
      </c>
      <c r="AB1052" s="4">
        <v>4</v>
      </c>
      <c r="AC1052" s="4">
        <v>4</v>
      </c>
      <c r="AD1052" s="4">
        <v>25</v>
      </c>
      <c r="AE1052" s="4">
        <v>26</v>
      </c>
      <c r="AF1052" s="4">
        <v>6</v>
      </c>
      <c r="AG1052" s="4">
        <v>6</v>
      </c>
      <c r="AH1052" s="4">
        <v>6</v>
      </c>
      <c r="AI1052" s="4">
        <v>7</v>
      </c>
      <c r="AJ1052" s="4">
        <v>15</v>
      </c>
      <c r="AK1052" s="4">
        <v>15</v>
      </c>
      <c r="AL1052" s="4">
        <v>3</v>
      </c>
      <c r="AM1052" s="4">
        <v>3</v>
      </c>
      <c r="AN1052" s="4">
        <v>1</v>
      </c>
      <c r="AO1052" s="4">
        <v>1</v>
      </c>
      <c r="AP1052" s="3" t="s">
        <v>58</v>
      </c>
      <c r="AQ1052" s="3" t="s">
        <v>58</v>
      </c>
      <c r="AS1052" s="6" t="str">
        <f>HYPERLINK("https://creighton-primo.hosted.exlibrisgroup.com/primo-explore/search?tab=default_tab&amp;search_scope=EVERYTHING&amp;vid=01CRU&amp;lang=en_US&amp;offset=0&amp;query=any,contains,991002554159702656","Catalog Record")</f>
        <v>Catalog Record</v>
      </c>
      <c r="AT1052" s="6" t="str">
        <f>HYPERLINK("http://www.worldcat.org/oclc/370820","WorldCat Record")</f>
        <v>WorldCat Record</v>
      </c>
      <c r="AU1052" s="3" t="s">
        <v>13357</v>
      </c>
      <c r="AV1052" s="3" t="s">
        <v>13358</v>
      </c>
      <c r="AW1052" s="3" t="s">
        <v>13359</v>
      </c>
      <c r="AX1052" s="3" t="s">
        <v>13359</v>
      </c>
      <c r="AY1052" s="3" t="s">
        <v>13360</v>
      </c>
      <c r="AZ1052" s="3" t="s">
        <v>73</v>
      </c>
      <c r="BC1052" s="3" t="s">
        <v>13361</v>
      </c>
      <c r="BD1052" s="3" t="s">
        <v>13362</v>
      </c>
    </row>
    <row r="1053" spans="1:56" ht="51" customHeight="1" x14ac:dyDescent="0.25">
      <c r="A1053" s="7" t="s">
        <v>58</v>
      </c>
      <c r="B1053" s="2" t="s">
        <v>13363</v>
      </c>
      <c r="C1053" s="2" t="s">
        <v>13364</v>
      </c>
      <c r="D1053" s="2" t="s">
        <v>13365</v>
      </c>
      <c r="F1053" s="3" t="s">
        <v>58</v>
      </c>
      <c r="G1053" s="3" t="s">
        <v>59</v>
      </c>
      <c r="H1053" s="3" t="s">
        <v>58</v>
      </c>
      <c r="I1053" s="3" t="s">
        <v>58</v>
      </c>
      <c r="J1053" s="3" t="s">
        <v>60</v>
      </c>
      <c r="K1053" s="2" t="s">
        <v>13366</v>
      </c>
      <c r="L1053" s="2" t="s">
        <v>13367</v>
      </c>
      <c r="M1053" s="3" t="s">
        <v>2132</v>
      </c>
      <c r="O1053" s="3" t="s">
        <v>63</v>
      </c>
      <c r="P1053" s="3" t="s">
        <v>354</v>
      </c>
      <c r="Q1053" s="2" t="s">
        <v>13368</v>
      </c>
      <c r="R1053" s="3" t="s">
        <v>65</v>
      </c>
      <c r="S1053" s="4">
        <v>2</v>
      </c>
      <c r="T1053" s="4">
        <v>2</v>
      </c>
      <c r="U1053" s="5" t="s">
        <v>13369</v>
      </c>
      <c r="V1053" s="5" t="s">
        <v>13369</v>
      </c>
      <c r="W1053" s="5" t="s">
        <v>2616</v>
      </c>
      <c r="X1053" s="5" t="s">
        <v>2616</v>
      </c>
      <c r="Y1053" s="4">
        <v>731</v>
      </c>
      <c r="Z1053" s="4">
        <v>631</v>
      </c>
      <c r="AA1053" s="4">
        <v>636</v>
      </c>
      <c r="AB1053" s="4">
        <v>6</v>
      </c>
      <c r="AC1053" s="4">
        <v>6</v>
      </c>
      <c r="AD1053" s="4">
        <v>29</v>
      </c>
      <c r="AE1053" s="4">
        <v>29</v>
      </c>
      <c r="AF1053" s="4">
        <v>9</v>
      </c>
      <c r="AG1053" s="4">
        <v>9</v>
      </c>
      <c r="AH1053" s="4">
        <v>6</v>
      </c>
      <c r="AI1053" s="4">
        <v>6</v>
      </c>
      <c r="AJ1053" s="4">
        <v>14</v>
      </c>
      <c r="AK1053" s="4">
        <v>14</v>
      </c>
      <c r="AL1053" s="4">
        <v>5</v>
      </c>
      <c r="AM1053" s="4">
        <v>5</v>
      </c>
      <c r="AN1053" s="4">
        <v>0</v>
      </c>
      <c r="AO1053" s="4">
        <v>0</v>
      </c>
      <c r="AP1053" s="3" t="s">
        <v>58</v>
      </c>
      <c r="AQ1053" s="3" t="s">
        <v>68</v>
      </c>
      <c r="AR1053" s="6" t="str">
        <f>HYPERLINK("http://catalog.hathitrust.org/Record/001250264","HathiTrust Record")</f>
        <v>HathiTrust Record</v>
      </c>
      <c r="AS1053" s="6" t="str">
        <f>HYPERLINK("https://creighton-primo.hosted.exlibrisgroup.com/primo-explore/search?tab=default_tab&amp;search_scope=EVERYTHING&amp;vid=01CRU&amp;lang=en_US&amp;offset=0&amp;query=any,contains,991002755699702656","Catalog Record")</f>
        <v>Catalog Record</v>
      </c>
      <c r="AT1053" s="6" t="str">
        <f>HYPERLINK("http://www.worldcat.org/oclc/426380","WorldCat Record")</f>
        <v>WorldCat Record</v>
      </c>
      <c r="AU1053" s="3" t="s">
        <v>13370</v>
      </c>
      <c r="AV1053" s="3" t="s">
        <v>13371</v>
      </c>
      <c r="AW1053" s="3" t="s">
        <v>13372</v>
      </c>
      <c r="AX1053" s="3" t="s">
        <v>13372</v>
      </c>
      <c r="AY1053" s="3" t="s">
        <v>13373</v>
      </c>
      <c r="AZ1053" s="3" t="s">
        <v>73</v>
      </c>
      <c r="BC1053" s="3" t="s">
        <v>13374</v>
      </c>
      <c r="BD1053" s="3" t="s">
        <v>13375</v>
      </c>
    </row>
    <row r="1054" spans="1:56" ht="51" customHeight="1" x14ac:dyDescent="0.25">
      <c r="A1054" s="7" t="s">
        <v>58</v>
      </c>
      <c r="B1054" s="2" t="s">
        <v>13376</v>
      </c>
      <c r="C1054" s="2" t="s">
        <v>13377</v>
      </c>
      <c r="D1054" s="2" t="s">
        <v>13378</v>
      </c>
      <c r="E1054" s="3" t="s">
        <v>223</v>
      </c>
      <c r="F1054" s="3" t="s">
        <v>68</v>
      </c>
      <c r="G1054" s="3" t="s">
        <v>59</v>
      </c>
      <c r="H1054" s="3" t="s">
        <v>58</v>
      </c>
      <c r="I1054" s="3" t="s">
        <v>58</v>
      </c>
      <c r="J1054" s="3" t="s">
        <v>60</v>
      </c>
      <c r="K1054" s="2" t="s">
        <v>13379</v>
      </c>
      <c r="L1054" s="2" t="s">
        <v>13380</v>
      </c>
      <c r="M1054" s="3" t="s">
        <v>996</v>
      </c>
      <c r="O1054" s="3" t="s">
        <v>63</v>
      </c>
      <c r="P1054" s="3" t="s">
        <v>3323</v>
      </c>
      <c r="R1054" s="3" t="s">
        <v>65</v>
      </c>
      <c r="S1054" s="4">
        <v>7</v>
      </c>
      <c r="T1054" s="4">
        <v>10</v>
      </c>
      <c r="U1054" s="5" t="s">
        <v>13329</v>
      </c>
      <c r="V1054" s="5" t="s">
        <v>13285</v>
      </c>
      <c r="W1054" s="5" t="s">
        <v>2616</v>
      </c>
      <c r="X1054" s="5" t="s">
        <v>2616</v>
      </c>
      <c r="Y1054" s="4">
        <v>59</v>
      </c>
      <c r="Z1054" s="4">
        <v>42</v>
      </c>
      <c r="AA1054" s="4">
        <v>115</v>
      </c>
      <c r="AB1054" s="4">
        <v>1</v>
      </c>
      <c r="AC1054" s="4">
        <v>2</v>
      </c>
      <c r="AD1054" s="4">
        <v>1</v>
      </c>
      <c r="AE1054" s="4">
        <v>4</v>
      </c>
      <c r="AF1054" s="4">
        <v>0</v>
      </c>
      <c r="AG1054" s="4">
        <v>1</v>
      </c>
      <c r="AH1054" s="4">
        <v>1</v>
      </c>
      <c r="AI1054" s="4">
        <v>2</v>
      </c>
      <c r="AJ1054" s="4">
        <v>0</v>
      </c>
      <c r="AK1054" s="4">
        <v>0</v>
      </c>
      <c r="AL1054" s="4">
        <v>0</v>
      </c>
      <c r="AM1054" s="4">
        <v>1</v>
      </c>
      <c r="AN1054" s="4">
        <v>0</v>
      </c>
      <c r="AO1054" s="4">
        <v>0</v>
      </c>
      <c r="AP1054" s="3" t="s">
        <v>58</v>
      </c>
      <c r="AQ1054" s="3" t="s">
        <v>68</v>
      </c>
      <c r="AR1054" s="6" t="str">
        <f>HYPERLINK("http://catalog.hathitrust.org/Record/012155419","HathiTrust Record")</f>
        <v>HathiTrust Record</v>
      </c>
      <c r="AS1054" s="6" t="str">
        <f>HYPERLINK("https://creighton-primo.hosted.exlibrisgroup.com/primo-explore/search?tab=default_tab&amp;search_scope=EVERYTHING&amp;vid=01CRU&amp;lang=en_US&amp;offset=0&amp;query=any,contains,991002936049702656","Catalog Record")</f>
        <v>Catalog Record</v>
      </c>
      <c r="AT1054" s="6" t="str">
        <f>HYPERLINK("http://www.worldcat.org/oclc/533262","WorldCat Record")</f>
        <v>WorldCat Record</v>
      </c>
      <c r="AU1054" s="3" t="s">
        <v>13381</v>
      </c>
      <c r="AV1054" s="3" t="s">
        <v>13382</v>
      </c>
      <c r="AW1054" s="3" t="s">
        <v>13383</v>
      </c>
      <c r="AX1054" s="3" t="s">
        <v>13383</v>
      </c>
      <c r="AY1054" s="3" t="s">
        <v>13384</v>
      </c>
      <c r="AZ1054" s="3" t="s">
        <v>73</v>
      </c>
      <c r="BC1054" s="3" t="s">
        <v>13385</v>
      </c>
      <c r="BD1054" s="3" t="s">
        <v>13386</v>
      </c>
    </row>
    <row r="1055" spans="1:56" ht="51" customHeight="1" x14ac:dyDescent="0.25">
      <c r="A1055" s="7" t="s">
        <v>58</v>
      </c>
      <c r="B1055" s="2" t="s">
        <v>13376</v>
      </c>
      <c r="C1055" s="2" t="s">
        <v>13377</v>
      </c>
      <c r="D1055" s="2" t="s">
        <v>13378</v>
      </c>
      <c r="E1055" s="3" t="s">
        <v>210</v>
      </c>
      <c r="F1055" s="3" t="s">
        <v>68</v>
      </c>
      <c r="G1055" s="3" t="s">
        <v>59</v>
      </c>
      <c r="H1055" s="3" t="s">
        <v>58</v>
      </c>
      <c r="I1055" s="3" t="s">
        <v>58</v>
      </c>
      <c r="J1055" s="3" t="s">
        <v>60</v>
      </c>
      <c r="K1055" s="2" t="s">
        <v>13379</v>
      </c>
      <c r="L1055" s="2" t="s">
        <v>13380</v>
      </c>
      <c r="M1055" s="3" t="s">
        <v>996</v>
      </c>
      <c r="O1055" s="3" t="s">
        <v>63</v>
      </c>
      <c r="P1055" s="3" t="s">
        <v>3323</v>
      </c>
      <c r="R1055" s="3" t="s">
        <v>65</v>
      </c>
      <c r="S1055" s="4">
        <v>3</v>
      </c>
      <c r="T1055" s="4">
        <v>10</v>
      </c>
      <c r="U1055" s="5" t="s">
        <v>13285</v>
      </c>
      <c r="V1055" s="5" t="s">
        <v>13285</v>
      </c>
      <c r="W1055" s="5" t="s">
        <v>2616</v>
      </c>
      <c r="X1055" s="5" t="s">
        <v>2616</v>
      </c>
      <c r="Y1055" s="4">
        <v>59</v>
      </c>
      <c r="Z1055" s="4">
        <v>42</v>
      </c>
      <c r="AA1055" s="4">
        <v>115</v>
      </c>
      <c r="AB1055" s="4">
        <v>1</v>
      </c>
      <c r="AC1055" s="4">
        <v>2</v>
      </c>
      <c r="AD1055" s="4">
        <v>1</v>
      </c>
      <c r="AE1055" s="4">
        <v>4</v>
      </c>
      <c r="AF1055" s="4">
        <v>0</v>
      </c>
      <c r="AG1055" s="4">
        <v>1</v>
      </c>
      <c r="AH1055" s="4">
        <v>1</v>
      </c>
      <c r="AI1055" s="4">
        <v>2</v>
      </c>
      <c r="AJ1055" s="4">
        <v>0</v>
      </c>
      <c r="AK1055" s="4">
        <v>0</v>
      </c>
      <c r="AL1055" s="4">
        <v>0</v>
      </c>
      <c r="AM1055" s="4">
        <v>1</v>
      </c>
      <c r="AN1055" s="4">
        <v>0</v>
      </c>
      <c r="AO1055" s="4">
        <v>0</v>
      </c>
      <c r="AP1055" s="3" t="s">
        <v>58</v>
      </c>
      <c r="AQ1055" s="3" t="s">
        <v>68</v>
      </c>
      <c r="AR1055" s="6" t="str">
        <f>HYPERLINK("http://catalog.hathitrust.org/Record/012155419","HathiTrust Record")</f>
        <v>HathiTrust Record</v>
      </c>
      <c r="AS1055" s="6" t="str">
        <f>HYPERLINK("https://creighton-primo.hosted.exlibrisgroup.com/primo-explore/search?tab=default_tab&amp;search_scope=EVERYTHING&amp;vid=01CRU&amp;lang=en_US&amp;offset=0&amp;query=any,contains,991002936049702656","Catalog Record")</f>
        <v>Catalog Record</v>
      </c>
      <c r="AT1055" s="6" t="str">
        <f>HYPERLINK("http://www.worldcat.org/oclc/533262","WorldCat Record")</f>
        <v>WorldCat Record</v>
      </c>
      <c r="AU1055" s="3" t="s">
        <v>13381</v>
      </c>
      <c r="AV1055" s="3" t="s">
        <v>13382</v>
      </c>
      <c r="AW1055" s="3" t="s">
        <v>13383</v>
      </c>
      <c r="AX1055" s="3" t="s">
        <v>13383</v>
      </c>
      <c r="AY1055" s="3" t="s">
        <v>13384</v>
      </c>
      <c r="AZ1055" s="3" t="s">
        <v>73</v>
      </c>
      <c r="BC1055" s="3" t="s">
        <v>13387</v>
      </c>
      <c r="BD1055" s="3" t="s">
        <v>13388</v>
      </c>
    </row>
    <row r="1056" spans="1:56" ht="51" customHeight="1" x14ac:dyDescent="0.25">
      <c r="A1056" s="7" t="s">
        <v>58</v>
      </c>
      <c r="B1056" s="2" t="s">
        <v>13389</v>
      </c>
      <c r="C1056" s="2" t="s">
        <v>13390</v>
      </c>
      <c r="D1056" s="2" t="s">
        <v>13391</v>
      </c>
      <c r="F1056" s="3" t="s">
        <v>58</v>
      </c>
      <c r="G1056" s="3" t="s">
        <v>59</v>
      </c>
      <c r="H1056" s="3" t="s">
        <v>58</v>
      </c>
      <c r="I1056" s="3" t="s">
        <v>58</v>
      </c>
      <c r="J1056" s="3" t="s">
        <v>60</v>
      </c>
      <c r="K1056" s="2" t="s">
        <v>13392</v>
      </c>
      <c r="L1056" s="2" t="s">
        <v>13393</v>
      </c>
      <c r="M1056" s="3" t="s">
        <v>2757</v>
      </c>
      <c r="N1056" s="2" t="s">
        <v>13327</v>
      </c>
      <c r="O1056" s="3" t="s">
        <v>63</v>
      </c>
      <c r="P1056" s="3" t="s">
        <v>214</v>
      </c>
      <c r="R1056" s="3" t="s">
        <v>65</v>
      </c>
      <c r="S1056" s="4">
        <v>14</v>
      </c>
      <c r="T1056" s="4">
        <v>14</v>
      </c>
      <c r="U1056" s="5" t="s">
        <v>13329</v>
      </c>
      <c r="V1056" s="5" t="s">
        <v>13329</v>
      </c>
      <c r="W1056" s="5" t="s">
        <v>13394</v>
      </c>
      <c r="X1056" s="5" t="s">
        <v>13394</v>
      </c>
      <c r="Y1056" s="4">
        <v>437</v>
      </c>
      <c r="Z1056" s="4">
        <v>423</v>
      </c>
      <c r="AA1056" s="4">
        <v>512</v>
      </c>
      <c r="AB1056" s="4">
        <v>3</v>
      </c>
      <c r="AC1056" s="4">
        <v>4</v>
      </c>
      <c r="AD1056" s="4">
        <v>17</v>
      </c>
      <c r="AE1056" s="4">
        <v>21</v>
      </c>
      <c r="AF1056" s="4">
        <v>4</v>
      </c>
      <c r="AG1056" s="4">
        <v>5</v>
      </c>
      <c r="AH1056" s="4">
        <v>4</v>
      </c>
      <c r="AI1056" s="4">
        <v>5</v>
      </c>
      <c r="AJ1056" s="4">
        <v>8</v>
      </c>
      <c r="AK1056" s="4">
        <v>11</v>
      </c>
      <c r="AL1056" s="4">
        <v>2</v>
      </c>
      <c r="AM1056" s="4">
        <v>3</v>
      </c>
      <c r="AN1056" s="4">
        <v>0</v>
      </c>
      <c r="AO1056" s="4">
        <v>0</v>
      </c>
      <c r="AP1056" s="3" t="s">
        <v>58</v>
      </c>
      <c r="AQ1056" s="3" t="s">
        <v>68</v>
      </c>
      <c r="AR1056" s="6" t="str">
        <f>HYPERLINK("http://catalog.hathitrust.org/Record/001250286","HathiTrust Record")</f>
        <v>HathiTrust Record</v>
      </c>
      <c r="AS1056" s="6" t="str">
        <f>HYPERLINK("https://creighton-primo.hosted.exlibrisgroup.com/primo-explore/search?tab=default_tab&amp;search_scope=EVERYTHING&amp;vid=01CRU&amp;lang=en_US&amp;offset=0&amp;query=any,contains,991004005469702656","Catalog Record")</f>
        <v>Catalog Record</v>
      </c>
      <c r="AT1056" s="6" t="str">
        <f>HYPERLINK("http://www.worldcat.org/oclc/2083327","WorldCat Record")</f>
        <v>WorldCat Record</v>
      </c>
      <c r="AU1056" s="3" t="s">
        <v>13395</v>
      </c>
      <c r="AV1056" s="3" t="s">
        <v>13396</v>
      </c>
      <c r="AW1056" s="3" t="s">
        <v>13397</v>
      </c>
      <c r="AX1056" s="3" t="s">
        <v>13397</v>
      </c>
      <c r="AY1056" s="3" t="s">
        <v>13398</v>
      </c>
      <c r="AZ1056" s="3" t="s">
        <v>73</v>
      </c>
      <c r="BC1056" s="3" t="s">
        <v>13399</v>
      </c>
      <c r="BD1056" s="3" t="s">
        <v>13400</v>
      </c>
    </row>
    <row r="1057" spans="1:56" ht="51" customHeight="1" x14ac:dyDescent="0.25">
      <c r="A1057" s="7" t="s">
        <v>58</v>
      </c>
      <c r="B1057" s="2" t="s">
        <v>13401</v>
      </c>
      <c r="C1057" s="2" t="s">
        <v>13402</v>
      </c>
      <c r="D1057" s="2" t="s">
        <v>13403</v>
      </c>
      <c r="F1057" s="3" t="s">
        <v>58</v>
      </c>
      <c r="G1057" s="3" t="s">
        <v>59</v>
      </c>
      <c r="H1057" s="3" t="s">
        <v>58</v>
      </c>
      <c r="I1057" s="3" t="s">
        <v>58</v>
      </c>
      <c r="J1057" s="3" t="s">
        <v>60</v>
      </c>
      <c r="K1057" s="2" t="s">
        <v>13404</v>
      </c>
      <c r="L1057" s="2" t="s">
        <v>13405</v>
      </c>
      <c r="M1057" s="3" t="s">
        <v>13406</v>
      </c>
      <c r="O1057" s="3" t="s">
        <v>63</v>
      </c>
      <c r="P1057" s="3" t="s">
        <v>584</v>
      </c>
      <c r="Q1057" s="2" t="s">
        <v>13407</v>
      </c>
      <c r="R1057" s="3" t="s">
        <v>65</v>
      </c>
      <c r="S1057" s="4">
        <v>2</v>
      </c>
      <c r="T1057" s="4">
        <v>2</v>
      </c>
      <c r="U1057" s="5" t="s">
        <v>235</v>
      </c>
      <c r="V1057" s="5" t="s">
        <v>235</v>
      </c>
      <c r="W1057" s="5" t="s">
        <v>13408</v>
      </c>
      <c r="X1057" s="5" t="s">
        <v>13408</v>
      </c>
      <c r="Y1057" s="4">
        <v>27</v>
      </c>
      <c r="Z1057" s="4">
        <v>18</v>
      </c>
      <c r="AA1057" s="4">
        <v>25</v>
      </c>
      <c r="AB1057" s="4">
        <v>1</v>
      </c>
      <c r="AC1057" s="4">
        <v>1</v>
      </c>
      <c r="AD1057" s="4">
        <v>2</v>
      </c>
      <c r="AE1057" s="4">
        <v>2</v>
      </c>
      <c r="AF1057" s="4">
        <v>0</v>
      </c>
      <c r="AG1057" s="4">
        <v>0</v>
      </c>
      <c r="AH1057" s="4">
        <v>0</v>
      </c>
      <c r="AI1057" s="4">
        <v>0</v>
      </c>
      <c r="AJ1057" s="4">
        <v>2</v>
      </c>
      <c r="AK1057" s="4">
        <v>2</v>
      </c>
      <c r="AL1057" s="4">
        <v>0</v>
      </c>
      <c r="AM1057" s="4">
        <v>0</v>
      </c>
      <c r="AN1057" s="4">
        <v>0</v>
      </c>
      <c r="AO1057" s="4">
        <v>0</v>
      </c>
      <c r="AP1057" s="3" t="s">
        <v>68</v>
      </c>
      <c r="AQ1057" s="3" t="s">
        <v>58</v>
      </c>
      <c r="AR1057" s="6" t="str">
        <f>HYPERLINK("http://catalog.hathitrust.org/Record/012155742","HathiTrust Record")</f>
        <v>HathiTrust Record</v>
      </c>
      <c r="AS1057" s="6" t="str">
        <f>HYPERLINK("https://creighton-primo.hosted.exlibrisgroup.com/primo-explore/search?tab=default_tab&amp;search_scope=EVERYTHING&amp;vid=01CRU&amp;lang=en_US&amp;offset=0&amp;query=any,contains,991004924569702656","Catalog Record")</f>
        <v>Catalog Record</v>
      </c>
      <c r="AT1057" s="6" t="str">
        <f>HYPERLINK("http://www.worldcat.org/oclc/6079428","WorldCat Record")</f>
        <v>WorldCat Record</v>
      </c>
      <c r="AU1057" s="3" t="s">
        <v>13409</v>
      </c>
      <c r="AV1057" s="3" t="s">
        <v>13410</v>
      </c>
      <c r="AW1057" s="3" t="s">
        <v>13411</v>
      </c>
      <c r="AX1057" s="3" t="s">
        <v>13411</v>
      </c>
      <c r="AY1057" s="3" t="s">
        <v>13412</v>
      </c>
      <c r="AZ1057" s="3" t="s">
        <v>73</v>
      </c>
      <c r="BC1057" s="3" t="s">
        <v>13413</v>
      </c>
      <c r="BD1057" s="3" t="s">
        <v>13414</v>
      </c>
    </row>
    <row r="1058" spans="1:56" ht="51" customHeight="1" x14ac:dyDescent="0.25">
      <c r="A1058" s="7" t="s">
        <v>58</v>
      </c>
      <c r="B1058" s="2" t="s">
        <v>13415</v>
      </c>
      <c r="C1058" s="2" t="s">
        <v>13416</v>
      </c>
      <c r="D1058" s="2" t="s">
        <v>13417</v>
      </c>
      <c r="F1058" s="3" t="s">
        <v>58</v>
      </c>
      <c r="G1058" s="3" t="s">
        <v>59</v>
      </c>
      <c r="H1058" s="3" t="s">
        <v>58</v>
      </c>
      <c r="I1058" s="3" t="s">
        <v>58</v>
      </c>
      <c r="J1058" s="3" t="s">
        <v>60</v>
      </c>
      <c r="K1058" s="2" t="s">
        <v>13418</v>
      </c>
      <c r="L1058" s="2" t="s">
        <v>13419</v>
      </c>
      <c r="M1058" s="3" t="s">
        <v>2132</v>
      </c>
      <c r="O1058" s="3" t="s">
        <v>63</v>
      </c>
      <c r="P1058" s="3" t="s">
        <v>214</v>
      </c>
      <c r="R1058" s="3" t="s">
        <v>65</v>
      </c>
      <c r="S1058" s="4">
        <v>2</v>
      </c>
      <c r="T1058" s="4">
        <v>2</v>
      </c>
      <c r="U1058" s="5" t="s">
        <v>1010</v>
      </c>
      <c r="V1058" s="5" t="s">
        <v>1010</v>
      </c>
      <c r="W1058" s="5" t="s">
        <v>3361</v>
      </c>
      <c r="X1058" s="5" t="s">
        <v>3361</v>
      </c>
      <c r="Y1058" s="4">
        <v>1028</v>
      </c>
      <c r="Z1058" s="4">
        <v>893</v>
      </c>
      <c r="AA1058" s="4">
        <v>911</v>
      </c>
      <c r="AB1058" s="4">
        <v>4</v>
      </c>
      <c r="AC1058" s="4">
        <v>4</v>
      </c>
      <c r="AD1058" s="4">
        <v>38</v>
      </c>
      <c r="AE1058" s="4">
        <v>38</v>
      </c>
      <c r="AF1058" s="4">
        <v>19</v>
      </c>
      <c r="AG1058" s="4">
        <v>19</v>
      </c>
      <c r="AH1058" s="4">
        <v>10</v>
      </c>
      <c r="AI1058" s="4">
        <v>10</v>
      </c>
      <c r="AJ1058" s="4">
        <v>17</v>
      </c>
      <c r="AK1058" s="4">
        <v>17</v>
      </c>
      <c r="AL1058" s="4">
        <v>3</v>
      </c>
      <c r="AM1058" s="4">
        <v>3</v>
      </c>
      <c r="AN1058" s="4">
        <v>0</v>
      </c>
      <c r="AO1058" s="4">
        <v>0</v>
      </c>
      <c r="AP1058" s="3" t="s">
        <v>58</v>
      </c>
      <c r="AQ1058" s="3" t="s">
        <v>58</v>
      </c>
      <c r="AS1058" s="6" t="str">
        <f>HYPERLINK("https://creighton-primo.hosted.exlibrisgroup.com/primo-explore/search?tab=default_tab&amp;search_scope=EVERYTHING&amp;vid=01CRU&amp;lang=en_US&amp;offset=0&amp;query=any,contains,991002711419702656","Catalog Record")</f>
        <v>Catalog Record</v>
      </c>
      <c r="AT1058" s="6" t="str">
        <f>HYPERLINK("http://www.worldcat.org/oclc/409401","WorldCat Record")</f>
        <v>WorldCat Record</v>
      </c>
      <c r="AU1058" s="3" t="s">
        <v>13420</v>
      </c>
      <c r="AV1058" s="3" t="s">
        <v>13421</v>
      </c>
      <c r="AW1058" s="3" t="s">
        <v>13422</v>
      </c>
      <c r="AX1058" s="3" t="s">
        <v>13422</v>
      </c>
      <c r="AY1058" s="3" t="s">
        <v>13423</v>
      </c>
      <c r="AZ1058" s="3" t="s">
        <v>73</v>
      </c>
      <c r="BC1058" s="3" t="s">
        <v>13424</v>
      </c>
      <c r="BD1058" s="3" t="s">
        <v>13425</v>
      </c>
    </row>
    <row r="1059" spans="1:56" ht="51" customHeight="1" x14ac:dyDescent="0.25">
      <c r="A1059" s="7" t="s">
        <v>58</v>
      </c>
      <c r="B1059" s="2" t="s">
        <v>13426</v>
      </c>
      <c r="C1059" s="2" t="s">
        <v>13427</v>
      </c>
      <c r="D1059" s="2" t="s">
        <v>13428</v>
      </c>
      <c r="F1059" s="3" t="s">
        <v>58</v>
      </c>
      <c r="G1059" s="3" t="s">
        <v>59</v>
      </c>
      <c r="H1059" s="3" t="s">
        <v>58</v>
      </c>
      <c r="I1059" s="3" t="s">
        <v>58</v>
      </c>
      <c r="J1059" s="3" t="s">
        <v>60</v>
      </c>
      <c r="K1059" s="2" t="s">
        <v>13429</v>
      </c>
      <c r="L1059" s="2" t="s">
        <v>13430</v>
      </c>
      <c r="M1059" s="3" t="s">
        <v>1153</v>
      </c>
      <c r="N1059" s="2" t="s">
        <v>13431</v>
      </c>
      <c r="O1059" s="3" t="s">
        <v>63</v>
      </c>
      <c r="P1059" s="3" t="s">
        <v>584</v>
      </c>
      <c r="R1059" s="3" t="s">
        <v>65</v>
      </c>
      <c r="S1059" s="4">
        <v>1</v>
      </c>
      <c r="T1059" s="4">
        <v>1</v>
      </c>
      <c r="U1059" s="5" t="s">
        <v>13007</v>
      </c>
      <c r="V1059" s="5" t="s">
        <v>13007</v>
      </c>
      <c r="W1059" s="5" t="s">
        <v>2616</v>
      </c>
      <c r="X1059" s="5" t="s">
        <v>2616</v>
      </c>
      <c r="Y1059" s="4">
        <v>308</v>
      </c>
      <c r="Z1059" s="4">
        <v>169</v>
      </c>
      <c r="AA1059" s="4">
        <v>419</v>
      </c>
      <c r="AB1059" s="4">
        <v>2</v>
      </c>
      <c r="AC1059" s="4">
        <v>5</v>
      </c>
      <c r="AD1059" s="4">
        <v>12</v>
      </c>
      <c r="AE1059" s="4">
        <v>19</v>
      </c>
      <c r="AF1059" s="4">
        <v>3</v>
      </c>
      <c r="AG1059" s="4">
        <v>5</v>
      </c>
      <c r="AH1059" s="4">
        <v>4</v>
      </c>
      <c r="AI1059" s="4">
        <v>5</v>
      </c>
      <c r="AJ1059" s="4">
        <v>5</v>
      </c>
      <c r="AK1059" s="4">
        <v>7</v>
      </c>
      <c r="AL1059" s="4">
        <v>1</v>
      </c>
      <c r="AM1059" s="4">
        <v>4</v>
      </c>
      <c r="AN1059" s="4">
        <v>1</v>
      </c>
      <c r="AO1059" s="4">
        <v>1</v>
      </c>
      <c r="AP1059" s="3" t="s">
        <v>58</v>
      </c>
      <c r="AQ1059" s="3" t="s">
        <v>58</v>
      </c>
      <c r="AS1059" s="6" t="str">
        <f>HYPERLINK("https://creighton-primo.hosted.exlibrisgroup.com/primo-explore/search?tab=default_tab&amp;search_scope=EVERYTHING&amp;vid=01CRU&amp;lang=en_US&amp;offset=0&amp;query=any,contains,991003096799702656","Catalog Record")</f>
        <v>Catalog Record</v>
      </c>
      <c r="AT1059" s="6" t="str">
        <f>HYPERLINK("http://www.worldcat.org/oclc/646370","WorldCat Record")</f>
        <v>WorldCat Record</v>
      </c>
      <c r="AU1059" s="3" t="s">
        <v>13432</v>
      </c>
      <c r="AV1059" s="3" t="s">
        <v>13433</v>
      </c>
      <c r="AW1059" s="3" t="s">
        <v>13434</v>
      </c>
      <c r="AX1059" s="3" t="s">
        <v>13434</v>
      </c>
      <c r="AY1059" s="3" t="s">
        <v>13435</v>
      </c>
      <c r="AZ1059" s="3" t="s">
        <v>73</v>
      </c>
      <c r="BB1059" s="3" t="s">
        <v>13436</v>
      </c>
      <c r="BC1059" s="3" t="s">
        <v>13437</v>
      </c>
      <c r="BD1059" s="3" t="s">
        <v>13438</v>
      </c>
    </row>
    <row r="1060" spans="1:56" ht="51" customHeight="1" x14ac:dyDescent="0.25">
      <c r="A1060" s="7" t="s">
        <v>58</v>
      </c>
      <c r="B1060" s="2" t="s">
        <v>13439</v>
      </c>
      <c r="C1060" s="2" t="s">
        <v>13440</v>
      </c>
      <c r="D1060" s="2" t="s">
        <v>13441</v>
      </c>
      <c r="F1060" s="3" t="s">
        <v>58</v>
      </c>
      <c r="G1060" s="3" t="s">
        <v>59</v>
      </c>
      <c r="H1060" s="3" t="s">
        <v>58</v>
      </c>
      <c r="I1060" s="3" t="s">
        <v>58</v>
      </c>
      <c r="J1060" s="3" t="s">
        <v>60</v>
      </c>
      <c r="K1060" s="2" t="s">
        <v>13442</v>
      </c>
      <c r="L1060" s="2" t="s">
        <v>13443</v>
      </c>
      <c r="M1060" s="3" t="s">
        <v>397</v>
      </c>
      <c r="N1060" s="2" t="s">
        <v>338</v>
      </c>
      <c r="O1060" s="3" t="s">
        <v>63</v>
      </c>
      <c r="P1060" s="3" t="s">
        <v>214</v>
      </c>
      <c r="R1060" s="3" t="s">
        <v>65</v>
      </c>
      <c r="S1060" s="4">
        <v>12</v>
      </c>
      <c r="T1060" s="4">
        <v>12</v>
      </c>
      <c r="U1060" s="5" t="s">
        <v>13444</v>
      </c>
      <c r="V1060" s="5" t="s">
        <v>13444</v>
      </c>
      <c r="W1060" s="5" t="s">
        <v>13445</v>
      </c>
      <c r="X1060" s="5" t="s">
        <v>13445</v>
      </c>
      <c r="Y1060" s="4">
        <v>507</v>
      </c>
      <c r="Z1060" s="4">
        <v>480</v>
      </c>
      <c r="AA1060" s="4">
        <v>487</v>
      </c>
      <c r="AB1060" s="4">
        <v>3</v>
      </c>
      <c r="AC1060" s="4">
        <v>3</v>
      </c>
      <c r="AD1060" s="4">
        <v>12</v>
      </c>
      <c r="AE1060" s="4">
        <v>12</v>
      </c>
      <c r="AF1060" s="4">
        <v>5</v>
      </c>
      <c r="AG1060" s="4">
        <v>5</v>
      </c>
      <c r="AH1060" s="4">
        <v>3</v>
      </c>
      <c r="AI1060" s="4">
        <v>3</v>
      </c>
      <c r="AJ1060" s="4">
        <v>4</v>
      </c>
      <c r="AK1060" s="4">
        <v>4</v>
      </c>
      <c r="AL1060" s="4">
        <v>2</v>
      </c>
      <c r="AM1060" s="4">
        <v>2</v>
      </c>
      <c r="AN1060" s="4">
        <v>0</v>
      </c>
      <c r="AO1060" s="4">
        <v>0</v>
      </c>
      <c r="AP1060" s="3" t="s">
        <v>58</v>
      </c>
      <c r="AQ1060" s="3" t="s">
        <v>68</v>
      </c>
      <c r="AR1060" s="6" t="str">
        <f>HYPERLINK("http://catalog.hathitrust.org/Record/000431684","HathiTrust Record")</f>
        <v>HathiTrust Record</v>
      </c>
      <c r="AS1060" s="6" t="str">
        <f>HYPERLINK("https://creighton-primo.hosted.exlibrisgroup.com/primo-explore/search?tab=default_tab&amp;search_scope=EVERYTHING&amp;vid=01CRU&amp;lang=en_US&amp;offset=0&amp;query=any,contains,991000641269702656","Catalog Record")</f>
        <v>Catalog Record</v>
      </c>
      <c r="AT1060" s="6" t="str">
        <f>HYPERLINK("http://www.worldcat.org/oclc/12104363","WorldCat Record")</f>
        <v>WorldCat Record</v>
      </c>
      <c r="AU1060" s="3" t="s">
        <v>13446</v>
      </c>
      <c r="AV1060" s="3" t="s">
        <v>13447</v>
      </c>
      <c r="AW1060" s="3" t="s">
        <v>13448</v>
      </c>
      <c r="AX1060" s="3" t="s">
        <v>13448</v>
      </c>
      <c r="AY1060" s="3" t="s">
        <v>13449</v>
      </c>
      <c r="AZ1060" s="3" t="s">
        <v>73</v>
      </c>
      <c r="BB1060" s="3" t="s">
        <v>13450</v>
      </c>
      <c r="BC1060" s="3" t="s">
        <v>13451</v>
      </c>
      <c r="BD1060" s="3" t="s">
        <v>13452</v>
      </c>
    </row>
    <row r="1061" spans="1:56" ht="51" customHeight="1" x14ac:dyDescent="0.25">
      <c r="A1061" s="7" t="s">
        <v>58</v>
      </c>
      <c r="B1061" s="2" t="s">
        <v>13453</v>
      </c>
      <c r="C1061" s="2" t="s">
        <v>13454</v>
      </c>
      <c r="D1061" s="2" t="s">
        <v>13455</v>
      </c>
      <c r="F1061" s="3" t="s">
        <v>58</v>
      </c>
      <c r="G1061" s="3" t="s">
        <v>59</v>
      </c>
      <c r="H1061" s="3" t="s">
        <v>58</v>
      </c>
      <c r="I1061" s="3" t="s">
        <v>58</v>
      </c>
      <c r="J1061" s="3" t="s">
        <v>60</v>
      </c>
      <c r="K1061" s="2" t="s">
        <v>13456</v>
      </c>
      <c r="L1061" s="2" t="s">
        <v>13457</v>
      </c>
      <c r="M1061" s="3" t="s">
        <v>2186</v>
      </c>
      <c r="N1061" s="2" t="s">
        <v>338</v>
      </c>
      <c r="O1061" s="3" t="s">
        <v>63</v>
      </c>
      <c r="P1061" s="3" t="s">
        <v>214</v>
      </c>
      <c r="R1061" s="3" t="s">
        <v>65</v>
      </c>
      <c r="S1061" s="4">
        <v>2</v>
      </c>
      <c r="T1061" s="4">
        <v>2</v>
      </c>
      <c r="U1061" s="5" t="s">
        <v>13458</v>
      </c>
      <c r="V1061" s="5" t="s">
        <v>13458</v>
      </c>
      <c r="W1061" s="5" t="s">
        <v>8255</v>
      </c>
      <c r="X1061" s="5" t="s">
        <v>8255</v>
      </c>
      <c r="Y1061" s="4">
        <v>728</v>
      </c>
      <c r="Z1061" s="4">
        <v>598</v>
      </c>
      <c r="AA1061" s="4">
        <v>731</v>
      </c>
      <c r="AB1061" s="4">
        <v>4</v>
      </c>
      <c r="AC1061" s="4">
        <v>4</v>
      </c>
      <c r="AD1061" s="4">
        <v>10</v>
      </c>
      <c r="AE1061" s="4">
        <v>11</v>
      </c>
      <c r="AF1061" s="4">
        <v>2</v>
      </c>
      <c r="AG1061" s="4">
        <v>3</v>
      </c>
      <c r="AH1061" s="4">
        <v>5</v>
      </c>
      <c r="AI1061" s="4">
        <v>6</v>
      </c>
      <c r="AJ1061" s="4">
        <v>4</v>
      </c>
      <c r="AK1061" s="4">
        <v>4</v>
      </c>
      <c r="AL1061" s="4">
        <v>2</v>
      </c>
      <c r="AM1061" s="4">
        <v>2</v>
      </c>
      <c r="AN1061" s="4">
        <v>0</v>
      </c>
      <c r="AO1061" s="4">
        <v>0</v>
      </c>
      <c r="AP1061" s="3" t="s">
        <v>58</v>
      </c>
      <c r="AQ1061" s="3" t="s">
        <v>68</v>
      </c>
      <c r="AR1061" s="6" t="str">
        <f>HYPERLINK("http://catalog.hathitrust.org/Record/005615986","HathiTrust Record")</f>
        <v>HathiTrust Record</v>
      </c>
      <c r="AS1061" s="6" t="str">
        <f>HYPERLINK("https://creighton-primo.hosted.exlibrisgroup.com/primo-explore/search?tab=default_tab&amp;search_scope=EVERYTHING&amp;vid=01CRU&amp;lang=en_US&amp;offset=0&amp;query=any,contains,991005138139702656","Catalog Record")</f>
        <v>Catalog Record</v>
      </c>
      <c r="AT1061" s="6" t="str">
        <f>HYPERLINK("http://www.worldcat.org/oclc/137331516","WorldCat Record")</f>
        <v>WorldCat Record</v>
      </c>
      <c r="AU1061" s="3" t="s">
        <v>13459</v>
      </c>
      <c r="AV1061" s="3" t="s">
        <v>13460</v>
      </c>
      <c r="AW1061" s="3" t="s">
        <v>13461</v>
      </c>
      <c r="AX1061" s="3" t="s">
        <v>13461</v>
      </c>
      <c r="AY1061" s="3" t="s">
        <v>13462</v>
      </c>
      <c r="AZ1061" s="3" t="s">
        <v>73</v>
      </c>
      <c r="BB1061" s="3" t="s">
        <v>13463</v>
      </c>
      <c r="BC1061" s="3" t="s">
        <v>13464</v>
      </c>
      <c r="BD1061" s="3" t="s">
        <v>13465</v>
      </c>
    </row>
    <row r="1062" spans="1:56" ht="51" customHeight="1" x14ac:dyDescent="0.25">
      <c r="A1062" s="7" t="s">
        <v>58</v>
      </c>
      <c r="B1062" s="2" t="s">
        <v>13466</v>
      </c>
      <c r="C1062" s="2" t="s">
        <v>13467</v>
      </c>
      <c r="D1062" s="2" t="s">
        <v>13468</v>
      </c>
      <c r="F1062" s="3" t="s">
        <v>58</v>
      </c>
      <c r="G1062" s="3" t="s">
        <v>59</v>
      </c>
      <c r="H1062" s="3" t="s">
        <v>58</v>
      </c>
      <c r="I1062" s="3" t="s">
        <v>58</v>
      </c>
      <c r="J1062" s="3" t="s">
        <v>60</v>
      </c>
      <c r="K1062" s="2" t="s">
        <v>13456</v>
      </c>
      <c r="L1062" s="2" t="s">
        <v>13469</v>
      </c>
      <c r="M1062" s="3" t="s">
        <v>1061</v>
      </c>
      <c r="N1062" s="2" t="s">
        <v>338</v>
      </c>
      <c r="O1062" s="3" t="s">
        <v>63</v>
      </c>
      <c r="P1062" s="3" t="s">
        <v>214</v>
      </c>
      <c r="R1062" s="3" t="s">
        <v>65</v>
      </c>
      <c r="S1062" s="4">
        <v>1</v>
      </c>
      <c r="T1062" s="4">
        <v>1</v>
      </c>
      <c r="U1062" s="5" t="s">
        <v>13470</v>
      </c>
      <c r="V1062" s="5" t="s">
        <v>13470</v>
      </c>
      <c r="W1062" s="5" t="s">
        <v>13471</v>
      </c>
      <c r="X1062" s="5" t="s">
        <v>13471</v>
      </c>
      <c r="Y1062" s="4">
        <v>870</v>
      </c>
      <c r="Z1062" s="4">
        <v>795</v>
      </c>
      <c r="AA1062" s="4">
        <v>968</v>
      </c>
      <c r="AB1062" s="4">
        <v>7</v>
      </c>
      <c r="AC1062" s="4">
        <v>8</v>
      </c>
      <c r="AD1062" s="4">
        <v>22</v>
      </c>
      <c r="AE1062" s="4">
        <v>27</v>
      </c>
      <c r="AF1062" s="4">
        <v>9</v>
      </c>
      <c r="AG1062" s="4">
        <v>12</v>
      </c>
      <c r="AH1062" s="4">
        <v>3</v>
      </c>
      <c r="AI1062" s="4">
        <v>3</v>
      </c>
      <c r="AJ1062" s="4">
        <v>12</v>
      </c>
      <c r="AK1062" s="4">
        <v>14</v>
      </c>
      <c r="AL1062" s="4">
        <v>4</v>
      </c>
      <c r="AM1062" s="4">
        <v>5</v>
      </c>
      <c r="AN1062" s="4">
        <v>0</v>
      </c>
      <c r="AO1062" s="4">
        <v>0</v>
      </c>
      <c r="AP1062" s="3" t="s">
        <v>58</v>
      </c>
      <c r="AQ1062" s="3" t="s">
        <v>68</v>
      </c>
      <c r="AR1062" s="6" t="str">
        <f>HYPERLINK("http://catalog.hathitrust.org/Record/003170817","HathiTrust Record")</f>
        <v>HathiTrust Record</v>
      </c>
      <c r="AS1062" s="6" t="str">
        <f>HYPERLINK("https://creighton-primo.hosted.exlibrisgroup.com/primo-explore/search?tab=default_tab&amp;search_scope=EVERYTHING&amp;vid=01CRU&amp;lang=en_US&amp;offset=0&amp;query=any,contains,991002789099702656","Catalog Record")</f>
        <v>Catalog Record</v>
      </c>
      <c r="AT1062" s="6" t="str">
        <f>HYPERLINK("http://www.worldcat.org/oclc/36640655","WorldCat Record")</f>
        <v>WorldCat Record</v>
      </c>
      <c r="AU1062" s="3" t="s">
        <v>13472</v>
      </c>
      <c r="AV1062" s="3" t="s">
        <v>13473</v>
      </c>
      <c r="AW1062" s="3" t="s">
        <v>13474</v>
      </c>
      <c r="AX1062" s="3" t="s">
        <v>13474</v>
      </c>
      <c r="AY1062" s="3" t="s">
        <v>13475</v>
      </c>
      <c r="AZ1062" s="3" t="s">
        <v>73</v>
      </c>
      <c r="BB1062" s="3" t="s">
        <v>13476</v>
      </c>
      <c r="BC1062" s="3" t="s">
        <v>13477</v>
      </c>
      <c r="BD1062" s="3" t="s">
        <v>13478</v>
      </c>
    </row>
    <row r="1063" spans="1:56" ht="51" customHeight="1" x14ac:dyDescent="0.25">
      <c r="A1063" s="7" t="s">
        <v>58</v>
      </c>
      <c r="B1063" s="2" t="s">
        <v>13479</v>
      </c>
      <c r="C1063" s="2" t="s">
        <v>13480</v>
      </c>
      <c r="D1063" s="2" t="s">
        <v>13481</v>
      </c>
      <c r="F1063" s="3" t="s">
        <v>58</v>
      </c>
      <c r="G1063" s="3" t="s">
        <v>59</v>
      </c>
      <c r="H1063" s="3" t="s">
        <v>58</v>
      </c>
      <c r="I1063" s="3" t="s">
        <v>58</v>
      </c>
      <c r="J1063" s="3" t="s">
        <v>60</v>
      </c>
      <c r="K1063" s="2" t="s">
        <v>13482</v>
      </c>
      <c r="L1063" s="2" t="s">
        <v>13483</v>
      </c>
      <c r="M1063" s="3" t="s">
        <v>196</v>
      </c>
      <c r="O1063" s="3" t="s">
        <v>63</v>
      </c>
      <c r="P1063" s="3" t="s">
        <v>214</v>
      </c>
      <c r="R1063" s="3" t="s">
        <v>65</v>
      </c>
      <c r="S1063" s="4">
        <v>1</v>
      </c>
      <c r="T1063" s="4">
        <v>1</v>
      </c>
      <c r="U1063" s="5" t="s">
        <v>11530</v>
      </c>
      <c r="V1063" s="5" t="s">
        <v>11530</v>
      </c>
      <c r="W1063" s="5" t="s">
        <v>13484</v>
      </c>
      <c r="X1063" s="5" t="s">
        <v>13484</v>
      </c>
      <c r="Y1063" s="4">
        <v>687</v>
      </c>
      <c r="Z1063" s="4">
        <v>611</v>
      </c>
      <c r="AA1063" s="4">
        <v>666</v>
      </c>
      <c r="AB1063" s="4">
        <v>6</v>
      </c>
      <c r="AC1063" s="4">
        <v>6</v>
      </c>
      <c r="AD1063" s="4">
        <v>25</v>
      </c>
      <c r="AE1063" s="4">
        <v>27</v>
      </c>
      <c r="AF1063" s="4">
        <v>10</v>
      </c>
      <c r="AG1063" s="4">
        <v>10</v>
      </c>
      <c r="AH1063" s="4">
        <v>1</v>
      </c>
      <c r="AI1063" s="4">
        <v>2</v>
      </c>
      <c r="AJ1063" s="4">
        <v>11</v>
      </c>
      <c r="AK1063" s="4">
        <v>13</v>
      </c>
      <c r="AL1063" s="4">
        <v>5</v>
      </c>
      <c r="AM1063" s="4">
        <v>5</v>
      </c>
      <c r="AN1063" s="4">
        <v>0</v>
      </c>
      <c r="AO1063" s="4">
        <v>0</v>
      </c>
      <c r="AP1063" s="3" t="s">
        <v>58</v>
      </c>
      <c r="AQ1063" s="3" t="s">
        <v>58</v>
      </c>
      <c r="AS1063" s="6" t="str">
        <f>HYPERLINK("https://creighton-primo.hosted.exlibrisgroup.com/primo-explore/search?tab=default_tab&amp;search_scope=EVERYTHING&amp;vid=01CRU&amp;lang=en_US&amp;offset=0&amp;query=any,contains,991002741599702656","Catalog Record")</f>
        <v>Catalog Record</v>
      </c>
      <c r="AT1063" s="6" t="str">
        <f>HYPERLINK("http://www.worldcat.org/oclc/34076807","WorldCat Record")</f>
        <v>WorldCat Record</v>
      </c>
      <c r="AU1063" s="3" t="s">
        <v>13485</v>
      </c>
      <c r="AV1063" s="3" t="s">
        <v>13486</v>
      </c>
      <c r="AW1063" s="3" t="s">
        <v>13487</v>
      </c>
      <c r="AX1063" s="3" t="s">
        <v>13487</v>
      </c>
      <c r="AY1063" s="3" t="s">
        <v>13488</v>
      </c>
      <c r="AZ1063" s="3" t="s">
        <v>73</v>
      </c>
      <c r="BB1063" s="3" t="s">
        <v>13489</v>
      </c>
      <c r="BC1063" s="3" t="s">
        <v>13490</v>
      </c>
      <c r="BD1063" s="3" t="s">
        <v>13491</v>
      </c>
    </row>
    <row r="1064" spans="1:56" ht="51" customHeight="1" x14ac:dyDescent="0.25">
      <c r="A1064" s="7" t="s">
        <v>58</v>
      </c>
      <c r="B1064" s="2" t="s">
        <v>13492</v>
      </c>
      <c r="C1064" s="2" t="s">
        <v>13493</v>
      </c>
      <c r="D1064" s="2" t="s">
        <v>13494</v>
      </c>
      <c r="F1064" s="3" t="s">
        <v>58</v>
      </c>
      <c r="G1064" s="3" t="s">
        <v>59</v>
      </c>
      <c r="H1064" s="3" t="s">
        <v>58</v>
      </c>
      <c r="I1064" s="3" t="s">
        <v>58</v>
      </c>
      <c r="J1064" s="3" t="s">
        <v>60</v>
      </c>
      <c r="K1064" s="2" t="s">
        <v>13495</v>
      </c>
      <c r="L1064" s="2" t="s">
        <v>13496</v>
      </c>
      <c r="M1064" s="3" t="s">
        <v>83</v>
      </c>
      <c r="O1064" s="3" t="s">
        <v>63</v>
      </c>
      <c r="P1064" s="3" t="s">
        <v>13185</v>
      </c>
      <c r="R1064" s="3" t="s">
        <v>65</v>
      </c>
      <c r="S1064" s="4">
        <v>10</v>
      </c>
      <c r="T1064" s="4">
        <v>10</v>
      </c>
      <c r="U1064" s="5" t="s">
        <v>13497</v>
      </c>
      <c r="V1064" s="5" t="s">
        <v>13497</v>
      </c>
      <c r="W1064" s="5" t="s">
        <v>13239</v>
      </c>
      <c r="X1064" s="5" t="s">
        <v>13239</v>
      </c>
      <c r="Y1064" s="4">
        <v>378</v>
      </c>
      <c r="Z1064" s="4">
        <v>301</v>
      </c>
      <c r="AA1064" s="4">
        <v>303</v>
      </c>
      <c r="AB1064" s="4">
        <v>4</v>
      </c>
      <c r="AC1064" s="4">
        <v>4</v>
      </c>
      <c r="AD1064" s="4">
        <v>13</v>
      </c>
      <c r="AE1064" s="4">
        <v>13</v>
      </c>
      <c r="AF1064" s="4">
        <v>3</v>
      </c>
      <c r="AG1064" s="4">
        <v>3</v>
      </c>
      <c r="AH1064" s="4">
        <v>4</v>
      </c>
      <c r="AI1064" s="4">
        <v>4</v>
      </c>
      <c r="AJ1064" s="4">
        <v>7</v>
      </c>
      <c r="AK1064" s="4">
        <v>7</v>
      </c>
      <c r="AL1064" s="4">
        <v>3</v>
      </c>
      <c r="AM1064" s="4">
        <v>3</v>
      </c>
      <c r="AN1064" s="4">
        <v>0</v>
      </c>
      <c r="AO1064" s="4">
        <v>0</v>
      </c>
      <c r="AP1064" s="3" t="s">
        <v>58</v>
      </c>
      <c r="AQ1064" s="3" t="s">
        <v>68</v>
      </c>
      <c r="AR1064" s="6" t="str">
        <f>HYPERLINK("http://catalog.hathitrust.org/Record/000253400","HathiTrust Record")</f>
        <v>HathiTrust Record</v>
      </c>
      <c r="AS1064" s="6" t="str">
        <f>HYPERLINK("https://creighton-primo.hosted.exlibrisgroup.com/primo-explore/search?tab=default_tab&amp;search_scope=EVERYTHING&amp;vid=01CRU&amp;lang=en_US&amp;offset=0&amp;query=any,contains,991004333969702656","Catalog Record")</f>
        <v>Catalog Record</v>
      </c>
      <c r="AT1064" s="6" t="str">
        <f>HYPERLINK("http://www.worldcat.org/oclc/3071472","WorldCat Record")</f>
        <v>WorldCat Record</v>
      </c>
      <c r="AU1064" s="3" t="s">
        <v>13498</v>
      </c>
      <c r="AV1064" s="3" t="s">
        <v>13499</v>
      </c>
      <c r="AW1064" s="3" t="s">
        <v>13500</v>
      </c>
      <c r="AX1064" s="3" t="s">
        <v>13500</v>
      </c>
      <c r="AY1064" s="3" t="s">
        <v>13501</v>
      </c>
      <c r="AZ1064" s="3" t="s">
        <v>73</v>
      </c>
      <c r="BB1064" s="3" t="s">
        <v>13502</v>
      </c>
      <c r="BC1064" s="3" t="s">
        <v>13503</v>
      </c>
      <c r="BD1064" s="3" t="s">
        <v>13504</v>
      </c>
    </row>
    <row r="1065" spans="1:56" ht="51" customHeight="1" x14ac:dyDescent="0.25">
      <c r="A1065" s="7" t="s">
        <v>58</v>
      </c>
      <c r="B1065" s="2" t="s">
        <v>13505</v>
      </c>
      <c r="C1065" s="2" t="s">
        <v>13506</v>
      </c>
      <c r="D1065" s="2" t="s">
        <v>13507</v>
      </c>
      <c r="F1065" s="3" t="s">
        <v>58</v>
      </c>
      <c r="G1065" s="3" t="s">
        <v>59</v>
      </c>
      <c r="H1065" s="3" t="s">
        <v>58</v>
      </c>
      <c r="I1065" s="3" t="s">
        <v>58</v>
      </c>
      <c r="J1065" s="3" t="s">
        <v>60</v>
      </c>
      <c r="K1065" s="2" t="s">
        <v>13508</v>
      </c>
      <c r="L1065" s="2" t="s">
        <v>13509</v>
      </c>
      <c r="M1065" s="3" t="s">
        <v>538</v>
      </c>
      <c r="O1065" s="3" t="s">
        <v>63</v>
      </c>
      <c r="P1065" s="3" t="s">
        <v>214</v>
      </c>
      <c r="R1065" s="3" t="s">
        <v>65</v>
      </c>
      <c r="S1065" s="4">
        <v>11</v>
      </c>
      <c r="T1065" s="4">
        <v>11</v>
      </c>
      <c r="U1065" s="5" t="s">
        <v>13497</v>
      </c>
      <c r="V1065" s="5" t="s">
        <v>13497</v>
      </c>
      <c r="W1065" s="5" t="s">
        <v>13510</v>
      </c>
      <c r="X1065" s="5" t="s">
        <v>13510</v>
      </c>
      <c r="Y1065" s="4">
        <v>717</v>
      </c>
      <c r="Z1065" s="4">
        <v>592</v>
      </c>
      <c r="AA1065" s="4">
        <v>599</v>
      </c>
      <c r="AB1065" s="4">
        <v>5</v>
      </c>
      <c r="AC1065" s="4">
        <v>5</v>
      </c>
      <c r="AD1065" s="4">
        <v>27</v>
      </c>
      <c r="AE1065" s="4">
        <v>27</v>
      </c>
      <c r="AF1065" s="4">
        <v>9</v>
      </c>
      <c r="AG1065" s="4">
        <v>9</v>
      </c>
      <c r="AH1065" s="4">
        <v>3</v>
      </c>
      <c r="AI1065" s="4">
        <v>3</v>
      </c>
      <c r="AJ1065" s="4">
        <v>17</v>
      </c>
      <c r="AK1065" s="4">
        <v>17</v>
      </c>
      <c r="AL1065" s="4">
        <v>4</v>
      </c>
      <c r="AM1065" s="4">
        <v>4</v>
      </c>
      <c r="AN1065" s="4">
        <v>0</v>
      </c>
      <c r="AO1065" s="4">
        <v>0</v>
      </c>
      <c r="AP1065" s="3" t="s">
        <v>58</v>
      </c>
      <c r="AQ1065" s="3" t="s">
        <v>68</v>
      </c>
      <c r="AR1065" s="6" t="str">
        <f>HYPERLINK("http://catalog.hathitrust.org/Record/001867519","HathiTrust Record")</f>
        <v>HathiTrust Record</v>
      </c>
      <c r="AS1065" s="6" t="str">
        <f>HYPERLINK("https://creighton-primo.hosted.exlibrisgroup.com/primo-explore/search?tab=default_tab&amp;search_scope=EVERYTHING&amp;vid=01CRU&amp;lang=en_US&amp;offset=0&amp;query=any,contains,991000080979702656","Catalog Record")</f>
        <v>Catalog Record</v>
      </c>
      <c r="AT1065" s="6" t="str">
        <f>HYPERLINK("http://www.worldcat.org/oclc/31520","WorldCat Record")</f>
        <v>WorldCat Record</v>
      </c>
      <c r="AU1065" s="3" t="s">
        <v>13511</v>
      </c>
      <c r="AV1065" s="3" t="s">
        <v>13512</v>
      </c>
      <c r="AW1065" s="3" t="s">
        <v>13513</v>
      </c>
      <c r="AX1065" s="3" t="s">
        <v>13513</v>
      </c>
      <c r="AY1065" s="3" t="s">
        <v>13514</v>
      </c>
      <c r="AZ1065" s="3" t="s">
        <v>73</v>
      </c>
      <c r="BC1065" s="3" t="s">
        <v>13515</v>
      </c>
      <c r="BD1065" s="3" t="s">
        <v>13516</v>
      </c>
    </row>
    <row r="1066" spans="1:56" ht="51" customHeight="1" x14ac:dyDescent="0.25">
      <c r="A1066" s="7" t="s">
        <v>58</v>
      </c>
      <c r="B1066" s="2" t="s">
        <v>13517</v>
      </c>
      <c r="C1066" s="2" t="s">
        <v>13518</v>
      </c>
      <c r="D1066" s="2" t="s">
        <v>13519</v>
      </c>
      <c r="F1066" s="3" t="s">
        <v>58</v>
      </c>
      <c r="G1066" s="3" t="s">
        <v>59</v>
      </c>
      <c r="H1066" s="3" t="s">
        <v>58</v>
      </c>
      <c r="I1066" s="3" t="s">
        <v>58</v>
      </c>
      <c r="J1066" s="3" t="s">
        <v>60</v>
      </c>
      <c r="K1066" s="2" t="s">
        <v>13520</v>
      </c>
      <c r="L1066" s="2" t="s">
        <v>13521</v>
      </c>
      <c r="M1066" s="3" t="s">
        <v>759</v>
      </c>
      <c r="O1066" s="3" t="s">
        <v>63</v>
      </c>
      <c r="P1066" s="3" t="s">
        <v>584</v>
      </c>
      <c r="R1066" s="3" t="s">
        <v>65</v>
      </c>
      <c r="S1066" s="4">
        <v>2</v>
      </c>
      <c r="T1066" s="4">
        <v>2</v>
      </c>
      <c r="U1066" s="5" t="s">
        <v>2550</v>
      </c>
      <c r="V1066" s="5" t="s">
        <v>2550</v>
      </c>
      <c r="W1066" s="5" t="s">
        <v>8127</v>
      </c>
      <c r="X1066" s="5" t="s">
        <v>8127</v>
      </c>
      <c r="Y1066" s="4">
        <v>268</v>
      </c>
      <c r="Z1066" s="4">
        <v>157</v>
      </c>
      <c r="AA1066" s="4">
        <v>164</v>
      </c>
      <c r="AB1066" s="4">
        <v>2</v>
      </c>
      <c r="AC1066" s="4">
        <v>2</v>
      </c>
      <c r="AD1066" s="4">
        <v>7</v>
      </c>
      <c r="AE1066" s="4">
        <v>7</v>
      </c>
      <c r="AF1066" s="4">
        <v>0</v>
      </c>
      <c r="AG1066" s="4">
        <v>0</v>
      </c>
      <c r="AH1066" s="4">
        <v>4</v>
      </c>
      <c r="AI1066" s="4">
        <v>4</v>
      </c>
      <c r="AJ1066" s="4">
        <v>4</v>
      </c>
      <c r="AK1066" s="4">
        <v>4</v>
      </c>
      <c r="AL1066" s="4">
        <v>1</v>
      </c>
      <c r="AM1066" s="4">
        <v>1</v>
      </c>
      <c r="AN1066" s="4">
        <v>0</v>
      </c>
      <c r="AO1066" s="4">
        <v>0</v>
      </c>
      <c r="AP1066" s="3" t="s">
        <v>58</v>
      </c>
      <c r="AQ1066" s="3" t="s">
        <v>68</v>
      </c>
      <c r="AR1066" s="6" t="str">
        <f>HYPERLINK("http://catalog.hathitrust.org/Record/000744845","HathiTrust Record")</f>
        <v>HathiTrust Record</v>
      </c>
      <c r="AS1066" s="6" t="str">
        <f>HYPERLINK("https://creighton-primo.hosted.exlibrisgroup.com/primo-explore/search?tab=default_tab&amp;search_scope=EVERYTHING&amp;vid=01CRU&amp;lang=en_US&amp;offset=0&amp;query=any,contains,991004941529702656","Catalog Record")</f>
        <v>Catalog Record</v>
      </c>
      <c r="AT1066" s="6" t="str">
        <f>HYPERLINK("http://www.worldcat.org/oclc/6194476","WorldCat Record")</f>
        <v>WorldCat Record</v>
      </c>
      <c r="AU1066" s="3" t="s">
        <v>13522</v>
      </c>
      <c r="AV1066" s="3" t="s">
        <v>13523</v>
      </c>
      <c r="AW1066" s="3" t="s">
        <v>13524</v>
      </c>
      <c r="AX1066" s="3" t="s">
        <v>13524</v>
      </c>
      <c r="AY1066" s="3" t="s">
        <v>13525</v>
      </c>
      <c r="AZ1066" s="3" t="s">
        <v>73</v>
      </c>
      <c r="BB1066" s="3" t="s">
        <v>13526</v>
      </c>
      <c r="BC1066" s="3" t="s">
        <v>13527</v>
      </c>
      <c r="BD1066" s="3" t="s">
        <v>13528</v>
      </c>
    </row>
    <row r="1067" spans="1:56" ht="51" customHeight="1" x14ac:dyDescent="0.25">
      <c r="A1067" s="7" t="s">
        <v>58</v>
      </c>
      <c r="B1067" s="2" t="s">
        <v>13529</v>
      </c>
      <c r="C1067" s="2" t="s">
        <v>13530</v>
      </c>
      <c r="D1067" s="2" t="s">
        <v>13531</v>
      </c>
      <c r="F1067" s="3" t="s">
        <v>58</v>
      </c>
      <c r="G1067" s="3" t="s">
        <v>59</v>
      </c>
      <c r="H1067" s="3" t="s">
        <v>58</v>
      </c>
      <c r="I1067" s="3" t="s">
        <v>58</v>
      </c>
      <c r="J1067" s="3" t="s">
        <v>60</v>
      </c>
      <c r="K1067" s="2" t="s">
        <v>13532</v>
      </c>
      <c r="L1067" s="2" t="s">
        <v>13533</v>
      </c>
      <c r="M1067" s="3" t="s">
        <v>552</v>
      </c>
      <c r="O1067" s="3" t="s">
        <v>63</v>
      </c>
      <c r="P1067" s="3" t="s">
        <v>3323</v>
      </c>
      <c r="R1067" s="3" t="s">
        <v>65</v>
      </c>
      <c r="S1067" s="4">
        <v>14</v>
      </c>
      <c r="T1067" s="4">
        <v>14</v>
      </c>
      <c r="U1067" s="5" t="s">
        <v>10038</v>
      </c>
      <c r="V1067" s="5" t="s">
        <v>10038</v>
      </c>
      <c r="W1067" s="5" t="s">
        <v>13534</v>
      </c>
      <c r="X1067" s="5" t="s">
        <v>13534</v>
      </c>
      <c r="Y1067" s="4">
        <v>59</v>
      </c>
      <c r="Z1067" s="4">
        <v>36</v>
      </c>
      <c r="AA1067" s="4">
        <v>37</v>
      </c>
      <c r="AB1067" s="4">
        <v>1</v>
      </c>
      <c r="AC1067" s="4">
        <v>1</v>
      </c>
      <c r="AD1067" s="4">
        <v>0</v>
      </c>
      <c r="AE1067" s="4">
        <v>0</v>
      </c>
      <c r="AF1067" s="4">
        <v>0</v>
      </c>
      <c r="AG1067" s="4">
        <v>0</v>
      </c>
      <c r="AH1067" s="4">
        <v>0</v>
      </c>
      <c r="AI1067" s="4">
        <v>0</v>
      </c>
      <c r="AJ1067" s="4">
        <v>0</v>
      </c>
      <c r="AK1067" s="4">
        <v>0</v>
      </c>
      <c r="AL1067" s="4">
        <v>0</v>
      </c>
      <c r="AM1067" s="4">
        <v>0</v>
      </c>
      <c r="AN1067" s="4">
        <v>0</v>
      </c>
      <c r="AO1067" s="4">
        <v>0</v>
      </c>
      <c r="AP1067" s="3" t="s">
        <v>58</v>
      </c>
      <c r="AQ1067" s="3" t="s">
        <v>68</v>
      </c>
      <c r="AR1067" s="6" t="str">
        <f>HYPERLINK("http://catalog.hathitrust.org/Record/002528671","HathiTrust Record")</f>
        <v>HathiTrust Record</v>
      </c>
      <c r="AS1067" s="6" t="str">
        <f>HYPERLINK("https://creighton-primo.hosted.exlibrisgroup.com/primo-explore/search?tab=default_tab&amp;search_scope=EVERYTHING&amp;vid=01CRU&amp;lang=en_US&amp;offset=0&amp;query=any,contains,991001919689702656","Catalog Record")</f>
        <v>Catalog Record</v>
      </c>
      <c r="AT1067" s="6" t="str">
        <f>HYPERLINK("http://www.worldcat.org/oclc/24232178","WorldCat Record")</f>
        <v>WorldCat Record</v>
      </c>
      <c r="AU1067" s="3" t="s">
        <v>13535</v>
      </c>
      <c r="AV1067" s="3" t="s">
        <v>13536</v>
      </c>
      <c r="AW1067" s="3" t="s">
        <v>13537</v>
      </c>
      <c r="AX1067" s="3" t="s">
        <v>13537</v>
      </c>
      <c r="AY1067" s="3" t="s">
        <v>13538</v>
      </c>
      <c r="AZ1067" s="3" t="s">
        <v>73</v>
      </c>
      <c r="BB1067" s="3" t="s">
        <v>13539</v>
      </c>
      <c r="BC1067" s="3" t="s">
        <v>13540</v>
      </c>
      <c r="BD1067" s="3" t="s">
        <v>13541</v>
      </c>
    </row>
    <row r="1068" spans="1:56" ht="51" customHeight="1" x14ac:dyDescent="0.25">
      <c r="A1068" s="7" t="s">
        <v>58</v>
      </c>
      <c r="B1068" s="2" t="s">
        <v>13542</v>
      </c>
      <c r="C1068" s="2" t="s">
        <v>13543</v>
      </c>
      <c r="D1068" s="2" t="s">
        <v>13544</v>
      </c>
      <c r="F1068" s="3" t="s">
        <v>58</v>
      </c>
      <c r="G1068" s="3" t="s">
        <v>59</v>
      </c>
      <c r="H1068" s="3" t="s">
        <v>58</v>
      </c>
      <c r="I1068" s="3" t="s">
        <v>58</v>
      </c>
      <c r="J1068" s="3" t="s">
        <v>60</v>
      </c>
      <c r="L1068" s="2" t="s">
        <v>13545</v>
      </c>
      <c r="M1068" s="3" t="s">
        <v>4023</v>
      </c>
      <c r="O1068" s="3" t="s">
        <v>63</v>
      </c>
      <c r="P1068" s="3" t="s">
        <v>3323</v>
      </c>
      <c r="Q1068" s="2" t="s">
        <v>13546</v>
      </c>
      <c r="R1068" s="3" t="s">
        <v>65</v>
      </c>
      <c r="S1068" s="4">
        <v>1</v>
      </c>
      <c r="T1068" s="4">
        <v>1</v>
      </c>
      <c r="U1068" s="5" t="s">
        <v>13547</v>
      </c>
      <c r="V1068" s="5" t="s">
        <v>13547</v>
      </c>
      <c r="W1068" s="5" t="s">
        <v>13547</v>
      </c>
      <c r="X1068" s="5" t="s">
        <v>13547</v>
      </c>
      <c r="Y1068" s="4">
        <v>46</v>
      </c>
      <c r="Z1068" s="4">
        <v>25</v>
      </c>
      <c r="AA1068" s="4">
        <v>201</v>
      </c>
      <c r="AB1068" s="4">
        <v>1</v>
      </c>
      <c r="AC1068" s="4">
        <v>1</v>
      </c>
      <c r="AD1068" s="4">
        <v>2</v>
      </c>
      <c r="AE1068" s="4">
        <v>15</v>
      </c>
      <c r="AF1068" s="4">
        <v>1</v>
      </c>
      <c r="AG1068" s="4">
        <v>4</v>
      </c>
      <c r="AH1068" s="4">
        <v>0</v>
      </c>
      <c r="AI1068" s="4">
        <v>5</v>
      </c>
      <c r="AJ1068" s="4">
        <v>2</v>
      </c>
      <c r="AK1068" s="4">
        <v>9</v>
      </c>
      <c r="AL1068" s="4">
        <v>0</v>
      </c>
      <c r="AM1068" s="4">
        <v>0</v>
      </c>
      <c r="AN1068" s="4">
        <v>0</v>
      </c>
      <c r="AO1068" s="4">
        <v>1</v>
      </c>
      <c r="AP1068" s="3" t="s">
        <v>58</v>
      </c>
      <c r="AQ1068" s="3" t="s">
        <v>58</v>
      </c>
      <c r="AS1068" s="6" t="str">
        <f>HYPERLINK("https://creighton-primo.hosted.exlibrisgroup.com/primo-explore/search?tab=default_tab&amp;search_scope=EVERYTHING&amp;vid=01CRU&amp;lang=en_US&amp;offset=0&amp;query=any,contains,991004921939702656","Catalog Record")</f>
        <v>Catalog Record</v>
      </c>
      <c r="AT1068" s="6" t="str">
        <f>HYPERLINK("http://www.worldcat.org/oclc/55904214","WorldCat Record")</f>
        <v>WorldCat Record</v>
      </c>
      <c r="AU1068" s="3" t="s">
        <v>13548</v>
      </c>
      <c r="AV1068" s="3" t="s">
        <v>13549</v>
      </c>
      <c r="AW1068" s="3" t="s">
        <v>13550</v>
      </c>
      <c r="AX1068" s="3" t="s">
        <v>13550</v>
      </c>
      <c r="AY1068" s="3" t="s">
        <v>13551</v>
      </c>
      <c r="AZ1068" s="3" t="s">
        <v>73</v>
      </c>
      <c r="BB1068" s="3" t="s">
        <v>13552</v>
      </c>
      <c r="BC1068" s="3" t="s">
        <v>13553</v>
      </c>
      <c r="BD1068" s="3" t="s">
        <v>13554</v>
      </c>
    </row>
    <row r="1069" spans="1:56" ht="51" customHeight="1" x14ac:dyDescent="0.25">
      <c r="A1069" s="7" t="s">
        <v>58</v>
      </c>
      <c r="B1069" s="2" t="s">
        <v>13555</v>
      </c>
      <c r="C1069" s="2" t="s">
        <v>13556</v>
      </c>
      <c r="D1069" s="2" t="s">
        <v>13557</v>
      </c>
      <c r="F1069" s="3" t="s">
        <v>58</v>
      </c>
      <c r="G1069" s="3" t="s">
        <v>59</v>
      </c>
      <c r="H1069" s="3" t="s">
        <v>58</v>
      </c>
      <c r="I1069" s="3" t="s">
        <v>58</v>
      </c>
      <c r="J1069" s="3" t="s">
        <v>60</v>
      </c>
      <c r="K1069" s="2" t="s">
        <v>13558</v>
      </c>
      <c r="L1069" s="2" t="s">
        <v>13559</v>
      </c>
      <c r="M1069" s="3" t="s">
        <v>196</v>
      </c>
      <c r="O1069" s="3" t="s">
        <v>63</v>
      </c>
      <c r="P1069" s="3" t="s">
        <v>816</v>
      </c>
      <c r="R1069" s="3" t="s">
        <v>65</v>
      </c>
      <c r="S1069" s="4">
        <v>3</v>
      </c>
      <c r="T1069" s="4">
        <v>3</v>
      </c>
      <c r="U1069" s="5" t="s">
        <v>9384</v>
      </c>
      <c r="V1069" s="5" t="s">
        <v>9384</v>
      </c>
      <c r="W1069" s="5" t="s">
        <v>13560</v>
      </c>
      <c r="X1069" s="5" t="s">
        <v>13560</v>
      </c>
      <c r="Y1069" s="4">
        <v>373</v>
      </c>
      <c r="Z1069" s="4">
        <v>278</v>
      </c>
      <c r="AA1069" s="4">
        <v>279</v>
      </c>
      <c r="AB1069" s="4">
        <v>2</v>
      </c>
      <c r="AC1069" s="4">
        <v>2</v>
      </c>
      <c r="AD1069" s="4">
        <v>13</v>
      </c>
      <c r="AE1069" s="4">
        <v>13</v>
      </c>
      <c r="AF1069" s="4">
        <v>2</v>
      </c>
      <c r="AG1069" s="4">
        <v>2</v>
      </c>
      <c r="AH1069" s="4">
        <v>4</v>
      </c>
      <c r="AI1069" s="4">
        <v>4</v>
      </c>
      <c r="AJ1069" s="4">
        <v>10</v>
      </c>
      <c r="AK1069" s="4">
        <v>10</v>
      </c>
      <c r="AL1069" s="4">
        <v>1</v>
      </c>
      <c r="AM1069" s="4">
        <v>1</v>
      </c>
      <c r="AN1069" s="4">
        <v>0</v>
      </c>
      <c r="AO1069" s="4">
        <v>0</v>
      </c>
      <c r="AP1069" s="3" t="s">
        <v>58</v>
      </c>
      <c r="AQ1069" s="3" t="s">
        <v>68</v>
      </c>
      <c r="AR1069" s="6" t="str">
        <f>HYPERLINK("http://catalog.hathitrust.org/Record/003085655","HathiTrust Record")</f>
        <v>HathiTrust Record</v>
      </c>
      <c r="AS1069" s="6" t="str">
        <f>HYPERLINK("https://creighton-primo.hosted.exlibrisgroup.com/primo-explore/search?tab=default_tab&amp;search_scope=EVERYTHING&amp;vid=01CRU&amp;lang=en_US&amp;offset=0&amp;query=any,contains,991002589839702656","Catalog Record")</f>
        <v>Catalog Record</v>
      </c>
      <c r="AT1069" s="6" t="str">
        <f>HYPERLINK("http://www.worldcat.org/oclc/33947591","WorldCat Record")</f>
        <v>WorldCat Record</v>
      </c>
      <c r="AU1069" s="3" t="s">
        <v>13561</v>
      </c>
      <c r="AV1069" s="3" t="s">
        <v>13562</v>
      </c>
      <c r="AW1069" s="3" t="s">
        <v>13563</v>
      </c>
      <c r="AX1069" s="3" t="s">
        <v>13563</v>
      </c>
      <c r="AY1069" s="3" t="s">
        <v>13564</v>
      </c>
      <c r="AZ1069" s="3" t="s">
        <v>73</v>
      </c>
      <c r="BB1069" s="3" t="s">
        <v>13565</v>
      </c>
      <c r="BC1069" s="3" t="s">
        <v>13566</v>
      </c>
      <c r="BD1069" s="3" t="s">
        <v>13567</v>
      </c>
    </row>
    <row r="1070" spans="1:56" ht="51" customHeight="1" x14ac:dyDescent="0.25">
      <c r="A1070" s="7" t="s">
        <v>58</v>
      </c>
      <c r="B1070" s="2" t="s">
        <v>13568</v>
      </c>
      <c r="C1070" s="2" t="s">
        <v>13569</v>
      </c>
      <c r="D1070" s="2" t="s">
        <v>13570</v>
      </c>
      <c r="F1070" s="3" t="s">
        <v>58</v>
      </c>
      <c r="G1070" s="3" t="s">
        <v>59</v>
      </c>
      <c r="H1070" s="3" t="s">
        <v>58</v>
      </c>
      <c r="I1070" s="3" t="s">
        <v>58</v>
      </c>
      <c r="J1070" s="3" t="s">
        <v>60</v>
      </c>
      <c r="K1070" s="2" t="s">
        <v>13571</v>
      </c>
      <c r="L1070" s="2" t="s">
        <v>13572</v>
      </c>
      <c r="M1070" s="3" t="s">
        <v>368</v>
      </c>
      <c r="O1070" s="3" t="s">
        <v>63</v>
      </c>
      <c r="P1070" s="3" t="s">
        <v>584</v>
      </c>
      <c r="R1070" s="3" t="s">
        <v>65</v>
      </c>
      <c r="S1070" s="4">
        <v>11</v>
      </c>
      <c r="T1070" s="4">
        <v>11</v>
      </c>
      <c r="U1070" s="5" t="s">
        <v>13573</v>
      </c>
      <c r="V1070" s="5" t="s">
        <v>13573</v>
      </c>
      <c r="W1070" s="5" t="s">
        <v>2616</v>
      </c>
      <c r="X1070" s="5" t="s">
        <v>2616</v>
      </c>
      <c r="Y1070" s="4">
        <v>483</v>
      </c>
      <c r="Z1070" s="4">
        <v>357</v>
      </c>
      <c r="AA1070" s="4">
        <v>415</v>
      </c>
      <c r="AB1070" s="4">
        <v>4</v>
      </c>
      <c r="AC1070" s="4">
        <v>4</v>
      </c>
      <c r="AD1070" s="4">
        <v>13</v>
      </c>
      <c r="AE1070" s="4">
        <v>18</v>
      </c>
      <c r="AF1070" s="4">
        <v>4</v>
      </c>
      <c r="AG1070" s="4">
        <v>6</v>
      </c>
      <c r="AH1070" s="4">
        <v>2</v>
      </c>
      <c r="AI1070" s="4">
        <v>4</v>
      </c>
      <c r="AJ1070" s="4">
        <v>7</v>
      </c>
      <c r="AK1070" s="4">
        <v>9</v>
      </c>
      <c r="AL1070" s="4">
        <v>3</v>
      </c>
      <c r="AM1070" s="4">
        <v>3</v>
      </c>
      <c r="AN1070" s="4">
        <v>0</v>
      </c>
      <c r="AO1070" s="4">
        <v>0</v>
      </c>
      <c r="AP1070" s="3" t="s">
        <v>58</v>
      </c>
      <c r="AQ1070" s="3" t="s">
        <v>68</v>
      </c>
      <c r="AR1070" s="6" t="str">
        <f>HYPERLINK("http://catalog.hathitrust.org/Record/000727111","HathiTrust Record")</f>
        <v>HathiTrust Record</v>
      </c>
      <c r="AS1070" s="6" t="str">
        <f>HYPERLINK("https://creighton-primo.hosted.exlibrisgroup.com/primo-explore/search?tab=default_tab&amp;search_scope=EVERYTHING&amp;vid=01CRU&amp;lang=en_US&amp;offset=0&amp;query=any,contains,991004027349702656","Catalog Record")</f>
        <v>Catalog Record</v>
      </c>
      <c r="AT1070" s="6" t="str">
        <f>HYPERLINK("http://www.worldcat.org/oclc/2140005","WorldCat Record")</f>
        <v>WorldCat Record</v>
      </c>
      <c r="AU1070" s="3" t="s">
        <v>13574</v>
      </c>
      <c r="AV1070" s="3" t="s">
        <v>13575</v>
      </c>
      <c r="AW1070" s="3" t="s">
        <v>13576</v>
      </c>
      <c r="AX1070" s="3" t="s">
        <v>13576</v>
      </c>
      <c r="AY1070" s="3" t="s">
        <v>13577</v>
      </c>
      <c r="AZ1070" s="3" t="s">
        <v>73</v>
      </c>
      <c r="BB1070" s="3" t="s">
        <v>13578</v>
      </c>
      <c r="BC1070" s="3" t="s">
        <v>13579</v>
      </c>
      <c r="BD1070" s="3" t="s">
        <v>13580</v>
      </c>
    </row>
    <row r="1071" spans="1:56" ht="51" customHeight="1" x14ac:dyDescent="0.25">
      <c r="A1071" s="7" t="s">
        <v>58</v>
      </c>
      <c r="B1071" s="2" t="s">
        <v>13581</v>
      </c>
      <c r="C1071" s="2" t="s">
        <v>13582</v>
      </c>
      <c r="D1071" s="2" t="s">
        <v>13583</v>
      </c>
      <c r="F1071" s="3" t="s">
        <v>58</v>
      </c>
      <c r="G1071" s="3" t="s">
        <v>59</v>
      </c>
      <c r="H1071" s="3" t="s">
        <v>58</v>
      </c>
      <c r="I1071" s="3" t="s">
        <v>58</v>
      </c>
      <c r="J1071" s="3" t="s">
        <v>60</v>
      </c>
      <c r="K1071" s="2" t="s">
        <v>13584</v>
      </c>
      <c r="L1071" s="2" t="s">
        <v>13585</v>
      </c>
      <c r="M1071" s="3" t="s">
        <v>249</v>
      </c>
      <c r="N1071" s="2" t="s">
        <v>9270</v>
      </c>
      <c r="O1071" s="3" t="s">
        <v>63</v>
      </c>
      <c r="P1071" s="3" t="s">
        <v>214</v>
      </c>
      <c r="Q1071" s="2" t="s">
        <v>13586</v>
      </c>
      <c r="R1071" s="3" t="s">
        <v>65</v>
      </c>
      <c r="S1071" s="4">
        <v>1</v>
      </c>
      <c r="T1071" s="4">
        <v>1</v>
      </c>
      <c r="U1071" s="5" t="s">
        <v>13587</v>
      </c>
      <c r="V1071" s="5" t="s">
        <v>13587</v>
      </c>
      <c r="W1071" s="5" t="s">
        <v>13125</v>
      </c>
      <c r="X1071" s="5" t="s">
        <v>13125</v>
      </c>
      <c r="Y1071" s="4">
        <v>690</v>
      </c>
      <c r="Z1071" s="4">
        <v>652</v>
      </c>
      <c r="AA1071" s="4">
        <v>1047</v>
      </c>
      <c r="AB1071" s="4">
        <v>5</v>
      </c>
      <c r="AC1071" s="4">
        <v>9</v>
      </c>
      <c r="AD1071" s="4">
        <v>22</v>
      </c>
      <c r="AE1071" s="4">
        <v>45</v>
      </c>
      <c r="AF1071" s="4">
        <v>11</v>
      </c>
      <c r="AG1071" s="4">
        <v>18</v>
      </c>
      <c r="AH1071" s="4">
        <v>4</v>
      </c>
      <c r="AI1071" s="4">
        <v>8</v>
      </c>
      <c r="AJ1071" s="4">
        <v>7</v>
      </c>
      <c r="AK1071" s="4">
        <v>16</v>
      </c>
      <c r="AL1071" s="4">
        <v>3</v>
      </c>
      <c r="AM1071" s="4">
        <v>6</v>
      </c>
      <c r="AN1071" s="4">
        <v>0</v>
      </c>
      <c r="AO1071" s="4">
        <v>5</v>
      </c>
      <c r="AP1071" s="3" t="s">
        <v>58</v>
      </c>
      <c r="AQ1071" s="3" t="s">
        <v>68</v>
      </c>
      <c r="AR1071" s="6" t="str">
        <f>HYPERLINK("http://catalog.hathitrust.org/Record/001252177","HathiTrust Record")</f>
        <v>HathiTrust Record</v>
      </c>
      <c r="AS1071" s="6" t="str">
        <f>HYPERLINK("https://creighton-primo.hosted.exlibrisgroup.com/primo-explore/search?tab=default_tab&amp;search_scope=EVERYTHING&amp;vid=01CRU&amp;lang=en_US&amp;offset=0&amp;query=any,contains,991002713629702656","Catalog Record")</f>
        <v>Catalog Record</v>
      </c>
      <c r="AT1071" s="6" t="str">
        <f>HYPERLINK("http://www.worldcat.org/oclc/410685","WorldCat Record")</f>
        <v>WorldCat Record</v>
      </c>
      <c r="AU1071" s="3" t="s">
        <v>13588</v>
      </c>
      <c r="AV1071" s="3" t="s">
        <v>13589</v>
      </c>
      <c r="AW1071" s="3" t="s">
        <v>13590</v>
      </c>
      <c r="AX1071" s="3" t="s">
        <v>13590</v>
      </c>
      <c r="AY1071" s="3" t="s">
        <v>13591</v>
      </c>
      <c r="AZ1071" s="3" t="s">
        <v>73</v>
      </c>
      <c r="BC1071" s="3" t="s">
        <v>13592</v>
      </c>
      <c r="BD1071" s="3" t="s">
        <v>13593</v>
      </c>
    </row>
    <row r="1072" spans="1:56" ht="51" customHeight="1" x14ac:dyDescent="0.25">
      <c r="A1072" s="7" t="s">
        <v>58</v>
      </c>
      <c r="B1072" s="2" t="s">
        <v>13594</v>
      </c>
      <c r="C1072" s="2" t="s">
        <v>13595</v>
      </c>
      <c r="D1072" s="2" t="s">
        <v>13596</v>
      </c>
      <c r="F1072" s="3" t="s">
        <v>58</v>
      </c>
      <c r="G1072" s="3" t="s">
        <v>59</v>
      </c>
      <c r="H1072" s="3" t="s">
        <v>58</v>
      </c>
      <c r="I1072" s="3" t="s">
        <v>58</v>
      </c>
      <c r="J1072" s="3" t="s">
        <v>60</v>
      </c>
      <c r="K1072" s="2" t="s">
        <v>13597</v>
      </c>
      <c r="L1072" s="2" t="s">
        <v>13598</v>
      </c>
      <c r="M1072" s="3" t="s">
        <v>2757</v>
      </c>
      <c r="O1072" s="3" t="s">
        <v>63</v>
      </c>
      <c r="P1072" s="3" t="s">
        <v>214</v>
      </c>
      <c r="R1072" s="3" t="s">
        <v>65</v>
      </c>
      <c r="S1072" s="4">
        <v>2</v>
      </c>
      <c r="T1072" s="4">
        <v>2</v>
      </c>
      <c r="U1072" s="5" t="s">
        <v>13599</v>
      </c>
      <c r="V1072" s="5" t="s">
        <v>13599</v>
      </c>
      <c r="W1072" s="5" t="s">
        <v>7194</v>
      </c>
      <c r="X1072" s="5" t="s">
        <v>7194</v>
      </c>
      <c r="Y1072" s="4">
        <v>443</v>
      </c>
      <c r="Z1072" s="4">
        <v>384</v>
      </c>
      <c r="AA1072" s="4">
        <v>392</v>
      </c>
      <c r="AB1072" s="4">
        <v>4</v>
      </c>
      <c r="AC1072" s="4">
        <v>4</v>
      </c>
      <c r="AD1072" s="4">
        <v>16</v>
      </c>
      <c r="AE1072" s="4">
        <v>16</v>
      </c>
      <c r="AF1072" s="4">
        <v>4</v>
      </c>
      <c r="AG1072" s="4">
        <v>4</v>
      </c>
      <c r="AH1072" s="4">
        <v>2</v>
      </c>
      <c r="AI1072" s="4">
        <v>2</v>
      </c>
      <c r="AJ1072" s="4">
        <v>9</v>
      </c>
      <c r="AK1072" s="4">
        <v>9</v>
      </c>
      <c r="AL1072" s="4">
        <v>3</v>
      </c>
      <c r="AM1072" s="4">
        <v>3</v>
      </c>
      <c r="AN1072" s="4">
        <v>0</v>
      </c>
      <c r="AO1072" s="4">
        <v>0</v>
      </c>
      <c r="AP1072" s="3" t="s">
        <v>58</v>
      </c>
      <c r="AQ1072" s="3" t="s">
        <v>68</v>
      </c>
      <c r="AR1072" s="6" t="str">
        <f>HYPERLINK("http://catalog.hathitrust.org/Record/006658643","HathiTrust Record")</f>
        <v>HathiTrust Record</v>
      </c>
      <c r="AS1072" s="6" t="str">
        <f>HYPERLINK("https://creighton-primo.hosted.exlibrisgroup.com/primo-explore/search?tab=default_tab&amp;search_scope=EVERYTHING&amp;vid=01CRU&amp;lang=en_US&amp;offset=0&amp;query=any,contains,991002715349702656","Catalog Record")</f>
        <v>Catalog Record</v>
      </c>
      <c r="AT1072" s="6" t="str">
        <f>HYPERLINK("http://www.worldcat.org/oclc/411116","WorldCat Record")</f>
        <v>WorldCat Record</v>
      </c>
      <c r="AU1072" s="3" t="s">
        <v>13600</v>
      </c>
      <c r="AV1072" s="3" t="s">
        <v>13601</v>
      </c>
      <c r="AW1072" s="3" t="s">
        <v>13602</v>
      </c>
      <c r="AX1072" s="3" t="s">
        <v>13602</v>
      </c>
      <c r="AY1072" s="3" t="s">
        <v>13603</v>
      </c>
      <c r="AZ1072" s="3" t="s">
        <v>73</v>
      </c>
      <c r="BC1072" s="3" t="s">
        <v>13604</v>
      </c>
      <c r="BD1072" s="3" t="s">
        <v>13605</v>
      </c>
    </row>
    <row r="1073" spans="1:56" ht="51" customHeight="1" x14ac:dyDescent="0.25">
      <c r="A1073" s="7" t="s">
        <v>58</v>
      </c>
      <c r="B1073" s="2" t="s">
        <v>13606</v>
      </c>
      <c r="C1073" s="2" t="s">
        <v>13607</v>
      </c>
      <c r="D1073" s="2" t="s">
        <v>13608</v>
      </c>
      <c r="F1073" s="3" t="s">
        <v>58</v>
      </c>
      <c r="G1073" s="3" t="s">
        <v>59</v>
      </c>
      <c r="H1073" s="3" t="s">
        <v>58</v>
      </c>
      <c r="I1073" s="3" t="s">
        <v>58</v>
      </c>
      <c r="J1073" s="3" t="s">
        <v>60</v>
      </c>
      <c r="K1073" s="2" t="s">
        <v>13609</v>
      </c>
      <c r="L1073" s="2" t="s">
        <v>13610</v>
      </c>
      <c r="M1073" s="3" t="s">
        <v>996</v>
      </c>
      <c r="N1073" s="2" t="s">
        <v>13611</v>
      </c>
      <c r="O1073" s="3" t="s">
        <v>63</v>
      </c>
      <c r="P1073" s="3" t="s">
        <v>760</v>
      </c>
      <c r="Q1073" s="2" t="s">
        <v>13612</v>
      </c>
      <c r="R1073" s="3" t="s">
        <v>65</v>
      </c>
      <c r="S1073" s="4">
        <v>3</v>
      </c>
      <c r="T1073" s="4">
        <v>3</v>
      </c>
      <c r="U1073" s="5" t="s">
        <v>13613</v>
      </c>
      <c r="V1073" s="5" t="s">
        <v>13613</v>
      </c>
      <c r="W1073" s="5" t="s">
        <v>13225</v>
      </c>
      <c r="X1073" s="5" t="s">
        <v>13225</v>
      </c>
      <c r="Y1073" s="4">
        <v>739</v>
      </c>
      <c r="Z1073" s="4">
        <v>640</v>
      </c>
      <c r="AA1073" s="4">
        <v>1731</v>
      </c>
      <c r="AB1073" s="4">
        <v>10</v>
      </c>
      <c r="AC1073" s="4">
        <v>14</v>
      </c>
      <c r="AD1073" s="4">
        <v>27</v>
      </c>
      <c r="AE1073" s="4">
        <v>55</v>
      </c>
      <c r="AF1073" s="4">
        <v>8</v>
      </c>
      <c r="AG1073" s="4">
        <v>24</v>
      </c>
      <c r="AH1073" s="4">
        <v>6</v>
      </c>
      <c r="AI1073" s="4">
        <v>9</v>
      </c>
      <c r="AJ1073" s="4">
        <v>11</v>
      </c>
      <c r="AK1073" s="4">
        <v>23</v>
      </c>
      <c r="AL1073" s="4">
        <v>8</v>
      </c>
      <c r="AM1073" s="4">
        <v>12</v>
      </c>
      <c r="AN1073" s="4">
        <v>0</v>
      </c>
      <c r="AO1073" s="4">
        <v>0</v>
      </c>
      <c r="AP1073" s="3" t="s">
        <v>58</v>
      </c>
      <c r="AQ1073" s="3" t="s">
        <v>58</v>
      </c>
      <c r="AS1073" s="6" t="str">
        <f>HYPERLINK("https://creighton-primo.hosted.exlibrisgroup.com/primo-explore/search?tab=default_tab&amp;search_scope=EVERYTHING&amp;vid=01CRU&amp;lang=en_US&amp;offset=0&amp;query=any,contains,991003583539702656","Catalog Record")</f>
        <v>Catalog Record</v>
      </c>
      <c r="AT1073" s="6" t="str">
        <f>HYPERLINK("http://www.worldcat.org/oclc/1164714","WorldCat Record")</f>
        <v>WorldCat Record</v>
      </c>
      <c r="AU1073" s="3" t="s">
        <v>13614</v>
      </c>
      <c r="AV1073" s="3" t="s">
        <v>13615</v>
      </c>
      <c r="AW1073" s="3" t="s">
        <v>13616</v>
      </c>
      <c r="AX1073" s="3" t="s">
        <v>13616</v>
      </c>
      <c r="AY1073" s="3" t="s">
        <v>13617</v>
      </c>
      <c r="AZ1073" s="3" t="s">
        <v>73</v>
      </c>
      <c r="BB1073" s="3" t="s">
        <v>13618</v>
      </c>
      <c r="BC1073" s="3" t="s">
        <v>13619</v>
      </c>
      <c r="BD1073" s="3" t="s">
        <v>13620</v>
      </c>
    </row>
    <row r="1074" spans="1:56" ht="51" customHeight="1" x14ac:dyDescent="0.25">
      <c r="A1074" s="7" t="s">
        <v>58</v>
      </c>
      <c r="B1074" s="2" t="s">
        <v>13621</v>
      </c>
      <c r="C1074" s="2" t="s">
        <v>13622</v>
      </c>
      <c r="D1074" s="2" t="s">
        <v>13623</v>
      </c>
      <c r="F1074" s="3" t="s">
        <v>58</v>
      </c>
      <c r="G1074" s="3" t="s">
        <v>59</v>
      </c>
      <c r="H1074" s="3" t="s">
        <v>58</v>
      </c>
      <c r="I1074" s="3" t="s">
        <v>58</v>
      </c>
      <c r="J1074" s="3" t="s">
        <v>60</v>
      </c>
      <c r="K1074" s="2" t="s">
        <v>13624</v>
      </c>
      <c r="L1074" s="2" t="s">
        <v>13625</v>
      </c>
      <c r="M1074" s="3" t="s">
        <v>2295</v>
      </c>
      <c r="O1074" s="3" t="s">
        <v>63</v>
      </c>
      <c r="P1074" s="3" t="s">
        <v>584</v>
      </c>
      <c r="Q1074" s="2" t="s">
        <v>13626</v>
      </c>
      <c r="R1074" s="3" t="s">
        <v>65</v>
      </c>
      <c r="S1074" s="4">
        <v>2</v>
      </c>
      <c r="T1074" s="4">
        <v>2</v>
      </c>
      <c r="U1074" s="5" t="s">
        <v>13627</v>
      </c>
      <c r="V1074" s="5" t="s">
        <v>13627</v>
      </c>
      <c r="W1074" s="5" t="s">
        <v>13628</v>
      </c>
      <c r="X1074" s="5" t="s">
        <v>13628</v>
      </c>
      <c r="Y1074" s="4">
        <v>210</v>
      </c>
      <c r="Z1074" s="4">
        <v>141</v>
      </c>
      <c r="AA1074" s="4">
        <v>241</v>
      </c>
      <c r="AB1074" s="4">
        <v>2</v>
      </c>
      <c r="AC1074" s="4">
        <v>3</v>
      </c>
      <c r="AD1074" s="4">
        <v>6</v>
      </c>
      <c r="AE1074" s="4">
        <v>9</v>
      </c>
      <c r="AF1074" s="4">
        <v>0</v>
      </c>
      <c r="AG1074" s="4">
        <v>2</v>
      </c>
      <c r="AH1074" s="4">
        <v>3</v>
      </c>
      <c r="AI1074" s="4">
        <v>3</v>
      </c>
      <c r="AJ1074" s="4">
        <v>4</v>
      </c>
      <c r="AK1074" s="4">
        <v>5</v>
      </c>
      <c r="AL1074" s="4">
        <v>1</v>
      </c>
      <c r="AM1074" s="4">
        <v>2</v>
      </c>
      <c r="AN1074" s="4">
        <v>0</v>
      </c>
      <c r="AO1074" s="4">
        <v>0</v>
      </c>
      <c r="AP1074" s="3" t="s">
        <v>58</v>
      </c>
      <c r="AQ1074" s="3" t="s">
        <v>58</v>
      </c>
      <c r="AS1074" s="6" t="str">
        <f>HYPERLINK("https://creighton-primo.hosted.exlibrisgroup.com/primo-explore/search?tab=default_tab&amp;search_scope=EVERYTHING&amp;vid=01CRU&amp;lang=en_US&amp;offset=0&amp;query=any,contains,991004264619702656","Catalog Record")</f>
        <v>Catalog Record</v>
      </c>
      <c r="AT1074" s="6" t="str">
        <f>HYPERLINK("http://www.worldcat.org/oclc/50476828","WorldCat Record")</f>
        <v>WorldCat Record</v>
      </c>
      <c r="AU1074" s="3" t="s">
        <v>13629</v>
      </c>
      <c r="AV1074" s="3" t="s">
        <v>13630</v>
      </c>
      <c r="AW1074" s="3" t="s">
        <v>13631</v>
      </c>
      <c r="AX1074" s="3" t="s">
        <v>13631</v>
      </c>
      <c r="AY1074" s="3" t="s">
        <v>13632</v>
      </c>
      <c r="AZ1074" s="3" t="s">
        <v>73</v>
      </c>
      <c r="BB1074" s="3" t="s">
        <v>13633</v>
      </c>
      <c r="BC1074" s="3" t="s">
        <v>13634</v>
      </c>
      <c r="BD1074" s="3" t="s">
        <v>13635</v>
      </c>
    </row>
    <row r="1075" spans="1:56" ht="51" customHeight="1" x14ac:dyDescent="0.25">
      <c r="A1075" s="7" t="s">
        <v>58</v>
      </c>
      <c r="B1075" s="2" t="s">
        <v>13636</v>
      </c>
      <c r="C1075" s="2" t="s">
        <v>13637</v>
      </c>
      <c r="D1075" s="2" t="s">
        <v>13638</v>
      </c>
      <c r="F1075" s="3" t="s">
        <v>58</v>
      </c>
      <c r="G1075" s="3" t="s">
        <v>59</v>
      </c>
      <c r="H1075" s="3" t="s">
        <v>58</v>
      </c>
      <c r="I1075" s="3" t="s">
        <v>58</v>
      </c>
      <c r="J1075" s="3" t="s">
        <v>60</v>
      </c>
      <c r="L1075" s="2" t="s">
        <v>13639</v>
      </c>
      <c r="M1075" s="3" t="s">
        <v>337</v>
      </c>
      <c r="O1075" s="3" t="s">
        <v>63</v>
      </c>
      <c r="P1075" s="3" t="s">
        <v>1837</v>
      </c>
      <c r="R1075" s="3" t="s">
        <v>65</v>
      </c>
      <c r="S1075" s="4">
        <v>5</v>
      </c>
      <c r="T1075" s="4">
        <v>5</v>
      </c>
      <c r="U1075" s="5" t="s">
        <v>12695</v>
      </c>
      <c r="V1075" s="5" t="s">
        <v>12695</v>
      </c>
      <c r="W1075" s="5" t="s">
        <v>13640</v>
      </c>
      <c r="X1075" s="5" t="s">
        <v>13640</v>
      </c>
      <c r="Y1075" s="4">
        <v>582</v>
      </c>
      <c r="Z1075" s="4">
        <v>512</v>
      </c>
      <c r="AA1075" s="4">
        <v>570</v>
      </c>
      <c r="AB1075" s="4">
        <v>4</v>
      </c>
      <c r="AC1075" s="4">
        <v>4</v>
      </c>
      <c r="AD1075" s="4">
        <v>12</v>
      </c>
      <c r="AE1075" s="4">
        <v>13</v>
      </c>
      <c r="AF1075" s="4">
        <v>6</v>
      </c>
      <c r="AG1075" s="4">
        <v>6</v>
      </c>
      <c r="AH1075" s="4">
        <v>4</v>
      </c>
      <c r="AI1075" s="4">
        <v>4</v>
      </c>
      <c r="AJ1075" s="4">
        <v>3</v>
      </c>
      <c r="AK1075" s="4">
        <v>4</v>
      </c>
      <c r="AL1075" s="4">
        <v>3</v>
      </c>
      <c r="AM1075" s="4">
        <v>3</v>
      </c>
      <c r="AN1075" s="4">
        <v>0</v>
      </c>
      <c r="AO1075" s="4">
        <v>0</v>
      </c>
      <c r="AP1075" s="3" t="s">
        <v>58</v>
      </c>
      <c r="AQ1075" s="3" t="s">
        <v>58</v>
      </c>
      <c r="AS1075" s="6" t="str">
        <f>HYPERLINK("https://creighton-primo.hosted.exlibrisgroup.com/primo-explore/search?tab=default_tab&amp;search_scope=EVERYTHING&amp;vid=01CRU&amp;lang=en_US&amp;offset=0&amp;query=any,contains,991003968299702656","Catalog Record")</f>
        <v>Catalog Record</v>
      </c>
      <c r="AT1075" s="6" t="str">
        <f>HYPERLINK("http://www.worldcat.org/oclc/50476900","WorldCat Record")</f>
        <v>WorldCat Record</v>
      </c>
      <c r="AU1075" s="3" t="s">
        <v>13641</v>
      </c>
      <c r="AV1075" s="3" t="s">
        <v>13642</v>
      </c>
      <c r="AW1075" s="3" t="s">
        <v>13643</v>
      </c>
      <c r="AX1075" s="3" t="s">
        <v>13643</v>
      </c>
      <c r="AY1075" s="3" t="s">
        <v>13644</v>
      </c>
      <c r="AZ1075" s="3" t="s">
        <v>73</v>
      </c>
      <c r="BB1075" s="3" t="s">
        <v>13645</v>
      </c>
      <c r="BC1075" s="3" t="s">
        <v>13646</v>
      </c>
      <c r="BD1075" s="3" t="s">
        <v>13647</v>
      </c>
    </row>
    <row r="1076" spans="1:56" ht="51" customHeight="1" x14ac:dyDescent="0.25">
      <c r="A1076" s="7" t="s">
        <v>58</v>
      </c>
      <c r="B1076" s="2" t="s">
        <v>13648</v>
      </c>
      <c r="C1076" s="2" t="s">
        <v>13649</v>
      </c>
      <c r="D1076" s="2" t="s">
        <v>13650</v>
      </c>
      <c r="F1076" s="3" t="s">
        <v>58</v>
      </c>
      <c r="G1076" s="3" t="s">
        <v>59</v>
      </c>
      <c r="H1076" s="3" t="s">
        <v>58</v>
      </c>
      <c r="I1076" s="3" t="s">
        <v>58</v>
      </c>
      <c r="J1076" s="3" t="s">
        <v>60</v>
      </c>
      <c r="L1076" s="2" t="s">
        <v>13651</v>
      </c>
      <c r="M1076" s="3" t="s">
        <v>62</v>
      </c>
      <c r="O1076" s="3" t="s">
        <v>63</v>
      </c>
      <c r="P1076" s="3" t="s">
        <v>214</v>
      </c>
      <c r="Q1076" s="2" t="s">
        <v>13652</v>
      </c>
      <c r="R1076" s="3" t="s">
        <v>65</v>
      </c>
      <c r="S1076" s="4">
        <v>3</v>
      </c>
      <c r="T1076" s="4">
        <v>3</v>
      </c>
      <c r="U1076" s="5" t="s">
        <v>12695</v>
      </c>
      <c r="V1076" s="5" t="s">
        <v>12695</v>
      </c>
      <c r="W1076" s="5" t="s">
        <v>11664</v>
      </c>
      <c r="X1076" s="5" t="s">
        <v>11664</v>
      </c>
      <c r="Y1076" s="4">
        <v>504</v>
      </c>
      <c r="Z1076" s="4">
        <v>450</v>
      </c>
      <c r="AA1076" s="4">
        <v>453</v>
      </c>
      <c r="AB1076" s="4">
        <v>5</v>
      </c>
      <c r="AC1076" s="4">
        <v>5</v>
      </c>
      <c r="AD1076" s="4">
        <v>18</v>
      </c>
      <c r="AE1076" s="4">
        <v>18</v>
      </c>
      <c r="AF1076" s="4">
        <v>6</v>
      </c>
      <c r="AG1076" s="4">
        <v>6</v>
      </c>
      <c r="AH1076" s="4">
        <v>7</v>
      </c>
      <c r="AI1076" s="4">
        <v>7</v>
      </c>
      <c r="AJ1076" s="4">
        <v>6</v>
      </c>
      <c r="AK1076" s="4">
        <v>6</v>
      </c>
      <c r="AL1076" s="4">
        <v>4</v>
      </c>
      <c r="AM1076" s="4">
        <v>4</v>
      </c>
      <c r="AN1076" s="4">
        <v>0</v>
      </c>
      <c r="AO1076" s="4">
        <v>0</v>
      </c>
      <c r="AP1076" s="3" t="s">
        <v>58</v>
      </c>
      <c r="AQ1076" s="3" t="s">
        <v>68</v>
      </c>
      <c r="AR1076" s="6" t="str">
        <f>HYPERLINK("http://catalog.hathitrust.org/Record/001240639","HathiTrust Record")</f>
        <v>HathiTrust Record</v>
      </c>
      <c r="AS1076" s="6" t="str">
        <f>HYPERLINK("https://creighton-primo.hosted.exlibrisgroup.com/primo-explore/search?tab=default_tab&amp;search_scope=EVERYTHING&amp;vid=01CRU&amp;lang=en_US&amp;offset=0&amp;query=any,contains,991001288579702656","Catalog Record")</f>
        <v>Catalog Record</v>
      </c>
      <c r="AT1076" s="6" t="str">
        <f>HYPERLINK("http://www.worldcat.org/oclc/217381","WorldCat Record")</f>
        <v>WorldCat Record</v>
      </c>
      <c r="AU1076" s="3" t="s">
        <v>13653</v>
      </c>
      <c r="AV1076" s="3" t="s">
        <v>13654</v>
      </c>
      <c r="AW1076" s="3" t="s">
        <v>13655</v>
      </c>
      <c r="AX1076" s="3" t="s">
        <v>13655</v>
      </c>
      <c r="AY1076" s="3" t="s">
        <v>13656</v>
      </c>
      <c r="AZ1076" s="3" t="s">
        <v>73</v>
      </c>
      <c r="BC1076" s="3" t="s">
        <v>13657</v>
      </c>
      <c r="BD1076" s="3" t="s">
        <v>13658</v>
      </c>
    </row>
    <row r="1077" spans="1:56" ht="51" customHeight="1" x14ac:dyDescent="0.25">
      <c r="A1077" s="7" t="s">
        <v>58</v>
      </c>
      <c r="B1077" s="2" t="s">
        <v>13659</v>
      </c>
      <c r="C1077" s="2" t="s">
        <v>13660</v>
      </c>
      <c r="D1077" s="2" t="s">
        <v>13661</v>
      </c>
      <c r="F1077" s="3" t="s">
        <v>58</v>
      </c>
      <c r="G1077" s="3" t="s">
        <v>59</v>
      </c>
      <c r="H1077" s="3" t="s">
        <v>58</v>
      </c>
      <c r="I1077" s="3" t="s">
        <v>58</v>
      </c>
      <c r="J1077" s="3" t="s">
        <v>60</v>
      </c>
      <c r="K1077" s="2" t="s">
        <v>13662</v>
      </c>
      <c r="L1077" s="2" t="s">
        <v>13663</v>
      </c>
      <c r="M1077" s="3" t="s">
        <v>2295</v>
      </c>
      <c r="N1077" s="2" t="s">
        <v>1009</v>
      </c>
      <c r="O1077" s="3" t="s">
        <v>63</v>
      </c>
      <c r="P1077" s="3" t="s">
        <v>214</v>
      </c>
      <c r="R1077" s="3" t="s">
        <v>65</v>
      </c>
      <c r="S1077" s="4">
        <v>3</v>
      </c>
      <c r="T1077" s="4">
        <v>3</v>
      </c>
      <c r="U1077" s="5" t="s">
        <v>13664</v>
      </c>
      <c r="V1077" s="5" t="s">
        <v>13664</v>
      </c>
      <c r="W1077" s="5" t="s">
        <v>13665</v>
      </c>
      <c r="X1077" s="5" t="s">
        <v>13665</v>
      </c>
      <c r="Y1077" s="4">
        <v>841</v>
      </c>
      <c r="Z1077" s="4">
        <v>765</v>
      </c>
      <c r="AA1077" s="4">
        <v>791</v>
      </c>
      <c r="AB1077" s="4">
        <v>7</v>
      </c>
      <c r="AC1077" s="4">
        <v>7</v>
      </c>
      <c r="AD1077" s="4">
        <v>25</v>
      </c>
      <c r="AE1077" s="4">
        <v>25</v>
      </c>
      <c r="AF1077" s="4">
        <v>8</v>
      </c>
      <c r="AG1077" s="4">
        <v>8</v>
      </c>
      <c r="AH1077" s="4">
        <v>4</v>
      </c>
      <c r="AI1077" s="4">
        <v>4</v>
      </c>
      <c r="AJ1077" s="4">
        <v>10</v>
      </c>
      <c r="AK1077" s="4">
        <v>10</v>
      </c>
      <c r="AL1077" s="4">
        <v>5</v>
      </c>
      <c r="AM1077" s="4">
        <v>5</v>
      </c>
      <c r="AN1077" s="4">
        <v>1</v>
      </c>
      <c r="AO1077" s="4">
        <v>1</v>
      </c>
      <c r="AP1077" s="3" t="s">
        <v>58</v>
      </c>
      <c r="AQ1077" s="3" t="s">
        <v>58</v>
      </c>
      <c r="AS1077" s="6" t="str">
        <f>HYPERLINK("https://creighton-primo.hosted.exlibrisgroup.com/primo-explore/search?tab=default_tab&amp;search_scope=EVERYTHING&amp;vid=01CRU&amp;lang=en_US&amp;offset=0&amp;query=any,contains,991004175889702656","Catalog Record")</f>
        <v>Catalog Record</v>
      </c>
      <c r="AT1077" s="6" t="str">
        <f>HYPERLINK("http://www.worldcat.org/oclc/52334902","WorldCat Record")</f>
        <v>WorldCat Record</v>
      </c>
      <c r="AU1077" s="3" t="s">
        <v>13666</v>
      </c>
      <c r="AV1077" s="3" t="s">
        <v>13667</v>
      </c>
      <c r="AW1077" s="3" t="s">
        <v>13668</v>
      </c>
      <c r="AX1077" s="3" t="s">
        <v>13668</v>
      </c>
      <c r="AY1077" s="3" t="s">
        <v>13669</v>
      </c>
      <c r="AZ1077" s="3" t="s">
        <v>73</v>
      </c>
      <c r="BB1077" s="3" t="s">
        <v>13670</v>
      </c>
      <c r="BC1077" s="3" t="s">
        <v>13671</v>
      </c>
      <c r="BD1077" s="3" t="s">
        <v>13672</v>
      </c>
    </row>
    <row r="1078" spans="1:56" ht="51" customHeight="1" x14ac:dyDescent="0.25">
      <c r="A1078" s="7" t="s">
        <v>58</v>
      </c>
      <c r="B1078" s="2" t="s">
        <v>13673</v>
      </c>
      <c r="C1078" s="2" t="s">
        <v>13674</v>
      </c>
      <c r="D1078" s="2" t="s">
        <v>13675</v>
      </c>
      <c r="F1078" s="3" t="s">
        <v>58</v>
      </c>
      <c r="G1078" s="3" t="s">
        <v>59</v>
      </c>
      <c r="H1078" s="3" t="s">
        <v>58</v>
      </c>
      <c r="I1078" s="3" t="s">
        <v>58</v>
      </c>
      <c r="J1078" s="3" t="s">
        <v>60</v>
      </c>
      <c r="K1078" s="2" t="s">
        <v>13676</v>
      </c>
      <c r="L1078" s="2" t="s">
        <v>13677</v>
      </c>
      <c r="M1078" s="3" t="s">
        <v>2132</v>
      </c>
      <c r="O1078" s="3" t="s">
        <v>63</v>
      </c>
      <c r="P1078" s="3" t="s">
        <v>411</v>
      </c>
      <c r="R1078" s="3" t="s">
        <v>65</v>
      </c>
      <c r="S1078" s="4">
        <v>1</v>
      </c>
      <c r="T1078" s="4">
        <v>1</v>
      </c>
      <c r="U1078" s="5" t="s">
        <v>13678</v>
      </c>
      <c r="V1078" s="5" t="s">
        <v>13678</v>
      </c>
      <c r="W1078" s="5" t="s">
        <v>11664</v>
      </c>
      <c r="X1078" s="5" t="s">
        <v>11664</v>
      </c>
      <c r="Y1078" s="4">
        <v>414</v>
      </c>
      <c r="Z1078" s="4">
        <v>408</v>
      </c>
      <c r="AA1078" s="4">
        <v>947</v>
      </c>
      <c r="AB1078" s="4">
        <v>5</v>
      </c>
      <c r="AC1078" s="4">
        <v>7</v>
      </c>
      <c r="AD1078" s="4">
        <v>22</v>
      </c>
      <c r="AE1078" s="4">
        <v>43</v>
      </c>
      <c r="AF1078" s="4">
        <v>6</v>
      </c>
      <c r="AG1078" s="4">
        <v>17</v>
      </c>
      <c r="AH1078" s="4">
        <v>6</v>
      </c>
      <c r="AI1078" s="4">
        <v>9</v>
      </c>
      <c r="AJ1078" s="4">
        <v>11</v>
      </c>
      <c r="AK1078" s="4">
        <v>21</v>
      </c>
      <c r="AL1078" s="4">
        <v>4</v>
      </c>
      <c r="AM1078" s="4">
        <v>6</v>
      </c>
      <c r="AN1078" s="4">
        <v>0</v>
      </c>
      <c r="AO1078" s="4">
        <v>0</v>
      </c>
      <c r="AP1078" s="3" t="s">
        <v>68</v>
      </c>
      <c r="AQ1078" s="3" t="s">
        <v>68</v>
      </c>
      <c r="AR1078" s="6" t="str">
        <f>HYPERLINK("http://catalog.hathitrust.org/Record/001240643","HathiTrust Record")</f>
        <v>HathiTrust Record</v>
      </c>
      <c r="AS1078" s="6" t="str">
        <f>HYPERLINK("https://creighton-primo.hosted.exlibrisgroup.com/primo-explore/search?tab=default_tab&amp;search_scope=EVERYTHING&amp;vid=01CRU&amp;lang=en_US&amp;offset=0&amp;query=any,contains,991000994569702656","Catalog Record")</f>
        <v>Catalog Record</v>
      </c>
      <c r="AT1078" s="6" t="str">
        <f>HYPERLINK("http://www.worldcat.org/oclc/15132199","WorldCat Record")</f>
        <v>WorldCat Record</v>
      </c>
      <c r="AU1078" s="3" t="s">
        <v>13679</v>
      </c>
      <c r="AV1078" s="3" t="s">
        <v>13680</v>
      </c>
      <c r="AW1078" s="3" t="s">
        <v>13681</v>
      </c>
      <c r="AX1078" s="3" t="s">
        <v>13681</v>
      </c>
      <c r="AY1078" s="3" t="s">
        <v>13682</v>
      </c>
      <c r="AZ1078" s="3" t="s">
        <v>73</v>
      </c>
      <c r="BC1078" s="3" t="s">
        <v>13683</v>
      </c>
      <c r="BD1078" s="3" t="s">
        <v>13684</v>
      </c>
    </row>
    <row r="1079" spans="1:56" ht="51" customHeight="1" x14ac:dyDescent="0.25">
      <c r="A1079" s="7" t="s">
        <v>58</v>
      </c>
      <c r="B1079" s="2" t="s">
        <v>13685</v>
      </c>
      <c r="C1079" s="2" t="s">
        <v>13686</v>
      </c>
      <c r="D1079" s="2" t="s">
        <v>13687</v>
      </c>
      <c r="F1079" s="3" t="s">
        <v>58</v>
      </c>
      <c r="G1079" s="3" t="s">
        <v>59</v>
      </c>
      <c r="H1079" s="3" t="s">
        <v>58</v>
      </c>
      <c r="I1079" s="3" t="s">
        <v>58</v>
      </c>
      <c r="J1079" s="3" t="s">
        <v>60</v>
      </c>
      <c r="L1079" s="2" t="s">
        <v>13688</v>
      </c>
      <c r="M1079" s="3" t="s">
        <v>1153</v>
      </c>
      <c r="N1079" s="2" t="s">
        <v>13689</v>
      </c>
      <c r="O1079" s="3" t="s">
        <v>63</v>
      </c>
      <c r="P1079" s="3" t="s">
        <v>584</v>
      </c>
      <c r="R1079" s="3" t="s">
        <v>65</v>
      </c>
      <c r="S1079" s="4">
        <v>3</v>
      </c>
      <c r="T1079" s="4">
        <v>3</v>
      </c>
      <c r="U1079" s="5" t="s">
        <v>13678</v>
      </c>
      <c r="V1079" s="5" t="s">
        <v>13678</v>
      </c>
      <c r="W1079" s="5" t="s">
        <v>11664</v>
      </c>
      <c r="X1079" s="5" t="s">
        <v>11664</v>
      </c>
      <c r="Y1079" s="4">
        <v>616</v>
      </c>
      <c r="Z1079" s="4">
        <v>462</v>
      </c>
      <c r="AA1079" s="4">
        <v>694</v>
      </c>
      <c r="AB1079" s="4">
        <v>5</v>
      </c>
      <c r="AC1079" s="4">
        <v>6</v>
      </c>
      <c r="AD1079" s="4">
        <v>21</v>
      </c>
      <c r="AE1079" s="4">
        <v>33</v>
      </c>
      <c r="AF1079" s="4">
        <v>5</v>
      </c>
      <c r="AG1079" s="4">
        <v>12</v>
      </c>
      <c r="AH1079" s="4">
        <v>5</v>
      </c>
      <c r="AI1079" s="4">
        <v>8</v>
      </c>
      <c r="AJ1079" s="4">
        <v>11</v>
      </c>
      <c r="AK1079" s="4">
        <v>16</v>
      </c>
      <c r="AL1079" s="4">
        <v>4</v>
      </c>
      <c r="AM1079" s="4">
        <v>5</v>
      </c>
      <c r="AN1079" s="4">
        <v>1</v>
      </c>
      <c r="AO1079" s="4">
        <v>1</v>
      </c>
      <c r="AP1079" s="3" t="s">
        <v>58</v>
      </c>
      <c r="AQ1079" s="3" t="s">
        <v>68</v>
      </c>
      <c r="AR1079" s="6" t="str">
        <f>HYPERLINK("http://catalog.hathitrust.org/Record/000710588","HathiTrust Record")</f>
        <v>HathiTrust Record</v>
      </c>
      <c r="AS1079" s="6" t="str">
        <f>HYPERLINK("https://creighton-primo.hosted.exlibrisgroup.com/primo-explore/search?tab=default_tab&amp;search_scope=EVERYTHING&amp;vid=01CRU&amp;lang=en_US&amp;offset=0&amp;query=any,contains,991003070259702656","Catalog Record")</f>
        <v>Catalog Record</v>
      </c>
      <c r="AT1079" s="6" t="str">
        <f>HYPERLINK("http://www.worldcat.org/oclc/624466","WorldCat Record")</f>
        <v>WorldCat Record</v>
      </c>
      <c r="AU1079" s="3" t="s">
        <v>13690</v>
      </c>
      <c r="AV1079" s="3" t="s">
        <v>13691</v>
      </c>
      <c r="AW1079" s="3" t="s">
        <v>13692</v>
      </c>
      <c r="AX1079" s="3" t="s">
        <v>13692</v>
      </c>
      <c r="AY1079" s="3" t="s">
        <v>13693</v>
      </c>
      <c r="AZ1079" s="3" t="s">
        <v>73</v>
      </c>
      <c r="BB1079" s="3" t="s">
        <v>13694</v>
      </c>
      <c r="BC1079" s="3" t="s">
        <v>13695</v>
      </c>
      <c r="BD1079" s="3" t="s">
        <v>13696</v>
      </c>
    </row>
    <row r="1080" spans="1:56" ht="51" customHeight="1" x14ac:dyDescent="0.25">
      <c r="A1080" s="7" t="s">
        <v>58</v>
      </c>
      <c r="B1080" s="2" t="s">
        <v>13697</v>
      </c>
      <c r="C1080" s="2" t="s">
        <v>13698</v>
      </c>
      <c r="D1080" s="2" t="s">
        <v>13699</v>
      </c>
      <c r="F1080" s="3" t="s">
        <v>58</v>
      </c>
      <c r="G1080" s="3" t="s">
        <v>59</v>
      </c>
      <c r="H1080" s="3" t="s">
        <v>58</v>
      </c>
      <c r="I1080" s="3" t="s">
        <v>58</v>
      </c>
      <c r="J1080" s="3" t="s">
        <v>60</v>
      </c>
      <c r="K1080" s="2" t="s">
        <v>13700</v>
      </c>
      <c r="L1080" s="2" t="s">
        <v>13701</v>
      </c>
      <c r="M1080" s="3" t="s">
        <v>12203</v>
      </c>
      <c r="O1080" s="3" t="s">
        <v>63</v>
      </c>
      <c r="P1080" s="3" t="s">
        <v>214</v>
      </c>
      <c r="R1080" s="3" t="s">
        <v>65</v>
      </c>
      <c r="S1080" s="4">
        <v>3</v>
      </c>
      <c r="T1080" s="4">
        <v>3</v>
      </c>
      <c r="U1080" s="5" t="s">
        <v>13678</v>
      </c>
      <c r="V1080" s="5" t="s">
        <v>13678</v>
      </c>
      <c r="W1080" s="5" t="s">
        <v>10968</v>
      </c>
      <c r="X1080" s="5" t="s">
        <v>10968</v>
      </c>
      <c r="Y1080" s="4">
        <v>512</v>
      </c>
      <c r="Z1080" s="4">
        <v>468</v>
      </c>
      <c r="AA1080" s="4">
        <v>476</v>
      </c>
      <c r="AB1080" s="4">
        <v>3</v>
      </c>
      <c r="AC1080" s="4">
        <v>3</v>
      </c>
      <c r="AD1080" s="4">
        <v>15</v>
      </c>
      <c r="AE1080" s="4">
        <v>15</v>
      </c>
      <c r="AF1080" s="4">
        <v>6</v>
      </c>
      <c r="AG1080" s="4">
        <v>6</v>
      </c>
      <c r="AH1080" s="4">
        <v>2</v>
      </c>
      <c r="AI1080" s="4">
        <v>2</v>
      </c>
      <c r="AJ1080" s="4">
        <v>9</v>
      </c>
      <c r="AK1080" s="4">
        <v>9</v>
      </c>
      <c r="AL1080" s="4">
        <v>1</v>
      </c>
      <c r="AM1080" s="4">
        <v>1</v>
      </c>
      <c r="AN1080" s="4">
        <v>0</v>
      </c>
      <c r="AO1080" s="4">
        <v>0</v>
      </c>
      <c r="AP1080" s="3" t="s">
        <v>58</v>
      </c>
      <c r="AQ1080" s="3" t="s">
        <v>68</v>
      </c>
      <c r="AR1080" s="6" t="str">
        <f>HYPERLINK("http://catalog.hathitrust.org/Record/001240645","HathiTrust Record")</f>
        <v>HathiTrust Record</v>
      </c>
      <c r="AS1080" s="6" t="str">
        <f>HYPERLINK("https://creighton-primo.hosted.exlibrisgroup.com/primo-explore/search?tab=default_tab&amp;search_scope=EVERYTHING&amp;vid=01CRU&amp;lang=en_US&amp;offset=0&amp;query=any,contains,991002675909702656","Catalog Record")</f>
        <v>Catalog Record</v>
      </c>
      <c r="AT1080" s="6" t="str">
        <f>HYPERLINK("http://www.worldcat.org/oclc/396966","WorldCat Record")</f>
        <v>WorldCat Record</v>
      </c>
      <c r="AU1080" s="3" t="s">
        <v>13702</v>
      </c>
      <c r="AV1080" s="3" t="s">
        <v>13703</v>
      </c>
      <c r="AW1080" s="3" t="s">
        <v>13704</v>
      </c>
      <c r="AX1080" s="3" t="s">
        <v>13704</v>
      </c>
      <c r="AY1080" s="3" t="s">
        <v>13705</v>
      </c>
      <c r="AZ1080" s="3" t="s">
        <v>73</v>
      </c>
      <c r="BC1080" s="3" t="s">
        <v>13706</v>
      </c>
      <c r="BD1080" s="3" t="s">
        <v>13707</v>
      </c>
    </row>
    <row r="1081" spans="1:56" ht="51" customHeight="1" x14ac:dyDescent="0.25">
      <c r="A1081" s="7" t="s">
        <v>58</v>
      </c>
      <c r="B1081" s="2" t="s">
        <v>13708</v>
      </c>
      <c r="C1081" s="2" t="s">
        <v>13709</v>
      </c>
      <c r="D1081" s="2" t="s">
        <v>13710</v>
      </c>
      <c r="F1081" s="3" t="s">
        <v>58</v>
      </c>
      <c r="G1081" s="3" t="s">
        <v>59</v>
      </c>
      <c r="H1081" s="3" t="s">
        <v>58</v>
      </c>
      <c r="I1081" s="3" t="s">
        <v>58</v>
      </c>
      <c r="J1081" s="3" t="s">
        <v>60</v>
      </c>
      <c r="L1081" s="2" t="s">
        <v>13711</v>
      </c>
      <c r="M1081" s="3" t="s">
        <v>423</v>
      </c>
      <c r="O1081" s="3" t="s">
        <v>63</v>
      </c>
      <c r="P1081" s="3" t="s">
        <v>354</v>
      </c>
      <c r="R1081" s="3" t="s">
        <v>65</v>
      </c>
      <c r="S1081" s="4">
        <v>2</v>
      </c>
      <c r="T1081" s="4">
        <v>2</v>
      </c>
      <c r="U1081" s="5" t="s">
        <v>13712</v>
      </c>
      <c r="V1081" s="5" t="s">
        <v>13712</v>
      </c>
      <c r="W1081" s="5" t="s">
        <v>13713</v>
      </c>
      <c r="X1081" s="5" t="s">
        <v>13713</v>
      </c>
      <c r="Y1081" s="4">
        <v>178</v>
      </c>
      <c r="Z1081" s="4">
        <v>142</v>
      </c>
      <c r="AA1081" s="4">
        <v>146</v>
      </c>
      <c r="AB1081" s="4">
        <v>2</v>
      </c>
      <c r="AC1081" s="4">
        <v>2</v>
      </c>
      <c r="AD1081" s="4">
        <v>6</v>
      </c>
      <c r="AE1081" s="4">
        <v>6</v>
      </c>
      <c r="AF1081" s="4">
        <v>2</v>
      </c>
      <c r="AG1081" s="4">
        <v>2</v>
      </c>
      <c r="AH1081" s="4">
        <v>2</v>
      </c>
      <c r="AI1081" s="4">
        <v>2</v>
      </c>
      <c r="AJ1081" s="4">
        <v>3</v>
      </c>
      <c r="AK1081" s="4">
        <v>3</v>
      </c>
      <c r="AL1081" s="4">
        <v>1</v>
      </c>
      <c r="AM1081" s="4">
        <v>1</v>
      </c>
      <c r="AN1081" s="4">
        <v>0</v>
      </c>
      <c r="AO1081" s="4">
        <v>0</v>
      </c>
      <c r="AP1081" s="3" t="s">
        <v>58</v>
      </c>
      <c r="AQ1081" s="3" t="s">
        <v>58</v>
      </c>
      <c r="AS1081" s="6" t="str">
        <f>HYPERLINK("https://creighton-primo.hosted.exlibrisgroup.com/primo-explore/search?tab=default_tab&amp;search_scope=EVERYTHING&amp;vid=01CRU&amp;lang=en_US&amp;offset=0&amp;query=any,contains,991003510279702656","Catalog Record")</f>
        <v>Catalog Record</v>
      </c>
      <c r="AT1081" s="6" t="str">
        <f>HYPERLINK("http://www.worldcat.org/oclc/37379893","WorldCat Record")</f>
        <v>WorldCat Record</v>
      </c>
      <c r="AU1081" s="3" t="s">
        <v>13714</v>
      </c>
      <c r="AV1081" s="3" t="s">
        <v>13715</v>
      </c>
      <c r="AW1081" s="3" t="s">
        <v>13716</v>
      </c>
      <c r="AX1081" s="3" t="s">
        <v>13716</v>
      </c>
      <c r="AY1081" s="3" t="s">
        <v>13717</v>
      </c>
      <c r="AZ1081" s="3" t="s">
        <v>73</v>
      </c>
      <c r="BB1081" s="3" t="s">
        <v>13718</v>
      </c>
      <c r="BC1081" s="3" t="s">
        <v>13719</v>
      </c>
      <c r="BD1081" s="3" t="s">
        <v>13720</v>
      </c>
    </row>
    <row r="1082" spans="1:56" ht="51" customHeight="1" x14ac:dyDescent="0.25">
      <c r="A1082" s="7" t="s">
        <v>58</v>
      </c>
      <c r="B1082" s="2" t="s">
        <v>13721</v>
      </c>
      <c r="C1082" s="2" t="s">
        <v>13722</v>
      </c>
      <c r="D1082" s="2" t="s">
        <v>13723</v>
      </c>
      <c r="F1082" s="3" t="s">
        <v>58</v>
      </c>
      <c r="G1082" s="3" t="s">
        <v>59</v>
      </c>
      <c r="H1082" s="3" t="s">
        <v>58</v>
      </c>
      <c r="I1082" s="3" t="s">
        <v>58</v>
      </c>
      <c r="J1082" s="3" t="s">
        <v>60</v>
      </c>
      <c r="K1082" s="2" t="s">
        <v>13724</v>
      </c>
      <c r="L1082" s="2" t="s">
        <v>13725</v>
      </c>
      <c r="M1082" s="3" t="s">
        <v>2295</v>
      </c>
      <c r="O1082" s="3" t="s">
        <v>63</v>
      </c>
      <c r="P1082" s="3" t="s">
        <v>3109</v>
      </c>
      <c r="R1082" s="3" t="s">
        <v>65</v>
      </c>
      <c r="S1082" s="4">
        <v>6</v>
      </c>
      <c r="T1082" s="4">
        <v>6</v>
      </c>
      <c r="U1082" s="5" t="s">
        <v>13726</v>
      </c>
      <c r="V1082" s="5" t="s">
        <v>13726</v>
      </c>
      <c r="W1082" s="5" t="s">
        <v>7525</v>
      </c>
      <c r="X1082" s="5" t="s">
        <v>7525</v>
      </c>
      <c r="Y1082" s="4">
        <v>139</v>
      </c>
      <c r="Z1082" s="4">
        <v>103</v>
      </c>
      <c r="AA1082" s="4">
        <v>105</v>
      </c>
      <c r="AB1082" s="4">
        <v>1</v>
      </c>
      <c r="AC1082" s="4">
        <v>1</v>
      </c>
      <c r="AD1082" s="4">
        <v>4</v>
      </c>
      <c r="AE1082" s="4">
        <v>4</v>
      </c>
      <c r="AF1082" s="4">
        <v>0</v>
      </c>
      <c r="AG1082" s="4">
        <v>0</v>
      </c>
      <c r="AH1082" s="4">
        <v>2</v>
      </c>
      <c r="AI1082" s="4">
        <v>2</v>
      </c>
      <c r="AJ1082" s="4">
        <v>3</v>
      </c>
      <c r="AK1082" s="4">
        <v>3</v>
      </c>
      <c r="AL1082" s="4">
        <v>0</v>
      </c>
      <c r="AM1082" s="4">
        <v>0</v>
      </c>
      <c r="AN1082" s="4">
        <v>0</v>
      </c>
      <c r="AO1082" s="4">
        <v>0</v>
      </c>
      <c r="AP1082" s="3" t="s">
        <v>58</v>
      </c>
      <c r="AQ1082" s="3" t="s">
        <v>68</v>
      </c>
      <c r="AR1082" s="6" t="str">
        <f>HYPERLINK("http://catalog.hathitrust.org/Record/004342254","HathiTrust Record")</f>
        <v>HathiTrust Record</v>
      </c>
      <c r="AS1082" s="6" t="str">
        <f>HYPERLINK("https://creighton-primo.hosted.exlibrisgroup.com/primo-explore/search?tab=default_tab&amp;search_scope=EVERYTHING&amp;vid=01CRU&amp;lang=en_US&amp;offset=0&amp;query=any,contains,991004149509702656","Catalog Record")</f>
        <v>Catalog Record</v>
      </c>
      <c r="AT1082" s="6" t="str">
        <f>HYPERLINK("http://www.worldcat.org/oclc/52539957","WorldCat Record")</f>
        <v>WorldCat Record</v>
      </c>
      <c r="AU1082" s="3" t="s">
        <v>13727</v>
      </c>
      <c r="AV1082" s="3" t="s">
        <v>13728</v>
      </c>
      <c r="AW1082" s="3" t="s">
        <v>13729</v>
      </c>
      <c r="AX1082" s="3" t="s">
        <v>13729</v>
      </c>
      <c r="AY1082" s="3" t="s">
        <v>13730</v>
      </c>
      <c r="AZ1082" s="3" t="s">
        <v>73</v>
      </c>
      <c r="BB1082" s="3" t="s">
        <v>13731</v>
      </c>
      <c r="BC1082" s="3" t="s">
        <v>13732</v>
      </c>
      <c r="BD1082" s="3" t="s">
        <v>13733</v>
      </c>
    </row>
    <row r="1083" spans="1:56" ht="51" customHeight="1" x14ac:dyDescent="0.25">
      <c r="A1083" s="7" t="s">
        <v>58</v>
      </c>
      <c r="B1083" s="2" t="s">
        <v>13734</v>
      </c>
      <c r="C1083" s="2" t="s">
        <v>13735</v>
      </c>
      <c r="D1083" s="2" t="s">
        <v>13736</v>
      </c>
      <c r="F1083" s="3" t="s">
        <v>58</v>
      </c>
      <c r="G1083" s="3" t="s">
        <v>59</v>
      </c>
      <c r="H1083" s="3" t="s">
        <v>58</v>
      </c>
      <c r="I1083" s="3" t="s">
        <v>58</v>
      </c>
      <c r="J1083" s="3" t="s">
        <v>60</v>
      </c>
      <c r="K1083" s="2" t="s">
        <v>13737</v>
      </c>
      <c r="L1083" s="2" t="s">
        <v>13738</v>
      </c>
      <c r="M1083" s="3" t="s">
        <v>1499</v>
      </c>
      <c r="O1083" s="3" t="s">
        <v>63</v>
      </c>
      <c r="P1083" s="3" t="s">
        <v>214</v>
      </c>
      <c r="R1083" s="3" t="s">
        <v>65</v>
      </c>
      <c r="S1083" s="4">
        <v>5</v>
      </c>
      <c r="T1083" s="4">
        <v>5</v>
      </c>
      <c r="U1083" s="5" t="s">
        <v>6445</v>
      </c>
      <c r="V1083" s="5" t="s">
        <v>6445</v>
      </c>
      <c r="W1083" s="5" t="s">
        <v>13125</v>
      </c>
      <c r="X1083" s="5" t="s">
        <v>13125</v>
      </c>
      <c r="Y1083" s="4">
        <v>285</v>
      </c>
      <c r="Z1083" s="4">
        <v>252</v>
      </c>
      <c r="AA1083" s="4">
        <v>327</v>
      </c>
      <c r="AB1083" s="4">
        <v>2</v>
      </c>
      <c r="AC1083" s="4">
        <v>2</v>
      </c>
      <c r="AD1083" s="4">
        <v>11</v>
      </c>
      <c r="AE1083" s="4">
        <v>11</v>
      </c>
      <c r="AF1083" s="4">
        <v>2</v>
      </c>
      <c r="AG1083" s="4">
        <v>2</v>
      </c>
      <c r="AH1083" s="4">
        <v>6</v>
      </c>
      <c r="AI1083" s="4">
        <v>6</v>
      </c>
      <c r="AJ1083" s="4">
        <v>6</v>
      </c>
      <c r="AK1083" s="4">
        <v>6</v>
      </c>
      <c r="AL1083" s="4">
        <v>1</v>
      </c>
      <c r="AM1083" s="4">
        <v>1</v>
      </c>
      <c r="AN1083" s="4">
        <v>0</v>
      </c>
      <c r="AO1083" s="4">
        <v>0</v>
      </c>
      <c r="AP1083" s="3" t="s">
        <v>58</v>
      </c>
      <c r="AQ1083" s="3" t="s">
        <v>68</v>
      </c>
      <c r="AR1083" s="6" t="str">
        <f>HYPERLINK("http://catalog.hathitrust.org/Record/007880205","HathiTrust Record")</f>
        <v>HathiTrust Record</v>
      </c>
      <c r="AS1083" s="6" t="str">
        <f>HYPERLINK("https://creighton-primo.hosted.exlibrisgroup.com/primo-explore/search?tab=default_tab&amp;search_scope=EVERYTHING&amp;vid=01CRU&amp;lang=en_US&amp;offset=0&amp;query=any,contains,991005435129702656","Catalog Record")</f>
        <v>Catalog Record</v>
      </c>
      <c r="AT1083" s="6" t="str">
        <f>HYPERLINK("http://www.worldcat.org/oclc/2835","WorldCat Record")</f>
        <v>WorldCat Record</v>
      </c>
      <c r="AU1083" s="3" t="s">
        <v>13739</v>
      </c>
      <c r="AV1083" s="3" t="s">
        <v>13740</v>
      </c>
      <c r="AW1083" s="3" t="s">
        <v>13741</v>
      </c>
      <c r="AX1083" s="3" t="s">
        <v>13741</v>
      </c>
      <c r="AY1083" s="3" t="s">
        <v>13742</v>
      </c>
      <c r="AZ1083" s="3" t="s">
        <v>73</v>
      </c>
      <c r="BC1083" s="3" t="s">
        <v>13743</v>
      </c>
      <c r="BD1083" s="3" t="s">
        <v>13744</v>
      </c>
    </row>
    <row r="1084" spans="1:56" ht="51" customHeight="1" x14ac:dyDescent="0.25">
      <c r="A1084" s="7" t="s">
        <v>58</v>
      </c>
      <c r="B1084" s="2" t="s">
        <v>13745</v>
      </c>
      <c r="C1084" s="2" t="s">
        <v>13746</v>
      </c>
      <c r="D1084" s="2" t="s">
        <v>13747</v>
      </c>
      <c r="F1084" s="3" t="s">
        <v>58</v>
      </c>
      <c r="G1084" s="3" t="s">
        <v>59</v>
      </c>
      <c r="H1084" s="3" t="s">
        <v>58</v>
      </c>
      <c r="I1084" s="3" t="s">
        <v>58</v>
      </c>
      <c r="J1084" s="3" t="s">
        <v>60</v>
      </c>
      <c r="K1084" s="2" t="s">
        <v>13748</v>
      </c>
      <c r="L1084" s="2" t="s">
        <v>13749</v>
      </c>
      <c r="M1084" s="3" t="s">
        <v>2132</v>
      </c>
      <c r="O1084" s="3" t="s">
        <v>63</v>
      </c>
      <c r="P1084" s="3" t="s">
        <v>3323</v>
      </c>
      <c r="R1084" s="3" t="s">
        <v>65</v>
      </c>
      <c r="S1084" s="4">
        <v>3</v>
      </c>
      <c r="T1084" s="4">
        <v>3</v>
      </c>
      <c r="U1084" s="5" t="s">
        <v>6445</v>
      </c>
      <c r="V1084" s="5" t="s">
        <v>6445</v>
      </c>
      <c r="W1084" s="5" t="s">
        <v>11927</v>
      </c>
      <c r="X1084" s="5" t="s">
        <v>11927</v>
      </c>
      <c r="Y1084" s="4">
        <v>195</v>
      </c>
      <c r="Z1084" s="4">
        <v>178</v>
      </c>
      <c r="AA1084" s="4">
        <v>274</v>
      </c>
      <c r="AB1084" s="4">
        <v>2</v>
      </c>
      <c r="AC1084" s="4">
        <v>3</v>
      </c>
      <c r="AD1084" s="4">
        <v>7</v>
      </c>
      <c r="AE1084" s="4">
        <v>14</v>
      </c>
      <c r="AF1084" s="4">
        <v>2</v>
      </c>
      <c r="AG1084" s="4">
        <v>3</v>
      </c>
      <c r="AH1084" s="4">
        <v>2</v>
      </c>
      <c r="AI1084" s="4">
        <v>5</v>
      </c>
      <c r="AJ1084" s="4">
        <v>4</v>
      </c>
      <c r="AK1084" s="4">
        <v>7</v>
      </c>
      <c r="AL1084" s="4">
        <v>1</v>
      </c>
      <c r="AM1084" s="4">
        <v>2</v>
      </c>
      <c r="AN1084" s="4">
        <v>0</v>
      </c>
      <c r="AO1084" s="4">
        <v>0</v>
      </c>
      <c r="AP1084" s="3" t="s">
        <v>58</v>
      </c>
      <c r="AQ1084" s="3" t="s">
        <v>68</v>
      </c>
      <c r="AR1084" s="6" t="str">
        <f>HYPERLINK("http://catalog.hathitrust.org/Record/001250853","HathiTrust Record")</f>
        <v>HathiTrust Record</v>
      </c>
      <c r="AS1084" s="6" t="str">
        <f>HYPERLINK("https://creighton-primo.hosted.exlibrisgroup.com/primo-explore/search?tab=default_tab&amp;search_scope=EVERYTHING&amp;vid=01CRU&amp;lang=en_US&amp;offset=0&amp;query=any,contains,991004537909702656","Catalog Record")</f>
        <v>Catalog Record</v>
      </c>
      <c r="AT1084" s="6" t="str">
        <f>HYPERLINK("http://www.worldcat.org/oclc/3877783","WorldCat Record")</f>
        <v>WorldCat Record</v>
      </c>
      <c r="AU1084" s="3" t="s">
        <v>13750</v>
      </c>
      <c r="AV1084" s="3" t="s">
        <v>13751</v>
      </c>
      <c r="AW1084" s="3" t="s">
        <v>13752</v>
      </c>
      <c r="AX1084" s="3" t="s">
        <v>13752</v>
      </c>
      <c r="AY1084" s="3" t="s">
        <v>13753</v>
      </c>
      <c r="AZ1084" s="3" t="s">
        <v>73</v>
      </c>
      <c r="BC1084" s="3" t="s">
        <v>13754</v>
      </c>
      <c r="BD1084" s="3" t="s">
        <v>13755</v>
      </c>
    </row>
    <row r="1085" spans="1:56" ht="51" customHeight="1" x14ac:dyDescent="0.25">
      <c r="A1085" s="7" t="s">
        <v>58</v>
      </c>
      <c r="B1085" s="2" t="s">
        <v>13756</v>
      </c>
      <c r="C1085" s="2" t="s">
        <v>13757</v>
      </c>
      <c r="D1085" s="2" t="s">
        <v>13758</v>
      </c>
      <c r="F1085" s="3" t="s">
        <v>58</v>
      </c>
      <c r="G1085" s="3" t="s">
        <v>59</v>
      </c>
      <c r="H1085" s="3" t="s">
        <v>58</v>
      </c>
      <c r="I1085" s="3" t="s">
        <v>58</v>
      </c>
      <c r="J1085" s="3" t="s">
        <v>60</v>
      </c>
      <c r="K1085" s="2" t="s">
        <v>13759</v>
      </c>
      <c r="L1085" s="2" t="s">
        <v>13760</v>
      </c>
      <c r="M1085" s="3" t="s">
        <v>1385</v>
      </c>
      <c r="O1085" s="3" t="s">
        <v>63</v>
      </c>
      <c r="P1085" s="3" t="s">
        <v>197</v>
      </c>
      <c r="R1085" s="3" t="s">
        <v>65</v>
      </c>
      <c r="S1085" s="4">
        <v>3</v>
      </c>
      <c r="T1085" s="4">
        <v>3</v>
      </c>
      <c r="U1085" s="5" t="s">
        <v>13761</v>
      </c>
      <c r="V1085" s="5" t="s">
        <v>13761</v>
      </c>
      <c r="W1085" s="5" t="s">
        <v>13762</v>
      </c>
      <c r="X1085" s="5" t="s">
        <v>13762</v>
      </c>
      <c r="Y1085" s="4">
        <v>390</v>
      </c>
      <c r="Z1085" s="4">
        <v>309</v>
      </c>
      <c r="AA1085" s="4">
        <v>752</v>
      </c>
      <c r="AB1085" s="4">
        <v>3</v>
      </c>
      <c r="AC1085" s="4">
        <v>6</v>
      </c>
      <c r="AD1085" s="4">
        <v>15</v>
      </c>
      <c r="AE1085" s="4">
        <v>35</v>
      </c>
      <c r="AF1085" s="4">
        <v>3</v>
      </c>
      <c r="AG1085" s="4">
        <v>14</v>
      </c>
      <c r="AH1085" s="4">
        <v>6</v>
      </c>
      <c r="AI1085" s="4">
        <v>9</v>
      </c>
      <c r="AJ1085" s="4">
        <v>6</v>
      </c>
      <c r="AK1085" s="4">
        <v>12</v>
      </c>
      <c r="AL1085" s="4">
        <v>2</v>
      </c>
      <c r="AM1085" s="4">
        <v>5</v>
      </c>
      <c r="AN1085" s="4">
        <v>0</v>
      </c>
      <c r="AO1085" s="4">
        <v>1</v>
      </c>
      <c r="AP1085" s="3" t="s">
        <v>58</v>
      </c>
      <c r="AQ1085" s="3" t="s">
        <v>58</v>
      </c>
      <c r="AS1085" s="6" t="str">
        <f>HYPERLINK("https://creighton-primo.hosted.exlibrisgroup.com/primo-explore/search?tab=default_tab&amp;search_scope=EVERYTHING&amp;vid=01CRU&amp;lang=en_US&amp;offset=0&amp;query=any,contains,991003518949702656","Catalog Record")</f>
        <v>Catalog Record</v>
      </c>
      <c r="AT1085" s="6" t="str">
        <f>HYPERLINK("http://www.worldcat.org/oclc/1078251","WorldCat Record")</f>
        <v>WorldCat Record</v>
      </c>
      <c r="AU1085" s="3" t="s">
        <v>13763</v>
      </c>
      <c r="AV1085" s="3" t="s">
        <v>13764</v>
      </c>
      <c r="AW1085" s="3" t="s">
        <v>13765</v>
      </c>
      <c r="AX1085" s="3" t="s">
        <v>13765</v>
      </c>
      <c r="AY1085" s="3" t="s">
        <v>13766</v>
      </c>
      <c r="AZ1085" s="3" t="s">
        <v>73</v>
      </c>
      <c r="BB1085" s="3" t="s">
        <v>13767</v>
      </c>
      <c r="BC1085" s="3" t="s">
        <v>13768</v>
      </c>
      <c r="BD1085" s="3" t="s">
        <v>13769</v>
      </c>
    </row>
    <row r="1086" spans="1:56" ht="51" customHeight="1" x14ac:dyDescent="0.25">
      <c r="A1086" s="7" t="s">
        <v>58</v>
      </c>
      <c r="B1086" s="2" t="s">
        <v>13770</v>
      </c>
      <c r="C1086" s="2" t="s">
        <v>13771</v>
      </c>
      <c r="D1086" s="2" t="s">
        <v>13772</v>
      </c>
      <c r="F1086" s="3" t="s">
        <v>58</v>
      </c>
      <c r="G1086" s="3" t="s">
        <v>59</v>
      </c>
      <c r="H1086" s="3" t="s">
        <v>58</v>
      </c>
      <c r="I1086" s="3" t="s">
        <v>58</v>
      </c>
      <c r="J1086" s="3" t="s">
        <v>60</v>
      </c>
      <c r="K1086" s="2" t="s">
        <v>13773</v>
      </c>
      <c r="L1086" s="2" t="s">
        <v>13774</v>
      </c>
      <c r="M1086" s="3" t="s">
        <v>2295</v>
      </c>
      <c r="O1086" s="3" t="s">
        <v>63</v>
      </c>
      <c r="P1086" s="3" t="s">
        <v>214</v>
      </c>
      <c r="Q1086" s="2" t="s">
        <v>13775</v>
      </c>
      <c r="R1086" s="3" t="s">
        <v>65</v>
      </c>
      <c r="S1086" s="4">
        <v>1</v>
      </c>
      <c r="T1086" s="4">
        <v>1</v>
      </c>
      <c r="U1086" s="5" t="s">
        <v>13776</v>
      </c>
      <c r="V1086" s="5" t="s">
        <v>13776</v>
      </c>
      <c r="W1086" s="5" t="s">
        <v>13776</v>
      </c>
      <c r="X1086" s="5" t="s">
        <v>13776</v>
      </c>
      <c r="Y1086" s="4">
        <v>354</v>
      </c>
      <c r="Z1086" s="4">
        <v>260</v>
      </c>
      <c r="AA1086" s="4">
        <v>272</v>
      </c>
      <c r="AB1086" s="4">
        <v>4</v>
      </c>
      <c r="AC1086" s="4">
        <v>4</v>
      </c>
      <c r="AD1086" s="4">
        <v>20</v>
      </c>
      <c r="AE1086" s="4">
        <v>20</v>
      </c>
      <c r="AF1086" s="4">
        <v>6</v>
      </c>
      <c r="AG1086" s="4">
        <v>6</v>
      </c>
      <c r="AH1086" s="4">
        <v>6</v>
      </c>
      <c r="AI1086" s="4">
        <v>6</v>
      </c>
      <c r="AJ1086" s="4">
        <v>10</v>
      </c>
      <c r="AK1086" s="4">
        <v>10</v>
      </c>
      <c r="AL1086" s="4">
        <v>3</v>
      </c>
      <c r="AM1086" s="4">
        <v>3</v>
      </c>
      <c r="AN1086" s="4">
        <v>0</v>
      </c>
      <c r="AO1086" s="4">
        <v>0</v>
      </c>
      <c r="AP1086" s="3" t="s">
        <v>58</v>
      </c>
      <c r="AQ1086" s="3" t="s">
        <v>58</v>
      </c>
      <c r="AS1086" s="6" t="str">
        <f>HYPERLINK("https://creighton-primo.hosted.exlibrisgroup.com/primo-explore/search?tab=default_tab&amp;search_scope=EVERYTHING&amp;vid=01CRU&amp;lang=en_US&amp;offset=0&amp;query=any,contains,991004004079702656","Catalog Record")</f>
        <v>Catalog Record</v>
      </c>
      <c r="AT1086" s="6" t="str">
        <f>HYPERLINK("http://www.worldcat.org/oclc/50291202","WorldCat Record")</f>
        <v>WorldCat Record</v>
      </c>
      <c r="AU1086" s="3" t="s">
        <v>13777</v>
      </c>
      <c r="AV1086" s="3" t="s">
        <v>13778</v>
      </c>
      <c r="AW1086" s="3" t="s">
        <v>13779</v>
      </c>
      <c r="AX1086" s="3" t="s">
        <v>13779</v>
      </c>
      <c r="AY1086" s="3" t="s">
        <v>13780</v>
      </c>
      <c r="AZ1086" s="3" t="s">
        <v>73</v>
      </c>
      <c r="BB1086" s="3" t="s">
        <v>13781</v>
      </c>
      <c r="BC1086" s="3" t="s">
        <v>13782</v>
      </c>
      <c r="BD1086" s="3" t="s">
        <v>13783</v>
      </c>
    </row>
    <row r="1087" spans="1:56" ht="51" customHeight="1" x14ac:dyDescent="0.25">
      <c r="A1087" s="7" t="s">
        <v>58</v>
      </c>
      <c r="B1087" s="2" t="s">
        <v>13784</v>
      </c>
      <c r="C1087" s="2" t="s">
        <v>13785</v>
      </c>
      <c r="D1087" s="2" t="s">
        <v>13786</v>
      </c>
      <c r="F1087" s="3" t="s">
        <v>58</v>
      </c>
      <c r="G1087" s="3" t="s">
        <v>59</v>
      </c>
      <c r="H1087" s="3" t="s">
        <v>68</v>
      </c>
      <c r="I1087" s="3" t="s">
        <v>58</v>
      </c>
      <c r="J1087" s="3" t="s">
        <v>60</v>
      </c>
      <c r="K1087" s="2" t="s">
        <v>13787</v>
      </c>
      <c r="L1087" s="2" t="s">
        <v>13788</v>
      </c>
      <c r="M1087" s="3" t="s">
        <v>538</v>
      </c>
      <c r="O1087" s="3" t="s">
        <v>63</v>
      </c>
      <c r="P1087" s="3" t="s">
        <v>9271</v>
      </c>
      <c r="R1087" s="3" t="s">
        <v>65</v>
      </c>
      <c r="S1087" s="4">
        <v>1</v>
      </c>
      <c r="T1087" s="4">
        <v>2</v>
      </c>
      <c r="U1087" s="5" t="s">
        <v>10189</v>
      </c>
      <c r="V1087" s="5" t="s">
        <v>10189</v>
      </c>
      <c r="W1087" s="5" t="s">
        <v>13789</v>
      </c>
      <c r="X1087" s="5" t="s">
        <v>13790</v>
      </c>
      <c r="Y1087" s="4">
        <v>306</v>
      </c>
      <c r="Z1087" s="4">
        <v>271</v>
      </c>
      <c r="AA1087" s="4">
        <v>280</v>
      </c>
      <c r="AB1087" s="4">
        <v>3</v>
      </c>
      <c r="AC1087" s="4">
        <v>3</v>
      </c>
      <c r="AD1087" s="4">
        <v>13</v>
      </c>
      <c r="AE1087" s="4">
        <v>13</v>
      </c>
      <c r="AF1087" s="4">
        <v>1</v>
      </c>
      <c r="AG1087" s="4">
        <v>1</v>
      </c>
      <c r="AH1087" s="4">
        <v>4</v>
      </c>
      <c r="AI1087" s="4">
        <v>4</v>
      </c>
      <c r="AJ1087" s="4">
        <v>9</v>
      </c>
      <c r="AK1087" s="4">
        <v>9</v>
      </c>
      <c r="AL1087" s="4">
        <v>2</v>
      </c>
      <c r="AM1087" s="4">
        <v>2</v>
      </c>
      <c r="AN1087" s="4">
        <v>0</v>
      </c>
      <c r="AO1087" s="4">
        <v>0</v>
      </c>
      <c r="AP1087" s="3" t="s">
        <v>58</v>
      </c>
      <c r="AQ1087" s="3" t="s">
        <v>68</v>
      </c>
      <c r="AR1087" s="6" t="str">
        <f>HYPERLINK("http://catalog.hathitrust.org/Record/001266429","HathiTrust Record")</f>
        <v>HathiTrust Record</v>
      </c>
      <c r="AS1087" s="6" t="str">
        <f>HYPERLINK("https://creighton-primo.hosted.exlibrisgroup.com/primo-explore/search?tab=default_tab&amp;search_scope=EVERYTHING&amp;vid=01CRU&amp;lang=en_US&amp;offset=0&amp;query=any,contains,991000798679702656","Catalog Record")</f>
        <v>Catalog Record</v>
      </c>
      <c r="AT1087" s="6" t="str">
        <f>HYPERLINK("http://www.worldcat.org/oclc/138080","WorldCat Record")</f>
        <v>WorldCat Record</v>
      </c>
      <c r="AU1087" s="3" t="s">
        <v>13791</v>
      </c>
      <c r="AV1087" s="3" t="s">
        <v>13792</v>
      </c>
      <c r="AW1087" s="3" t="s">
        <v>13793</v>
      </c>
      <c r="AX1087" s="3" t="s">
        <v>13793</v>
      </c>
      <c r="AY1087" s="3" t="s">
        <v>13794</v>
      </c>
      <c r="AZ1087" s="3" t="s">
        <v>73</v>
      </c>
      <c r="BC1087" s="3" t="s">
        <v>13795</v>
      </c>
      <c r="BD1087" s="3" t="s">
        <v>13796</v>
      </c>
    </row>
    <row r="1088" spans="1:56" ht="51" customHeight="1" x14ac:dyDescent="0.25">
      <c r="A1088" s="7" t="s">
        <v>58</v>
      </c>
      <c r="B1088" s="2" t="s">
        <v>13797</v>
      </c>
      <c r="C1088" s="2" t="s">
        <v>13798</v>
      </c>
      <c r="D1088" s="2" t="s">
        <v>13786</v>
      </c>
      <c r="E1088" s="3" t="s">
        <v>9079</v>
      </c>
      <c r="F1088" s="3" t="s">
        <v>58</v>
      </c>
      <c r="G1088" s="3" t="s">
        <v>59</v>
      </c>
      <c r="H1088" s="3" t="s">
        <v>58</v>
      </c>
      <c r="I1088" s="3" t="s">
        <v>58</v>
      </c>
      <c r="J1088" s="3" t="s">
        <v>60</v>
      </c>
      <c r="K1088" s="2" t="s">
        <v>13787</v>
      </c>
      <c r="L1088" s="2" t="s">
        <v>13788</v>
      </c>
      <c r="M1088" s="3" t="s">
        <v>538</v>
      </c>
      <c r="O1088" s="3" t="s">
        <v>63</v>
      </c>
      <c r="P1088" s="3" t="s">
        <v>9271</v>
      </c>
      <c r="R1088" s="3" t="s">
        <v>65</v>
      </c>
      <c r="S1088" s="4">
        <v>1</v>
      </c>
      <c r="T1088" s="4">
        <v>2</v>
      </c>
      <c r="U1088" s="5" t="s">
        <v>10189</v>
      </c>
      <c r="V1088" s="5" t="s">
        <v>10189</v>
      </c>
      <c r="W1088" s="5" t="s">
        <v>13790</v>
      </c>
      <c r="X1088" s="5" t="s">
        <v>13790</v>
      </c>
      <c r="Y1088" s="4">
        <v>306</v>
      </c>
      <c r="Z1088" s="4">
        <v>271</v>
      </c>
      <c r="AA1088" s="4">
        <v>280</v>
      </c>
      <c r="AB1088" s="4">
        <v>3</v>
      </c>
      <c r="AC1088" s="4">
        <v>3</v>
      </c>
      <c r="AD1088" s="4">
        <v>13</v>
      </c>
      <c r="AE1088" s="4">
        <v>13</v>
      </c>
      <c r="AF1088" s="4">
        <v>1</v>
      </c>
      <c r="AG1088" s="4">
        <v>1</v>
      </c>
      <c r="AH1088" s="4">
        <v>4</v>
      </c>
      <c r="AI1088" s="4">
        <v>4</v>
      </c>
      <c r="AJ1088" s="4">
        <v>9</v>
      </c>
      <c r="AK1088" s="4">
        <v>9</v>
      </c>
      <c r="AL1088" s="4">
        <v>2</v>
      </c>
      <c r="AM1088" s="4">
        <v>2</v>
      </c>
      <c r="AN1088" s="4">
        <v>0</v>
      </c>
      <c r="AO1088" s="4">
        <v>0</v>
      </c>
      <c r="AP1088" s="3" t="s">
        <v>58</v>
      </c>
      <c r="AQ1088" s="3" t="s">
        <v>68</v>
      </c>
      <c r="AR1088" s="6" t="str">
        <f>HYPERLINK("http://catalog.hathitrust.org/Record/001266429","HathiTrust Record")</f>
        <v>HathiTrust Record</v>
      </c>
      <c r="AS1088" s="6" t="str">
        <f>HYPERLINK("https://creighton-primo.hosted.exlibrisgroup.com/primo-explore/search?tab=default_tab&amp;search_scope=EVERYTHING&amp;vid=01CRU&amp;lang=en_US&amp;offset=0&amp;query=any,contains,991000798679702656","Catalog Record")</f>
        <v>Catalog Record</v>
      </c>
      <c r="AT1088" s="6" t="str">
        <f>HYPERLINK("http://www.worldcat.org/oclc/138080","WorldCat Record")</f>
        <v>WorldCat Record</v>
      </c>
      <c r="AU1088" s="3" t="s">
        <v>13791</v>
      </c>
      <c r="AV1088" s="3" t="s">
        <v>13792</v>
      </c>
      <c r="AW1088" s="3" t="s">
        <v>13793</v>
      </c>
      <c r="AX1088" s="3" t="s">
        <v>13793</v>
      </c>
      <c r="AY1088" s="3" t="s">
        <v>13794</v>
      </c>
      <c r="AZ1088" s="3" t="s">
        <v>73</v>
      </c>
      <c r="BC1088" s="3" t="s">
        <v>13799</v>
      </c>
      <c r="BD1088" s="3" t="s">
        <v>13800</v>
      </c>
    </row>
    <row r="1089" spans="1:56" ht="51" customHeight="1" x14ac:dyDescent="0.25">
      <c r="A1089" s="7" t="s">
        <v>58</v>
      </c>
      <c r="B1089" s="2" t="s">
        <v>13801</v>
      </c>
      <c r="C1089" s="2" t="s">
        <v>13802</v>
      </c>
      <c r="D1089" s="2" t="s">
        <v>13803</v>
      </c>
      <c r="F1089" s="3" t="s">
        <v>58</v>
      </c>
      <c r="G1089" s="3" t="s">
        <v>59</v>
      </c>
      <c r="H1089" s="3" t="s">
        <v>58</v>
      </c>
      <c r="I1089" s="3" t="s">
        <v>58</v>
      </c>
      <c r="J1089" s="3" t="s">
        <v>60</v>
      </c>
      <c r="K1089" s="2" t="s">
        <v>13804</v>
      </c>
      <c r="L1089" s="2" t="s">
        <v>13805</v>
      </c>
      <c r="M1089" s="3" t="s">
        <v>745</v>
      </c>
      <c r="O1089" s="3" t="s">
        <v>63</v>
      </c>
      <c r="P1089" s="3" t="s">
        <v>9271</v>
      </c>
      <c r="R1089" s="3" t="s">
        <v>65</v>
      </c>
      <c r="S1089" s="4">
        <v>4</v>
      </c>
      <c r="T1089" s="4">
        <v>4</v>
      </c>
      <c r="U1089" s="5" t="s">
        <v>13761</v>
      </c>
      <c r="V1089" s="5" t="s">
        <v>13761</v>
      </c>
      <c r="W1089" s="5" t="s">
        <v>13806</v>
      </c>
      <c r="X1089" s="5" t="s">
        <v>13806</v>
      </c>
      <c r="Y1089" s="4">
        <v>290</v>
      </c>
      <c r="Z1089" s="4">
        <v>262</v>
      </c>
      <c r="AA1089" s="4">
        <v>264</v>
      </c>
      <c r="AB1089" s="4">
        <v>3</v>
      </c>
      <c r="AC1089" s="4">
        <v>3</v>
      </c>
      <c r="AD1089" s="4">
        <v>14</v>
      </c>
      <c r="AE1089" s="4">
        <v>14</v>
      </c>
      <c r="AF1089" s="4">
        <v>2</v>
      </c>
      <c r="AG1089" s="4">
        <v>2</v>
      </c>
      <c r="AH1089" s="4">
        <v>6</v>
      </c>
      <c r="AI1089" s="4">
        <v>6</v>
      </c>
      <c r="AJ1089" s="4">
        <v>8</v>
      </c>
      <c r="AK1089" s="4">
        <v>8</v>
      </c>
      <c r="AL1089" s="4">
        <v>2</v>
      </c>
      <c r="AM1089" s="4">
        <v>2</v>
      </c>
      <c r="AN1089" s="4">
        <v>0</v>
      </c>
      <c r="AO1089" s="4">
        <v>0</v>
      </c>
      <c r="AP1089" s="3" t="s">
        <v>58</v>
      </c>
      <c r="AQ1089" s="3" t="s">
        <v>68</v>
      </c>
      <c r="AR1089" s="6" t="str">
        <f>HYPERLINK("http://catalog.hathitrust.org/Record/001250950","HathiTrust Record")</f>
        <v>HathiTrust Record</v>
      </c>
      <c r="AS1089" s="6" t="str">
        <f>HYPERLINK("https://creighton-primo.hosted.exlibrisgroup.com/primo-explore/search?tab=default_tab&amp;search_scope=EVERYTHING&amp;vid=01CRU&amp;lang=en_US&amp;offset=0&amp;query=any,contains,991002823559702656","Catalog Record")</f>
        <v>Catalog Record</v>
      </c>
      <c r="AT1089" s="6" t="str">
        <f>HYPERLINK("http://www.worldcat.org/oclc/473339","WorldCat Record")</f>
        <v>WorldCat Record</v>
      </c>
      <c r="AU1089" s="3" t="s">
        <v>13807</v>
      </c>
      <c r="AV1089" s="3" t="s">
        <v>13808</v>
      </c>
      <c r="AW1089" s="3" t="s">
        <v>13809</v>
      </c>
      <c r="AX1089" s="3" t="s">
        <v>13809</v>
      </c>
      <c r="AY1089" s="3" t="s">
        <v>13810</v>
      </c>
      <c r="AZ1089" s="3" t="s">
        <v>73</v>
      </c>
      <c r="BC1089" s="3" t="s">
        <v>13811</v>
      </c>
      <c r="BD1089" s="3" t="s">
        <v>13812</v>
      </c>
    </row>
    <row r="1090" spans="1:56" ht="51" customHeight="1" x14ac:dyDescent="0.25">
      <c r="A1090" s="7" t="s">
        <v>58</v>
      </c>
      <c r="B1090" s="2" t="s">
        <v>13813</v>
      </c>
      <c r="C1090" s="2" t="s">
        <v>13814</v>
      </c>
      <c r="D1090" s="2" t="s">
        <v>13815</v>
      </c>
      <c r="F1090" s="3" t="s">
        <v>58</v>
      </c>
      <c r="G1090" s="3" t="s">
        <v>59</v>
      </c>
      <c r="H1090" s="3" t="s">
        <v>58</v>
      </c>
      <c r="I1090" s="3" t="s">
        <v>58</v>
      </c>
      <c r="J1090" s="3" t="s">
        <v>60</v>
      </c>
      <c r="K1090" s="2" t="s">
        <v>13816</v>
      </c>
      <c r="L1090" s="2" t="s">
        <v>13817</v>
      </c>
      <c r="M1090" s="3" t="s">
        <v>368</v>
      </c>
      <c r="O1090" s="3" t="s">
        <v>63</v>
      </c>
      <c r="P1090" s="3" t="s">
        <v>1192</v>
      </c>
      <c r="R1090" s="3" t="s">
        <v>65</v>
      </c>
      <c r="S1090" s="4">
        <v>1</v>
      </c>
      <c r="T1090" s="4">
        <v>1</v>
      </c>
      <c r="U1090" s="5" t="s">
        <v>12028</v>
      </c>
      <c r="V1090" s="5" t="s">
        <v>12028</v>
      </c>
      <c r="W1090" s="5" t="s">
        <v>2034</v>
      </c>
      <c r="X1090" s="5" t="s">
        <v>2034</v>
      </c>
      <c r="Y1090" s="4">
        <v>102</v>
      </c>
      <c r="Z1090" s="4">
        <v>96</v>
      </c>
      <c r="AA1090" s="4">
        <v>187</v>
      </c>
      <c r="AB1090" s="4">
        <v>2</v>
      </c>
      <c r="AC1090" s="4">
        <v>3</v>
      </c>
      <c r="AD1090" s="4">
        <v>6</v>
      </c>
      <c r="AE1090" s="4">
        <v>8</v>
      </c>
      <c r="AF1090" s="4">
        <v>1</v>
      </c>
      <c r="AG1090" s="4">
        <v>2</v>
      </c>
      <c r="AH1090" s="4">
        <v>2</v>
      </c>
      <c r="AI1090" s="4">
        <v>3</v>
      </c>
      <c r="AJ1090" s="4">
        <v>4</v>
      </c>
      <c r="AK1090" s="4">
        <v>4</v>
      </c>
      <c r="AL1090" s="4">
        <v>1</v>
      </c>
      <c r="AM1090" s="4">
        <v>2</v>
      </c>
      <c r="AN1090" s="4">
        <v>0</v>
      </c>
      <c r="AO1090" s="4">
        <v>0</v>
      </c>
      <c r="AP1090" s="3" t="s">
        <v>58</v>
      </c>
      <c r="AQ1090" s="3" t="s">
        <v>58</v>
      </c>
      <c r="AS1090" s="6" t="str">
        <f>HYPERLINK("https://creighton-primo.hosted.exlibrisgroup.com/primo-explore/search?tab=default_tab&amp;search_scope=EVERYTHING&amp;vid=01CRU&amp;lang=en_US&amp;offset=0&amp;query=any,contains,991004110309702656","Catalog Record")</f>
        <v>Catalog Record</v>
      </c>
      <c r="AT1090" s="6" t="str">
        <f>HYPERLINK("http://www.worldcat.org/oclc/2395655","WorldCat Record")</f>
        <v>WorldCat Record</v>
      </c>
      <c r="AU1090" s="3" t="s">
        <v>13818</v>
      </c>
      <c r="AV1090" s="3" t="s">
        <v>13819</v>
      </c>
      <c r="AW1090" s="3" t="s">
        <v>13820</v>
      </c>
      <c r="AX1090" s="3" t="s">
        <v>13820</v>
      </c>
      <c r="AY1090" s="3" t="s">
        <v>13821</v>
      </c>
      <c r="AZ1090" s="3" t="s">
        <v>73</v>
      </c>
      <c r="BC1090" s="3" t="s">
        <v>13822</v>
      </c>
      <c r="BD1090" s="3" t="s">
        <v>13823</v>
      </c>
    </row>
    <row r="1091" spans="1:56" ht="51" customHeight="1" x14ac:dyDescent="0.25">
      <c r="A1091" s="7" t="s">
        <v>58</v>
      </c>
      <c r="B1091" s="2" t="s">
        <v>13824</v>
      </c>
      <c r="C1091" s="2" t="s">
        <v>13825</v>
      </c>
      <c r="D1091" s="2" t="s">
        <v>13826</v>
      </c>
      <c r="F1091" s="3" t="s">
        <v>58</v>
      </c>
      <c r="G1091" s="3" t="s">
        <v>59</v>
      </c>
      <c r="H1091" s="3" t="s">
        <v>58</v>
      </c>
      <c r="I1091" s="3" t="s">
        <v>58</v>
      </c>
      <c r="J1091" s="3" t="s">
        <v>60</v>
      </c>
      <c r="K1091" s="2" t="s">
        <v>13827</v>
      </c>
      <c r="L1091" s="2" t="s">
        <v>13828</v>
      </c>
      <c r="M1091" s="3" t="s">
        <v>249</v>
      </c>
      <c r="O1091" s="3" t="s">
        <v>63</v>
      </c>
      <c r="P1091" s="3" t="s">
        <v>3323</v>
      </c>
      <c r="R1091" s="3" t="s">
        <v>65</v>
      </c>
      <c r="S1091" s="4">
        <v>3</v>
      </c>
      <c r="T1091" s="4">
        <v>3</v>
      </c>
      <c r="U1091" s="5" t="s">
        <v>13829</v>
      </c>
      <c r="V1091" s="5" t="s">
        <v>13829</v>
      </c>
      <c r="W1091" s="5" t="s">
        <v>11927</v>
      </c>
      <c r="X1091" s="5" t="s">
        <v>11927</v>
      </c>
      <c r="Y1091" s="4">
        <v>283</v>
      </c>
      <c r="Z1091" s="4">
        <v>267</v>
      </c>
      <c r="AA1091" s="4">
        <v>365</v>
      </c>
      <c r="AB1091" s="4">
        <v>3</v>
      </c>
      <c r="AC1091" s="4">
        <v>4</v>
      </c>
      <c r="AD1091" s="4">
        <v>14</v>
      </c>
      <c r="AE1091" s="4">
        <v>18</v>
      </c>
      <c r="AF1091" s="4">
        <v>2</v>
      </c>
      <c r="AG1091" s="4">
        <v>4</v>
      </c>
      <c r="AH1091" s="4">
        <v>4</v>
      </c>
      <c r="AI1091" s="4">
        <v>6</v>
      </c>
      <c r="AJ1091" s="4">
        <v>9</v>
      </c>
      <c r="AK1091" s="4">
        <v>9</v>
      </c>
      <c r="AL1091" s="4">
        <v>2</v>
      </c>
      <c r="AM1091" s="4">
        <v>3</v>
      </c>
      <c r="AN1091" s="4">
        <v>0</v>
      </c>
      <c r="AO1091" s="4">
        <v>0</v>
      </c>
      <c r="AP1091" s="3" t="s">
        <v>58</v>
      </c>
      <c r="AQ1091" s="3" t="s">
        <v>68</v>
      </c>
      <c r="AR1091" s="6" t="str">
        <f>HYPERLINK("http://catalog.hathitrust.org/Record/001252314","HathiTrust Record")</f>
        <v>HathiTrust Record</v>
      </c>
      <c r="AS1091" s="6" t="str">
        <f>HYPERLINK("https://creighton-primo.hosted.exlibrisgroup.com/primo-explore/search?tab=default_tab&amp;search_scope=EVERYTHING&amp;vid=01CRU&amp;lang=en_US&amp;offset=0&amp;query=any,contains,991004400529702656","Catalog Record")</f>
        <v>Catalog Record</v>
      </c>
      <c r="AT1091" s="6" t="str">
        <f>HYPERLINK("http://www.worldcat.org/oclc/3296265","WorldCat Record")</f>
        <v>WorldCat Record</v>
      </c>
      <c r="AU1091" s="3" t="s">
        <v>13830</v>
      </c>
      <c r="AV1091" s="3" t="s">
        <v>13831</v>
      </c>
      <c r="AW1091" s="3" t="s">
        <v>13832</v>
      </c>
      <c r="AX1091" s="3" t="s">
        <v>13832</v>
      </c>
      <c r="AY1091" s="3" t="s">
        <v>13833</v>
      </c>
      <c r="AZ1091" s="3" t="s">
        <v>73</v>
      </c>
      <c r="BC1091" s="3" t="s">
        <v>13834</v>
      </c>
      <c r="BD1091" s="3" t="s">
        <v>13835</v>
      </c>
    </row>
    <row r="1092" spans="1:56" ht="51" customHeight="1" x14ac:dyDescent="0.25">
      <c r="A1092" s="7" t="s">
        <v>58</v>
      </c>
      <c r="B1092" s="2" t="s">
        <v>13836</v>
      </c>
      <c r="C1092" s="2" t="s">
        <v>13837</v>
      </c>
      <c r="D1092" s="2" t="s">
        <v>13838</v>
      </c>
      <c r="F1092" s="3" t="s">
        <v>58</v>
      </c>
      <c r="G1092" s="3" t="s">
        <v>59</v>
      </c>
      <c r="H1092" s="3" t="s">
        <v>58</v>
      </c>
      <c r="I1092" s="3" t="s">
        <v>58</v>
      </c>
      <c r="J1092" s="3" t="s">
        <v>60</v>
      </c>
      <c r="L1092" s="2" t="s">
        <v>13839</v>
      </c>
      <c r="M1092" s="3" t="s">
        <v>4023</v>
      </c>
      <c r="O1092" s="3" t="s">
        <v>63</v>
      </c>
      <c r="P1092" s="3" t="s">
        <v>214</v>
      </c>
      <c r="R1092" s="3" t="s">
        <v>65</v>
      </c>
      <c r="S1092" s="4">
        <v>2</v>
      </c>
      <c r="T1092" s="4">
        <v>2</v>
      </c>
      <c r="U1092" s="5" t="s">
        <v>13840</v>
      </c>
      <c r="V1092" s="5" t="s">
        <v>13840</v>
      </c>
      <c r="W1092" s="5" t="s">
        <v>13841</v>
      </c>
      <c r="X1092" s="5" t="s">
        <v>13841</v>
      </c>
      <c r="Y1092" s="4">
        <v>430</v>
      </c>
      <c r="Z1092" s="4">
        <v>345</v>
      </c>
      <c r="AA1092" s="4">
        <v>345</v>
      </c>
      <c r="AB1092" s="4">
        <v>2</v>
      </c>
      <c r="AC1092" s="4">
        <v>2</v>
      </c>
      <c r="AD1092" s="4">
        <v>24</v>
      </c>
      <c r="AE1092" s="4">
        <v>24</v>
      </c>
      <c r="AF1092" s="4">
        <v>12</v>
      </c>
      <c r="AG1092" s="4">
        <v>12</v>
      </c>
      <c r="AH1092" s="4">
        <v>7</v>
      </c>
      <c r="AI1092" s="4">
        <v>7</v>
      </c>
      <c r="AJ1092" s="4">
        <v>11</v>
      </c>
      <c r="AK1092" s="4">
        <v>11</v>
      </c>
      <c r="AL1092" s="4">
        <v>1</v>
      </c>
      <c r="AM1092" s="4">
        <v>1</v>
      </c>
      <c r="AN1092" s="4">
        <v>0</v>
      </c>
      <c r="AO1092" s="4">
        <v>0</v>
      </c>
      <c r="AP1092" s="3" t="s">
        <v>58</v>
      </c>
      <c r="AQ1092" s="3" t="s">
        <v>58</v>
      </c>
      <c r="AS1092" s="6" t="str">
        <f>HYPERLINK("https://creighton-primo.hosted.exlibrisgroup.com/primo-explore/search?tab=default_tab&amp;search_scope=EVERYTHING&amp;vid=01CRU&amp;lang=en_US&amp;offset=0&amp;query=any,contains,991004293649702656","Catalog Record")</f>
        <v>Catalog Record</v>
      </c>
      <c r="AT1092" s="6" t="str">
        <f>HYPERLINK("http://www.worldcat.org/oclc/53223660","WorldCat Record")</f>
        <v>WorldCat Record</v>
      </c>
      <c r="AU1092" s="3" t="s">
        <v>13842</v>
      </c>
      <c r="AV1092" s="3" t="s">
        <v>13843</v>
      </c>
      <c r="AW1092" s="3" t="s">
        <v>13844</v>
      </c>
      <c r="AX1092" s="3" t="s">
        <v>13844</v>
      </c>
      <c r="AY1092" s="3" t="s">
        <v>13845</v>
      </c>
      <c r="AZ1092" s="3" t="s">
        <v>73</v>
      </c>
      <c r="BB1092" s="3" t="s">
        <v>13846</v>
      </c>
      <c r="BC1092" s="3" t="s">
        <v>13847</v>
      </c>
      <c r="BD1092" s="3" t="s">
        <v>13848</v>
      </c>
    </row>
    <row r="1093" spans="1:56" ht="51" customHeight="1" x14ac:dyDescent="0.25">
      <c r="A1093" s="7" t="s">
        <v>58</v>
      </c>
      <c r="B1093" s="2" t="s">
        <v>13849</v>
      </c>
      <c r="C1093" s="2" t="s">
        <v>13850</v>
      </c>
      <c r="D1093" s="2" t="s">
        <v>13851</v>
      </c>
      <c r="F1093" s="3" t="s">
        <v>58</v>
      </c>
      <c r="G1093" s="3" t="s">
        <v>59</v>
      </c>
      <c r="H1093" s="3" t="s">
        <v>58</v>
      </c>
      <c r="I1093" s="3" t="s">
        <v>58</v>
      </c>
      <c r="J1093" s="3" t="s">
        <v>60</v>
      </c>
      <c r="K1093" s="2" t="s">
        <v>13852</v>
      </c>
      <c r="L1093" s="2" t="s">
        <v>13853</v>
      </c>
      <c r="M1093" s="3" t="s">
        <v>261</v>
      </c>
      <c r="O1093" s="3" t="s">
        <v>63</v>
      </c>
      <c r="P1093" s="3" t="s">
        <v>584</v>
      </c>
      <c r="R1093" s="3" t="s">
        <v>65</v>
      </c>
      <c r="S1093" s="4">
        <v>2</v>
      </c>
      <c r="T1093" s="4">
        <v>2</v>
      </c>
      <c r="U1093" s="5" t="s">
        <v>13854</v>
      </c>
      <c r="V1093" s="5" t="s">
        <v>13854</v>
      </c>
      <c r="W1093" s="5" t="s">
        <v>11927</v>
      </c>
      <c r="X1093" s="5" t="s">
        <v>11927</v>
      </c>
      <c r="Y1093" s="4">
        <v>332</v>
      </c>
      <c r="Z1093" s="4">
        <v>221</v>
      </c>
      <c r="AA1093" s="4">
        <v>229</v>
      </c>
      <c r="AB1093" s="4">
        <v>3</v>
      </c>
      <c r="AC1093" s="4">
        <v>3</v>
      </c>
      <c r="AD1093" s="4">
        <v>8</v>
      </c>
      <c r="AE1093" s="4">
        <v>8</v>
      </c>
      <c r="AF1093" s="4">
        <v>0</v>
      </c>
      <c r="AG1093" s="4">
        <v>0</v>
      </c>
      <c r="AH1093" s="4">
        <v>4</v>
      </c>
      <c r="AI1093" s="4">
        <v>4</v>
      </c>
      <c r="AJ1093" s="4">
        <v>4</v>
      </c>
      <c r="AK1093" s="4">
        <v>4</v>
      </c>
      <c r="AL1093" s="4">
        <v>2</v>
      </c>
      <c r="AM1093" s="4">
        <v>2</v>
      </c>
      <c r="AN1093" s="4">
        <v>0</v>
      </c>
      <c r="AO1093" s="4">
        <v>0</v>
      </c>
      <c r="AP1093" s="3" t="s">
        <v>58</v>
      </c>
      <c r="AQ1093" s="3" t="s">
        <v>68</v>
      </c>
      <c r="AR1093" s="6" t="str">
        <f>HYPERLINK("http://catalog.hathitrust.org/Record/001250991","HathiTrust Record")</f>
        <v>HathiTrust Record</v>
      </c>
      <c r="AS1093" s="6" t="str">
        <f>HYPERLINK("https://creighton-primo.hosted.exlibrisgroup.com/primo-explore/search?tab=default_tab&amp;search_scope=EVERYTHING&amp;vid=01CRU&amp;lang=en_US&amp;offset=0&amp;query=any,contains,991004030839702656","Catalog Record")</f>
        <v>Catalog Record</v>
      </c>
      <c r="AT1093" s="6" t="str">
        <f>HYPERLINK("http://www.worldcat.org/oclc/2152502","WorldCat Record")</f>
        <v>WorldCat Record</v>
      </c>
      <c r="AU1093" s="3" t="s">
        <v>13855</v>
      </c>
      <c r="AV1093" s="3" t="s">
        <v>13856</v>
      </c>
      <c r="AW1093" s="3" t="s">
        <v>13857</v>
      </c>
      <c r="AX1093" s="3" t="s">
        <v>13857</v>
      </c>
      <c r="AY1093" s="3" t="s">
        <v>13858</v>
      </c>
      <c r="AZ1093" s="3" t="s">
        <v>73</v>
      </c>
      <c r="BB1093" s="3" t="s">
        <v>13859</v>
      </c>
      <c r="BC1093" s="3" t="s">
        <v>13860</v>
      </c>
      <c r="BD1093" s="3" t="s">
        <v>13861</v>
      </c>
    </row>
    <row r="1094" spans="1:56" ht="51" customHeight="1" x14ac:dyDescent="0.25">
      <c r="A1094" s="7" t="s">
        <v>58</v>
      </c>
      <c r="B1094" s="2" t="s">
        <v>13862</v>
      </c>
      <c r="C1094" s="2" t="s">
        <v>13863</v>
      </c>
      <c r="D1094" s="2" t="s">
        <v>13864</v>
      </c>
      <c r="F1094" s="3" t="s">
        <v>58</v>
      </c>
      <c r="G1094" s="3" t="s">
        <v>59</v>
      </c>
      <c r="H1094" s="3" t="s">
        <v>58</v>
      </c>
      <c r="I1094" s="3" t="s">
        <v>58</v>
      </c>
      <c r="J1094" s="3" t="s">
        <v>60</v>
      </c>
      <c r="K1094" s="2" t="s">
        <v>13865</v>
      </c>
      <c r="L1094" s="2" t="s">
        <v>13866</v>
      </c>
      <c r="M1094" s="3" t="s">
        <v>1544</v>
      </c>
      <c r="O1094" s="3" t="s">
        <v>63</v>
      </c>
      <c r="P1094" s="3" t="s">
        <v>3323</v>
      </c>
      <c r="R1094" s="3" t="s">
        <v>65</v>
      </c>
      <c r="S1094" s="4">
        <v>1</v>
      </c>
      <c r="T1094" s="4">
        <v>1</v>
      </c>
      <c r="U1094" s="5" t="s">
        <v>13867</v>
      </c>
      <c r="V1094" s="5" t="s">
        <v>13867</v>
      </c>
      <c r="W1094" s="5" t="s">
        <v>11373</v>
      </c>
      <c r="X1094" s="5" t="s">
        <v>11373</v>
      </c>
      <c r="Y1094" s="4">
        <v>36</v>
      </c>
      <c r="Z1094" s="4">
        <v>26</v>
      </c>
      <c r="AA1094" s="4">
        <v>28</v>
      </c>
      <c r="AB1094" s="4">
        <v>1</v>
      </c>
      <c r="AC1094" s="4">
        <v>1</v>
      </c>
      <c r="AD1094" s="4">
        <v>0</v>
      </c>
      <c r="AE1094" s="4">
        <v>0</v>
      </c>
      <c r="AF1094" s="4">
        <v>0</v>
      </c>
      <c r="AG1094" s="4">
        <v>0</v>
      </c>
      <c r="AH1094" s="4">
        <v>0</v>
      </c>
      <c r="AI1094" s="4">
        <v>0</v>
      </c>
      <c r="AJ1094" s="4">
        <v>0</v>
      </c>
      <c r="AK1094" s="4">
        <v>0</v>
      </c>
      <c r="AL1094" s="4">
        <v>0</v>
      </c>
      <c r="AM1094" s="4">
        <v>0</v>
      </c>
      <c r="AN1094" s="4">
        <v>0</v>
      </c>
      <c r="AO1094" s="4">
        <v>0</v>
      </c>
      <c r="AP1094" s="3" t="s">
        <v>58</v>
      </c>
      <c r="AQ1094" s="3" t="s">
        <v>68</v>
      </c>
      <c r="AR1094" s="6" t="str">
        <f>HYPERLINK("http://catalog.hathitrust.org/Record/002622550","HathiTrust Record")</f>
        <v>HathiTrust Record</v>
      </c>
      <c r="AS1094" s="6" t="str">
        <f>HYPERLINK("https://creighton-primo.hosted.exlibrisgroup.com/primo-explore/search?tab=default_tab&amp;search_scope=EVERYTHING&amp;vid=01CRU&amp;lang=en_US&amp;offset=0&amp;query=any,contains,991002126309702656","Catalog Record")</f>
        <v>Catalog Record</v>
      </c>
      <c r="AT1094" s="6" t="str">
        <f>HYPERLINK("http://www.worldcat.org/oclc/27232571","WorldCat Record")</f>
        <v>WorldCat Record</v>
      </c>
      <c r="AU1094" s="3" t="s">
        <v>13868</v>
      </c>
      <c r="AV1094" s="3" t="s">
        <v>13869</v>
      </c>
      <c r="AW1094" s="3" t="s">
        <v>13870</v>
      </c>
      <c r="AX1094" s="3" t="s">
        <v>13870</v>
      </c>
      <c r="AY1094" s="3" t="s">
        <v>13871</v>
      </c>
      <c r="AZ1094" s="3" t="s">
        <v>73</v>
      </c>
      <c r="BC1094" s="3" t="s">
        <v>13872</v>
      </c>
      <c r="BD1094" s="3" t="s">
        <v>13873</v>
      </c>
    </row>
    <row r="1095" spans="1:56" ht="51" customHeight="1" x14ac:dyDescent="0.25">
      <c r="A1095" s="7" t="s">
        <v>58</v>
      </c>
      <c r="B1095" s="2" t="s">
        <v>13874</v>
      </c>
      <c r="C1095" s="2" t="s">
        <v>13875</v>
      </c>
      <c r="D1095" s="2" t="s">
        <v>13876</v>
      </c>
      <c r="F1095" s="3" t="s">
        <v>58</v>
      </c>
      <c r="G1095" s="3" t="s">
        <v>59</v>
      </c>
      <c r="H1095" s="3" t="s">
        <v>58</v>
      </c>
      <c r="I1095" s="3" t="s">
        <v>58</v>
      </c>
      <c r="J1095" s="3" t="s">
        <v>60</v>
      </c>
      <c r="K1095" s="2" t="s">
        <v>13877</v>
      </c>
      <c r="L1095" s="2" t="s">
        <v>13878</v>
      </c>
      <c r="M1095" s="3" t="s">
        <v>1091</v>
      </c>
      <c r="O1095" s="3" t="s">
        <v>63</v>
      </c>
      <c r="P1095" s="3" t="s">
        <v>1837</v>
      </c>
      <c r="R1095" s="3" t="s">
        <v>65</v>
      </c>
      <c r="S1095" s="4">
        <v>10</v>
      </c>
      <c r="T1095" s="4">
        <v>10</v>
      </c>
      <c r="U1095" s="5" t="s">
        <v>13761</v>
      </c>
      <c r="V1095" s="5" t="s">
        <v>13761</v>
      </c>
      <c r="W1095" s="5" t="s">
        <v>6487</v>
      </c>
      <c r="X1095" s="5" t="s">
        <v>6487</v>
      </c>
      <c r="Y1095" s="4">
        <v>290</v>
      </c>
      <c r="Z1095" s="4">
        <v>215</v>
      </c>
      <c r="AA1095" s="4">
        <v>591</v>
      </c>
      <c r="AB1095" s="4">
        <v>2</v>
      </c>
      <c r="AC1095" s="4">
        <v>4</v>
      </c>
      <c r="AD1095" s="4">
        <v>13</v>
      </c>
      <c r="AE1095" s="4">
        <v>28</v>
      </c>
      <c r="AF1095" s="4">
        <v>5</v>
      </c>
      <c r="AG1095" s="4">
        <v>12</v>
      </c>
      <c r="AH1095" s="4">
        <v>2</v>
      </c>
      <c r="AI1095" s="4">
        <v>7</v>
      </c>
      <c r="AJ1095" s="4">
        <v>6</v>
      </c>
      <c r="AK1095" s="4">
        <v>13</v>
      </c>
      <c r="AL1095" s="4">
        <v>1</v>
      </c>
      <c r="AM1095" s="4">
        <v>3</v>
      </c>
      <c r="AN1095" s="4">
        <v>0</v>
      </c>
      <c r="AO1095" s="4">
        <v>0</v>
      </c>
      <c r="AP1095" s="3" t="s">
        <v>58</v>
      </c>
      <c r="AQ1095" s="3" t="s">
        <v>58</v>
      </c>
      <c r="AS1095" s="6" t="str">
        <f>HYPERLINK("https://creighton-primo.hosted.exlibrisgroup.com/primo-explore/search?tab=default_tab&amp;search_scope=EVERYTHING&amp;vid=01CRU&amp;lang=en_US&amp;offset=0&amp;query=any,contains,991003849829702656","Catalog Record")</f>
        <v>Catalog Record</v>
      </c>
      <c r="AT1095" s="6" t="str">
        <f>HYPERLINK("http://www.worldcat.org/oclc/49276905","WorldCat Record")</f>
        <v>WorldCat Record</v>
      </c>
      <c r="AU1095" s="3" t="s">
        <v>13879</v>
      </c>
      <c r="AV1095" s="3" t="s">
        <v>13880</v>
      </c>
      <c r="AW1095" s="3" t="s">
        <v>13881</v>
      </c>
      <c r="AX1095" s="3" t="s">
        <v>13881</v>
      </c>
      <c r="AY1095" s="3" t="s">
        <v>13882</v>
      </c>
      <c r="AZ1095" s="3" t="s">
        <v>73</v>
      </c>
      <c r="BB1095" s="3" t="s">
        <v>13883</v>
      </c>
      <c r="BC1095" s="3" t="s">
        <v>13884</v>
      </c>
      <c r="BD1095" s="3" t="s">
        <v>13885</v>
      </c>
    </row>
    <row r="1096" spans="1:56" ht="51" customHeight="1" x14ac:dyDescent="0.25">
      <c r="A1096" s="7" t="s">
        <v>58</v>
      </c>
      <c r="B1096" s="2" t="s">
        <v>13886</v>
      </c>
      <c r="C1096" s="2" t="s">
        <v>13887</v>
      </c>
      <c r="D1096" s="2" t="s">
        <v>13888</v>
      </c>
      <c r="F1096" s="3" t="s">
        <v>58</v>
      </c>
      <c r="G1096" s="3" t="s">
        <v>59</v>
      </c>
      <c r="H1096" s="3" t="s">
        <v>58</v>
      </c>
      <c r="I1096" s="3" t="s">
        <v>58</v>
      </c>
      <c r="J1096" s="3" t="s">
        <v>60</v>
      </c>
      <c r="K1096" s="2" t="s">
        <v>13889</v>
      </c>
      <c r="L1096" s="2" t="s">
        <v>13890</v>
      </c>
      <c r="M1096" s="3" t="s">
        <v>898</v>
      </c>
      <c r="N1096" s="2" t="s">
        <v>338</v>
      </c>
      <c r="O1096" s="3" t="s">
        <v>63</v>
      </c>
      <c r="P1096" s="3" t="s">
        <v>1837</v>
      </c>
      <c r="Q1096" s="2" t="s">
        <v>12105</v>
      </c>
      <c r="R1096" s="3" t="s">
        <v>65</v>
      </c>
      <c r="S1096" s="4">
        <v>1</v>
      </c>
      <c r="T1096" s="4">
        <v>1</v>
      </c>
      <c r="U1096" s="5" t="s">
        <v>13891</v>
      </c>
      <c r="V1096" s="5" t="s">
        <v>13891</v>
      </c>
      <c r="W1096" s="5" t="s">
        <v>13891</v>
      </c>
      <c r="X1096" s="5" t="s">
        <v>13891</v>
      </c>
      <c r="Y1096" s="4">
        <v>129</v>
      </c>
      <c r="Z1096" s="4">
        <v>98</v>
      </c>
      <c r="AA1096" s="4">
        <v>98</v>
      </c>
      <c r="AB1096" s="4">
        <v>1</v>
      </c>
      <c r="AC1096" s="4">
        <v>1</v>
      </c>
      <c r="AD1096" s="4">
        <v>5</v>
      </c>
      <c r="AE1096" s="4">
        <v>5</v>
      </c>
      <c r="AF1096" s="4">
        <v>1</v>
      </c>
      <c r="AG1096" s="4">
        <v>1</v>
      </c>
      <c r="AH1096" s="4">
        <v>3</v>
      </c>
      <c r="AI1096" s="4">
        <v>3</v>
      </c>
      <c r="AJ1096" s="4">
        <v>2</v>
      </c>
      <c r="AK1096" s="4">
        <v>2</v>
      </c>
      <c r="AL1096" s="4">
        <v>0</v>
      </c>
      <c r="AM1096" s="4">
        <v>0</v>
      </c>
      <c r="AN1096" s="4">
        <v>0</v>
      </c>
      <c r="AO1096" s="4">
        <v>0</v>
      </c>
      <c r="AP1096" s="3" t="s">
        <v>58</v>
      </c>
      <c r="AQ1096" s="3" t="s">
        <v>58</v>
      </c>
      <c r="AS1096" s="6" t="str">
        <f>HYPERLINK("https://creighton-primo.hosted.exlibrisgroup.com/primo-explore/search?tab=default_tab&amp;search_scope=EVERYTHING&amp;vid=01CRU&amp;lang=en_US&amp;offset=0&amp;query=any,contains,991005112709702656","Catalog Record")</f>
        <v>Catalog Record</v>
      </c>
      <c r="AT1096" s="6" t="str">
        <f>HYPERLINK("http://www.worldcat.org/oclc/62897597","WorldCat Record")</f>
        <v>WorldCat Record</v>
      </c>
      <c r="AU1096" s="3" t="s">
        <v>13892</v>
      </c>
      <c r="AV1096" s="3" t="s">
        <v>13893</v>
      </c>
      <c r="AW1096" s="3" t="s">
        <v>13894</v>
      </c>
      <c r="AX1096" s="3" t="s">
        <v>13894</v>
      </c>
      <c r="AY1096" s="3" t="s">
        <v>13895</v>
      </c>
      <c r="AZ1096" s="3" t="s">
        <v>73</v>
      </c>
      <c r="BB1096" s="3" t="s">
        <v>13896</v>
      </c>
      <c r="BC1096" s="3" t="s">
        <v>13897</v>
      </c>
      <c r="BD1096" s="3" t="s">
        <v>13898</v>
      </c>
    </row>
    <row r="1097" spans="1:56" ht="51" customHeight="1" x14ac:dyDescent="0.25">
      <c r="A1097" s="7" t="s">
        <v>58</v>
      </c>
      <c r="B1097" s="2" t="s">
        <v>13899</v>
      </c>
      <c r="C1097" s="2" t="s">
        <v>13900</v>
      </c>
      <c r="D1097" s="2" t="s">
        <v>13901</v>
      </c>
      <c r="F1097" s="3" t="s">
        <v>58</v>
      </c>
      <c r="G1097" s="3" t="s">
        <v>59</v>
      </c>
      <c r="H1097" s="3" t="s">
        <v>58</v>
      </c>
      <c r="I1097" s="3" t="s">
        <v>58</v>
      </c>
      <c r="J1097" s="3" t="s">
        <v>60</v>
      </c>
      <c r="K1097" s="2" t="s">
        <v>13902</v>
      </c>
      <c r="L1097" s="2" t="s">
        <v>13903</v>
      </c>
      <c r="M1097" s="3" t="s">
        <v>2214</v>
      </c>
      <c r="O1097" s="3" t="s">
        <v>63</v>
      </c>
      <c r="P1097" s="3" t="s">
        <v>584</v>
      </c>
      <c r="Q1097" s="2" t="s">
        <v>13904</v>
      </c>
      <c r="R1097" s="3" t="s">
        <v>65</v>
      </c>
      <c r="S1097" s="4">
        <v>1</v>
      </c>
      <c r="T1097" s="4">
        <v>1</v>
      </c>
      <c r="U1097" s="5" t="s">
        <v>13905</v>
      </c>
      <c r="V1097" s="5" t="s">
        <v>13905</v>
      </c>
      <c r="W1097" s="5" t="s">
        <v>13905</v>
      </c>
      <c r="X1097" s="5" t="s">
        <v>13905</v>
      </c>
      <c r="Y1097" s="4">
        <v>207</v>
      </c>
      <c r="Z1097" s="4">
        <v>148</v>
      </c>
      <c r="AA1097" s="4">
        <v>170</v>
      </c>
      <c r="AB1097" s="4">
        <v>1</v>
      </c>
      <c r="AC1097" s="4">
        <v>1</v>
      </c>
      <c r="AD1097" s="4">
        <v>9</v>
      </c>
      <c r="AE1097" s="4">
        <v>9</v>
      </c>
      <c r="AF1097" s="4">
        <v>3</v>
      </c>
      <c r="AG1097" s="4">
        <v>3</v>
      </c>
      <c r="AH1097" s="4">
        <v>4</v>
      </c>
      <c r="AI1097" s="4">
        <v>4</v>
      </c>
      <c r="AJ1097" s="4">
        <v>4</v>
      </c>
      <c r="AK1097" s="4">
        <v>4</v>
      </c>
      <c r="AL1097" s="4">
        <v>0</v>
      </c>
      <c r="AM1097" s="4">
        <v>0</v>
      </c>
      <c r="AN1097" s="4">
        <v>0</v>
      </c>
      <c r="AO1097" s="4">
        <v>0</v>
      </c>
      <c r="AP1097" s="3" t="s">
        <v>58</v>
      </c>
      <c r="AQ1097" s="3" t="s">
        <v>68</v>
      </c>
      <c r="AR1097" s="6" t="str">
        <f>HYPERLINK("http://catalog.hathitrust.org/Record/005059000","HathiTrust Record")</f>
        <v>HathiTrust Record</v>
      </c>
      <c r="AS1097" s="6" t="str">
        <f>HYPERLINK("https://creighton-primo.hosted.exlibrisgroup.com/primo-explore/search?tab=default_tab&amp;search_scope=EVERYTHING&amp;vid=01CRU&amp;lang=en_US&amp;offset=0&amp;query=any,contains,991005285439702656","Catalog Record")</f>
        <v>Catalog Record</v>
      </c>
      <c r="AT1097" s="6" t="str">
        <f>HYPERLINK("http://www.worldcat.org/oclc/57414548","WorldCat Record")</f>
        <v>WorldCat Record</v>
      </c>
      <c r="AU1097" s="3" t="s">
        <v>13906</v>
      </c>
      <c r="AV1097" s="3" t="s">
        <v>13907</v>
      </c>
      <c r="AW1097" s="3" t="s">
        <v>13908</v>
      </c>
      <c r="AX1097" s="3" t="s">
        <v>13908</v>
      </c>
      <c r="AY1097" s="3" t="s">
        <v>13909</v>
      </c>
      <c r="AZ1097" s="3" t="s">
        <v>73</v>
      </c>
      <c r="BB1097" s="3" t="s">
        <v>13910</v>
      </c>
      <c r="BC1097" s="3" t="s">
        <v>13911</v>
      </c>
      <c r="BD1097" s="3" t="s">
        <v>13912</v>
      </c>
    </row>
    <row r="1098" spans="1:56" ht="51" customHeight="1" x14ac:dyDescent="0.25">
      <c r="A1098" s="7" t="s">
        <v>58</v>
      </c>
      <c r="B1098" s="2" t="s">
        <v>13913</v>
      </c>
      <c r="C1098" s="2" t="s">
        <v>13914</v>
      </c>
      <c r="D1098" s="2" t="s">
        <v>13915</v>
      </c>
      <c r="E1098" s="3" t="s">
        <v>1412</v>
      </c>
      <c r="F1098" s="3" t="s">
        <v>58</v>
      </c>
      <c r="G1098" s="3" t="s">
        <v>59</v>
      </c>
      <c r="H1098" s="3" t="s">
        <v>58</v>
      </c>
      <c r="I1098" s="3" t="s">
        <v>58</v>
      </c>
      <c r="J1098" s="3" t="s">
        <v>60</v>
      </c>
      <c r="L1098" s="2" t="s">
        <v>13916</v>
      </c>
      <c r="M1098" s="3" t="s">
        <v>1784</v>
      </c>
      <c r="O1098" s="3" t="s">
        <v>63</v>
      </c>
      <c r="P1098" s="3" t="s">
        <v>3323</v>
      </c>
      <c r="R1098" s="3" t="s">
        <v>65</v>
      </c>
      <c r="S1098" s="4">
        <v>1</v>
      </c>
      <c r="T1098" s="4">
        <v>1</v>
      </c>
      <c r="U1098" s="5" t="s">
        <v>12028</v>
      </c>
      <c r="V1098" s="5" t="s">
        <v>12028</v>
      </c>
      <c r="W1098" s="5" t="s">
        <v>8127</v>
      </c>
      <c r="X1098" s="5" t="s">
        <v>8127</v>
      </c>
      <c r="Y1098" s="4">
        <v>204</v>
      </c>
      <c r="Z1098" s="4">
        <v>146</v>
      </c>
      <c r="AA1098" s="4">
        <v>149</v>
      </c>
      <c r="AB1098" s="4">
        <v>2</v>
      </c>
      <c r="AC1098" s="4">
        <v>2</v>
      </c>
      <c r="AD1098" s="4">
        <v>4</v>
      </c>
      <c r="AE1098" s="4">
        <v>4</v>
      </c>
      <c r="AF1098" s="4">
        <v>0</v>
      </c>
      <c r="AG1098" s="4">
        <v>0</v>
      </c>
      <c r="AH1098" s="4">
        <v>2</v>
      </c>
      <c r="AI1098" s="4">
        <v>2</v>
      </c>
      <c r="AJ1098" s="4">
        <v>2</v>
      </c>
      <c r="AK1098" s="4">
        <v>2</v>
      </c>
      <c r="AL1098" s="4">
        <v>1</v>
      </c>
      <c r="AM1098" s="4">
        <v>1</v>
      </c>
      <c r="AN1098" s="4">
        <v>0</v>
      </c>
      <c r="AO1098" s="4">
        <v>0</v>
      </c>
      <c r="AP1098" s="3" t="s">
        <v>58</v>
      </c>
      <c r="AQ1098" s="3" t="s">
        <v>68</v>
      </c>
      <c r="AR1098" s="6" t="str">
        <f>HYPERLINK("http://catalog.hathitrust.org/Record/000742877","HathiTrust Record")</f>
        <v>HathiTrust Record</v>
      </c>
      <c r="AS1098" s="6" t="str">
        <f>HYPERLINK("https://creighton-primo.hosted.exlibrisgroup.com/primo-explore/search?tab=default_tab&amp;search_scope=EVERYTHING&amp;vid=01CRU&amp;lang=en_US&amp;offset=0&amp;query=any,contains,991004918159702656","Catalog Record")</f>
        <v>Catalog Record</v>
      </c>
      <c r="AT1098" s="6" t="str">
        <f>HYPERLINK("http://www.worldcat.org/oclc/6029842","WorldCat Record")</f>
        <v>WorldCat Record</v>
      </c>
      <c r="AU1098" s="3" t="s">
        <v>13917</v>
      </c>
      <c r="AV1098" s="3" t="s">
        <v>13918</v>
      </c>
      <c r="AW1098" s="3" t="s">
        <v>13919</v>
      </c>
      <c r="AX1098" s="3" t="s">
        <v>13919</v>
      </c>
      <c r="AY1098" s="3" t="s">
        <v>13920</v>
      </c>
      <c r="AZ1098" s="3" t="s">
        <v>73</v>
      </c>
      <c r="BC1098" s="3" t="s">
        <v>13921</v>
      </c>
      <c r="BD1098" s="3" t="s">
        <v>13922</v>
      </c>
    </row>
    <row r="1099" spans="1:56" ht="51" customHeight="1" x14ac:dyDescent="0.25">
      <c r="A1099" s="7" t="s">
        <v>58</v>
      </c>
      <c r="B1099" s="2" t="s">
        <v>13923</v>
      </c>
      <c r="C1099" s="2" t="s">
        <v>13924</v>
      </c>
      <c r="D1099" s="2" t="s">
        <v>13925</v>
      </c>
      <c r="F1099" s="3" t="s">
        <v>58</v>
      </c>
      <c r="G1099" s="3" t="s">
        <v>59</v>
      </c>
      <c r="H1099" s="3" t="s">
        <v>58</v>
      </c>
      <c r="I1099" s="3" t="s">
        <v>58</v>
      </c>
      <c r="J1099" s="3" t="s">
        <v>60</v>
      </c>
      <c r="K1099" s="2" t="s">
        <v>13926</v>
      </c>
      <c r="L1099" s="2" t="s">
        <v>13927</v>
      </c>
      <c r="M1099" s="3" t="s">
        <v>2004</v>
      </c>
      <c r="O1099" s="3" t="s">
        <v>63</v>
      </c>
      <c r="P1099" s="3" t="s">
        <v>584</v>
      </c>
      <c r="Q1099" s="2" t="s">
        <v>13928</v>
      </c>
      <c r="R1099" s="3" t="s">
        <v>65</v>
      </c>
      <c r="S1099" s="4">
        <v>5</v>
      </c>
      <c r="T1099" s="4">
        <v>5</v>
      </c>
      <c r="U1099" s="5" t="s">
        <v>1143</v>
      </c>
      <c r="V1099" s="5" t="s">
        <v>1143</v>
      </c>
      <c r="W1099" s="5" t="s">
        <v>13239</v>
      </c>
      <c r="X1099" s="5" t="s">
        <v>13239</v>
      </c>
      <c r="Y1099" s="4">
        <v>418</v>
      </c>
      <c r="Z1099" s="4">
        <v>350</v>
      </c>
      <c r="AA1099" s="4">
        <v>728</v>
      </c>
      <c r="AB1099" s="4">
        <v>1</v>
      </c>
      <c r="AC1099" s="4">
        <v>2</v>
      </c>
      <c r="AD1099" s="4">
        <v>12</v>
      </c>
      <c r="AE1099" s="4">
        <v>26</v>
      </c>
      <c r="AF1099" s="4">
        <v>6</v>
      </c>
      <c r="AG1099" s="4">
        <v>12</v>
      </c>
      <c r="AH1099" s="4">
        <v>2</v>
      </c>
      <c r="AI1099" s="4">
        <v>6</v>
      </c>
      <c r="AJ1099" s="4">
        <v>6</v>
      </c>
      <c r="AK1099" s="4">
        <v>13</v>
      </c>
      <c r="AL1099" s="4">
        <v>0</v>
      </c>
      <c r="AM1099" s="4">
        <v>1</v>
      </c>
      <c r="AN1099" s="4">
        <v>0</v>
      </c>
      <c r="AO1099" s="4">
        <v>0</v>
      </c>
      <c r="AP1099" s="3" t="s">
        <v>58</v>
      </c>
      <c r="AQ1099" s="3" t="s">
        <v>68</v>
      </c>
      <c r="AR1099" s="6" t="str">
        <f>HYPERLINK("http://catalog.hathitrust.org/Record/001867847","HathiTrust Record")</f>
        <v>HathiTrust Record</v>
      </c>
      <c r="AS1099" s="6" t="str">
        <f>HYPERLINK("https://creighton-primo.hosted.exlibrisgroup.com/primo-explore/search?tab=default_tab&amp;search_scope=EVERYTHING&amp;vid=01CRU&amp;lang=en_US&amp;offset=0&amp;query=any,contains,991000913039702656","Catalog Record")</f>
        <v>Catalog Record</v>
      </c>
      <c r="AT1099" s="6" t="str">
        <f>HYPERLINK("http://www.worldcat.org/oclc/409395","WorldCat Record")</f>
        <v>WorldCat Record</v>
      </c>
      <c r="AU1099" s="3" t="s">
        <v>13929</v>
      </c>
      <c r="AV1099" s="3" t="s">
        <v>13930</v>
      </c>
      <c r="AW1099" s="3" t="s">
        <v>13931</v>
      </c>
      <c r="AX1099" s="3" t="s">
        <v>13931</v>
      </c>
      <c r="AY1099" s="3" t="s">
        <v>13932</v>
      </c>
      <c r="AZ1099" s="3" t="s">
        <v>73</v>
      </c>
      <c r="BC1099" s="3" t="s">
        <v>13933</v>
      </c>
      <c r="BD1099" s="3" t="s">
        <v>13934</v>
      </c>
    </row>
    <row r="1100" spans="1:56" ht="51" customHeight="1" x14ac:dyDescent="0.25">
      <c r="A1100" s="7" t="s">
        <v>58</v>
      </c>
      <c r="B1100" s="2" t="s">
        <v>13935</v>
      </c>
      <c r="C1100" s="2" t="s">
        <v>13936</v>
      </c>
      <c r="D1100" s="2" t="s">
        <v>13937</v>
      </c>
      <c r="F1100" s="3" t="s">
        <v>58</v>
      </c>
      <c r="G1100" s="3" t="s">
        <v>59</v>
      </c>
      <c r="H1100" s="3" t="s">
        <v>58</v>
      </c>
      <c r="I1100" s="3" t="s">
        <v>58</v>
      </c>
      <c r="J1100" s="3" t="s">
        <v>60</v>
      </c>
      <c r="K1100" s="2" t="s">
        <v>13938</v>
      </c>
      <c r="L1100" s="2" t="s">
        <v>13939</v>
      </c>
      <c r="M1100" s="3" t="s">
        <v>1385</v>
      </c>
      <c r="O1100" s="3" t="s">
        <v>63</v>
      </c>
      <c r="P1100" s="3" t="s">
        <v>411</v>
      </c>
      <c r="R1100" s="3" t="s">
        <v>65</v>
      </c>
      <c r="S1100" s="4">
        <v>17</v>
      </c>
      <c r="T1100" s="4">
        <v>17</v>
      </c>
      <c r="U1100" s="5" t="s">
        <v>1143</v>
      </c>
      <c r="V1100" s="5" t="s">
        <v>1143</v>
      </c>
      <c r="W1100" s="5" t="s">
        <v>8127</v>
      </c>
      <c r="X1100" s="5" t="s">
        <v>8127</v>
      </c>
      <c r="Y1100" s="4">
        <v>109</v>
      </c>
      <c r="Z1100" s="4">
        <v>90</v>
      </c>
      <c r="AA1100" s="4">
        <v>237</v>
      </c>
      <c r="AB1100" s="4">
        <v>2</v>
      </c>
      <c r="AC1100" s="4">
        <v>4</v>
      </c>
      <c r="AD1100" s="4">
        <v>4</v>
      </c>
      <c r="AE1100" s="4">
        <v>9</v>
      </c>
      <c r="AF1100" s="4">
        <v>1</v>
      </c>
      <c r="AG1100" s="4">
        <v>1</v>
      </c>
      <c r="AH1100" s="4">
        <v>1</v>
      </c>
      <c r="AI1100" s="4">
        <v>4</v>
      </c>
      <c r="AJ1100" s="4">
        <v>1</v>
      </c>
      <c r="AK1100" s="4">
        <v>2</v>
      </c>
      <c r="AL1100" s="4">
        <v>1</v>
      </c>
      <c r="AM1100" s="4">
        <v>3</v>
      </c>
      <c r="AN1100" s="4">
        <v>0</v>
      </c>
      <c r="AO1100" s="4">
        <v>0</v>
      </c>
      <c r="AP1100" s="3" t="s">
        <v>58</v>
      </c>
      <c r="AQ1100" s="3" t="s">
        <v>68</v>
      </c>
      <c r="AR1100" s="6" t="str">
        <f>HYPERLINK("http://catalog.hathitrust.org/Record/007134379","HathiTrust Record")</f>
        <v>HathiTrust Record</v>
      </c>
      <c r="AS1100" s="6" t="str">
        <f>HYPERLINK("https://creighton-primo.hosted.exlibrisgroup.com/primo-explore/search?tab=default_tab&amp;search_scope=EVERYTHING&amp;vid=01CRU&amp;lang=en_US&amp;offset=0&amp;query=any,contains,991003635079702656","Catalog Record")</f>
        <v>Catalog Record</v>
      </c>
      <c r="AT1100" s="6" t="str">
        <f>HYPERLINK("http://www.worldcat.org/oclc/1229606","WorldCat Record")</f>
        <v>WorldCat Record</v>
      </c>
      <c r="AU1100" s="3" t="s">
        <v>13940</v>
      </c>
      <c r="AV1100" s="3" t="s">
        <v>13941</v>
      </c>
      <c r="AW1100" s="3" t="s">
        <v>13942</v>
      </c>
      <c r="AX1100" s="3" t="s">
        <v>13942</v>
      </c>
      <c r="AY1100" s="3" t="s">
        <v>13943</v>
      </c>
      <c r="AZ1100" s="3" t="s">
        <v>73</v>
      </c>
      <c r="BB1100" s="3" t="s">
        <v>13944</v>
      </c>
      <c r="BC1100" s="3" t="s">
        <v>13945</v>
      </c>
      <c r="BD1100" s="3" t="s">
        <v>13946</v>
      </c>
    </row>
    <row r="1101" spans="1:56" ht="51" customHeight="1" x14ac:dyDescent="0.25">
      <c r="A1101" s="7" t="s">
        <v>58</v>
      </c>
      <c r="B1101" s="2" t="s">
        <v>13947</v>
      </c>
      <c r="C1101" s="2" t="s">
        <v>13948</v>
      </c>
      <c r="D1101" s="2" t="s">
        <v>13949</v>
      </c>
      <c r="F1101" s="3" t="s">
        <v>58</v>
      </c>
      <c r="G1101" s="3" t="s">
        <v>59</v>
      </c>
      <c r="H1101" s="3" t="s">
        <v>58</v>
      </c>
      <c r="I1101" s="3" t="s">
        <v>58</v>
      </c>
      <c r="J1101" s="3" t="s">
        <v>60</v>
      </c>
      <c r="K1101" s="2" t="s">
        <v>13950</v>
      </c>
      <c r="L1101" s="2" t="s">
        <v>13951</v>
      </c>
      <c r="M1101" s="3" t="s">
        <v>598</v>
      </c>
      <c r="N1101" s="2" t="s">
        <v>13431</v>
      </c>
      <c r="O1101" s="3" t="s">
        <v>63</v>
      </c>
      <c r="P1101" s="3" t="s">
        <v>584</v>
      </c>
      <c r="R1101" s="3" t="s">
        <v>65</v>
      </c>
      <c r="S1101" s="4">
        <v>5</v>
      </c>
      <c r="T1101" s="4">
        <v>5</v>
      </c>
      <c r="U1101" s="5" t="s">
        <v>10943</v>
      </c>
      <c r="V1101" s="5" t="s">
        <v>10943</v>
      </c>
      <c r="W1101" s="5" t="s">
        <v>13952</v>
      </c>
      <c r="X1101" s="5" t="s">
        <v>13952</v>
      </c>
      <c r="Y1101" s="4">
        <v>505</v>
      </c>
      <c r="Z1101" s="4">
        <v>412</v>
      </c>
      <c r="AA1101" s="4">
        <v>636</v>
      </c>
      <c r="AB1101" s="4">
        <v>4</v>
      </c>
      <c r="AC1101" s="4">
        <v>4</v>
      </c>
      <c r="AD1101" s="4">
        <v>21</v>
      </c>
      <c r="AE1101" s="4">
        <v>29</v>
      </c>
      <c r="AF1101" s="4">
        <v>9</v>
      </c>
      <c r="AG1101" s="4">
        <v>15</v>
      </c>
      <c r="AH1101" s="4">
        <v>5</v>
      </c>
      <c r="AI1101" s="4">
        <v>6</v>
      </c>
      <c r="AJ1101" s="4">
        <v>11</v>
      </c>
      <c r="AK1101" s="4">
        <v>16</v>
      </c>
      <c r="AL1101" s="4">
        <v>3</v>
      </c>
      <c r="AM1101" s="4">
        <v>3</v>
      </c>
      <c r="AN1101" s="4">
        <v>0</v>
      </c>
      <c r="AO1101" s="4">
        <v>0</v>
      </c>
      <c r="AP1101" s="3" t="s">
        <v>58</v>
      </c>
      <c r="AQ1101" s="3" t="s">
        <v>68</v>
      </c>
      <c r="AR1101" s="6" t="str">
        <f>HYPERLINK("http://catalog.hathitrust.org/Record/000611529","HathiTrust Record")</f>
        <v>HathiTrust Record</v>
      </c>
      <c r="AS1101" s="6" t="str">
        <f>HYPERLINK("https://creighton-primo.hosted.exlibrisgroup.com/primo-explore/search?tab=default_tab&amp;search_scope=EVERYTHING&amp;vid=01CRU&amp;lang=en_US&amp;offset=0&amp;query=any,contains,991002717609702656","Catalog Record")</f>
        <v>Catalog Record</v>
      </c>
      <c r="AT1101" s="6" t="str">
        <f>HYPERLINK("http://www.worldcat.org/oclc/411708","WorldCat Record")</f>
        <v>WorldCat Record</v>
      </c>
      <c r="AU1101" s="3" t="s">
        <v>13953</v>
      </c>
      <c r="AV1101" s="3" t="s">
        <v>13954</v>
      </c>
      <c r="AW1101" s="3" t="s">
        <v>13955</v>
      </c>
      <c r="AX1101" s="3" t="s">
        <v>13955</v>
      </c>
      <c r="AY1101" s="3" t="s">
        <v>13956</v>
      </c>
      <c r="AZ1101" s="3" t="s">
        <v>73</v>
      </c>
      <c r="BC1101" s="3" t="s">
        <v>13957</v>
      </c>
      <c r="BD1101" s="3" t="s">
        <v>13958</v>
      </c>
    </row>
    <row r="1102" spans="1:56" ht="51" customHeight="1" x14ac:dyDescent="0.25">
      <c r="A1102" s="7" t="s">
        <v>58</v>
      </c>
      <c r="B1102" s="2" t="s">
        <v>13959</v>
      </c>
      <c r="C1102" s="2" t="s">
        <v>13960</v>
      </c>
      <c r="D1102" s="2" t="s">
        <v>13961</v>
      </c>
      <c r="F1102" s="3" t="s">
        <v>58</v>
      </c>
      <c r="G1102" s="3" t="s">
        <v>59</v>
      </c>
      <c r="H1102" s="3" t="s">
        <v>58</v>
      </c>
      <c r="I1102" s="3" t="s">
        <v>58</v>
      </c>
      <c r="J1102" s="3" t="s">
        <v>60</v>
      </c>
      <c r="K1102" s="2" t="s">
        <v>13962</v>
      </c>
      <c r="L1102" s="2" t="s">
        <v>13963</v>
      </c>
      <c r="M1102" s="3" t="s">
        <v>745</v>
      </c>
      <c r="N1102" s="2" t="s">
        <v>1470</v>
      </c>
      <c r="O1102" s="3" t="s">
        <v>63</v>
      </c>
      <c r="P1102" s="3" t="s">
        <v>9271</v>
      </c>
      <c r="R1102" s="3" t="s">
        <v>65</v>
      </c>
      <c r="S1102" s="4">
        <v>8</v>
      </c>
      <c r="T1102" s="4">
        <v>8</v>
      </c>
      <c r="U1102" s="5" t="s">
        <v>13964</v>
      </c>
      <c r="V1102" s="5" t="s">
        <v>13964</v>
      </c>
      <c r="W1102" s="5" t="s">
        <v>13789</v>
      </c>
      <c r="X1102" s="5" t="s">
        <v>13789</v>
      </c>
      <c r="Y1102" s="4">
        <v>264</v>
      </c>
      <c r="Z1102" s="4">
        <v>262</v>
      </c>
      <c r="AA1102" s="4">
        <v>267</v>
      </c>
      <c r="AB1102" s="4">
        <v>3</v>
      </c>
      <c r="AC1102" s="4">
        <v>3</v>
      </c>
      <c r="AD1102" s="4">
        <v>16</v>
      </c>
      <c r="AE1102" s="4">
        <v>16</v>
      </c>
      <c r="AF1102" s="4">
        <v>3</v>
      </c>
      <c r="AG1102" s="4">
        <v>3</v>
      </c>
      <c r="AH1102" s="4">
        <v>5</v>
      </c>
      <c r="AI1102" s="4">
        <v>5</v>
      </c>
      <c r="AJ1102" s="4">
        <v>10</v>
      </c>
      <c r="AK1102" s="4">
        <v>10</v>
      </c>
      <c r="AL1102" s="4">
        <v>2</v>
      </c>
      <c r="AM1102" s="4">
        <v>2</v>
      </c>
      <c r="AN1102" s="4">
        <v>0</v>
      </c>
      <c r="AO1102" s="4">
        <v>0</v>
      </c>
      <c r="AP1102" s="3" t="s">
        <v>58</v>
      </c>
      <c r="AQ1102" s="3" t="s">
        <v>68</v>
      </c>
      <c r="AR1102" s="6" t="str">
        <f>HYPERLINK("http://catalog.hathitrust.org/Record/001251150","HathiTrust Record")</f>
        <v>HathiTrust Record</v>
      </c>
      <c r="AS1102" s="6" t="str">
        <f>HYPERLINK("https://creighton-primo.hosted.exlibrisgroup.com/primo-explore/search?tab=default_tab&amp;search_scope=EVERYTHING&amp;vid=01CRU&amp;lang=en_US&amp;offset=0&amp;query=any,contains,991003392229702656","Catalog Record")</f>
        <v>Catalog Record</v>
      </c>
      <c r="AT1102" s="6" t="str">
        <f>HYPERLINK("http://www.worldcat.org/oclc/930576","WorldCat Record")</f>
        <v>WorldCat Record</v>
      </c>
      <c r="AU1102" s="3" t="s">
        <v>13965</v>
      </c>
      <c r="AV1102" s="3" t="s">
        <v>13966</v>
      </c>
      <c r="AW1102" s="3" t="s">
        <v>13967</v>
      </c>
      <c r="AX1102" s="3" t="s">
        <v>13967</v>
      </c>
      <c r="AY1102" s="3" t="s">
        <v>13968</v>
      </c>
      <c r="AZ1102" s="3" t="s">
        <v>73</v>
      </c>
      <c r="BC1102" s="3" t="s">
        <v>13969</v>
      </c>
      <c r="BD1102" s="3" t="s">
        <v>13970</v>
      </c>
    </row>
    <row r="1103" spans="1:56" ht="51" customHeight="1" x14ac:dyDescent="0.25">
      <c r="A1103" s="7" t="s">
        <v>58</v>
      </c>
      <c r="B1103" s="2" t="s">
        <v>13971</v>
      </c>
      <c r="C1103" s="2" t="s">
        <v>13972</v>
      </c>
      <c r="D1103" s="2" t="s">
        <v>13973</v>
      </c>
      <c r="F1103" s="3" t="s">
        <v>58</v>
      </c>
      <c r="G1103" s="3" t="s">
        <v>59</v>
      </c>
      <c r="H1103" s="3" t="s">
        <v>58</v>
      </c>
      <c r="I1103" s="3" t="s">
        <v>58</v>
      </c>
      <c r="J1103" s="3" t="s">
        <v>60</v>
      </c>
      <c r="K1103" s="2" t="s">
        <v>13974</v>
      </c>
      <c r="L1103" s="2" t="s">
        <v>13975</v>
      </c>
      <c r="M1103" s="3" t="s">
        <v>898</v>
      </c>
      <c r="O1103" s="3" t="s">
        <v>63</v>
      </c>
      <c r="P1103" s="3" t="s">
        <v>214</v>
      </c>
      <c r="R1103" s="3" t="s">
        <v>65</v>
      </c>
      <c r="S1103" s="4">
        <v>5</v>
      </c>
      <c r="T1103" s="4">
        <v>5</v>
      </c>
      <c r="U1103" s="5" t="s">
        <v>2146</v>
      </c>
      <c r="V1103" s="5" t="s">
        <v>2146</v>
      </c>
      <c r="W1103" s="5" t="s">
        <v>13976</v>
      </c>
      <c r="X1103" s="5" t="s">
        <v>13976</v>
      </c>
      <c r="Y1103" s="4">
        <v>670</v>
      </c>
      <c r="Z1103" s="4">
        <v>562</v>
      </c>
      <c r="AA1103" s="4">
        <v>623</v>
      </c>
      <c r="AB1103" s="4">
        <v>4</v>
      </c>
      <c r="AC1103" s="4">
        <v>4</v>
      </c>
      <c r="AD1103" s="4">
        <v>35</v>
      </c>
      <c r="AE1103" s="4">
        <v>36</v>
      </c>
      <c r="AF1103" s="4">
        <v>14</v>
      </c>
      <c r="AG1103" s="4">
        <v>15</v>
      </c>
      <c r="AH1103" s="4">
        <v>10</v>
      </c>
      <c r="AI1103" s="4">
        <v>10</v>
      </c>
      <c r="AJ1103" s="4">
        <v>16</v>
      </c>
      <c r="AK1103" s="4">
        <v>17</v>
      </c>
      <c r="AL1103" s="4">
        <v>3</v>
      </c>
      <c r="AM1103" s="4">
        <v>3</v>
      </c>
      <c r="AN1103" s="4">
        <v>0</v>
      </c>
      <c r="AO1103" s="4">
        <v>0</v>
      </c>
      <c r="AP1103" s="3" t="s">
        <v>58</v>
      </c>
      <c r="AQ1103" s="3" t="s">
        <v>58</v>
      </c>
      <c r="AS1103" s="6" t="str">
        <f>HYPERLINK("https://creighton-primo.hosted.exlibrisgroup.com/primo-explore/search?tab=default_tab&amp;search_scope=EVERYTHING&amp;vid=01CRU&amp;lang=en_US&amp;offset=0&amp;query=any,contains,991004948669702656","Catalog Record")</f>
        <v>Catalog Record</v>
      </c>
      <c r="AT1103" s="6" t="str">
        <f>HYPERLINK("http://www.worldcat.org/oclc/61303480","WorldCat Record")</f>
        <v>WorldCat Record</v>
      </c>
      <c r="AU1103" s="3" t="s">
        <v>13977</v>
      </c>
      <c r="AV1103" s="3" t="s">
        <v>13978</v>
      </c>
      <c r="AW1103" s="3" t="s">
        <v>13979</v>
      </c>
      <c r="AX1103" s="3" t="s">
        <v>13979</v>
      </c>
      <c r="AY1103" s="3" t="s">
        <v>13980</v>
      </c>
      <c r="AZ1103" s="3" t="s">
        <v>73</v>
      </c>
      <c r="BB1103" s="3" t="s">
        <v>13981</v>
      </c>
      <c r="BC1103" s="3" t="s">
        <v>13982</v>
      </c>
      <c r="BD1103" s="3" t="s">
        <v>13983</v>
      </c>
    </row>
    <row r="1104" spans="1:56" ht="51" customHeight="1" x14ac:dyDescent="0.25">
      <c r="A1104" s="7" t="s">
        <v>58</v>
      </c>
      <c r="B1104" s="2" t="s">
        <v>13984</v>
      </c>
      <c r="C1104" s="2" t="s">
        <v>13985</v>
      </c>
      <c r="D1104" s="2" t="s">
        <v>13986</v>
      </c>
      <c r="F1104" s="3" t="s">
        <v>58</v>
      </c>
      <c r="G1104" s="3" t="s">
        <v>59</v>
      </c>
      <c r="H1104" s="3" t="s">
        <v>58</v>
      </c>
      <c r="I1104" s="3" t="s">
        <v>58</v>
      </c>
      <c r="J1104" s="3" t="s">
        <v>60</v>
      </c>
      <c r="K1104" s="2" t="s">
        <v>13987</v>
      </c>
      <c r="L1104" s="2" t="s">
        <v>13988</v>
      </c>
      <c r="M1104" s="3" t="s">
        <v>2132</v>
      </c>
      <c r="N1104" s="2" t="s">
        <v>1470</v>
      </c>
      <c r="O1104" s="3" t="s">
        <v>63</v>
      </c>
      <c r="P1104" s="3" t="s">
        <v>3323</v>
      </c>
      <c r="R1104" s="3" t="s">
        <v>65</v>
      </c>
      <c r="S1104" s="4">
        <v>3</v>
      </c>
      <c r="T1104" s="4">
        <v>3</v>
      </c>
      <c r="U1104" s="5" t="s">
        <v>13964</v>
      </c>
      <c r="V1104" s="5" t="s">
        <v>13964</v>
      </c>
      <c r="W1104" s="5" t="s">
        <v>11927</v>
      </c>
      <c r="X1104" s="5" t="s">
        <v>11927</v>
      </c>
      <c r="Y1104" s="4">
        <v>259</v>
      </c>
      <c r="Z1104" s="4">
        <v>253</v>
      </c>
      <c r="AA1104" s="4">
        <v>256</v>
      </c>
      <c r="AB1104" s="4">
        <v>3</v>
      </c>
      <c r="AC1104" s="4">
        <v>3</v>
      </c>
      <c r="AD1104" s="4">
        <v>15</v>
      </c>
      <c r="AE1104" s="4">
        <v>15</v>
      </c>
      <c r="AF1104" s="4">
        <v>4</v>
      </c>
      <c r="AG1104" s="4">
        <v>4</v>
      </c>
      <c r="AH1104" s="4">
        <v>4</v>
      </c>
      <c r="AI1104" s="4">
        <v>4</v>
      </c>
      <c r="AJ1104" s="4">
        <v>9</v>
      </c>
      <c r="AK1104" s="4">
        <v>9</v>
      </c>
      <c r="AL1104" s="4">
        <v>2</v>
      </c>
      <c r="AM1104" s="4">
        <v>2</v>
      </c>
      <c r="AN1104" s="4">
        <v>0</v>
      </c>
      <c r="AO1104" s="4">
        <v>0</v>
      </c>
      <c r="AP1104" s="3" t="s">
        <v>58</v>
      </c>
      <c r="AQ1104" s="3" t="s">
        <v>68</v>
      </c>
      <c r="AR1104" s="6" t="str">
        <f>HYPERLINK("http://catalog.hathitrust.org/Record/001251176","HathiTrust Record")</f>
        <v>HathiTrust Record</v>
      </c>
      <c r="AS1104" s="6" t="str">
        <f>HYPERLINK("https://creighton-primo.hosted.exlibrisgroup.com/primo-explore/search?tab=default_tab&amp;search_scope=EVERYTHING&amp;vid=01CRU&amp;lang=en_US&amp;offset=0&amp;query=any,contains,991003446099702656","Catalog Record")</f>
        <v>Catalog Record</v>
      </c>
      <c r="AT1104" s="6" t="str">
        <f>HYPERLINK("http://www.worldcat.org/oclc/981516","WorldCat Record")</f>
        <v>WorldCat Record</v>
      </c>
      <c r="AU1104" s="3" t="s">
        <v>13989</v>
      </c>
      <c r="AV1104" s="3" t="s">
        <v>13990</v>
      </c>
      <c r="AW1104" s="3" t="s">
        <v>13991</v>
      </c>
      <c r="AX1104" s="3" t="s">
        <v>13991</v>
      </c>
      <c r="AY1104" s="3" t="s">
        <v>13992</v>
      </c>
      <c r="AZ1104" s="3" t="s">
        <v>73</v>
      </c>
      <c r="BC1104" s="3" t="s">
        <v>13993</v>
      </c>
      <c r="BD1104" s="3" t="s">
        <v>13994</v>
      </c>
    </row>
    <row r="1105" spans="1:56" ht="51" customHeight="1" x14ac:dyDescent="0.25">
      <c r="A1105" s="7" t="s">
        <v>58</v>
      </c>
      <c r="B1105" s="2" t="s">
        <v>13995</v>
      </c>
      <c r="C1105" s="2" t="s">
        <v>13996</v>
      </c>
      <c r="D1105" s="2" t="s">
        <v>13997</v>
      </c>
      <c r="F1105" s="3" t="s">
        <v>58</v>
      </c>
      <c r="G1105" s="3" t="s">
        <v>59</v>
      </c>
      <c r="H1105" s="3" t="s">
        <v>58</v>
      </c>
      <c r="I1105" s="3" t="s">
        <v>58</v>
      </c>
      <c r="J1105" s="3" t="s">
        <v>60</v>
      </c>
      <c r="K1105" s="2" t="s">
        <v>13998</v>
      </c>
      <c r="L1105" s="2" t="s">
        <v>13999</v>
      </c>
      <c r="M1105" s="3" t="s">
        <v>368</v>
      </c>
      <c r="O1105" s="3" t="s">
        <v>63</v>
      </c>
      <c r="P1105" s="3" t="s">
        <v>214</v>
      </c>
      <c r="R1105" s="3" t="s">
        <v>65</v>
      </c>
      <c r="S1105" s="4">
        <v>12</v>
      </c>
      <c r="T1105" s="4">
        <v>12</v>
      </c>
      <c r="U1105" s="5" t="s">
        <v>12929</v>
      </c>
      <c r="V1105" s="5" t="s">
        <v>12929</v>
      </c>
      <c r="W1105" s="5" t="s">
        <v>3361</v>
      </c>
      <c r="X1105" s="5" t="s">
        <v>3361</v>
      </c>
      <c r="Y1105" s="4">
        <v>79</v>
      </c>
      <c r="Z1105" s="4">
        <v>71</v>
      </c>
      <c r="AA1105" s="4">
        <v>285</v>
      </c>
      <c r="AB1105" s="4">
        <v>1</v>
      </c>
      <c r="AC1105" s="4">
        <v>2</v>
      </c>
      <c r="AD1105" s="4">
        <v>6</v>
      </c>
      <c r="AE1105" s="4">
        <v>12</v>
      </c>
      <c r="AF1105" s="4">
        <v>4</v>
      </c>
      <c r="AG1105" s="4">
        <v>6</v>
      </c>
      <c r="AH1105" s="4">
        <v>1</v>
      </c>
      <c r="AI1105" s="4">
        <v>2</v>
      </c>
      <c r="AJ1105" s="4">
        <v>3</v>
      </c>
      <c r="AK1105" s="4">
        <v>7</v>
      </c>
      <c r="AL1105" s="4">
        <v>0</v>
      </c>
      <c r="AM1105" s="4">
        <v>1</v>
      </c>
      <c r="AN1105" s="4">
        <v>0</v>
      </c>
      <c r="AO1105" s="4">
        <v>0</v>
      </c>
      <c r="AP1105" s="3" t="s">
        <v>58</v>
      </c>
      <c r="AQ1105" s="3" t="s">
        <v>68</v>
      </c>
      <c r="AR1105" s="6" t="str">
        <f>HYPERLINK("http://catalog.hathitrust.org/Record/004410753","HathiTrust Record")</f>
        <v>HathiTrust Record</v>
      </c>
      <c r="AS1105" s="6" t="str">
        <f>HYPERLINK("https://creighton-primo.hosted.exlibrisgroup.com/primo-explore/search?tab=default_tab&amp;search_scope=EVERYTHING&amp;vid=01CRU&amp;lang=en_US&amp;offset=0&amp;query=any,contains,991004107099702656","Catalog Record")</f>
        <v>Catalog Record</v>
      </c>
      <c r="AT1105" s="6" t="str">
        <f>HYPERLINK("http://www.worldcat.org/oclc/2387788","WorldCat Record")</f>
        <v>WorldCat Record</v>
      </c>
      <c r="AU1105" s="3" t="s">
        <v>14000</v>
      </c>
      <c r="AV1105" s="3" t="s">
        <v>14001</v>
      </c>
      <c r="AW1105" s="3" t="s">
        <v>14002</v>
      </c>
      <c r="AX1105" s="3" t="s">
        <v>14002</v>
      </c>
      <c r="AY1105" s="3" t="s">
        <v>14003</v>
      </c>
      <c r="AZ1105" s="3" t="s">
        <v>73</v>
      </c>
      <c r="BB1105" s="3" t="s">
        <v>14004</v>
      </c>
      <c r="BC1105" s="3" t="s">
        <v>14005</v>
      </c>
      <c r="BD1105" s="3" t="s">
        <v>14006</v>
      </c>
    </row>
    <row r="1106" spans="1:56" ht="51" customHeight="1" x14ac:dyDescent="0.25">
      <c r="A1106" s="7" t="s">
        <v>58</v>
      </c>
      <c r="B1106" s="2" t="s">
        <v>14007</v>
      </c>
      <c r="C1106" s="2" t="s">
        <v>14008</v>
      </c>
      <c r="D1106" s="2" t="s">
        <v>14009</v>
      </c>
      <c r="F1106" s="3" t="s">
        <v>58</v>
      </c>
      <c r="G1106" s="3" t="s">
        <v>59</v>
      </c>
      <c r="H1106" s="3" t="s">
        <v>58</v>
      </c>
      <c r="I1106" s="3" t="s">
        <v>58</v>
      </c>
      <c r="J1106" s="3" t="s">
        <v>60</v>
      </c>
      <c r="K1106" s="2" t="s">
        <v>14010</v>
      </c>
      <c r="L1106" s="2" t="s">
        <v>14011</v>
      </c>
      <c r="M1106" s="3" t="s">
        <v>62</v>
      </c>
      <c r="N1106" s="2" t="s">
        <v>9846</v>
      </c>
      <c r="O1106" s="3" t="s">
        <v>63</v>
      </c>
      <c r="P1106" s="3" t="s">
        <v>214</v>
      </c>
      <c r="R1106" s="3" t="s">
        <v>65</v>
      </c>
      <c r="S1106" s="4">
        <v>34</v>
      </c>
      <c r="T1106" s="4">
        <v>34</v>
      </c>
      <c r="U1106" s="5" t="s">
        <v>12028</v>
      </c>
      <c r="V1106" s="5" t="s">
        <v>12028</v>
      </c>
      <c r="W1106" s="5" t="s">
        <v>3361</v>
      </c>
      <c r="X1106" s="5" t="s">
        <v>3361</v>
      </c>
      <c r="Y1106" s="4">
        <v>668</v>
      </c>
      <c r="Z1106" s="4">
        <v>640</v>
      </c>
      <c r="AA1106" s="4">
        <v>756</v>
      </c>
      <c r="AB1106" s="4">
        <v>5</v>
      </c>
      <c r="AC1106" s="4">
        <v>5</v>
      </c>
      <c r="AD1106" s="4">
        <v>19</v>
      </c>
      <c r="AE1106" s="4">
        <v>22</v>
      </c>
      <c r="AF1106" s="4">
        <v>5</v>
      </c>
      <c r="AG1106" s="4">
        <v>6</v>
      </c>
      <c r="AH1106" s="4">
        <v>5</v>
      </c>
      <c r="AI1106" s="4">
        <v>7</v>
      </c>
      <c r="AJ1106" s="4">
        <v>10</v>
      </c>
      <c r="AK1106" s="4">
        <v>10</v>
      </c>
      <c r="AL1106" s="4">
        <v>4</v>
      </c>
      <c r="AM1106" s="4">
        <v>4</v>
      </c>
      <c r="AN1106" s="4">
        <v>0</v>
      </c>
      <c r="AO1106" s="4">
        <v>0</v>
      </c>
      <c r="AP1106" s="3" t="s">
        <v>58</v>
      </c>
      <c r="AQ1106" s="3" t="s">
        <v>68</v>
      </c>
      <c r="AR1106" s="6" t="str">
        <f>HYPERLINK("http://catalog.hathitrust.org/Record/001251230","HathiTrust Record")</f>
        <v>HathiTrust Record</v>
      </c>
      <c r="AS1106" s="6" t="str">
        <f>HYPERLINK("https://creighton-primo.hosted.exlibrisgroup.com/primo-explore/search?tab=default_tab&amp;search_scope=EVERYTHING&amp;vid=01CRU&amp;lang=en_US&amp;offset=0&amp;query=any,contains,991001270579702656","Catalog Record")</f>
        <v>Catalog Record</v>
      </c>
      <c r="AT1106" s="6" t="str">
        <f>HYPERLINK("http://www.worldcat.org/oclc/211883","WorldCat Record")</f>
        <v>WorldCat Record</v>
      </c>
      <c r="AU1106" s="3" t="s">
        <v>14012</v>
      </c>
      <c r="AV1106" s="3" t="s">
        <v>14013</v>
      </c>
      <c r="AW1106" s="3" t="s">
        <v>14014</v>
      </c>
      <c r="AX1106" s="3" t="s">
        <v>14014</v>
      </c>
      <c r="AY1106" s="3" t="s">
        <v>14015</v>
      </c>
      <c r="AZ1106" s="3" t="s">
        <v>73</v>
      </c>
      <c r="BB1106" s="3" t="s">
        <v>14016</v>
      </c>
      <c r="BC1106" s="3" t="s">
        <v>14017</v>
      </c>
      <c r="BD1106" s="3" t="s">
        <v>14018</v>
      </c>
    </row>
    <row r="1107" spans="1:56" ht="51" customHeight="1" x14ac:dyDescent="0.25">
      <c r="A1107" s="7" t="s">
        <v>58</v>
      </c>
      <c r="B1107" s="2" t="s">
        <v>14019</v>
      </c>
      <c r="C1107" s="2" t="s">
        <v>14020</v>
      </c>
      <c r="D1107" s="2" t="s">
        <v>14021</v>
      </c>
      <c r="F1107" s="3" t="s">
        <v>58</v>
      </c>
      <c r="G1107" s="3" t="s">
        <v>59</v>
      </c>
      <c r="H1107" s="3" t="s">
        <v>58</v>
      </c>
      <c r="I1107" s="3" t="s">
        <v>58</v>
      </c>
      <c r="J1107" s="3" t="s">
        <v>60</v>
      </c>
      <c r="K1107" s="2" t="s">
        <v>14022</v>
      </c>
      <c r="L1107" s="2" t="s">
        <v>8228</v>
      </c>
      <c r="M1107" s="3" t="s">
        <v>996</v>
      </c>
      <c r="N1107" s="2" t="s">
        <v>1470</v>
      </c>
      <c r="O1107" s="3" t="s">
        <v>63</v>
      </c>
      <c r="P1107" s="3" t="s">
        <v>214</v>
      </c>
      <c r="R1107" s="3" t="s">
        <v>65</v>
      </c>
      <c r="S1107" s="4">
        <v>6</v>
      </c>
      <c r="T1107" s="4">
        <v>6</v>
      </c>
      <c r="U1107" s="5" t="s">
        <v>14023</v>
      </c>
      <c r="V1107" s="5" t="s">
        <v>14023</v>
      </c>
      <c r="W1107" s="5" t="s">
        <v>14024</v>
      </c>
      <c r="X1107" s="5" t="s">
        <v>14024</v>
      </c>
      <c r="Y1107" s="4">
        <v>643</v>
      </c>
      <c r="Z1107" s="4">
        <v>593</v>
      </c>
      <c r="AA1107" s="4">
        <v>628</v>
      </c>
      <c r="AB1107" s="4">
        <v>7</v>
      </c>
      <c r="AC1107" s="4">
        <v>7</v>
      </c>
      <c r="AD1107" s="4">
        <v>16</v>
      </c>
      <c r="AE1107" s="4">
        <v>16</v>
      </c>
      <c r="AF1107" s="4">
        <v>4</v>
      </c>
      <c r="AG1107" s="4">
        <v>4</v>
      </c>
      <c r="AH1107" s="4">
        <v>3</v>
      </c>
      <c r="AI1107" s="4">
        <v>3</v>
      </c>
      <c r="AJ1107" s="4">
        <v>6</v>
      </c>
      <c r="AK1107" s="4">
        <v>6</v>
      </c>
      <c r="AL1107" s="4">
        <v>5</v>
      </c>
      <c r="AM1107" s="4">
        <v>5</v>
      </c>
      <c r="AN1107" s="4">
        <v>0</v>
      </c>
      <c r="AO1107" s="4">
        <v>0</v>
      </c>
      <c r="AP1107" s="3" t="s">
        <v>58</v>
      </c>
      <c r="AQ1107" s="3" t="s">
        <v>68</v>
      </c>
      <c r="AR1107" s="6" t="str">
        <f>HYPERLINK("http://catalog.hathitrust.org/Record/001251232","HathiTrust Record")</f>
        <v>HathiTrust Record</v>
      </c>
      <c r="AS1107" s="6" t="str">
        <f>HYPERLINK("https://creighton-primo.hosted.exlibrisgroup.com/primo-explore/search?tab=default_tab&amp;search_scope=EVERYTHING&amp;vid=01CRU&amp;lang=en_US&amp;offset=0&amp;query=any,contains,991002909409702656","Catalog Record")</f>
        <v>Catalog Record</v>
      </c>
      <c r="AT1107" s="6" t="str">
        <f>HYPERLINK("http://www.worldcat.org/oclc/520949","WorldCat Record")</f>
        <v>WorldCat Record</v>
      </c>
      <c r="AU1107" s="3" t="s">
        <v>14025</v>
      </c>
      <c r="AV1107" s="3" t="s">
        <v>14026</v>
      </c>
      <c r="AW1107" s="3" t="s">
        <v>14027</v>
      </c>
      <c r="AX1107" s="3" t="s">
        <v>14027</v>
      </c>
      <c r="AY1107" s="3" t="s">
        <v>14028</v>
      </c>
      <c r="AZ1107" s="3" t="s">
        <v>73</v>
      </c>
      <c r="BB1107" s="3" t="s">
        <v>14029</v>
      </c>
      <c r="BC1107" s="3" t="s">
        <v>14030</v>
      </c>
      <c r="BD1107" s="3" t="s">
        <v>14031</v>
      </c>
    </row>
    <row r="1108" spans="1:56" ht="51" customHeight="1" x14ac:dyDescent="0.25">
      <c r="A1108" s="7" t="s">
        <v>58</v>
      </c>
      <c r="B1108" s="2" t="s">
        <v>14032</v>
      </c>
      <c r="C1108" s="2" t="s">
        <v>14033</v>
      </c>
      <c r="D1108" s="2" t="s">
        <v>14034</v>
      </c>
      <c r="F1108" s="3" t="s">
        <v>58</v>
      </c>
      <c r="G1108" s="3" t="s">
        <v>59</v>
      </c>
      <c r="H1108" s="3" t="s">
        <v>58</v>
      </c>
      <c r="I1108" s="3" t="s">
        <v>58</v>
      </c>
      <c r="J1108" s="3" t="s">
        <v>60</v>
      </c>
      <c r="L1108" s="2" t="s">
        <v>14035</v>
      </c>
      <c r="M1108" s="3" t="s">
        <v>842</v>
      </c>
      <c r="N1108" s="2" t="s">
        <v>424</v>
      </c>
      <c r="O1108" s="3" t="s">
        <v>63</v>
      </c>
      <c r="P1108" s="3" t="s">
        <v>1192</v>
      </c>
      <c r="Q1108" s="2" t="s">
        <v>14036</v>
      </c>
      <c r="R1108" s="3" t="s">
        <v>65</v>
      </c>
      <c r="S1108" s="4">
        <v>15</v>
      </c>
      <c r="T1108" s="4">
        <v>15</v>
      </c>
      <c r="U1108" s="5" t="s">
        <v>14037</v>
      </c>
      <c r="V1108" s="5" t="s">
        <v>14037</v>
      </c>
      <c r="W1108" s="5" t="s">
        <v>8127</v>
      </c>
      <c r="X1108" s="5" t="s">
        <v>8127</v>
      </c>
      <c r="Y1108" s="4">
        <v>122</v>
      </c>
      <c r="Z1108" s="4">
        <v>99</v>
      </c>
      <c r="AA1108" s="4">
        <v>131</v>
      </c>
      <c r="AB1108" s="4">
        <v>1</v>
      </c>
      <c r="AC1108" s="4">
        <v>1</v>
      </c>
      <c r="AD1108" s="4">
        <v>20</v>
      </c>
      <c r="AE1108" s="4">
        <v>20</v>
      </c>
      <c r="AF1108" s="4">
        <v>7</v>
      </c>
      <c r="AG1108" s="4">
        <v>7</v>
      </c>
      <c r="AH1108" s="4">
        <v>4</v>
      </c>
      <c r="AI1108" s="4">
        <v>4</v>
      </c>
      <c r="AJ1108" s="4">
        <v>18</v>
      </c>
      <c r="AK1108" s="4">
        <v>18</v>
      </c>
      <c r="AL1108" s="4">
        <v>0</v>
      </c>
      <c r="AM1108" s="4">
        <v>0</v>
      </c>
      <c r="AN1108" s="4">
        <v>0</v>
      </c>
      <c r="AO1108" s="4">
        <v>0</v>
      </c>
      <c r="AP1108" s="3" t="s">
        <v>58</v>
      </c>
      <c r="AQ1108" s="3" t="s">
        <v>58</v>
      </c>
      <c r="AS1108" s="6" t="str">
        <f>HYPERLINK("https://creighton-primo.hosted.exlibrisgroup.com/primo-explore/search?tab=default_tab&amp;search_scope=EVERYTHING&amp;vid=01CRU&amp;lang=en_US&amp;offset=0&amp;query=any,contains,991000062569702656","Catalog Record")</f>
        <v>Catalog Record</v>
      </c>
      <c r="AT1108" s="6" t="str">
        <f>HYPERLINK("http://www.worldcat.org/oclc/8744280","WorldCat Record")</f>
        <v>WorldCat Record</v>
      </c>
      <c r="AU1108" s="3" t="s">
        <v>14038</v>
      </c>
      <c r="AV1108" s="3" t="s">
        <v>14039</v>
      </c>
      <c r="AW1108" s="3" t="s">
        <v>14040</v>
      </c>
      <c r="AX1108" s="3" t="s">
        <v>14040</v>
      </c>
      <c r="AY1108" s="3" t="s">
        <v>14041</v>
      </c>
      <c r="AZ1108" s="3" t="s">
        <v>73</v>
      </c>
      <c r="BB1108" s="3" t="s">
        <v>14042</v>
      </c>
      <c r="BC1108" s="3" t="s">
        <v>14043</v>
      </c>
      <c r="BD1108" s="3" t="s">
        <v>14044</v>
      </c>
    </row>
    <row r="1109" spans="1:56" ht="51" customHeight="1" x14ac:dyDescent="0.25">
      <c r="A1109" s="7" t="s">
        <v>58</v>
      </c>
      <c r="B1109" s="2" t="s">
        <v>14045</v>
      </c>
      <c r="C1109" s="2" t="s">
        <v>14046</v>
      </c>
      <c r="D1109" s="2" t="s">
        <v>14047</v>
      </c>
      <c r="F1109" s="3" t="s">
        <v>58</v>
      </c>
      <c r="G1109" s="3" t="s">
        <v>59</v>
      </c>
      <c r="H1109" s="3" t="s">
        <v>58</v>
      </c>
      <c r="I1109" s="3" t="s">
        <v>58</v>
      </c>
      <c r="J1109" s="3" t="s">
        <v>60</v>
      </c>
      <c r="K1109" s="2" t="s">
        <v>14048</v>
      </c>
      <c r="L1109" s="2" t="s">
        <v>14049</v>
      </c>
      <c r="M1109" s="3" t="s">
        <v>382</v>
      </c>
      <c r="O1109" s="3" t="s">
        <v>63</v>
      </c>
      <c r="P1109" s="3" t="s">
        <v>3323</v>
      </c>
      <c r="Q1109" s="2" t="s">
        <v>13546</v>
      </c>
      <c r="R1109" s="3" t="s">
        <v>65</v>
      </c>
      <c r="S1109" s="4">
        <v>5</v>
      </c>
      <c r="T1109" s="4">
        <v>5</v>
      </c>
      <c r="U1109" s="5" t="s">
        <v>14050</v>
      </c>
      <c r="V1109" s="5" t="s">
        <v>14050</v>
      </c>
      <c r="W1109" s="5" t="s">
        <v>968</v>
      </c>
      <c r="X1109" s="5" t="s">
        <v>968</v>
      </c>
      <c r="Y1109" s="4">
        <v>48</v>
      </c>
      <c r="Z1109" s="4">
        <v>34</v>
      </c>
      <c r="AA1109" s="4">
        <v>207</v>
      </c>
      <c r="AB1109" s="4">
        <v>1</v>
      </c>
      <c r="AC1109" s="4">
        <v>3</v>
      </c>
      <c r="AD1109" s="4">
        <v>1</v>
      </c>
      <c r="AE1109" s="4">
        <v>11</v>
      </c>
      <c r="AF1109" s="4">
        <v>0</v>
      </c>
      <c r="AG1109" s="4">
        <v>3</v>
      </c>
      <c r="AH1109" s="4">
        <v>1</v>
      </c>
      <c r="AI1109" s="4">
        <v>4</v>
      </c>
      <c r="AJ1109" s="4">
        <v>1</v>
      </c>
      <c r="AK1109" s="4">
        <v>5</v>
      </c>
      <c r="AL1109" s="4">
        <v>0</v>
      </c>
      <c r="AM1109" s="4">
        <v>2</v>
      </c>
      <c r="AN1109" s="4">
        <v>0</v>
      </c>
      <c r="AO1109" s="4">
        <v>0</v>
      </c>
      <c r="AP1109" s="3" t="s">
        <v>58</v>
      </c>
      <c r="AQ1109" s="3" t="s">
        <v>58</v>
      </c>
      <c r="AS1109" s="6" t="str">
        <f>HYPERLINK("https://creighton-primo.hosted.exlibrisgroup.com/primo-explore/search?tab=default_tab&amp;search_scope=EVERYTHING&amp;vid=01CRU&amp;lang=en_US&amp;offset=0&amp;query=any,contains,991003687869702656","Catalog Record")</f>
        <v>Catalog Record</v>
      </c>
      <c r="AT1109" s="6" t="str">
        <f>HYPERLINK("http://www.worldcat.org/oclc/42414471","WorldCat Record")</f>
        <v>WorldCat Record</v>
      </c>
      <c r="AU1109" s="3" t="s">
        <v>14051</v>
      </c>
      <c r="AV1109" s="3" t="s">
        <v>14052</v>
      </c>
      <c r="AW1109" s="3" t="s">
        <v>14053</v>
      </c>
      <c r="AX1109" s="3" t="s">
        <v>14053</v>
      </c>
      <c r="AY1109" s="3" t="s">
        <v>14054</v>
      </c>
      <c r="AZ1109" s="3" t="s">
        <v>73</v>
      </c>
      <c r="BB1109" s="3" t="s">
        <v>14055</v>
      </c>
      <c r="BC1109" s="3" t="s">
        <v>14056</v>
      </c>
      <c r="BD1109" s="3" t="s">
        <v>14057</v>
      </c>
    </row>
    <row r="1110" spans="1:56" ht="51" customHeight="1" x14ac:dyDescent="0.25">
      <c r="A1110" s="7" t="s">
        <v>58</v>
      </c>
      <c r="B1110" s="2" t="s">
        <v>14058</v>
      </c>
      <c r="C1110" s="2" t="s">
        <v>14059</v>
      </c>
      <c r="D1110" s="2" t="s">
        <v>14060</v>
      </c>
      <c r="F1110" s="3" t="s">
        <v>58</v>
      </c>
      <c r="G1110" s="3" t="s">
        <v>59</v>
      </c>
      <c r="H1110" s="3" t="s">
        <v>58</v>
      </c>
      <c r="I1110" s="3" t="s">
        <v>58</v>
      </c>
      <c r="J1110" s="3" t="s">
        <v>60</v>
      </c>
      <c r="K1110" s="2" t="s">
        <v>14061</v>
      </c>
      <c r="L1110" s="2" t="s">
        <v>14062</v>
      </c>
      <c r="M1110" s="3" t="s">
        <v>183</v>
      </c>
      <c r="O1110" s="3" t="s">
        <v>63</v>
      </c>
      <c r="P1110" s="3" t="s">
        <v>14063</v>
      </c>
      <c r="R1110" s="3" t="s">
        <v>65</v>
      </c>
      <c r="S1110" s="4">
        <v>6</v>
      </c>
      <c r="T1110" s="4">
        <v>6</v>
      </c>
      <c r="U1110" s="5" t="s">
        <v>13613</v>
      </c>
      <c r="V1110" s="5" t="s">
        <v>13613</v>
      </c>
      <c r="W1110" s="5" t="s">
        <v>14024</v>
      </c>
      <c r="X1110" s="5" t="s">
        <v>14024</v>
      </c>
      <c r="Y1110" s="4">
        <v>323</v>
      </c>
      <c r="Z1110" s="4">
        <v>257</v>
      </c>
      <c r="AA1110" s="4">
        <v>264</v>
      </c>
      <c r="AB1110" s="4">
        <v>3</v>
      </c>
      <c r="AC1110" s="4">
        <v>3</v>
      </c>
      <c r="AD1110" s="4">
        <v>12</v>
      </c>
      <c r="AE1110" s="4">
        <v>12</v>
      </c>
      <c r="AF1110" s="4">
        <v>2</v>
      </c>
      <c r="AG1110" s="4">
        <v>2</v>
      </c>
      <c r="AH1110" s="4">
        <v>4</v>
      </c>
      <c r="AI1110" s="4">
        <v>4</v>
      </c>
      <c r="AJ1110" s="4">
        <v>5</v>
      </c>
      <c r="AK1110" s="4">
        <v>5</v>
      </c>
      <c r="AL1110" s="4">
        <v>2</v>
      </c>
      <c r="AM1110" s="4">
        <v>2</v>
      </c>
      <c r="AN1110" s="4">
        <v>0</v>
      </c>
      <c r="AO1110" s="4">
        <v>0</v>
      </c>
      <c r="AP1110" s="3" t="s">
        <v>58</v>
      </c>
      <c r="AQ1110" s="3" t="s">
        <v>68</v>
      </c>
      <c r="AR1110" s="6" t="str">
        <f>HYPERLINK("http://catalog.hathitrust.org/Record/000728412","HathiTrust Record")</f>
        <v>HathiTrust Record</v>
      </c>
      <c r="AS1110" s="6" t="str">
        <f>HYPERLINK("https://creighton-primo.hosted.exlibrisgroup.com/primo-explore/search?tab=default_tab&amp;search_scope=EVERYTHING&amp;vid=01CRU&amp;lang=en_US&amp;offset=0&amp;query=any,contains,991004270979702656","Catalog Record")</f>
        <v>Catalog Record</v>
      </c>
      <c r="AT1110" s="6" t="str">
        <f>HYPERLINK("http://www.worldcat.org/oclc/2875916","WorldCat Record")</f>
        <v>WorldCat Record</v>
      </c>
      <c r="AU1110" s="3" t="s">
        <v>14064</v>
      </c>
      <c r="AV1110" s="3" t="s">
        <v>14065</v>
      </c>
      <c r="AW1110" s="3" t="s">
        <v>14066</v>
      </c>
      <c r="AX1110" s="3" t="s">
        <v>14066</v>
      </c>
      <c r="AY1110" s="3" t="s">
        <v>14067</v>
      </c>
      <c r="AZ1110" s="3" t="s">
        <v>73</v>
      </c>
      <c r="BB1110" s="3" t="s">
        <v>14068</v>
      </c>
      <c r="BC1110" s="3" t="s">
        <v>14069</v>
      </c>
      <c r="BD1110" s="3" t="s">
        <v>14070</v>
      </c>
    </row>
    <row r="1111" spans="1:56" ht="51" customHeight="1" x14ac:dyDescent="0.25">
      <c r="A1111" s="7" t="s">
        <v>58</v>
      </c>
      <c r="B1111" s="2" t="s">
        <v>14071</v>
      </c>
      <c r="C1111" s="2" t="s">
        <v>14072</v>
      </c>
      <c r="D1111" s="2" t="s">
        <v>14073</v>
      </c>
      <c r="F1111" s="3" t="s">
        <v>58</v>
      </c>
      <c r="G1111" s="3" t="s">
        <v>59</v>
      </c>
      <c r="H1111" s="3" t="s">
        <v>58</v>
      </c>
      <c r="I1111" s="3" t="s">
        <v>58</v>
      </c>
      <c r="J1111" s="3" t="s">
        <v>60</v>
      </c>
      <c r="K1111" s="2" t="s">
        <v>14074</v>
      </c>
      <c r="L1111" s="2" t="s">
        <v>14075</v>
      </c>
      <c r="M1111" s="3" t="s">
        <v>4851</v>
      </c>
      <c r="N1111" s="2" t="s">
        <v>1470</v>
      </c>
      <c r="O1111" s="3" t="s">
        <v>63</v>
      </c>
      <c r="P1111" s="3" t="s">
        <v>3323</v>
      </c>
      <c r="R1111" s="3" t="s">
        <v>65</v>
      </c>
      <c r="S1111" s="4">
        <v>14</v>
      </c>
      <c r="T1111" s="4">
        <v>14</v>
      </c>
      <c r="U1111" s="5" t="s">
        <v>14076</v>
      </c>
      <c r="V1111" s="5" t="s">
        <v>14076</v>
      </c>
      <c r="W1111" s="5" t="s">
        <v>14077</v>
      </c>
      <c r="X1111" s="5" t="s">
        <v>14077</v>
      </c>
      <c r="Y1111" s="4">
        <v>53</v>
      </c>
      <c r="Z1111" s="4">
        <v>33</v>
      </c>
      <c r="AA1111" s="4">
        <v>35</v>
      </c>
      <c r="AB1111" s="4">
        <v>1</v>
      </c>
      <c r="AC1111" s="4">
        <v>1</v>
      </c>
      <c r="AD1111" s="4">
        <v>0</v>
      </c>
      <c r="AE1111" s="4">
        <v>0</v>
      </c>
      <c r="AF1111" s="4">
        <v>0</v>
      </c>
      <c r="AG1111" s="4">
        <v>0</v>
      </c>
      <c r="AH1111" s="4">
        <v>0</v>
      </c>
      <c r="AI1111" s="4">
        <v>0</v>
      </c>
      <c r="AJ1111" s="4">
        <v>0</v>
      </c>
      <c r="AK1111" s="4">
        <v>0</v>
      </c>
      <c r="AL1111" s="4">
        <v>0</v>
      </c>
      <c r="AM1111" s="4">
        <v>0</v>
      </c>
      <c r="AN1111" s="4">
        <v>0</v>
      </c>
      <c r="AO1111" s="4">
        <v>0</v>
      </c>
      <c r="AP1111" s="3" t="s">
        <v>58</v>
      </c>
      <c r="AQ1111" s="3" t="s">
        <v>68</v>
      </c>
      <c r="AR1111" s="6" t="str">
        <f>HYPERLINK("http://catalog.hathitrust.org/Record/001251301","HathiTrust Record")</f>
        <v>HathiTrust Record</v>
      </c>
      <c r="AS1111" s="6" t="str">
        <f>HYPERLINK("https://creighton-primo.hosted.exlibrisgroup.com/primo-explore/search?tab=default_tab&amp;search_scope=EVERYTHING&amp;vid=01CRU&amp;lang=en_US&amp;offset=0&amp;query=any,contains,991004397009702656","Catalog Record")</f>
        <v>Catalog Record</v>
      </c>
      <c r="AT1111" s="6" t="str">
        <f>HYPERLINK("http://www.worldcat.org/oclc/3283470","WorldCat Record")</f>
        <v>WorldCat Record</v>
      </c>
      <c r="AU1111" s="3" t="s">
        <v>14078</v>
      </c>
      <c r="AV1111" s="3" t="s">
        <v>14079</v>
      </c>
      <c r="AW1111" s="3" t="s">
        <v>14080</v>
      </c>
      <c r="AX1111" s="3" t="s">
        <v>14080</v>
      </c>
      <c r="AY1111" s="3" t="s">
        <v>14081</v>
      </c>
      <c r="AZ1111" s="3" t="s">
        <v>73</v>
      </c>
      <c r="BC1111" s="3" t="s">
        <v>14082</v>
      </c>
      <c r="BD1111" s="3" t="s">
        <v>14083</v>
      </c>
    </row>
    <row r="1112" spans="1:56" ht="51" customHeight="1" x14ac:dyDescent="0.25">
      <c r="A1112" s="7" t="s">
        <v>58</v>
      </c>
      <c r="B1112" s="2" t="s">
        <v>14084</v>
      </c>
      <c r="C1112" s="2" t="s">
        <v>14085</v>
      </c>
      <c r="D1112" s="2" t="s">
        <v>14086</v>
      </c>
      <c r="E1112" s="3" t="s">
        <v>223</v>
      </c>
      <c r="F1112" s="3" t="s">
        <v>68</v>
      </c>
      <c r="G1112" s="3" t="s">
        <v>59</v>
      </c>
      <c r="H1112" s="3" t="s">
        <v>58</v>
      </c>
      <c r="I1112" s="3" t="s">
        <v>58</v>
      </c>
      <c r="J1112" s="3" t="s">
        <v>60</v>
      </c>
      <c r="K1112" s="2" t="s">
        <v>14087</v>
      </c>
      <c r="L1112" s="2" t="s">
        <v>14088</v>
      </c>
      <c r="M1112" s="3" t="s">
        <v>996</v>
      </c>
      <c r="N1112" s="2" t="s">
        <v>14089</v>
      </c>
      <c r="O1112" s="3" t="s">
        <v>63</v>
      </c>
      <c r="P1112" s="3" t="s">
        <v>214</v>
      </c>
      <c r="R1112" s="3" t="s">
        <v>65</v>
      </c>
      <c r="S1112" s="4">
        <v>4</v>
      </c>
      <c r="T1112" s="4">
        <v>58</v>
      </c>
      <c r="U1112" s="5" t="s">
        <v>14090</v>
      </c>
      <c r="V1112" s="5" t="s">
        <v>14091</v>
      </c>
      <c r="W1112" s="5" t="s">
        <v>11927</v>
      </c>
      <c r="X1112" s="5" t="s">
        <v>11927</v>
      </c>
      <c r="Y1112" s="4">
        <v>139</v>
      </c>
      <c r="Z1112" s="4">
        <v>119</v>
      </c>
      <c r="AA1112" s="4">
        <v>123</v>
      </c>
      <c r="AB1112" s="4">
        <v>2</v>
      </c>
      <c r="AC1112" s="4">
        <v>2</v>
      </c>
      <c r="AD1112" s="4">
        <v>3</v>
      </c>
      <c r="AE1112" s="4">
        <v>3</v>
      </c>
      <c r="AF1112" s="4">
        <v>0</v>
      </c>
      <c r="AG1112" s="4">
        <v>0</v>
      </c>
      <c r="AH1112" s="4">
        <v>2</v>
      </c>
      <c r="AI1112" s="4">
        <v>2</v>
      </c>
      <c r="AJ1112" s="4">
        <v>2</v>
      </c>
      <c r="AK1112" s="4">
        <v>2</v>
      </c>
      <c r="AL1112" s="4">
        <v>1</v>
      </c>
      <c r="AM1112" s="4">
        <v>1</v>
      </c>
      <c r="AN1112" s="4">
        <v>0</v>
      </c>
      <c r="AO1112" s="4">
        <v>0</v>
      </c>
      <c r="AP1112" s="3" t="s">
        <v>58</v>
      </c>
      <c r="AQ1112" s="3" t="s">
        <v>68</v>
      </c>
      <c r="AR1112" s="6" t="str">
        <f>HYPERLINK("http://catalog.hathitrust.org/Record/010085655","HathiTrust Record")</f>
        <v>HathiTrust Record</v>
      </c>
      <c r="AS1112" s="6" t="str">
        <f>HYPERLINK("https://creighton-primo.hosted.exlibrisgroup.com/primo-explore/search?tab=default_tab&amp;search_scope=EVERYTHING&amp;vid=01CRU&amp;lang=en_US&amp;offset=0&amp;query=any,contains,991002800769702656","Catalog Record")</f>
        <v>Catalog Record</v>
      </c>
      <c r="AT1112" s="6" t="str">
        <f>HYPERLINK("http://www.worldcat.org/oclc/447217","WorldCat Record")</f>
        <v>WorldCat Record</v>
      </c>
      <c r="AU1112" s="3" t="s">
        <v>14092</v>
      </c>
      <c r="AV1112" s="3" t="s">
        <v>14093</v>
      </c>
      <c r="AW1112" s="3" t="s">
        <v>14094</v>
      </c>
      <c r="AX1112" s="3" t="s">
        <v>14094</v>
      </c>
      <c r="AY1112" s="3" t="s">
        <v>14095</v>
      </c>
      <c r="AZ1112" s="3" t="s">
        <v>73</v>
      </c>
      <c r="BB1112" s="3" t="s">
        <v>14096</v>
      </c>
      <c r="BC1112" s="3" t="s">
        <v>14097</v>
      </c>
      <c r="BD1112" s="3" t="s">
        <v>14098</v>
      </c>
    </row>
    <row r="1113" spans="1:56" ht="51" customHeight="1" x14ac:dyDescent="0.25">
      <c r="A1113" s="7" t="s">
        <v>58</v>
      </c>
      <c r="B1113" s="2" t="s">
        <v>14084</v>
      </c>
      <c r="C1113" s="2" t="s">
        <v>14085</v>
      </c>
      <c r="D1113" s="2" t="s">
        <v>14086</v>
      </c>
      <c r="E1113" s="3" t="s">
        <v>297</v>
      </c>
      <c r="F1113" s="3" t="s">
        <v>68</v>
      </c>
      <c r="G1113" s="3" t="s">
        <v>59</v>
      </c>
      <c r="H1113" s="3" t="s">
        <v>58</v>
      </c>
      <c r="I1113" s="3" t="s">
        <v>58</v>
      </c>
      <c r="J1113" s="3" t="s">
        <v>60</v>
      </c>
      <c r="K1113" s="2" t="s">
        <v>14087</v>
      </c>
      <c r="L1113" s="2" t="s">
        <v>14088</v>
      </c>
      <c r="M1113" s="3" t="s">
        <v>996</v>
      </c>
      <c r="N1113" s="2" t="s">
        <v>14089</v>
      </c>
      <c r="O1113" s="3" t="s">
        <v>63</v>
      </c>
      <c r="P1113" s="3" t="s">
        <v>214</v>
      </c>
      <c r="R1113" s="3" t="s">
        <v>65</v>
      </c>
      <c r="S1113" s="4">
        <v>25</v>
      </c>
      <c r="T1113" s="4">
        <v>58</v>
      </c>
      <c r="U1113" s="5" t="s">
        <v>14091</v>
      </c>
      <c r="V1113" s="5" t="s">
        <v>14091</v>
      </c>
      <c r="W1113" s="5" t="s">
        <v>11927</v>
      </c>
      <c r="X1113" s="5" t="s">
        <v>11927</v>
      </c>
      <c r="Y1113" s="4">
        <v>139</v>
      </c>
      <c r="Z1113" s="4">
        <v>119</v>
      </c>
      <c r="AA1113" s="4">
        <v>123</v>
      </c>
      <c r="AB1113" s="4">
        <v>2</v>
      </c>
      <c r="AC1113" s="4">
        <v>2</v>
      </c>
      <c r="AD1113" s="4">
        <v>3</v>
      </c>
      <c r="AE1113" s="4">
        <v>3</v>
      </c>
      <c r="AF1113" s="4">
        <v>0</v>
      </c>
      <c r="AG1113" s="4">
        <v>0</v>
      </c>
      <c r="AH1113" s="4">
        <v>2</v>
      </c>
      <c r="AI1113" s="4">
        <v>2</v>
      </c>
      <c r="AJ1113" s="4">
        <v>2</v>
      </c>
      <c r="AK1113" s="4">
        <v>2</v>
      </c>
      <c r="AL1113" s="4">
        <v>1</v>
      </c>
      <c r="AM1113" s="4">
        <v>1</v>
      </c>
      <c r="AN1113" s="4">
        <v>0</v>
      </c>
      <c r="AO1113" s="4">
        <v>0</v>
      </c>
      <c r="AP1113" s="3" t="s">
        <v>58</v>
      </c>
      <c r="AQ1113" s="3" t="s">
        <v>68</v>
      </c>
      <c r="AR1113" s="6" t="str">
        <f>HYPERLINK("http://catalog.hathitrust.org/Record/010085655","HathiTrust Record")</f>
        <v>HathiTrust Record</v>
      </c>
      <c r="AS1113" s="6" t="str">
        <f>HYPERLINK("https://creighton-primo.hosted.exlibrisgroup.com/primo-explore/search?tab=default_tab&amp;search_scope=EVERYTHING&amp;vid=01CRU&amp;lang=en_US&amp;offset=0&amp;query=any,contains,991002800769702656","Catalog Record")</f>
        <v>Catalog Record</v>
      </c>
      <c r="AT1113" s="6" t="str">
        <f>HYPERLINK("http://www.worldcat.org/oclc/447217","WorldCat Record")</f>
        <v>WorldCat Record</v>
      </c>
      <c r="AU1113" s="3" t="s">
        <v>14092</v>
      </c>
      <c r="AV1113" s="3" t="s">
        <v>14093</v>
      </c>
      <c r="AW1113" s="3" t="s">
        <v>14094</v>
      </c>
      <c r="AX1113" s="3" t="s">
        <v>14094</v>
      </c>
      <c r="AY1113" s="3" t="s">
        <v>14095</v>
      </c>
      <c r="AZ1113" s="3" t="s">
        <v>73</v>
      </c>
      <c r="BB1113" s="3" t="s">
        <v>14096</v>
      </c>
      <c r="BC1113" s="3" t="s">
        <v>14099</v>
      </c>
      <c r="BD1113" s="3" t="s">
        <v>14100</v>
      </c>
    </row>
    <row r="1114" spans="1:56" ht="51" customHeight="1" x14ac:dyDescent="0.25">
      <c r="A1114" s="7" t="s">
        <v>58</v>
      </c>
      <c r="B1114" s="2" t="s">
        <v>14084</v>
      </c>
      <c r="C1114" s="2" t="s">
        <v>14085</v>
      </c>
      <c r="D1114" s="2" t="s">
        <v>14086</v>
      </c>
      <c r="E1114" s="3" t="s">
        <v>210</v>
      </c>
      <c r="F1114" s="3" t="s">
        <v>68</v>
      </c>
      <c r="G1114" s="3" t="s">
        <v>59</v>
      </c>
      <c r="H1114" s="3" t="s">
        <v>58</v>
      </c>
      <c r="I1114" s="3" t="s">
        <v>58</v>
      </c>
      <c r="J1114" s="3" t="s">
        <v>60</v>
      </c>
      <c r="K1114" s="2" t="s">
        <v>14087</v>
      </c>
      <c r="L1114" s="2" t="s">
        <v>14088</v>
      </c>
      <c r="M1114" s="3" t="s">
        <v>996</v>
      </c>
      <c r="N1114" s="2" t="s">
        <v>14089</v>
      </c>
      <c r="O1114" s="3" t="s">
        <v>63</v>
      </c>
      <c r="P1114" s="3" t="s">
        <v>214</v>
      </c>
      <c r="R1114" s="3" t="s">
        <v>65</v>
      </c>
      <c r="S1114" s="4">
        <v>4</v>
      </c>
      <c r="T1114" s="4">
        <v>58</v>
      </c>
      <c r="U1114" s="5" t="s">
        <v>14090</v>
      </c>
      <c r="V1114" s="5" t="s">
        <v>14091</v>
      </c>
      <c r="W1114" s="5" t="s">
        <v>11927</v>
      </c>
      <c r="X1114" s="5" t="s">
        <v>11927</v>
      </c>
      <c r="Y1114" s="4">
        <v>139</v>
      </c>
      <c r="Z1114" s="4">
        <v>119</v>
      </c>
      <c r="AA1114" s="4">
        <v>123</v>
      </c>
      <c r="AB1114" s="4">
        <v>2</v>
      </c>
      <c r="AC1114" s="4">
        <v>2</v>
      </c>
      <c r="AD1114" s="4">
        <v>3</v>
      </c>
      <c r="AE1114" s="4">
        <v>3</v>
      </c>
      <c r="AF1114" s="4">
        <v>0</v>
      </c>
      <c r="AG1114" s="4">
        <v>0</v>
      </c>
      <c r="AH1114" s="4">
        <v>2</v>
      </c>
      <c r="AI1114" s="4">
        <v>2</v>
      </c>
      <c r="AJ1114" s="4">
        <v>2</v>
      </c>
      <c r="AK1114" s="4">
        <v>2</v>
      </c>
      <c r="AL1114" s="4">
        <v>1</v>
      </c>
      <c r="AM1114" s="4">
        <v>1</v>
      </c>
      <c r="AN1114" s="4">
        <v>0</v>
      </c>
      <c r="AO1114" s="4">
        <v>0</v>
      </c>
      <c r="AP1114" s="3" t="s">
        <v>58</v>
      </c>
      <c r="AQ1114" s="3" t="s">
        <v>68</v>
      </c>
      <c r="AR1114" s="6" t="str">
        <f>HYPERLINK("http://catalog.hathitrust.org/Record/010085655","HathiTrust Record")</f>
        <v>HathiTrust Record</v>
      </c>
      <c r="AS1114" s="6" t="str">
        <f>HYPERLINK("https://creighton-primo.hosted.exlibrisgroup.com/primo-explore/search?tab=default_tab&amp;search_scope=EVERYTHING&amp;vid=01CRU&amp;lang=en_US&amp;offset=0&amp;query=any,contains,991002800769702656","Catalog Record")</f>
        <v>Catalog Record</v>
      </c>
      <c r="AT1114" s="6" t="str">
        <f>HYPERLINK("http://www.worldcat.org/oclc/447217","WorldCat Record")</f>
        <v>WorldCat Record</v>
      </c>
      <c r="AU1114" s="3" t="s">
        <v>14092</v>
      </c>
      <c r="AV1114" s="3" t="s">
        <v>14093</v>
      </c>
      <c r="AW1114" s="3" t="s">
        <v>14094</v>
      </c>
      <c r="AX1114" s="3" t="s">
        <v>14094</v>
      </c>
      <c r="AY1114" s="3" t="s">
        <v>14095</v>
      </c>
      <c r="AZ1114" s="3" t="s">
        <v>73</v>
      </c>
      <c r="BB1114" s="3" t="s">
        <v>14096</v>
      </c>
      <c r="BC1114" s="3" t="s">
        <v>14101</v>
      </c>
      <c r="BD1114" s="3" t="s">
        <v>14102</v>
      </c>
    </row>
    <row r="1115" spans="1:56" ht="51" customHeight="1" x14ac:dyDescent="0.25">
      <c r="A1115" s="7" t="s">
        <v>58</v>
      </c>
      <c r="B1115" s="2" t="s">
        <v>14084</v>
      </c>
      <c r="C1115" s="2" t="s">
        <v>14085</v>
      </c>
      <c r="D1115" s="2" t="s">
        <v>14086</v>
      </c>
      <c r="E1115" s="3" t="s">
        <v>279</v>
      </c>
      <c r="F1115" s="3" t="s">
        <v>68</v>
      </c>
      <c r="G1115" s="3" t="s">
        <v>59</v>
      </c>
      <c r="H1115" s="3" t="s">
        <v>58</v>
      </c>
      <c r="I1115" s="3" t="s">
        <v>58</v>
      </c>
      <c r="J1115" s="3" t="s">
        <v>60</v>
      </c>
      <c r="K1115" s="2" t="s">
        <v>14087</v>
      </c>
      <c r="L1115" s="2" t="s">
        <v>14088</v>
      </c>
      <c r="M1115" s="3" t="s">
        <v>996</v>
      </c>
      <c r="N1115" s="2" t="s">
        <v>14089</v>
      </c>
      <c r="O1115" s="3" t="s">
        <v>63</v>
      </c>
      <c r="P1115" s="3" t="s">
        <v>214</v>
      </c>
      <c r="R1115" s="3" t="s">
        <v>65</v>
      </c>
      <c r="S1115" s="4">
        <v>25</v>
      </c>
      <c r="T1115" s="4">
        <v>58</v>
      </c>
      <c r="U1115" s="5" t="s">
        <v>14091</v>
      </c>
      <c r="V1115" s="5" t="s">
        <v>14091</v>
      </c>
      <c r="W1115" s="5" t="s">
        <v>11927</v>
      </c>
      <c r="X1115" s="5" t="s">
        <v>11927</v>
      </c>
      <c r="Y1115" s="4">
        <v>139</v>
      </c>
      <c r="Z1115" s="4">
        <v>119</v>
      </c>
      <c r="AA1115" s="4">
        <v>123</v>
      </c>
      <c r="AB1115" s="4">
        <v>2</v>
      </c>
      <c r="AC1115" s="4">
        <v>2</v>
      </c>
      <c r="AD1115" s="4">
        <v>3</v>
      </c>
      <c r="AE1115" s="4">
        <v>3</v>
      </c>
      <c r="AF1115" s="4">
        <v>0</v>
      </c>
      <c r="AG1115" s="4">
        <v>0</v>
      </c>
      <c r="AH1115" s="4">
        <v>2</v>
      </c>
      <c r="AI1115" s="4">
        <v>2</v>
      </c>
      <c r="AJ1115" s="4">
        <v>2</v>
      </c>
      <c r="AK1115" s="4">
        <v>2</v>
      </c>
      <c r="AL1115" s="4">
        <v>1</v>
      </c>
      <c r="AM1115" s="4">
        <v>1</v>
      </c>
      <c r="AN1115" s="4">
        <v>0</v>
      </c>
      <c r="AO1115" s="4">
        <v>0</v>
      </c>
      <c r="AP1115" s="3" t="s">
        <v>58</v>
      </c>
      <c r="AQ1115" s="3" t="s">
        <v>68</v>
      </c>
      <c r="AR1115" s="6" t="str">
        <f>HYPERLINK("http://catalog.hathitrust.org/Record/010085655","HathiTrust Record")</f>
        <v>HathiTrust Record</v>
      </c>
      <c r="AS1115" s="6" t="str">
        <f>HYPERLINK("https://creighton-primo.hosted.exlibrisgroup.com/primo-explore/search?tab=default_tab&amp;search_scope=EVERYTHING&amp;vid=01CRU&amp;lang=en_US&amp;offset=0&amp;query=any,contains,991002800769702656","Catalog Record")</f>
        <v>Catalog Record</v>
      </c>
      <c r="AT1115" s="6" t="str">
        <f>HYPERLINK("http://www.worldcat.org/oclc/447217","WorldCat Record")</f>
        <v>WorldCat Record</v>
      </c>
      <c r="AU1115" s="3" t="s">
        <v>14092</v>
      </c>
      <c r="AV1115" s="3" t="s">
        <v>14093</v>
      </c>
      <c r="AW1115" s="3" t="s">
        <v>14094</v>
      </c>
      <c r="AX1115" s="3" t="s">
        <v>14094</v>
      </c>
      <c r="AY1115" s="3" t="s">
        <v>14095</v>
      </c>
      <c r="AZ1115" s="3" t="s">
        <v>73</v>
      </c>
      <c r="BB1115" s="3" t="s">
        <v>14096</v>
      </c>
      <c r="BC1115" s="3" t="s">
        <v>14103</v>
      </c>
      <c r="BD1115" s="3" t="s">
        <v>14104</v>
      </c>
    </row>
    <row r="1116" spans="1:56" ht="51" customHeight="1" x14ac:dyDescent="0.25">
      <c r="A1116" s="7" t="s">
        <v>58</v>
      </c>
      <c r="B1116" s="2" t="s">
        <v>14105</v>
      </c>
      <c r="C1116" s="2" t="s">
        <v>14106</v>
      </c>
      <c r="D1116" s="2" t="s">
        <v>14107</v>
      </c>
      <c r="F1116" s="3" t="s">
        <v>58</v>
      </c>
      <c r="G1116" s="3" t="s">
        <v>59</v>
      </c>
      <c r="H1116" s="3" t="s">
        <v>58</v>
      </c>
      <c r="I1116" s="3" t="s">
        <v>58</v>
      </c>
      <c r="J1116" s="3" t="s">
        <v>60</v>
      </c>
      <c r="K1116" s="2" t="s">
        <v>14108</v>
      </c>
      <c r="L1116" s="2" t="s">
        <v>14109</v>
      </c>
      <c r="M1116" s="3" t="s">
        <v>4023</v>
      </c>
      <c r="N1116" s="2" t="s">
        <v>2311</v>
      </c>
      <c r="O1116" s="3" t="s">
        <v>63</v>
      </c>
      <c r="P1116" s="3" t="s">
        <v>584</v>
      </c>
      <c r="R1116" s="3" t="s">
        <v>65</v>
      </c>
      <c r="S1116" s="4">
        <v>3</v>
      </c>
      <c r="T1116" s="4">
        <v>3</v>
      </c>
      <c r="U1116" s="5" t="s">
        <v>14110</v>
      </c>
      <c r="V1116" s="5" t="s">
        <v>14110</v>
      </c>
      <c r="W1116" s="5" t="s">
        <v>14111</v>
      </c>
      <c r="X1116" s="5" t="s">
        <v>14111</v>
      </c>
      <c r="Y1116" s="4">
        <v>274</v>
      </c>
      <c r="Z1116" s="4">
        <v>236</v>
      </c>
      <c r="AA1116" s="4">
        <v>298</v>
      </c>
      <c r="AB1116" s="4">
        <v>2</v>
      </c>
      <c r="AC1116" s="4">
        <v>2</v>
      </c>
      <c r="AD1116" s="4">
        <v>4</v>
      </c>
      <c r="AE1116" s="4">
        <v>6</v>
      </c>
      <c r="AF1116" s="4">
        <v>2</v>
      </c>
      <c r="AG1116" s="4">
        <v>3</v>
      </c>
      <c r="AH1116" s="4">
        <v>0</v>
      </c>
      <c r="AI1116" s="4">
        <v>1</v>
      </c>
      <c r="AJ1116" s="4">
        <v>1</v>
      </c>
      <c r="AK1116" s="4">
        <v>3</v>
      </c>
      <c r="AL1116" s="4">
        <v>1</v>
      </c>
      <c r="AM1116" s="4">
        <v>1</v>
      </c>
      <c r="AN1116" s="4">
        <v>0</v>
      </c>
      <c r="AO1116" s="4">
        <v>0</v>
      </c>
      <c r="AP1116" s="3" t="s">
        <v>58</v>
      </c>
      <c r="AQ1116" s="3" t="s">
        <v>58</v>
      </c>
      <c r="AS1116" s="6" t="str">
        <f>HYPERLINK("https://creighton-primo.hosted.exlibrisgroup.com/primo-explore/search?tab=default_tab&amp;search_scope=EVERYTHING&amp;vid=01CRU&amp;lang=en_US&amp;offset=0&amp;query=any,contains,991004458879702656","Catalog Record")</f>
        <v>Catalog Record</v>
      </c>
      <c r="AT1116" s="6" t="str">
        <f>HYPERLINK("http://www.worldcat.org/oclc/57519526","WorldCat Record")</f>
        <v>WorldCat Record</v>
      </c>
      <c r="AU1116" s="3" t="s">
        <v>14112</v>
      </c>
      <c r="AV1116" s="3" t="s">
        <v>14113</v>
      </c>
      <c r="AW1116" s="3" t="s">
        <v>14114</v>
      </c>
      <c r="AX1116" s="3" t="s">
        <v>14114</v>
      </c>
      <c r="AY1116" s="3" t="s">
        <v>14115</v>
      </c>
      <c r="AZ1116" s="3" t="s">
        <v>73</v>
      </c>
      <c r="BB1116" s="3" t="s">
        <v>14116</v>
      </c>
      <c r="BC1116" s="3" t="s">
        <v>14117</v>
      </c>
      <c r="BD1116" s="3" t="s">
        <v>14118</v>
      </c>
    </row>
    <row r="1117" spans="1:56" ht="51" customHeight="1" x14ac:dyDescent="0.25">
      <c r="A1117" s="7" t="s">
        <v>58</v>
      </c>
      <c r="B1117" s="2" t="s">
        <v>14119</v>
      </c>
      <c r="C1117" s="2" t="s">
        <v>14120</v>
      </c>
      <c r="D1117" s="2" t="s">
        <v>14121</v>
      </c>
      <c r="F1117" s="3" t="s">
        <v>58</v>
      </c>
      <c r="G1117" s="3" t="s">
        <v>59</v>
      </c>
      <c r="H1117" s="3" t="s">
        <v>58</v>
      </c>
      <c r="I1117" s="3" t="s">
        <v>58</v>
      </c>
      <c r="J1117" s="3" t="s">
        <v>60</v>
      </c>
      <c r="K1117" s="2" t="s">
        <v>14122</v>
      </c>
      <c r="L1117" s="2" t="s">
        <v>14123</v>
      </c>
      <c r="M1117" s="3" t="s">
        <v>2132</v>
      </c>
      <c r="O1117" s="3" t="s">
        <v>63</v>
      </c>
      <c r="P1117" s="3" t="s">
        <v>584</v>
      </c>
      <c r="R1117" s="3" t="s">
        <v>65</v>
      </c>
      <c r="S1117" s="4">
        <v>26</v>
      </c>
      <c r="T1117" s="4">
        <v>26</v>
      </c>
      <c r="U1117" s="5" t="s">
        <v>3003</v>
      </c>
      <c r="V1117" s="5" t="s">
        <v>3003</v>
      </c>
      <c r="W1117" s="5" t="s">
        <v>11927</v>
      </c>
      <c r="X1117" s="5" t="s">
        <v>11927</v>
      </c>
      <c r="Y1117" s="4">
        <v>247</v>
      </c>
      <c r="Z1117" s="4">
        <v>180</v>
      </c>
      <c r="AA1117" s="4">
        <v>184</v>
      </c>
      <c r="AB1117" s="4">
        <v>1</v>
      </c>
      <c r="AC1117" s="4">
        <v>1</v>
      </c>
      <c r="AD1117" s="4">
        <v>4</v>
      </c>
      <c r="AE1117" s="4">
        <v>4</v>
      </c>
      <c r="AF1117" s="4">
        <v>1</v>
      </c>
      <c r="AG1117" s="4">
        <v>1</v>
      </c>
      <c r="AH1117" s="4">
        <v>2</v>
      </c>
      <c r="AI1117" s="4">
        <v>2</v>
      </c>
      <c r="AJ1117" s="4">
        <v>3</v>
      </c>
      <c r="AK1117" s="4">
        <v>3</v>
      </c>
      <c r="AL1117" s="4">
        <v>0</v>
      </c>
      <c r="AM1117" s="4">
        <v>0</v>
      </c>
      <c r="AN1117" s="4">
        <v>0</v>
      </c>
      <c r="AO1117" s="4">
        <v>0</v>
      </c>
      <c r="AP1117" s="3" t="s">
        <v>58</v>
      </c>
      <c r="AQ1117" s="3" t="s">
        <v>68</v>
      </c>
      <c r="AR1117" s="6" t="str">
        <f>HYPERLINK("http://catalog.hathitrust.org/Record/001251356","HathiTrust Record")</f>
        <v>HathiTrust Record</v>
      </c>
      <c r="AS1117" s="6" t="str">
        <f>HYPERLINK("https://creighton-primo.hosted.exlibrisgroup.com/primo-explore/search?tab=default_tab&amp;search_scope=EVERYTHING&amp;vid=01CRU&amp;lang=en_US&amp;offset=0&amp;query=any,contains,991005355269702656","Catalog Record")</f>
        <v>Catalog Record</v>
      </c>
      <c r="AT1117" s="6" t="str">
        <f>HYPERLINK("http://www.worldcat.org/oclc/411702","WorldCat Record")</f>
        <v>WorldCat Record</v>
      </c>
      <c r="AU1117" s="3" t="s">
        <v>14124</v>
      </c>
      <c r="AV1117" s="3" t="s">
        <v>14125</v>
      </c>
      <c r="AW1117" s="3" t="s">
        <v>14126</v>
      </c>
      <c r="AX1117" s="3" t="s">
        <v>14126</v>
      </c>
      <c r="AY1117" s="3" t="s">
        <v>14127</v>
      </c>
      <c r="AZ1117" s="3" t="s">
        <v>73</v>
      </c>
      <c r="BC1117" s="3" t="s">
        <v>14128</v>
      </c>
      <c r="BD1117" s="3" t="s">
        <v>14129</v>
      </c>
    </row>
    <row r="1118" spans="1:56" ht="51" customHeight="1" x14ac:dyDescent="0.25">
      <c r="A1118" s="7" t="s">
        <v>58</v>
      </c>
      <c r="B1118" s="2" t="s">
        <v>14130</v>
      </c>
      <c r="C1118" s="2" t="s">
        <v>14131</v>
      </c>
      <c r="D1118" s="2" t="s">
        <v>14132</v>
      </c>
      <c r="F1118" s="3" t="s">
        <v>58</v>
      </c>
      <c r="G1118" s="3" t="s">
        <v>59</v>
      </c>
      <c r="H1118" s="3" t="s">
        <v>58</v>
      </c>
      <c r="I1118" s="3" t="s">
        <v>58</v>
      </c>
      <c r="J1118" s="3" t="s">
        <v>60</v>
      </c>
      <c r="K1118" s="2" t="s">
        <v>14133</v>
      </c>
      <c r="L1118" s="2" t="s">
        <v>14134</v>
      </c>
      <c r="M1118" s="3" t="s">
        <v>261</v>
      </c>
      <c r="O1118" s="3" t="s">
        <v>63</v>
      </c>
      <c r="P1118" s="3" t="s">
        <v>214</v>
      </c>
      <c r="R1118" s="3" t="s">
        <v>65</v>
      </c>
      <c r="S1118" s="4">
        <v>1</v>
      </c>
      <c r="T1118" s="4">
        <v>1</v>
      </c>
      <c r="U1118" s="5" t="s">
        <v>14135</v>
      </c>
      <c r="V1118" s="5" t="s">
        <v>14135</v>
      </c>
      <c r="W1118" s="5" t="s">
        <v>11927</v>
      </c>
      <c r="X1118" s="5" t="s">
        <v>11927</v>
      </c>
      <c r="Y1118" s="4">
        <v>408</v>
      </c>
      <c r="Z1118" s="4">
        <v>380</v>
      </c>
      <c r="AA1118" s="4">
        <v>449</v>
      </c>
      <c r="AB1118" s="4">
        <v>2</v>
      </c>
      <c r="AC1118" s="4">
        <v>4</v>
      </c>
      <c r="AD1118" s="4">
        <v>18</v>
      </c>
      <c r="AE1118" s="4">
        <v>24</v>
      </c>
      <c r="AF1118" s="4">
        <v>9</v>
      </c>
      <c r="AG1118" s="4">
        <v>11</v>
      </c>
      <c r="AH1118" s="4">
        <v>5</v>
      </c>
      <c r="AI1118" s="4">
        <v>5</v>
      </c>
      <c r="AJ1118" s="4">
        <v>10</v>
      </c>
      <c r="AK1118" s="4">
        <v>13</v>
      </c>
      <c r="AL1118" s="4">
        <v>1</v>
      </c>
      <c r="AM1118" s="4">
        <v>3</v>
      </c>
      <c r="AN1118" s="4">
        <v>0</v>
      </c>
      <c r="AO1118" s="4">
        <v>0</v>
      </c>
      <c r="AP1118" s="3" t="s">
        <v>58</v>
      </c>
      <c r="AQ1118" s="3" t="s">
        <v>58</v>
      </c>
      <c r="AS1118" s="6" t="str">
        <f>HYPERLINK("https://creighton-primo.hosted.exlibrisgroup.com/primo-explore/search?tab=default_tab&amp;search_scope=EVERYTHING&amp;vid=01CRU&amp;lang=en_US&amp;offset=0&amp;query=any,contains,991003690819702656","Catalog Record")</f>
        <v>Catalog Record</v>
      </c>
      <c r="AT1118" s="6" t="str">
        <f>HYPERLINK("http://www.worldcat.org/oclc/1322115","WorldCat Record")</f>
        <v>WorldCat Record</v>
      </c>
      <c r="AU1118" s="3" t="s">
        <v>14136</v>
      </c>
      <c r="AV1118" s="3" t="s">
        <v>14137</v>
      </c>
      <c r="AW1118" s="3" t="s">
        <v>14138</v>
      </c>
      <c r="AX1118" s="3" t="s">
        <v>14138</v>
      </c>
      <c r="AY1118" s="3" t="s">
        <v>14139</v>
      </c>
      <c r="AZ1118" s="3" t="s">
        <v>73</v>
      </c>
      <c r="BC1118" s="3" t="s">
        <v>14140</v>
      </c>
      <c r="BD1118" s="3" t="s">
        <v>14141</v>
      </c>
    </row>
    <row r="1119" spans="1:56" ht="51" customHeight="1" x14ac:dyDescent="0.25">
      <c r="A1119" s="7" t="s">
        <v>58</v>
      </c>
      <c r="B1119" s="2" t="s">
        <v>14142</v>
      </c>
      <c r="C1119" s="2" t="s">
        <v>14143</v>
      </c>
      <c r="D1119" s="2" t="s">
        <v>14144</v>
      </c>
      <c r="F1119" s="3" t="s">
        <v>58</v>
      </c>
      <c r="G1119" s="3" t="s">
        <v>59</v>
      </c>
      <c r="H1119" s="3" t="s">
        <v>58</v>
      </c>
      <c r="I1119" s="3" t="s">
        <v>58</v>
      </c>
      <c r="J1119" s="3" t="s">
        <v>60</v>
      </c>
      <c r="K1119" s="2" t="s">
        <v>14145</v>
      </c>
      <c r="L1119" s="2" t="s">
        <v>14146</v>
      </c>
      <c r="M1119" s="3" t="s">
        <v>996</v>
      </c>
      <c r="O1119" s="3" t="s">
        <v>63</v>
      </c>
      <c r="P1119" s="3" t="s">
        <v>584</v>
      </c>
      <c r="Q1119" s="2" t="s">
        <v>14147</v>
      </c>
      <c r="R1119" s="3" t="s">
        <v>65</v>
      </c>
      <c r="S1119" s="4">
        <v>3</v>
      </c>
      <c r="T1119" s="4">
        <v>3</v>
      </c>
      <c r="U1119" s="5" t="s">
        <v>6740</v>
      </c>
      <c r="V1119" s="5" t="s">
        <v>6740</v>
      </c>
      <c r="W1119" s="5" t="s">
        <v>11927</v>
      </c>
      <c r="X1119" s="5" t="s">
        <v>11927</v>
      </c>
      <c r="Y1119" s="4">
        <v>668</v>
      </c>
      <c r="Z1119" s="4">
        <v>494</v>
      </c>
      <c r="AA1119" s="4">
        <v>508</v>
      </c>
      <c r="AB1119" s="4">
        <v>3</v>
      </c>
      <c r="AC1119" s="4">
        <v>3</v>
      </c>
      <c r="AD1119" s="4">
        <v>18</v>
      </c>
      <c r="AE1119" s="4">
        <v>18</v>
      </c>
      <c r="AF1119" s="4">
        <v>7</v>
      </c>
      <c r="AG1119" s="4">
        <v>7</v>
      </c>
      <c r="AH1119" s="4">
        <v>5</v>
      </c>
      <c r="AI1119" s="4">
        <v>5</v>
      </c>
      <c r="AJ1119" s="4">
        <v>8</v>
      </c>
      <c r="AK1119" s="4">
        <v>8</v>
      </c>
      <c r="AL1119" s="4">
        <v>2</v>
      </c>
      <c r="AM1119" s="4">
        <v>2</v>
      </c>
      <c r="AN1119" s="4">
        <v>0</v>
      </c>
      <c r="AO1119" s="4">
        <v>0</v>
      </c>
      <c r="AP1119" s="3" t="s">
        <v>58</v>
      </c>
      <c r="AQ1119" s="3" t="s">
        <v>68</v>
      </c>
      <c r="AR1119" s="6" t="str">
        <f>HYPERLINK("http://catalog.hathitrust.org/Record/001251409","HathiTrust Record")</f>
        <v>HathiTrust Record</v>
      </c>
      <c r="AS1119" s="6" t="str">
        <f>HYPERLINK("https://creighton-primo.hosted.exlibrisgroup.com/primo-explore/search?tab=default_tab&amp;search_scope=EVERYTHING&amp;vid=01CRU&amp;lang=en_US&amp;offset=0&amp;query=any,contains,991003006099702656","Catalog Record")</f>
        <v>Catalog Record</v>
      </c>
      <c r="AT1119" s="6" t="str">
        <f>HYPERLINK("http://www.worldcat.org/oclc/573078","WorldCat Record")</f>
        <v>WorldCat Record</v>
      </c>
      <c r="AU1119" s="3" t="s">
        <v>14148</v>
      </c>
      <c r="AV1119" s="3" t="s">
        <v>14149</v>
      </c>
      <c r="AW1119" s="3" t="s">
        <v>14150</v>
      </c>
      <c r="AX1119" s="3" t="s">
        <v>14150</v>
      </c>
      <c r="AY1119" s="3" t="s">
        <v>14151</v>
      </c>
      <c r="AZ1119" s="3" t="s">
        <v>73</v>
      </c>
      <c r="BB1119" s="3" t="s">
        <v>14152</v>
      </c>
      <c r="BC1119" s="3" t="s">
        <v>14153</v>
      </c>
      <c r="BD1119" s="3" t="s">
        <v>14154</v>
      </c>
    </row>
    <row r="1120" spans="1:56" ht="51" customHeight="1" x14ac:dyDescent="0.25">
      <c r="A1120" s="7" t="s">
        <v>58</v>
      </c>
      <c r="B1120" s="2" t="s">
        <v>14155</v>
      </c>
      <c r="C1120" s="2" t="s">
        <v>14156</v>
      </c>
      <c r="D1120" s="2" t="s">
        <v>14157</v>
      </c>
      <c r="F1120" s="3" t="s">
        <v>58</v>
      </c>
      <c r="G1120" s="3" t="s">
        <v>59</v>
      </c>
      <c r="H1120" s="3" t="s">
        <v>58</v>
      </c>
      <c r="I1120" s="3" t="s">
        <v>58</v>
      </c>
      <c r="J1120" s="3" t="s">
        <v>60</v>
      </c>
      <c r="K1120" s="2" t="s">
        <v>14158</v>
      </c>
      <c r="L1120" s="2" t="s">
        <v>14159</v>
      </c>
      <c r="M1120" s="3" t="s">
        <v>1153</v>
      </c>
      <c r="N1120" s="2" t="s">
        <v>14160</v>
      </c>
      <c r="O1120" s="3" t="s">
        <v>63</v>
      </c>
      <c r="P1120" s="3" t="s">
        <v>571</v>
      </c>
      <c r="R1120" s="3" t="s">
        <v>65</v>
      </c>
      <c r="S1120" s="4">
        <v>12</v>
      </c>
      <c r="T1120" s="4">
        <v>12</v>
      </c>
      <c r="U1120" s="5" t="s">
        <v>12800</v>
      </c>
      <c r="V1120" s="5" t="s">
        <v>12800</v>
      </c>
      <c r="W1120" s="5" t="s">
        <v>9175</v>
      </c>
      <c r="X1120" s="5" t="s">
        <v>9175</v>
      </c>
      <c r="Y1120" s="4">
        <v>22</v>
      </c>
      <c r="Z1120" s="4">
        <v>12</v>
      </c>
      <c r="AA1120" s="4">
        <v>201</v>
      </c>
      <c r="AB1120" s="4">
        <v>1</v>
      </c>
      <c r="AC1120" s="4">
        <v>3</v>
      </c>
      <c r="AD1120" s="4">
        <v>0</v>
      </c>
      <c r="AE1120" s="4">
        <v>10</v>
      </c>
      <c r="AF1120" s="4">
        <v>0</v>
      </c>
      <c r="AG1120" s="4">
        <v>3</v>
      </c>
      <c r="AH1120" s="4">
        <v>0</v>
      </c>
      <c r="AI1120" s="4">
        <v>3</v>
      </c>
      <c r="AJ1120" s="4">
        <v>0</v>
      </c>
      <c r="AK1120" s="4">
        <v>4</v>
      </c>
      <c r="AL1120" s="4">
        <v>0</v>
      </c>
      <c r="AM1120" s="4">
        <v>2</v>
      </c>
      <c r="AN1120" s="4">
        <v>0</v>
      </c>
      <c r="AO1120" s="4">
        <v>0</v>
      </c>
      <c r="AP1120" s="3" t="s">
        <v>58</v>
      </c>
      <c r="AQ1120" s="3" t="s">
        <v>58</v>
      </c>
      <c r="AS1120" s="6" t="str">
        <f>HYPERLINK("https://creighton-primo.hosted.exlibrisgroup.com/primo-explore/search?tab=default_tab&amp;search_scope=EVERYTHING&amp;vid=01CRU&amp;lang=en_US&amp;offset=0&amp;query=any,contains,991003557909702656","Catalog Record")</f>
        <v>Catalog Record</v>
      </c>
      <c r="AT1120" s="6" t="str">
        <f>HYPERLINK("http://www.worldcat.org/oclc/1127093","WorldCat Record")</f>
        <v>WorldCat Record</v>
      </c>
      <c r="AU1120" s="3" t="s">
        <v>14161</v>
      </c>
      <c r="AV1120" s="3" t="s">
        <v>14162</v>
      </c>
      <c r="AW1120" s="3" t="s">
        <v>14163</v>
      </c>
      <c r="AX1120" s="3" t="s">
        <v>14163</v>
      </c>
      <c r="AY1120" s="3" t="s">
        <v>14164</v>
      </c>
      <c r="AZ1120" s="3" t="s">
        <v>73</v>
      </c>
      <c r="BC1120" s="3" t="s">
        <v>14165</v>
      </c>
      <c r="BD1120" s="3" t="s">
        <v>14166</v>
      </c>
    </row>
    <row r="1121" spans="1:56" ht="51" customHeight="1" x14ac:dyDescent="0.25">
      <c r="A1121" s="7" t="s">
        <v>58</v>
      </c>
      <c r="B1121" s="2" t="s">
        <v>14167</v>
      </c>
      <c r="C1121" s="2" t="s">
        <v>14168</v>
      </c>
      <c r="D1121" s="2" t="s">
        <v>14169</v>
      </c>
      <c r="F1121" s="3" t="s">
        <v>58</v>
      </c>
      <c r="G1121" s="3" t="s">
        <v>59</v>
      </c>
      <c r="H1121" s="3" t="s">
        <v>58</v>
      </c>
      <c r="I1121" s="3" t="s">
        <v>58</v>
      </c>
      <c r="J1121" s="3" t="s">
        <v>60</v>
      </c>
      <c r="K1121" s="2" t="s">
        <v>14170</v>
      </c>
      <c r="L1121" s="2" t="s">
        <v>14171</v>
      </c>
      <c r="M1121" s="3" t="s">
        <v>1357</v>
      </c>
      <c r="O1121" s="3" t="s">
        <v>63</v>
      </c>
      <c r="P1121" s="3" t="s">
        <v>354</v>
      </c>
      <c r="Q1121" s="2" t="s">
        <v>13368</v>
      </c>
      <c r="R1121" s="3" t="s">
        <v>65</v>
      </c>
      <c r="S1121" s="4">
        <v>2</v>
      </c>
      <c r="T1121" s="4">
        <v>2</v>
      </c>
      <c r="U1121" s="5" t="s">
        <v>14172</v>
      </c>
      <c r="V1121" s="5" t="s">
        <v>14172</v>
      </c>
      <c r="W1121" s="5" t="s">
        <v>13790</v>
      </c>
      <c r="X1121" s="5" t="s">
        <v>13790</v>
      </c>
      <c r="Y1121" s="4">
        <v>503</v>
      </c>
      <c r="Z1121" s="4">
        <v>412</v>
      </c>
      <c r="AA1121" s="4">
        <v>418</v>
      </c>
      <c r="AB1121" s="4">
        <v>4</v>
      </c>
      <c r="AC1121" s="4">
        <v>4</v>
      </c>
      <c r="AD1121" s="4">
        <v>18</v>
      </c>
      <c r="AE1121" s="4">
        <v>18</v>
      </c>
      <c r="AF1121" s="4">
        <v>5</v>
      </c>
      <c r="AG1121" s="4">
        <v>5</v>
      </c>
      <c r="AH1121" s="4">
        <v>5</v>
      </c>
      <c r="AI1121" s="4">
        <v>5</v>
      </c>
      <c r="AJ1121" s="4">
        <v>7</v>
      </c>
      <c r="AK1121" s="4">
        <v>7</v>
      </c>
      <c r="AL1121" s="4">
        <v>3</v>
      </c>
      <c r="AM1121" s="4">
        <v>3</v>
      </c>
      <c r="AN1121" s="4">
        <v>0</v>
      </c>
      <c r="AO1121" s="4">
        <v>0</v>
      </c>
      <c r="AP1121" s="3" t="s">
        <v>58</v>
      </c>
      <c r="AQ1121" s="3" t="s">
        <v>68</v>
      </c>
      <c r="AR1121" s="6" t="str">
        <f>HYPERLINK("http://catalog.hathitrust.org/Record/001251421","HathiTrust Record")</f>
        <v>HathiTrust Record</v>
      </c>
      <c r="AS1121" s="6" t="str">
        <f>HYPERLINK("https://creighton-primo.hosted.exlibrisgroup.com/primo-explore/search?tab=default_tab&amp;search_scope=EVERYTHING&amp;vid=01CRU&amp;lang=en_US&amp;offset=0&amp;query=any,contains,991000209389702656","Catalog Record")</f>
        <v>Catalog Record</v>
      </c>
      <c r="AT1121" s="6" t="str">
        <f>HYPERLINK("http://www.worldcat.org/oclc/66069","WorldCat Record")</f>
        <v>WorldCat Record</v>
      </c>
      <c r="AU1121" s="3" t="s">
        <v>14173</v>
      </c>
      <c r="AV1121" s="3" t="s">
        <v>14174</v>
      </c>
      <c r="AW1121" s="3" t="s">
        <v>14175</v>
      </c>
      <c r="AX1121" s="3" t="s">
        <v>14175</v>
      </c>
      <c r="AY1121" s="3" t="s">
        <v>14176</v>
      </c>
      <c r="AZ1121" s="3" t="s">
        <v>73</v>
      </c>
      <c r="BB1121" s="3" t="s">
        <v>14177</v>
      </c>
      <c r="BC1121" s="3" t="s">
        <v>14178</v>
      </c>
      <c r="BD1121" s="3" t="s">
        <v>14179</v>
      </c>
    </row>
    <row r="1122" spans="1:56" ht="51" customHeight="1" x14ac:dyDescent="0.25">
      <c r="A1122" s="7" t="s">
        <v>58</v>
      </c>
      <c r="B1122" s="2" t="s">
        <v>14180</v>
      </c>
      <c r="C1122" s="2" t="s">
        <v>14181</v>
      </c>
      <c r="D1122" s="2" t="s">
        <v>14182</v>
      </c>
      <c r="F1122" s="3" t="s">
        <v>58</v>
      </c>
      <c r="G1122" s="3" t="s">
        <v>59</v>
      </c>
      <c r="H1122" s="3" t="s">
        <v>58</v>
      </c>
      <c r="I1122" s="3" t="s">
        <v>58</v>
      </c>
      <c r="J1122" s="3" t="s">
        <v>60</v>
      </c>
      <c r="K1122" s="2" t="s">
        <v>14183</v>
      </c>
      <c r="L1122" s="2" t="s">
        <v>14184</v>
      </c>
      <c r="M1122" s="3" t="s">
        <v>397</v>
      </c>
      <c r="O1122" s="3" t="s">
        <v>63</v>
      </c>
      <c r="P1122" s="3" t="s">
        <v>214</v>
      </c>
      <c r="R1122" s="3" t="s">
        <v>65</v>
      </c>
      <c r="S1122" s="4">
        <v>20</v>
      </c>
      <c r="T1122" s="4">
        <v>20</v>
      </c>
      <c r="U1122" s="5" t="s">
        <v>12800</v>
      </c>
      <c r="V1122" s="5" t="s">
        <v>12800</v>
      </c>
      <c r="W1122" s="5" t="s">
        <v>3151</v>
      </c>
      <c r="X1122" s="5" t="s">
        <v>3151</v>
      </c>
      <c r="Y1122" s="4">
        <v>613</v>
      </c>
      <c r="Z1122" s="4">
        <v>581</v>
      </c>
      <c r="AA1122" s="4">
        <v>620</v>
      </c>
      <c r="AB1122" s="4">
        <v>3</v>
      </c>
      <c r="AC1122" s="4">
        <v>5</v>
      </c>
      <c r="AD1122" s="4">
        <v>13</v>
      </c>
      <c r="AE1122" s="4">
        <v>17</v>
      </c>
      <c r="AF1122" s="4">
        <v>5</v>
      </c>
      <c r="AG1122" s="4">
        <v>6</v>
      </c>
      <c r="AH1122" s="4">
        <v>3</v>
      </c>
      <c r="AI1122" s="4">
        <v>5</v>
      </c>
      <c r="AJ1122" s="4">
        <v>8</v>
      </c>
      <c r="AK1122" s="4">
        <v>9</v>
      </c>
      <c r="AL1122" s="4">
        <v>1</v>
      </c>
      <c r="AM1122" s="4">
        <v>3</v>
      </c>
      <c r="AN1122" s="4">
        <v>0</v>
      </c>
      <c r="AO1122" s="4">
        <v>0</v>
      </c>
      <c r="AP1122" s="3" t="s">
        <v>58</v>
      </c>
      <c r="AQ1122" s="3" t="s">
        <v>58</v>
      </c>
      <c r="AS1122" s="6" t="str">
        <f>HYPERLINK("https://creighton-primo.hosted.exlibrisgroup.com/primo-explore/search?tab=default_tab&amp;search_scope=EVERYTHING&amp;vid=01CRU&amp;lang=en_US&amp;offset=0&amp;query=any,contains,991000519749702656","Catalog Record")</f>
        <v>Catalog Record</v>
      </c>
      <c r="AT1122" s="6" t="str">
        <f>HYPERLINK("http://www.worldcat.org/oclc/11318012","WorldCat Record")</f>
        <v>WorldCat Record</v>
      </c>
      <c r="AU1122" s="3" t="s">
        <v>14185</v>
      </c>
      <c r="AV1122" s="3" t="s">
        <v>14186</v>
      </c>
      <c r="AW1122" s="3" t="s">
        <v>14187</v>
      </c>
      <c r="AX1122" s="3" t="s">
        <v>14187</v>
      </c>
      <c r="AY1122" s="3" t="s">
        <v>14188</v>
      </c>
      <c r="AZ1122" s="3" t="s">
        <v>73</v>
      </c>
      <c r="BB1122" s="3" t="s">
        <v>14189</v>
      </c>
      <c r="BC1122" s="3" t="s">
        <v>14190</v>
      </c>
      <c r="BD1122" s="3" t="s">
        <v>14191</v>
      </c>
    </row>
    <row r="1123" spans="1:56" ht="51" customHeight="1" x14ac:dyDescent="0.25">
      <c r="A1123" s="7" t="s">
        <v>58</v>
      </c>
      <c r="B1123" s="2" t="s">
        <v>14192</v>
      </c>
      <c r="C1123" s="2" t="s">
        <v>14193</v>
      </c>
      <c r="D1123" s="2" t="s">
        <v>14194</v>
      </c>
      <c r="F1123" s="3" t="s">
        <v>58</v>
      </c>
      <c r="G1123" s="3" t="s">
        <v>59</v>
      </c>
      <c r="H1123" s="3" t="s">
        <v>58</v>
      </c>
      <c r="I1123" s="3" t="s">
        <v>58</v>
      </c>
      <c r="J1123" s="3" t="s">
        <v>60</v>
      </c>
      <c r="L1123" s="2" t="s">
        <v>14195</v>
      </c>
      <c r="M1123" s="3" t="s">
        <v>83</v>
      </c>
      <c r="O1123" s="3" t="s">
        <v>63</v>
      </c>
      <c r="P1123" s="3" t="s">
        <v>3323</v>
      </c>
      <c r="R1123" s="3" t="s">
        <v>65</v>
      </c>
      <c r="S1123" s="4">
        <v>1</v>
      </c>
      <c r="T1123" s="4">
        <v>1</v>
      </c>
      <c r="U1123" s="5" t="s">
        <v>14196</v>
      </c>
      <c r="V1123" s="5" t="s">
        <v>14196</v>
      </c>
      <c r="W1123" s="5" t="s">
        <v>8127</v>
      </c>
      <c r="X1123" s="5" t="s">
        <v>8127</v>
      </c>
      <c r="Y1123" s="4">
        <v>263</v>
      </c>
      <c r="Z1123" s="4">
        <v>191</v>
      </c>
      <c r="AA1123" s="4">
        <v>219</v>
      </c>
      <c r="AB1123" s="4">
        <v>2</v>
      </c>
      <c r="AC1123" s="4">
        <v>2</v>
      </c>
      <c r="AD1123" s="4">
        <v>9</v>
      </c>
      <c r="AE1123" s="4">
        <v>13</v>
      </c>
      <c r="AF1123" s="4">
        <v>3</v>
      </c>
      <c r="AG1123" s="4">
        <v>4</v>
      </c>
      <c r="AH1123" s="4">
        <v>5</v>
      </c>
      <c r="AI1123" s="4">
        <v>7</v>
      </c>
      <c r="AJ1123" s="4">
        <v>4</v>
      </c>
      <c r="AK1123" s="4">
        <v>5</v>
      </c>
      <c r="AL1123" s="4">
        <v>1</v>
      </c>
      <c r="AM1123" s="4">
        <v>1</v>
      </c>
      <c r="AN1123" s="4">
        <v>0</v>
      </c>
      <c r="AO1123" s="4">
        <v>1</v>
      </c>
      <c r="AP1123" s="3" t="s">
        <v>58</v>
      </c>
      <c r="AQ1123" s="3" t="s">
        <v>68</v>
      </c>
      <c r="AR1123" s="6" t="str">
        <f>HYPERLINK("http://catalog.hathitrust.org/Record/000302687","HathiTrust Record")</f>
        <v>HathiTrust Record</v>
      </c>
      <c r="AS1123" s="6" t="str">
        <f>HYPERLINK("https://creighton-primo.hosted.exlibrisgroup.com/primo-explore/search?tab=default_tab&amp;search_scope=EVERYTHING&amp;vid=01CRU&amp;lang=en_US&amp;offset=0&amp;query=any,contains,991004770429702656","Catalog Record")</f>
        <v>Catalog Record</v>
      </c>
      <c r="AT1123" s="6" t="str">
        <f>HYPERLINK("http://www.worldcat.org/oclc/5056324","WorldCat Record")</f>
        <v>WorldCat Record</v>
      </c>
      <c r="AU1123" s="3" t="s">
        <v>14197</v>
      </c>
      <c r="AV1123" s="3" t="s">
        <v>14198</v>
      </c>
      <c r="AW1123" s="3" t="s">
        <v>14199</v>
      </c>
      <c r="AX1123" s="3" t="s">
        <v>14199</v>
      </c>
      <c r="AY1123" s="3" t="s">
        <v>14200</v>
      </c>
      <c r="AZ1123" s="3" t="s">
        <v>73</v>
      </c>
      <c r="BB1123" s="3" t="s">
        <v>14201</v>
      </c>
      <c r="BC1123" s="3" t="s">
        <v>14202</v>
      </c>
      <c r="BD1123" s="3" t="s">
        <v>14203</v>
      </c>
    </row>
    <row r="1124" spans="1:56" ht="51" customHeight="1" x14ac:dyDescent="0.25">
      <c r="A1124" s="7" t="s">
        <v>58</v>
      </c>
      <c r="B1124" s="2" t="s">
        <v>14204</v>
      </c>
      <c r="C1124" s="2" t="s">
        <v>14205</v>
      </c>
      <c r="D1124" s="2" t="s">
        <v>14206</v>
      </c>
      <c r="F1124" s="3" t="s">
        <v>58</v>
      </c>
      <c r="G1124" s="3" t="s">
        <v>59</v>
      </c>
      <c r="H1124" s="3" t="s">
        <v>58</v>
      </c>
      <c r="I1124" s="3" t="s">
        <v>58</v>
      </c>
      <c r="J1124" s="3" t="s">
        <v>60</v>
      </c>
      <c r="L1124" s="2" t="s">
        <v>14207</v>
      </c>
      <c r="M1124" s="3" t="s">
        <v>1061</v>
      </c>
      <c r="O1124" s="3" t="s">
        <v>63</v>
      </c>
      <c r="P1124" s="3" t="s">
        <v>197</v>
      </c>
      <c r="R1124" s="3" t="s">
        <v>65</v>
      </c>
      <c r="S1124" s="4">
        <v>2</v>
      </c>
      <c r="T1124" s="4">
        <v>2</v>
      </c>
      <c r="U1124" s="5" t="s">
        <v>14208</v>
      </c>
      <c r="V1124" s="5" t="s">
        <v>14208</v>
      </c>
      <c r="W1124" s="5" t="s">
        <v>14209</v>
      </c>
      <c r="X1124" s="5" t="s">
        <v>14209</v>
      </c>
      <c r="Y1124" s="4">
        <v>275</v>
      </c>
      <c r="Z1124" s="4">
        <v>193</v>
      </c>
      <c r="AA1124" s="4">
        <v>199</v>
      </c>
      <c r="AB1124" s="4">
        <v>2</v>
      </c>
      <c r="AC1124" s="4">
        <v>2</v>
      </c>
      <c r="AD1124" s="4">
        <v>12</v>
      </c>
      <c r="AE1124" s="4">
        <v>13</v>
      </c>
      <c r="AF1124" s="4">
        <v>1</v>
      </c>
      <c r="AG1124" s="4">
        <v>2</v>
      </c>
      <c r="AH1124" s="4">
        <v>5</v>
      </c>
      <c r="AI1124" s="4">
        <v>5</v>
      </c>
      <c r="AJ1124" s="4">
        <v>7</v>
      </c>
      <c r="AK1124" s="4">
        <v>7</v>
      </c>
      <c r="AL1124" s="4">
        <v>1</v>
      </c>
      <c r="AM1124" s="4">
        <v>1</v>
      </c>
      <c r="AN1124" s="4">
        <v>0</v>
      </c>
      <c r="AO1124" s="4">
        <v>0</v>
      </c>
      <c r="AP1124" s="3" t="s">
        <v>58</v>
      </c>
      <c r="AQ1124" s="3" t="s">
        <v>58</v>
      </c>
      <c r="AS1124" s="6" t="str">
        <f>HYPERLINK("https://creighton-primo.hosted.exlibrisgroup.com/primo-explore/search?tab=default_tab&amp;search_scope=EVERYTHING&amp;vid=01CRU&amp;lang=en_US&amp;offset=0&amp;query=any,contains,991003244229702656","Catalog Record")</f>
        <v>Catalog Record</v>
      </c>
      <c r="AT1124" s="6" t="str">
        <f>HYPERLINK("http://www.worldcat.org/oclc/36768095","WorldCat Record")</f>
        <v>WorldCat Record</v>
      </c>
      <c r="AU1124" s="3" t="s">
        <v>14210</v>
      </c>
      <c r="AV1124" s="3" t="s">
        <v>14211</v>
      </c>
      <c r="AW1124" s="3" t="s">
        <v>14212</v>
      </c>
      <c r="AX1124" s="3" t="s">
        <v>14212</v>
      </c>
      <c r="AY1124" s="3" t="s">
        <v>14213</v>
      </c>
      <c r="AZ1124" s="3" t="s">
        <v>73</v>
      </c>
      <c r="BB1124" s="3" t="s">
        <v>14214</v>
      </c>
      <c r="BC1124" s="3" t="s">
        <v>14215</v>
      </c>
      <c r="BD1124" s="3" t="s">
        <v>14216</v>
      </c>
    </row>
    <row r="1125" spans="1:56" ht="51" customHeight="1" x14ac:dyDescent="0.25">
      <c r="A1125" s="7" t="s">
        <v>58</v>
      </c>
      <c r="B1125" s="2" t="s">
        <v>14217</v>
      </c>
      <c r="C1125" s="2" t="s">
        <v>14218</v>
      </c>
      <c r="D1125" s="2" t="s">
        <v>14219</v>
      </c>
      <c r="F1125" s="3" t="s">
        <v>58</v>
      </c>
      <c r="G1125" s="3" t="s">
        <v>59</v>
      </c>
      <c r="H1125" s="3" t="s">
        <v>58</v>
      </c>
      <c r="I1125" s="3" t="s">
        <v>58</v>
      </c>
      <c r="J1125" s="3" t="s">
        <v>60</v>
      </c>
      <c r="K1125" s="2" t="s">
        <v>14220</v>
      </c>
      <c r="L1125" s="2" t="s">
        <v>14221</v>
      </c>
      <c r="M1125" s="3" t="s">
        <v>138</v>
      </c>
      <c r="N1125" s="2" t="s">
        <v>870</v>
      </c>
      <c r="O1125" s="3" t="s">
        <v>63</v>
      </c>
      <c r="P1125" s="3" t="s">
        <v>214</v>
      </c>
      <c r="R1125" s="3" t="s">
        <v>65</v>
      </c>
      <c r="S1125" s="4">
        <v>2</v>
      </c>
      <c r="T1125" s="4">
        <v>2</v>
      </c>
      <c r="U1125" s="5" t="s">
        <v>14222</v>
      </c>
      <c r="V1125" s="5" t="s">
        <v>14222</v>
      </c>
      <c r="W1125" s="5" t="s">
        <v>8127</v>
      </c>
      <c r="X1125" s="5" t="s">
        <v>8127</v>
      </c>
      <c r="Y1125" s="4">
        <v>224</v>
      </c>
      <c r="Z1125" s="4">
        <v>212</v>
      </c>
      <c r="AA1125" s="4">
        <v>315</v>
      </c>
      <c r="AB1125" s="4">
        <v>1</v>
      </c>
      <c r="AC1125" s="4">
        <v>1</v>
      </c>
      <c r="AD1125" s="4">
        <v>7</v>
      </c>
      <c r="AE1125" s="4">
        <v>8</v>
      </c>
      <c r="AF1125" s="4">
        <v>2</v>
      </c>
      <c r="AG1125" s="4">
        <v>2</v>
      </c>
      <c r="AH1125" s="4">
        <v>2</v>
      </c>
      <c r="AI1125" s="4">
        <v>2</v>
      </c>
      <c r="AJ1125" s="4">
        <v>7</v>
      </c>
      <c r="AK1125" s="4">
        <v>8</v>
      </c>
      <c r="AL1125" s="4">
        <v>0</v>
      </c>
      <c r="AM1125" s="4">
        <v>0</v>
      </c>
      <c r="AN1125" s="4">
        <v>0</v>
      </c>
      <c r="AO1125" s="4">
        <v>0</v>
      </c>
      <c r="AP1125" s="3" t="s">
        <v>58</v>
      </c>
      <c r="AQ1125" s="3" t="s">
        <v>58</v>
      </c>
      <c r="AS1125" s="6" t="str">
        <f>HYPERLINK("https://creighton-primo.hosted.exlibrisgroup.com/primo-explore/search?tab=default_tab&amp;search_scope=EVERYTHING&amp;vid=01CRU&amp;lang=en_US&amp;offset=0&amp;query=any,contains,991000427939702656","Catalog Record")</f>
        <v>Catalog Record</v>
      </c>
      <c r="AT1125" s="6" t="str">
        <f>HYPERLINK("http://www.worldcat.org/oclc/10765442","WorldCat Record")</f>
        <v>WorldCat Record</v>
      </c>
      <c r="AU1125" s="3" t="s">
        <v>14223</v>
      </c>
      <c r="AV1125" s="3" t="s">
        <v>14224</v>
      </c>
      <c r="AW1125" s="3" t="s">
        <v>14225</v>
      </c>
      <c r="AX1125" s="3" t="s">
        <v>14225</v>
      </c>
      <c r="AY1125" s="3" t="s">
        <v>14226</v>
      </c>
      <c r="AZ1125" s="3" t="s">
        <v>73</v>
      </c>
      <c r="BB1125" s="3" t="s">
        <v>14227</v>
      </c>
      <c r="BC1125" s="3" t="s">
        <v>14228</v>
      </c>
      <c r="BD1125" s="3" t="s">
        <v>14229</v>
      </c>
    </row>
    <row r="1126" spans="1:56" ht="51" customHeight="1" x14ac:dyDescent="0.25">
      <c r="A1126" s="7" t="s">
        <v>58</v>
      </c>
      <c r="B1126" s="2" t="s">
        <v>14230</v>
      </c>
      <c r="C1126" s="2" t="s">
        <v>14231</v>
      </c>
      <c r="D1126" s="2" t="s">
        <v>14232</v>
      </c>
      <c r="F1126" s="3" t="s">
        <v>58</v>
      </c>
      <c r="G1126" s="3" t="s">
        <v>59</v>
      </c>
      <c r="H1126" s="3" t="s">
        <v>58</v>
      </c>
      <c r="I1126" s="3" t="s">
        <v>58</v>
      </c>
      <c r="J1126" s="3" t="s">
        <v>60</v>
      </c>
      <c r="K1126" s="2" t="s">
        <v>14233</v>
      </c>
      <c r="L1126" s="2" t="s">
        <v>14234</v>
      </c>
      <c r="M1126" s="3" t="s">
        <v>996</v>
      </c>
      <c r="N1126" s="2" t="s">
        <v>13327</v>
      </c>
      <c r="O1126" s="3" t="s">
        <v>63</v>
      </c>
      <c r="P1126" s="3" t="s">
        <v>214</v>
      </c>
      <c r="R1126" s="3" t="s">
        <v>65</v>
      </c>
      <c r="S1126" s="4">
        <v>9</v>
      </c>
      <c r="T1126" s="4">
        <v>9</v>
      </c>
      <c r="U1126" s="5" t="s">
        <v>14235</v>
      </c>
      <c r="V1126" s="5" t="s">
        <v>14235</v>
      </c>
      <c r="W1126" s="5" t="s">
        <v>14236</v>
      </c>
      <c r="X1126" s="5" t="s">
        <v>14236</v>
      </c>
      <c r="Y1126" s="4">
        <v>625</v>
      </c>
      <c r="Z1126" s="4">
        <v>595</v>
      </c>
      <c r="AA1126" s="4">
        <v>867</v>
      </c>
      <c r="AB1126" s="4">
        <v>4</v>
      </c>
      <c r="AC1126" s="4">
        <v>4</v>
      </c>
      <c r="AD1126" s="4">
        <v>18</v>
      </c>
      <c r="AE1126" s="4">
        <v>26</v>
      </c>
      <c r="AF1126" s="4">
        <v>7</v>
      </c>
      <c r="AG1126" s="4">
        <v>12</v>
      </c>
      <c r="AH1126" s="4">
        <v>6</v>
      </c>
      <c r="AI1126" s="4">
        <v>7</v>
      </c>
      <c r="AJ1126" s="4">
        <v>10</v>
      </c>
      <c r="AK1126" s="4">
        <v>16</v>
      </c>
      <c r="AL1126" s="4">
        <v>2</v>
      </c>
      <c r="AM1126" s="4">
        <v>2</v>
      </c>
      <c r="AN1126" s="4">
        <v>0</v>
      </c>
      <c r="AO1126" s="4">
        <v>0</v>
      </c>
      <c r="AP1126" s="3" t="s">
        <v>58</v>
      </c>
      <c r="AQ1126" s="3" t="s">
        <v>58</v>
      </c>
      <c r="AS1126" s="6" t="str">
        <f>HYPERLINK("https://creighton-primo.hosted.exlibrisgroup.com/primo-explore/search?tab=default_tab&amp;search_scope=EVERYTHING&amp;vid=01CRU&amp;lang=en_US&amp;offset=0&amp;query=any,contains,991001295539702656","Catalog Record")</f>
        <v>Catalog Record</v>
      </c>
      <c r="AT1126" s="6" t="str">
        <f>HYPERLINK("http://www.worldcat.org/oclc/219425","WorldCat Record")</f>
        <v>WorldCat Record</v>
      </c>
      <c r="AU1126" s="3" t="s">
        <v>14237</v>
      </c>
      <c r="AV1126" s="3" t="s">
        <v>14238</v>
      </c>
      <c r="AW1126" s="3" t="s">
        <v>14239</v>
      </c>
      <c r="AX1126" s="3" t="s">
        <v>14239</v>
      </c>
      <c r="AY1126" s="3" t="s">
        <v>14240</v>
      </c>
      <c r="AZ1126" s="3" t="s">
        <v>73</v>
      </c>
      <c r="BB1126" s="3" t="s">
        <v>14241</v>
      </c>
      <c r="BC1126" s="3" t="s">
        <v>14242</v>
      </c>
      <c r="BD1126" s="3" t="s">
        <v>14243</v>
      </c>
    </row>
    <row r="1127" spans="1:56" ht="51" customHeight="1" x14ac:dyDescent="0.25">
      <c r="A1127" s="7" t="s">
        <v>58</v>
      </c>
      <c r="B1127" s="2" t="s">
        <v>14244</v>
      </c>
      <c r="C1127" s="2" t="s">
        <v>14245</v>
      </c>
      <c r="D1127" s="2" t="s">
        <v>14246</v>
      </c>
      <c r="F1127" s="3" t="s">
        <v>58</v>
      </c>
      <c r="G1127" s="3" t="s">
        <v>59</v>
      </c>
      <c r="H1127" s="3" t="s">
        <v>58</v>
      </c>
      <c r="I1127" s="3" t="s">
        <v>58</v>
      </c>
      <c r="J1127" s="3" t="s">
        <v>60</v>
      </c>
      <c r="K1127" s="2" t="s">
        <v>14247</v>
      </c>
      <c r="L1127" s="2" t="s">
        <v>14248</v>
      </c>
      <c r="M1127" s="3" t="s">
        <v>62</v>
      </c>
      <c r="O1127" s="3" t="s">
        <v>63</v>
      </c>
      <c r="P1127" s="3" t="s">
        <v>214</v>
      </c>
      <c r="R1127" s="3" t="s">
        <v>65</v>
      </c>
      <c r="S1127" s="4">
        <v>4</v>
      </c>
      <c r="T1127" s="4">
        <v>4</v>
      </c>
      <c r="U1127" s="5" t="s">
        <v>14249</v>
      </c>
      <c r="V1127" s="5" t="s">
        <v>14249</v>
      </c>
      <c r="W1127" s="5" t="s">
        <v>14236</v>
      </c>
      <c r="X1127" s="5" t="s">
        <v>14236</v>
      </c>
      <c r="Y1127" s="4">
        <v>180</v>
      </c>
      <c r="Z1127" s="4">
        <v>158</v>
      </c>
      <c r="AA1127" s="4">
        <v>324</v>
      </c>
      <c r="AB1127" s="4">
        <v>3</v>
      </c>
      <c r="AC1127" s="4">
        <v>4</v>
      </c>
      <c r="AD1127" s="4">
        <v>10</v>
      </c>
      <c r="AE1127" s="4">
        <v>17</v>
      </c>
      <c r="AF1127" s="4">
        <v>1</v>
      </c>
      <c r="AG1127" s="4">
        <v>3</v>
      </c>
      <c r="AH1127" s="4">
        <v>4</v>
      </c>
      <c r="AI1127" s="4">
        <v>4</v>
      </c>
      <c r="AJ1127" s="4">
        <v>5</v>
      </c>
      <c r="AK1127" s="4">
        <v>10</v>
      </c>
      <c r="AL1127" s="4">
        <v>2</v>
      </c>
      <c r="AM1127" s="4">
        <v>3</v>
      </c>
      <c r="AN1127" s="4">
        <v>0</v>
      </c>
      <c r="AO1127" s="4">
        <v>0</v>
      </c>
      <c r="AP1127" s="3" t="s">
        <v>58</v>
      </c>
      <c r="AQ1127" s="3" t="s">
        <v>58</v>
      </c>
      <c r="AS1127" s="6" t="str">
        <f>HYPERLINK("https://creighton-primo.hosted.exlibrisgroup.com/primo-explore/search?tab=default_tab&amp;search_scope=EVERYTHING&amp;vid=01CRU&amp;lang=en_US&amp;offset=0&amp;query=any,contains,991000628369702656","Catalog Record")</f>
        <v>Catalog Record</v>
      </c>
      <c r="AT1127" s="6" t="str">
        <f>HYPERLINK("http://www.worldcat.org/oclc/105101","WorldCat Record")</f>
        <v>WorldCat Record</v>
      </c>
      <c r="AU1127" s="3" t="s">
        <v>14250</v>
      </c>
      <c r="AV1127" s="3" t="s">
        <v>14251</v>
      </c>
      <c r="AW1127" s="3" t="s">
        <v>14252</v>
      </c>
      <c r="AX1127" s="3" t="s">
        <v>14252</v>
      </c>
      <c r="AY1127" s="3" t="s">
        <v>14253</v>
      </c>
      <c r="AZ1127" s="3" t="s">
        <v>73</v>
      </c>
      <c r="BB1127" s="3" t="s">
        <v>14254</v>
      </c>
      <c r="BC1127" s="3" t="s">
        <v>14255</v>
      </c>
      <c r="BD1127" s="3" t="s">
        <v>14256</v>
      </c>
    </row>
    <row r="1128" spans="1:56" ht="51" customHeight="1" x14ac:dyDescent="0.25">
      <c r="A1128" s="7" t="s">
        <v>58</v>
      </c>
      <c r="B1128" s="2" t="s">
        <v>14257</v>
      </c>
      <c r="C1128" s="2" t="s">
        <v>14258</v>
      </c>
      <c r="D1128" s="2" t="s">
        <v>14259</v>
      </c>
      <c r="F1128" s="3" t="s">
        <v>58</v>
      </c>
      <c r="G1128" s="3" t="s">
        <v>59</v>
      </c>
      <c r="H1128" s="3" t="s">
        <v>58</v>
      </c>
      <c r="I1128" s="3" t="s">
        <v>58</v>
      </c>
      <c r="J1128" s="3" t="s">
        <v>60</v>
      </c>
      <c r="K1128" s="2" t="s">
        <v>13282</v>
      </c>
      <c r="L1128" s="2" t="s">
        <v>14260</v>
      </c>
      <c r="M1128" s="3" t="s">
        <v>996</v>
      </c>
      <c r="O1128" s="3" t="s">
        <v>63</v>
      </c>
      <c r="P1128" s="3" t="s">
        <v>584</v>
      </c>
      <c r="Q1128" s="2" t="s">
        <v>14261</v>
      </c>
      <c r="R1128" s="3" t="s">
        <v>65</v>
      </c>
      <c r="S1128" s="4">
        <v>2</v>
      </c>
      <c r="T1128" s="4">
        <v>2</v>
      </c>
      <c r="U1128" s="5" t="s">
        <v>14249</v>
      </c>
      <c r="V1128" s="5" t="s">
        <v>14249</v>
      </c>
      <c r="W1128" s="5" t="s">
        <v>14236</v>
      </c>
      <c r="X1128" s="5" t="s">
        <v>14236</v>
      </c>
      <c r="Y1128" s="4">
        <v>160</v>
      </c>
      <c r="Z1128" s="4">
        <v>133</v>
      </c>
      <c r="AA1128" s="4">
        <v>239</v>
      </c>
      <c r="AB1128" s="4">
        <v>3</v>
      </c>
      <c r="AC1128" s="4">
        <v>4</v>
      </c>
      <c r="AD1128" s="4">
        <v>6</v>
      </c>
      <c r="AE1128" s="4">
        <v>10</v>
      </c>
      <c r="AF1128" s="4">
        <v>1</v>
      </c>
      <c r="AG1128" s="4">
        <v>2</v>
      </c>
      <c r="AH1128" s="4">
        <v>2</v>
      </c>
      <c r="AI1128" s="4">
        <v>4</v>
      </c>
      <c r="AJ1128" s="4">
        <v>2</v>
      </c>
      <c r="AK1128" s="4">
        <v>3</v>
      </c>
      <c r="AL1128" s="4">
        <v>2</v>
      </c>
      <c r="AM1128" s="4">
        <v>3</v>
      </c>
      <c r="AN1128" s="4">
        <v>0</v>
      </c>
      <c r="AO1128" s="4">
        <v>0</v>
      </c>
      <c r="AP1128" s="3" t="s">
        <v>58</v>
      </c>
      <c r="AQ1128" s="3" t="s">
        <v>68</v>
      </c>
      <c r="AR1128" s="6" t="str">
        <f>HYPERLINK("http://catalog.hathitrust.org/Record/006042396","HathiTrust Record")</f>
        <v>HathiTrust Record</v>
      </c>
      <c r="AS1128" s="6" t="str">
        <f>HYPERLINK("https://creighton-primo.hosted.exlibrisgroup.com/primo-explore/search?tab=default_tab&amp;search_scope=EVERYTHING&amp;vid=01CRU&amp;lang=en_US&amp;offset=0&amp;query=any,contains,991004232209702656","Catalog Record")</f>
        <v>Catalog Record</v>
      </c>
      <c r="AT1128" s="6" t="str">
        <f>HYPERLINK("http://www.worldcat.org/oclc/2751094","WorldCat Record")</f>
        <v>WorldCat Record</v>
      </c>
      <c r="AU1128" s="3" t="s">
        <v>14262</v>
      </c>
      <c r="AV1128" s="3" t="s">
        <v>14263</v>
      </c>
      <c r="AW1128" s="3" t="s">
        <v>14264</v>
      </c>
      <c r="AX1128" s="3" t="s">
        <v>14264</v>
      </c>
      <c r="AY1128" s="3" t="s">
        <v>14265</v>
      </c>
      <c r="AZ1128" s="3" t="s">
        <v>73</v>
      </c>
      <c r="BB1128" s="3" t="s">
        <v>14266</v>
      </c>
      <c r="BC1128" s="3" t="s">
        <v>14267</v>
      </c>
      <c r="BD1128" s="3" t="s">
        <v>14268</v>
      </c>
    </row>
    <row r="1129" spans="1:56" ht="51" customHeight="1" x14ac:dyDescent="0.25">
      <c r="A1129" s="7" t="s">
        <v>58</v>
      </c>
      <c r="B1129" s="2" t="s">
        <v>14269</v>
      </c>
      <c r="C1129" s="2" t="s">
        <v>14270</v>
      </c>
      <c r="D1129" s="2" t="s">
        <v>14271</v>
      </c>
      <c r="F1129" s="3" t="s">
        <v>58</v>
      </c>
      <c r="G1129" s="3" t="s">
        <v>59</v>
      </c>
      <c r="H1129" s="3" t="s">
        <v>58</v>
      </c>
      <c r="I1129" s="3" t="s">
        <v>58</v>
      </c>
      <c r="J1129" s="3" t="s">
        <v>60</v>
      </c>
      <c r="K1129" s="2" t="s">
        <v>14272</v>
      </c>
      <c r="L1129" s="2" t="s">
        <v>14273</v>
      </c>
      <c r="M1129" s="3" t="s">
        <v>951</v>
      </c>
      <c r="O1129" s="3" t="s">
        <v>63</v>
      </c>
      <c r="P1129" s="3" t="s">
        <v>411</v>
      </c>
      <c r="R1129" s="3" t="s">
        <v>65</v>
      </c>
      <c r="S1129" s="4">
        <v>19</v>
      </c>
      <c r="T1129" s="4">
        <v>19</v>
      </c>
      <c r="U1129" s="5" t="s">
        <v>12028</v>
      </c>
      <c r="V1129" s="5" t="s">
        <v>12028</v>
      </c>
      <c r="W1129" s="5" t="s">
        <v>14274</v>
      </c>
      <c r="X1129" s="5" t="s">
        <v>14274</v>
      </c>
      <c r="Y1129" s="4">
        <v>397</v>
      </c>
      <c r="Z1129" s="4">
        <v>347</v>
      </c>
      <c r="AA1129" s="4">
        <v>357</v>
      </c>
      <c r="AB1129" s="4">
        <v>5</v>
      </c>
      <c r="AC1129" s="4">
        <v>5</v>
      </c>
      <c r="AD1129" s="4">
        <v>16</v>
      </c>
      <c r="AE1129" s="4">
        <v>16</v>
      </c>
      <c r="AF1129" s="4">
        <v>4</v>
      </c>
      <c r="AG1129" s="4">
        <v>4</v>
      </c>
      <c r="AH1129" s="4">
        <v>6</v>
      </c>
      <c r="AI1129" s="4">
        <v>6</v>
      </c>
      <c r="AJ1129" s="4">
        <v>8</v>
      </c>
      <c r="AK1129" s="4">
        <v>8</v>
      </c>
      <c r="AL1129" s="4">
        <v>3</v>
      </c>
      <c r="AM1129" s="4">
        <v>3</v>
      </c>
      <c r="AN1129" s="4">
        <v>0</v>
      </c>
      <c r="AO1129" s="4">
        <v>0</v>
      </c>
      <c r="AP1129" s="3" t="s">
        <v>58</v>
      </c>
      <c r="AQ1129" s="3" t="s">
        <v>68</v>
      </c>
      <c r="AR1129" s="6" t="str">
        <f>HYPERLINK("http://catalog.hathitrust.org/Record/004090731","HathiTrust Record")</f>
        <v>HathiTrust Record</v>
      </c>
      <c r="AS1129" s="6" t="str">
        <f>HYPERLINK("https://creighton-primo.hosted.exlibrisgroup.com/primo-explore/search?tab=default_tab&amp;search_scope=EVERYTHING&amp;vid=01CRU&amp;lang=en_US&amp;offset=0&amp;query=any,contains,991003696729702656","Catalog Record")</f>
        <v>Catalog Record</v>
      </c>
      <c r="AT1129" s="6" t="str">
        <f>HYPERLINK("http://www.worldcat.org/oclc/43036832","WorldCat Record")</f>
        <v>WorldCat Record</v>
      </c>
      <c r="AU1129" s="3" t="s">
        <v>14275</v>
      </c>
      <c r="AV1129" s="3" t="s">
        <v>14276</v>
      </c>
      <c r="AW1129" s="3" t="s">
        <v>14277</v>
      </c>
      <c r="AX1129" s="3" t="s">
        <v>14277</v>
      </c>
      <c r="AY1129" s="3" t="s">
        <v>14278</v>
      </c>
      <c r="AZ1129" s="3" t="s">
        <v>73</v>
      </c>
      <c r="BB1129" s="3" t="s">
        <v>14279</v>
      </c>
      <c r="BC1129" s="3" t="s">
        <v>14280</v>
      </c>
      <c r="BD1129" s="3" t="s">
        <v>14281</v>
      </c>
    </row>
    <row r="1130" spans="1:56" ht="51" customHeight="1" x14ac:dyDescent="0.25">
      <c r="A1130" s="7" t="s">
        <v>58</v>
      </c>
      <c r="B1130" s="2" t="s">
        <v>14282</v>
      </c>
      <c r="C1130" s="2" t="s">
        <v>14283</v>
      </c>
      <c r="D1130" s="2" t="s">
        <v>14284</v>
      </c>
      <c r="F1130" s="3" t="s">
        <v>58</v>
      </c>
      <c r="G1130" s="3" t="s">
        <v>59</v>
      </c>
      <c r="H1130" s="3" t="s">
        <v>58</v>
      </c>
      <c r="I1130" s="3" t="s">
        <v>58</v>
      </c>
      <c r="J1130" s="3" t="s">
        <v>60</v>
      </c>
      <c r="K1130" s="2" t="s">
        <v>14285</v>
      </c>
      <c r="L1130" s="2" t="s">
        <v>14286</v>
      </c>
      <c r="M1130" s="3" t="s">
        <v>745</v>
      </c>
      <c r="O1130" s="3" t="s">
        <v>63</v>
      </c>
      <c r="P1130" s="3" t="s">
        <v>510</v>
      </c>
      <c r="R1130" s="3" t="s">
        <v>65</v>
      </c>
      <c r="S1130" s="4">
        <v>8</v>
      </c>
      <c r="T1130" s="4">
        <v>8</v>
      </c>
      <c r="U1130" s="5" t="s">
        <v>12800</v>
      </c>
      <c r="V1130" s="5" t="s">
        <v>12800</v>
      </c>
      <c r="W1130" s="5" t="s">
        <v>2034</v>
      </c>
      <c r="X1130" s="5" t="s">
        <v>2034</v>
      </c>
      <c r="Y1130" s="4">
        <v>237</v>
      </c>
      <c r="Z1130" s="4">
        <v>226</v>
      </c>
      <c r="AA1130" s="4">
        <v>486</v>
      </c>
      <c r="AB1130" s="4">
        <v>3</v>
      </c>
      <c r="AC1130" s="4">
        <v>3</v>
      </c>
      <c r="AD1130" s="4">
        <v>11</v>
      </c>
      <c r="AE1130" s="4">
        <v>24</v>
      </c>
      <c r="AF1130" s="4">
        <v>4</v>
      </c>
      <c r="AG1130" s="4">
        <v>7</v>
      </c>
      <c r="AH1130" s="4">
        <v>1</v>
      </c>
      <c r="AI1130" s="4">
        <v>7</v>
      </c>
      <c r="AJ1130" s="4">
        <v>5</v>
      </c>
      <c r="AK1130" s="4">
        <v>16</v>
      </c>
      <c r="AL1130" s="4">
        <v>2</v>
      </c>
      <c r="AM1130" s="4">
        <v>2</v>
      </c>
      <c r="AN1130" s="4">
        <v>0</v>
      </c>
      <c r="AO1130" s="4">
        <v>0</v>
      </c>
      <c r="AP1130" s="3" t="s">
        <v>58</v>
      </c>
      <c r="AQ1130" s="3" t="s">
        <v>68</v>
      </c>
      <c r="AR1130" s="6" t="str">
        <f>HYPERLINK("http://catalog.hathitrust.org/Record/001251564","HathiTrust Record")</f>
        <v>HathiTrust Record</v>
      </c>
      <c r="AS1130" s="6" t="str">
        <f>HYPERLINK("https://creighton-primo.hosted.exlibrisgroup.com/primo-explore/search?tab=default_tab&amp;search_scope=EVERYTHING&amp;vid=01CRU&amp;lang=en_US&amp;offset=0&amp;query=any,contains,991003394389702656","Catalog Record")</f>
        <v>Catalog Record</v>
      </c>
      <c r="AT1130" s="6" t="str">
        <f>HYPERLINK("http://www.worldcat.org/oclc/933187","WorldCat Record")</f>
        <v>WorldCat Record</v>
      </c>
      <c r="AU1130" s="3" t="s">
        <v>14287</v>
      </c>
      <c r="AV1130" s="3" t="s">
        <v>14288</v>
      </c>
      <c r="AW1130" s="3" t="s">
        <v>14289</v>
      </c>
      <c r="AX1130" s="3" t="s">
        <v>14289</v>
      </c>
      <c r="AY1130" s="3" t="s">
        <v>14290</v>
      </c>
      <c r="AZ1130" s="3" t="s">
        <v>73</v>
      </c>
      <c r="BC1130" s="3" t="s">
        <v>14291</v>
      </c>
      <c r="BD1130" s="3" t="s">
        <v>14292</v>
      </c>
    </row>
    <row r="1131" spans="1:56" ht="51" customHeight="1" x14ac:dyDescent="0.25">
      <c r="A1131" s="7" t="s">
        <v>58</v>
      </c>
      <c r="B1131" s="2" t="s">
        <v>14293</v>
      </c>
      <c r="C1131" s="2" t="s">
        <v>14294</v>
      </c>
      <c r="D1131" s="2" t="s">
        <v>14295</v>
      </c>
      <c r="F1131" s="3" t="s">
        <v>58</v>
      </c>
      <c r="G1131" s="3" t="s">
        <v>59</v>
      </c>
      <c r="H1131" s="3" t="s">
        <v>58</v>
      </c>
      <c r="I1131" s="3" t="s">
        <v>58</v>
      </c>
      <c r="J1131" s="3" t="s">
        <v>60</v>
      </c>
      <c r="K1131" s="2" t="s">
        <v>14296</v>
      </c>
      <c r="L1131" s="2" t="s">
        <v>14297</v>
      </c>
      <c r="M1131" s="3" t="s">
        <v>382</v>
      </c>
      <c r="O1131" s="3" t="s">
        <v>63</v>
      </c>
      <c r="P1131" s="3" t="s">
        <v>3323</v>
      </c>
      <c r="R1131" s="3" t="s">
        <v>65</v>
      </c>
      <c r="S1131" s="4">
        <v>3</v>
      </c>
      <c r="T1131" s="4">
        <v>3</v>
      </c>
      <c r="U1131" s="5" t="s">
        <v>1733</v>
      </c>
      <c r="V1131" s="5" t="s">
        <v>1733</v>
      </c>
      <c r="W1131" s="5" t="s">
        <v>14298</v>
      </c>
      <c r="X1131" s="5" t="s">
        <v>14298</v>
      </c>
      <c r="Y1131" s="4">
        <v>33</v>
      </c>
      <c r="Z1131" s="4">
        <v>20</v>
      </c>
      <c r="AA1131" s="4">
        <v>155</v>
      </c>
      <c r="AB1131" s="4">
        <v>1</v>
      </c>
      <c r="AC1131" s="4">
        <v>1</v>
      </c>
      <c r="AD1131" s="4">
        <v>2</v>
      </c>
      <c r="AE1131" s="4">
        <v>11</v>
      </c>
      <c r="AF1131" s="4">
        <v>1</v>
      </c>
      <c r="AG1131" s="4">
        <v>1</v>
      </c>
      <c r="AH1131" s="4">
        <v>0</v>
      </c>
      <c r="AI1131" s="4">
        <v>3</v>
      </c>
      <c r="AJ1131" s="4">
        <v>1</v>
      </c>
      <c r="AK1131" s="4">
        <v>9</v>
      </c>
      <c r="AL1131" s="4">
        <v>0</v>
      </c>
      <c r="AM1131" s="4">
        <v>0</v>
      </c>
      <c r="AN1131" s="4">
        <v>0</v>
      </c>
      <c r="AO1131" s="4">
        <v>0</v>
      </c>
      <c r="AP1131" s="3" t="s">
        <v>58</v>
      </c>
      <c r="AQ1131" s="3" t="s">
        <v>58</v>
      </c>
      <c r="AS1131" s="6" t="str">
        <f>HYPERLINK("https://creighton-primo.hosted.exlibrisgroup.com/primo-explore/search?tab=default_tab&amp;search_scope=EVERYTHING&amp;vid=01CRU&amp;lang=en_US&amp;offset=0&amp;query=any,contains,991003866479702656","Catalog Record")</f>
        <v>Catalog Record</v>
      </c>
      <c r="AT1131" s="6" t="str">
        <f>HYPERLINK("http://www.worldcat.org/oclc/42039102","WorldCat Record")</f>
        <v>WorldCat Record</v>
      </c>
      <c r="AU1131" s="3" t="s">
        <v>14299</v>
      </c>
      <c r="AV1131" s="3" t="s">
        <v>14300</v>
      </c>
      <c r="AW1131" s="3" t="s">
        <v>14301</v>
      </c>
      <c r="AX1131" s="3" t="s">
        <v>14301</v>
      </c>
      <c r="AY1131" s="3" t="s">
        <v>14302</v>
      </c>
      <c r="AZ1131" s="3" t="s">
        <v>73</v>
      </c>
      <c r="BB1131" s="3" t="s">
        <v>14303</v>
      </c>
      <c r="BC1131" s="3" t="s">
        <v>14304</v>
      </c>
      <c r="BD1131" s="3" t="s">
        <v>14305</v>
      </c>
    </row>
    <row r="1132" spans="1:56" ht="51" customHeight="1" x14ac:dyDescent="0.25">
      <c r="A1132" s="7" t="s">
        <v>58</v>
      </c>
      <c r="B1132" s="2" t="s">
        <v>14306</v>
      </c>
      <c r="C1132" s="2" t="s">
        <v>14307</v>
      </c>
      <c r="D1132" s="2" t="s">
        <v>14308</v>
      </c>
      <c r="F1132" s="3" t="s">
        <v>58</v>
      </c>
      <c r="G1132" s="3" t="s">
        <v>59</v>
      </c>
      <c r="H1132" s="3" t="s">
        <v>58</v>
      </c>
      <c r="I1132" s="3" t="s">
        <v>58</v>
      </c>
      <c r="J1132" s="3" t="s">
        <v>60</v>
      </c>
      <c r="K1132" s="2" t="s">
        <v>14309</v>
      </c>
      <c r="L1132" s="2" t="s">
        <v>14310</v>
      </c>
      <c r="M1132" s="3" t="s">
        <v>2295</v>
      </c>
      <c r="O1132" s="3" t="s">
        <v>63</v>
      </c>
      <c r="P1132" s="3" t="s">
        <v>584</v>
      </c>
      <c r="R1132" s="3" t="s">
        <v>65</v>
      </c>
      <c r="S1132" s="4">
        <v>2</v>
      </c>
      <c r="T1132" s="4">
        <v>2</v>
      </c>
      <c r="U1132" s="5" t="s">
        <v>14311</v>
      </c>
      <c r="V1132" s="5" t="s">
        <v>14311</v>
      </c>
      <c r="W1132" s="5" t="s">
        <v>7028</v>
      </c>
      <c r="X1132" s="5" t="s">
        <v>7028</v>
      </c>
      <c r="Y1132" s="4">
        <v>176</v>
      </c>
      <c r="Z1132" s="4">
        <v>130</v>
      </c>
      <c r="AA1132" s="4">
        <v>133</v>
      </c>
      <c r="AB1132" s="4">
        <v>2</v>
      </c>
      <c r="AC1132" s="4">
        <v>2</v>
      </c>
      <c r="AD1132" s="4">
        <v>9</v>
      </c>
      <c r="AE1132" s="4">
        <v>10</v>
      </c>
      <c r="AF1132" s="4">
        <v>3</v>
      </c>
      <c r="AG1132" s="4">
        <v>4</v>
      </c>
      <c r="AH1132" s="4">
        <v>2</v>
      </c>
      <c r="AI1132" s="4">
        <v>2</v>
      </c>
      <c r="AJ1132" s="4">
        <v>6</v>
      </c>
      <c r="AK1132" s="4">
        <v>7</v>
      </c>
      <c r="AL1132" s="4">
        <v>1</v>
      </c>
      <c r="AM1132" s="4">
        <v>1</v>
      </c>
      <c r="AN1132" s="4">
        <v>0</v>
      </c>
      <c r="AO1132" s="4">
        <v>0</v>
      </c>
      <c r="AP1132" s="3" t="s">
        <v>58</v>
      </c>
      <c r="AQ1132" s="3" t="s">
        <v>58</v>
      </c>
      <c r="AS1132" s="6" t="str">
        <f>HYPERLINK("https://creighton-primo.hosted.exlibrisgroup.com/primo-explore/search?tab=default_tab&amp;search_scope=EVERYTHING&amp;vid=01CRU&amp;lang=en_US&amp;offset=0&amp;query=any,contains,991005068519702656","Catalog Record")</f>
        <v>Catalog Record</v>
      </c>
      <c r="AT1132" s="6" t="str">
        <f>HYPERLINK("http://www.worldcat.org/oclc/52178625","WorldCat Record")</f>
        <v>WorldCat Record</v>
      </c>
      <c r="AU1132" s="3" t="s">
        <v>14312</v>
      </c>
      <c r="AV1132" s="3" t="s">
        <v>14313</v>
      </c>
      <c r="AW1132" s="3" t="s">
        <v>14314</v>
      </c>
      <c r="AX1132" s="3" t="s">
        <v>14314</v>
      </c>
      <c r="AY1132" s="3" t="s">
        <v>14315</v>
      </c>
      <c r="AZ1132" s="3" t="s">
        <v>73</v>
      </c>
      <c r="BB1132" s="3" t="s">
        <v>14316</v>
      </c>
      <c r="BC1132" s="3" t="s">
        <v>14317</v>
      </c>
      <c r="BD1132" s="3" t="s">
        <v>14318</v>
      </c>
    </row>
    <row r="1133" spans="1:56" ht="51" customHeight="1" x14ac:dyDescent="0.25">
      <c r="A1133" s="7" t="s">
        <v>58</v>
      </c>
      <c r="B1133" s="2" t="s">
        <v>14319</v>
      </c>
      <c r="C1133" s="2" t="s">
        <v>14320</v>
      </c>
      <c r="D1133" s="2" t="s">
        <v>14321</v>
      </c>
      <c r="F1133" s="3" t="s">
        <v>58</v>
      </c>
      <c r="G1133" s="3" t="s">
        <v>59</v>
      </c>
      <c r="H1133" s="3" t="s">
        <v>58</v>
      </c>
      <c r="I1133" s="3" t="s">
        <v>58</v>
      </c>
      <c r="J1133" s="3" t="s">
        <v>60</v>
      </c>
      <c r="K1133" s="2" t="s">
        <v>14322</v>
      </c>
      <c r="L1133" s="2" t="s">
        <v>14323</v>
      </c>
      <c r="M1133" s="3" t="s">
        <v>261</v>
      </c>
      <c r="O1133" s="3" t="s">
        <v>63</v>
      </c>
      <c r="P1133" s="3" t="s">
        <v>584</v>
      </c>
      <c r="Q1133" s="2" t="s">
        <v>14324</v>
      </c>
      <c r="R1133" s="3" t="s">
        <v>65</v>
      </c>
      <c r="S1133" s="4">
        <v>4</v>
      </c>
      <c r="T1133" s="4">
        <v>4</v>
      </c>
      <c r="U1133" s="5" t="s">
        <v>14076</v>
      </c>
      <c r="V1133" s="5" t="s">
        <v>14076</v>
      </c>
      <c r="W1133" s="5" t="s">
        <v>11927</v>
      </c>
      <c r="X1133" s="5" t="s">
        <v>11927</v>
      </c>
      <c r="Y1133" s="4">
        <v>228</v>
      </c>
      <c r="Z1133" s="4">
        <v>152</v>
      </c>
      <c r="AA1133" s="4">
        <v>175</v>
      </c>
      <c r="AB1133" s="4">
        <v>2</v>
      </c>
      <c r="AC1133" s="4">
        <v>3</v>
      </c>
      <c r="AD1133" s="4">
        <v>5</v>
      </c>
      <c r="AE1133" s="4">
        <v>6</v>
      </c>
      <c r="AF1133" s="4">
        <v>0</v>
      </c>
      <c r="AG1133" s="4">
        <v>0</v>
      </c>
      <c r="AH1133" s="4">
        <v>3</v>
      </c>
      <c r="AI1133" s="4">
        <v>3</v>
      </c>
      <c r="AJ1133" s="4">
        <v>1</v>
      </c>
      <c r="AK1133" s="4">
        <v>1</v>
      </c>
      <c r="AL1133" s="4">
        <v>1</v>
      </c>
      <c r="AM1133" s="4">
        <v>2</v>
      </c>
      <c r="AN1133" s="4">
        <v>0</v>
      </c>
      <c r="AO1133" s="4">
        <v>0</v>
      </c>
      <c r="AP1133" s="3" t="s">
        <v>58</v>
      </c>
      <c r="AQ1133" s="3" t="s">
        <v>68</v>
      </c>
      <c r="AR1133" s="6" t="str">
        <f>HYPERLINK("http://catalog.hathitrust.org/Record/000028051","HathiTrust Record")</f>
        <v>HathiTrust Record</v>
      </c>
      <c r="AS1133" s="6" t="str">
        <f>HYPERLINK("https://creighton-primo.hosted.exlibrisgroup.com/primo-explore/search?tab=default_tab&amp;search_scope=EVERYTHING&amp;vid=01CRU&amp;lang=en_US&amp;offset=0&amp;query=any,contains,991003658099702656","Catalog Record")</f>
        <v>Catalog Record</v>
      </c>
      <c r="AT1133" s="6" t="str">
        <f>HYPERLINK("http://www.worldcat.org/oclc/1264454","WorldCat Record")</f>
        <v>WorldCat Record</v>
      </c>
      <c r="AU1133" s="3" t="s">
        <v>14325</v>
      </c>
      <c r="AV1133" s="3" t="s">
        <v>14326</v>
      </c>
      <c r="AW1133" s="3" t="s">
        <v>14327</v>
      </c>
      <c r="AX1133" s="3" t="s">
        <v>14327</v>
      </c>
      <c r="AY1133" s="3" t="s">
        <v>14328</v>
      </c>
      <c r="AZ1133" s="3" t="s">
        <v>73</v>
      </c>
      <c r="BB1133" s="3" t="s">
        <v>14329</v>
      </c>
      <c r="BC1133" s="3" t="s">
        <v>14330</v>
      </c>
      <c r="BD1133" s="3" t="s">
        <v>14331</v>
      </c>
    </row>
    <row r="1134" spans="1:56" ht="51" customHeight="1" x14ac:dyDescent="0.25">
      <c r="A1134" s="7" t="s">
        <v>58</v>
      </c>
      <c r="B1134" s="2" t="s">
        <v>14332</v>
      </c>
      <c r="C1134" s="2" t="s">
        <v>14333</v>
      </c>
      <c r="D1134" s="2" t="s">
        <v>14334</v>
      </c>
      <c r="F1134" s="3" t="s">
        <v>58</v>
      </c>
      <c r="G1134" s="3" t="s">
        <v>59</v>
      </c>
      <c r="H1134" s="3" t="s">
        <v>58</v>
      </c>
      <c r="I1134" s="3" t="s">
        <v>58</v>
      </c>
      <c r="J1134" s="3" t="s">
        <v>60</v>
      </c>
      <c r="K1134" s="2" t="s">
        <v>14335</v>
      </c>
      <c r="L1134" s="2" t="s">
        <v>14336</v>
      </c>
      <c r="M1134" s="3" t="s">
        <v>1061</v>
      </c>
      <c r="O1134" s="3" t="s">
        <v>63</v>
      </c>
      <c r="P1134" s="3" t="s">
        <v>3323</v>
      </c>
      <c r="R1134" s="3" t="s">
        <v>65</v>
      </c>
      <c r="S1134" s="4">
        <v>1</v>
      </c>
      <c r="T1134" s="4">
        <v>1</v>
      </c>
      <c r="U1134" s="5" t="s">
        <v>14337</v>
      </c>
      <c r="V1134" s="5" t="s">
        <v>14337</v>
      </c>
      <c r="W1134" s="5" t="s">
        <v>14337</v>
      </c>
      <c r="X1134" s="5" t="s">
        <v>14337</v>
      </c>
      <c r="Y1134" s="4">
        <v>32</v>
      </c>
      <c r="Z1134" s="4">
        <v>17</v>
      </c>
      <c r="AA1134" s="4">
        <v>334</v>
      </c>
      <c r="AB1134" s="4">
        <v>1</v>
      </c>
      <c r="AC1134" s="4">
        <v>3</v>
      </c>
      <c r="AD1134" s="4">
        <v>1</v>
      </c>
      <c r="AE1134" s="4">
        <v>22</v>
      </c>
      <c r="AF1134" s="4">
        <v>0</v>
      </c>
      <c r="AG1134" s="4">
        <v>6</v>
      </c>
      <c r="AH1134" s="4">
        <v>1</v>
      </c>
      <c r="AI1134" s="4">
        <v>8</v>
      </c>
      <c r="AJ1134" s="4">
        <v>1</v>
      </c>
      <c r="AK1134" s="4">
        <v>14</v>
      </c>
      <c r="AL1134" s="4">
        <v>0</v>
      </c>
      <c r="AM1134" s="4">
        <v>2</v>
      </c>
      <c r="AN1134" s="4">
        <v>0</v>
      </c>
      <c r="AO1134" s="4">
        <v>0</v>
      </c>
      <c r="AP1134" s="3" t="s">
        <v>58</v>
      </c>
      <c r="AQ1134" s="3" t="s">
        <v>58</v>
      </c>
      <c r="AS1134" s="6" t="str">
        <f>HYPERLINK("https://creighton-primo.hosted.exlibrisgroup.com/primo-explore/search?tab=default_tab&amp;search_scope=EVERYTHING&amp;vid=01CRU&amp;lang=en_US&amp;offset=0&amp;query=any,contains,991004373019702656","Catalog Record")</f>
        <v>Catalog Record</v>
      </c>
      <c r="AT1134" s="6" t="str">
        <f>HYPERLINK("http://www.worldcat.org/oclc/37657552","WorldCat Record")</f>
        <v>WorldCat Record</v>
      </c>
      <c r="AU1134" s="3" t="s">
        <v>14338</v>
      </c>
      <c r="AV1134" s="3" t="s">
        <v>14339</v>
      </c>
      <c r="AW1134" s="3" t="s">
        <v>14340</v>
      </c>
      <c r="AX1134" s="3" t="s">
        <v>14340</v>
      </c>
      <c r="AY1134" s="3" t="s">
        <v>14341</v>
      </c>
      <c r="AZ1134" s="3" t="s">
        <v>73</v>
      </c>
      <c r="BB1134" s="3" t="s">
        <v>14342</v>
      </c>
      <c r="BC1134" s="3" t="s">
        <v>14343</v>
      </c>
      <c r="BD1134" s="3" t="s">
        <v>14344</v>
      </c>
    </row>
    <row r="1135" spans="1:56" ht="51" customHeight="1" x14ac:dyDescent="0.25">
      <c r="A1135" s="7" t="s">
        <v>58</v>
      </c>
      <c r="B1135" s="2" t="s">
        <v>14345</v>
      </c>
      <c r="C1135" s="2" t="s">
        <v>14346</v>
      </c>
      <c r="D1135" s="2" t="s">
        <v>14347</v>
      </c>
      <c r="F1135" s="3" t="s">
        <v>58</v>
      </c>
      <c r="G1135" s="3" t="s">
        <v>59</v>
      </c>
      <c r="H1135" s="3" t="s">
        <v>58</v>
      </c>
      <c r="I1135" s="3" t="s">
        <v>58</v>
      </c>
      <c r="J1135" s="3" t="s">
        <v>60</v>
      </c>
      <c r="K1135" s="2" t="s">
        <v>14348</v>
      </c>
      <c r="L1135" s="2" t="s">
        <v>14349</v>
      </c>
      <c r="M1135" s="3" t="s">
        <v>154</v>
      </c>
      <c r="O1135" s="3" t="s">
        <v>63</v>
      </c>
      <c r="P1135" s="3" t="s">
        <v>3323</v>
      </c>
      <c r="R1135" s="3" t="s">
        <v>65</v>
      </c>
      <c r="S1135" s="4">
        <v>6</v>
      </c>
      <c r="T1135" s="4">
        <v>6</v>
      </c>
      <c r="U1135" s="5" t="s">
        <v>14350</v>
      </c>
      <c r="V1135" s="5" t="s">
        <v>14350</v>
      </c>
      <c r="W1135" s="5" t="s">
        <v>14351</v>
      </c>
      <c r="X1135" s="5" t="s">
        <v>14351</v>
      </c>
      <c r="Y1135" s="4">
        <v>261</v>
      </c>
      <c r="Z1135" s="4">
        <v>158</v>
      </c>
      <c r="AA1135" s="4">
        <v>241</v>
      </c>
      <c r="AB1135" s="4">
        <v>2</v>
      </c>
      <c r="AC1135" s="4">
        <v>2</v>
      </c>
      <c r="AD1135" s="4">
        <v>6</v>
      </c>
      <c r="AE1135" s="4">
        <v>12</v>
      </c>
      <c r="AF1135" s="4">
        <v>0</v>
      </c>
      <c r="AG1135" s="4">
        <v>2</v>
      </c>
      <c r="AH1135" s="4">
        <v>2</v>
      </c>
      <c r="AI1135" s="4">
        <v>6</v>
      </c>
      <c r="AJ1135" s="4">
        <v>4</v>
      </c>
      <c r="AK1135" s="4">
        <v>6</v>
      </c>
      <c r="AL1135" s="4">
        <v>1</v>
      </c>
      <c r="AM1135" s="4">
        <v>1</v>
      </c>
      <c r="AN1135" s="4">
        <v>0</v>
      </c>
      <c r="AO1135" s="4">
        <v>0</v>
      </c>
      <c r="AP1135" s="3" t="s">
        <v>58</v>
      </c>
      <c r="AQ1135" s="3" t="s">
        <v>68</v>
      </c>
      <c r="AR1135" s="6" t="str">
        <f>HYPERLINK("http://catalog.hathitrust.org/Record/001944879","HathiTrust Record")</f>
        <v>HathiTrust Record</v>
      </c>
      <c r="AS1135" s="6" t="str">
        <f>HYPERLINK("https://creighton-primo.hosted.exlibrisgroup.com/primo-explore/search?tab=default_tab&amp;search_scope=EVERYTHING&amp;vid=01CRU&amp;lang=en_US&amp;offset=0&amp;query=any,contains,991001638639702656","Catalog Record")</f>
        <v>Catalog Record</v>
      </c>
      <c r="AT1135" s="6" t="str">
        <f>HYPERLINK("http://www.worldcat.org/oclc/20994992","WorldCat Record")</f>
        <v>WorldCat Record</v>
      </c>
      <c r="AU1135" s="3" t="s">
        <v>14352</v>
      </c>
      <c r="AV1135" s="3" t="s">
        <v>14353</v>
      </c>
      <c r="AW1135" s="3" t="s">
        <v>14354</v>
      </c>
      <c r="AX1135" s="3" t="s">
        <v>14354</v>
      </c>
      <c r="AY1135" s="3" t="s">
        <v>14355</v>
      </c>
      <c r="AZ1135" s="3" t="s">
        <v>73</v>
      </c>
      <c r="BB1135" s="3" t="s">
        <v>14356</v>
      </c>
      <c r="BC1135" s="3" t="s">
        <v>14357</v>
      </c>
      <c r="BD1135" s="3" t="s">
        <v>14358</v>
      </c>
    </row>
    <row r="1136" spans="1:56" ht="51" customHeight="1" x14ac:dyDescent="0.25">
      <c r="A1136" s="7" t="s">
        <v>58</v>
      </c>
      <c r="B1136" s="2" t="s">
        <v>14359</v>
      </c>
      <c r="C1136" s="2" t="s">
        <v>14360</v>
      </c>
      <c r="D1136" s="2" t="s">
        <v>14361</v>
      </c>
      <c r="F1136" s="3" t="s">
        <v>58</v>
      </c>
      <c r="G1136" s="3" t="s">
        <v>59</v>
      </c>
      <c r="H1136" s="3" t="s">
        <v>58</v>
      </c>
      <c r="I1136" s="3" t="s">
        <v>58</v>
      </c>
      <c r="J1136" s="3" t="s">
        <v>60</v>
      </c>
      <c r="K1136" s="2" t="s">
        <v>6564</v>
      </c>
      <c r="L1136" s="2" t="s">
        <v>14362</v>
      </c>
      <c r="M1136" s="3" t="s">
        <v>423</v>
      </c>
      <c r="N1136" s="2" t="s">
        <v>1009</v>
      </c>
      <c r="O1136" s="3" t="s">
        <v>63</v>
      </c>
      <c r="P1136" s="3" t="s">
        <v>214</v>
      </c>
      <c r="R1136" s="3" t="s">
        <v>65</v>
      </c>
      <c r="S1136" s="4">
        <v>2</v>
      </c>
      <c r="T1136" s="4">
        <v>2</v>
      </c>
      <c r="U1136" s="5" t="s">
        <v>14363</v>
      </c>
      <c r="V1136" s="5" t="s">
        <v>14363</v>
      </c>
      <c r="W1136" s="5" t="s">
        <v>14364</v>
      </c>
      <c r="X1136" s="5" t="s">
        <v>14364</v>
      </c>
      <c r="Y1136" s="4">
        <v>899</v>
      </c>
      <c r="Z1136" s="4">
        <v>847</v>
      </c>
      <c r="AA1136" s="4">
        <v>916</v>
      </c>
      <c r="AB1136" s="4">
        <v>5</v>
      </c>
      <c r="AC1136" s="4">
        <v>6</v>
      </c>
      <c r="AD1136" s="4">
        <v>30</v>
      </c>
      <c r="AE1136" s="4">
        <v>33</v>
      </c>
      <c r="AF1136" s="4">
        <v>16</v>
      </c>
      <c r="AG1136" s="4">
        <v>16</v>
      </c>
      <c r="AH1136" s="4">
        <v>6</v>
      </c>
      <c r="AI1136" s="4">
        <v>8</v>
      </c>
      <c r="AJ1136" s="4">
        <v>14</v>
      </c>
      <c r="AK1136" s="4">
        <v>16</v>
      </c>
      <c r="AL1136" s="4">
        <v>3</v>
      </c>
      <c r="AM1136" s="4">
        <v>4</v>
      </c>
      <c r="AN1136" s="4">
        <v>0</v>
      </c>
      <c r="AO1136" s="4">
        <v>0</v>
      </c>
      <c r="AP1136" s="3" t="s">
        <v>58</v>
      </c>
      <c r="AQ1136" s="3" t="s">
        <v>58</v>
      </c>
      <c r="AS1136" s="6" t="str">
        <f>HYPERLINK("https://creighton-primo.hosted.exlibrisgroup.com/primo-explore/search?tab=default_tab&amp;search_scope=EVERYTHING&amp;vid=01CRU&amp;lang=en_US&amp;offset=0&amp;query=any,contains,991002899349702656","Catalog Record")</f>
        <v>Catalog Record</v>
      </c>
      <c r="AT1136" s="6" t="str">
        <f>HYPERLINK("http://www.worldcat.org/oclc/38216415","WorldCat Record")</f>
        <v>WorldCat Record</v>
      </c>
      <c r="AU1136" s="3" t="s">
        <v>14365</v>
      </c>
      <c r="AV1136" s="3" t="s">
        <v>14366</v>
      </c>
      <c r="AW1136" s="3" t="s">
        <v>14367</v>
      </c>
      <c r="AX1136" s="3" t="s">
        <v>14367</v>
      </c>
      <c r="AY1136" s="3" t="s">
        <v>14368</v>
      </c>
      <c r="AZ1136" s="3" t="s">
        <v>73</v>
      </c>
      <c r="BB1136" s="3" t="s">
        <v>14369</v>
      </c>
      <c r="BC1136" s="3" t="s">
        <v>14370</v>
      </c>
      <c r="BD1136" s="3" t="s">
        <v>14371</v>
      </c>
    </row>
    <row r="1137" spans="1:56" ht="51" customHeight="1" x14ac:dyDescent="0.25">
      <c r="A1137" s="7" t="s">
        <v>58</v>
      </c>
      <c r="B1137" s="2" t="s">
        <v>14372</v>
      </c>
      <c r="C1137" s="2" t="s">
        <v>14373</v>
      </c>
      <c r="D1137" s="2" t="s">
        <v>14374</v>
      </c>
      <c r="F1137" s="3" t="s">
        <v>58</v>
      </c>
      <c r="G1137" s="3" t="s">
        <v>59</v>
      </c>
      <c r="H1137" s="3" t="s">
        <v>58</v>
      </c>
      <c r="I1137" s="3" t="s">
        <v>58</v>
      </c>
      <c r="J1137" s="3" t="s">
        <v>60</v>
      </c>
      <c r="K1137" s="2" t="s">
        <v>14375</v>
      </c>
      <c r="L1137" s="2" t="s">
        <v>10681</v>
      </c>
      <c r="M1137" s="3" t="s">
        <v>745</v>
      </c>
      <c r="O1137" s="3" t="s">
        <v>63</v>
      </c>
      <c r="P1137" s="3" t="s">
        <v>2061</v>
      </c>
      <c r="R1137" s="3" t="s">
        <v>65</v>
      </c>
      <c r="S1137" s="4">
        <v>5</v>
      </c>
      <c r="T1137" s="4">
        <v>5</v>
      </c>
      <c r="U1137" s="5" t="s">
        <v>2838</v>
      </c>
      <c r="V1137" s="5" t="s">
        <v>2838</v>
      </c>
      <c r="W1137" s="5" t="s">
        <v>11927</v>
      </c>
      <c r="X1137" s="5" t="s">
        <v>11927</v>
      </c>
      <c r="Y1137" s="4">
        <v>509</v>
      </c>
      <c r="Z1137" s="4">
        <v>400</v>
      </c>
      <c r="AA1137" s="4">
        <v>408</v>
      </c>
      <c r="AB1137" s="4">
        <v>4</v>
      </c>
      <c r="AC1137" s="4">
        <v>4</v>
      </c>
      <c r="AD1137" s="4">
        <v>21</v>
      </c>
      <c r="AE1137" s="4">
        <v>21</v>
      </c>
      <c r="AF1137" s="4">
        <v>5</v>
      </c>
      <c r="AG1137" s="4">
        <v>5</v>
      </c>
      <c r="AH1137" s="4">
        <v>7</v>
      </c>
      <c r="AI1137" s="4">
        <v>7</v>
      </c>
      <c r="AJ1137" s="4">
        <v>13</v>
      </c>
      <c r="AK1137" s="4">
        <v>13</v>
      </c>
      <c r="AL1137" s="4">
        <v>3</v>
      </c>
      <c r="AM1137" s="4">
        <v>3</v>
      </c>
      <c r="AN1137" s="4">
        <v>0</v>
      </c>
      <c r="AO1137" s="4">
        <v>0</v>
      </c>
      <c r="AP1137" s="3" t="s">
        <v>58</v>
      </c>
      <c r="AQ1137" s="3" t="s">
        <v>68</v>
      </c>
      <c r="AR1137" s="6" t="str">
        <f>HYPERLINK("http://catalog.hathitrust.org/Record/001251892","HathiTrust Record")</f>
        <v>HathiTrust Record</v>
      </c>
      <c r="AS1137" s="6" t="str">
        <f>HYPERLINK("https://creighton-primo.hosted.exlibrisgroup.com/primo-explore/search?tab=default_tab&amp;search_scope=EVERYTHING&amp;vid=01CRU&amp;lang=en_US&amp;offset=0&amp;query=any,contains,991003440219702656","Catalog Record")</f>
        <v>Catalog Record</v>
      </c>
      <c r="AT1137" s="6" t="str">
        <f>HYPERLINK("http://www.worldcat.org/oclc/976475","WorldCat Record")</f>
        <v>WorldCat Record</v>
      </c>
      <c r="AU1137" s="3" t="s">
        <v>14376</v>
      </c>
      <c r="AV1137" s="3" t="s">
        <v>14377</v>
      </c>
      <c r="AW1137" s="3" t="s">
        <v>14378</v>
      </c>
      <c r="AX1137" s="3" t="s">
        <v>14378</v>
      </c>
      <c r="AY1137" s="3" t="s">
        <v>14379</v>
      </c>
      <c r="AZ1137" s="3" t="s">
        <v>73</v>
      </c>
      <c r="BC1137" s="3" t="s">
        <v>14380</v>
      </c>
      <c r="BD1137" s="3" t="s">
        <v>14381</v>
      </c>
    </row>
    <row r="1138" spans="1:56" ht="51" customHeight="1" x14ac:dyDescent="0.25">
      <c r="A1138" s="7" t="s">
        <v>58</v>
      </c>
      <c r="B1138" s="2" t="s">
        <v>14382</v>
      </c>
      <c r="C1138" s="2" t="s">
        <v>14383</v>
      </c>
      <c r="D1138" s="2" t="s">
        <v>14384</v>
      </c>
      <c r="F1138" s="3" t="s">
        <v>58</v>
      </c>
      <c r="G1138" s="3" t="s">
        <v>59</v>
      </c>
      <c r="H1138" s="3" t="s">
        <v>58</v>
      </c>
      <c r="I1138" s="3" t="s">
        <v>58</v>
      </c>
      <c r="J1138" s="3" t="s">
        <v>60</v>
      </c>
      <c r="K1138" s="2" t="s">
        <v>14385</v>
      </c>
      <c r="L1138" s="2" t="s">
        <v>14386</v>
      </c>
      <c r="M1138" s="3" t="s">
        <v>368</v>
      </c>
      <c r="O1138" s="3" t="s">
        <v>63</v>
      </c>
      <c r="P1138" s="3" t="s">
        <v>584</v>
      </c>
      <c r="Q1138" s="2" t="s">
        <v>14387</v>
      </c>
      <c r="R1138" s="3" t="s">
        <v>65</v>
      </c>
      <c r="S1138" s="4">
        <v>5</v>
      </c>
      <c r="T1138" s="4">
        <v>5</v>
      </c>
      <c r="U1138" s="5" t="s">
        <v>14388</v>
      </c>
      <c r="V1138" s="5" t="s">
        <v>14388</v>
      </c>
      <c r="W1138" s="5" t="s">
        <v>13036</v>
      </c>
      <c r="X1138" s="5" t="s">
        <v>13036</v>
      </c>
      <c r="Y1138" s="4">
        <v>256</v>
      </c>
      <c r="Z1138" s="4">
        <v>149</v>
      </c>
      <c r="AA1138" s="4">
        <v>156</v>
      </c>
      <c r="AB1138" s="4">
        <v>3</v>
      </c>
      <c r="AC1138" s="4">
        <v>3</v>
      </c>
      <c r="AD1138" s="4">
        <v>6</v>
      </c>
      <c r="AE1138" s="4">
        <v>6</v>
      </c>
      <c r="AF1138" s="4">
        <v>0</v>
      </c>
      <c r="AG1138" s="4">
        <v>0</v>
      </c>
      <c r="AH1138" s="4">
        <v>3</v>
      </c>
      <c r="AI1138" s="4">
        <v>3</v>
      </c>
      <c r="AJ1138" s="4">
        <v>2</v>
      </c>
      <c r="AK1138" s="4">
        <v>2</v>
      </c>
      <c r="AL1138" s="4">
        <v>2</v>
      </c>
      <c r="AM1138" s="4">
        <v>2</v>
      </c>
      <c r="AN1138" s="4">
        <v>0</v>
      </c>
      <c r="AO1138" s="4">
        <v>0</v>
      </c>
      <c r="AP1138" s="3" t="s">
        <v>58</v>
      </c>
      <c r="AQ1138" s="3" t="s">
        <v>68</v>
      </c>
      <c r="AR1138" s="6" t="str">
        <f>HYPERLINK("http://catalog.hathitrust.org/Record/000088363","HathiTrust Record")</f>
        <v>HathiTrust Record</v>
      </c>
      <c r="AS1138" s="6" t="str">
        <f>HYPERLINK("https://creighton-primo.hosted.exlibrisgroup.com/primo-explore/search?tab=default_tab&amp;search_scope=EVERYTHING&amp;vid=01CRU&amp;lang=en_US&amp;offset=0&amp;query=any,contains,991004256869702656","Catalog Record")</f>
        <v>Catalog Record</v>
      </c>
      <c r="AT1138" s="6" t="str">
        <f>HYPERLINK("http://www.worldcat.org/oclc/2828399","WorldCat Record")</f>
        <v>WorldCat Record</v>
      </c>
      <c r="AU1138" s="3" t="s">
        <v>14389</v>
      </c>
      <c r="AV1138" s="3" t="s">
        <v>14390</v>
      </c>
      <c r="AW1138" s="3" t="s">
        <v>14391</v>
      </c>
      <c r="AX1138" s="3" t="s">
        <v>14391</v>
      </c>
      <c r="AY1138" s="3" t="s">
        <v>14392</v>
      </c>
      <c r="AZ1138" s="3" t="s">
        <v>73</v>
      </c>
      <c r="BB1138" s="3" t="s">
        <v>14393</v>
      </c>
      <c r="BC1138" s="3" t="s">
        <v>14394</v>
      </c>
      <c r="BD1138" s="3" t="s">
        <v>14395</v>
      </c>
    </row>
    <row r="1139" spans="1:56" ht="51" customHeight="1" x14ac:dyDescent="0.25">
      <c r="A1139" s="7" t="s">
        <v>58</v>
      </c>
      <c r="B1139" s="2" t="s">
        <v>14396</v>
      </c>
      <c r="C1139" s="2" t="s">
        <v>14397</v>
      </c>
      <c r="D1139" s="2" t="s">
        <v>14398</v>
      </c>
      <c r="F1139" s="3" t="s">
        <v>58</v>
      </c>
      <c r="G1139" s="3" t="s">
        <v>59</v>
      </c>
      <c r="H1139" s="3" t="s">
        <v>58</v>
      </c>
      <c r="I1139" s="3" t="s">
        <v>58</v>
      </c>
      <c r="J1139" s="3" t="s">
        <v>60</v>
      </c>
      <c r="K1139" s="2" t="s">
        <v>14399</v>
      </c>
      <c r="L1139" s="2" t="s">
        <v>14400</v>
      </c>
      <c r="M1139" s="3" t="s">
        <v>842</v>
      </c>
      <c r="O1139" s="3" t="s">
        <v>63</v>
      </c>
      <c r="P1139" s="3" t="s">
        <v>214</v>
      </c>
      <c r="R1139" s="3" t="s">
        <v>65</v>
      </c>
      <c r="S1139" s="4">
        <v>3</v>
      </c>
      <c r="T1139" s="4">
        <v>3</v>
      </c>
      <c r="U1139" s="5" t="s">
        <v>14401</v>
      </c>
      <c r="V1139" s="5" t="s">
        <v>14401</v>
      </c>
      <c r="W1139" s="5" t="s">
        <v>14402</v>
      </c>
      <c r="X1139" s="5" t="s">
        <v>14402</v>
      </c>
      <c r="Y1139" s="4">
        <v>577</v>
      </c>
      <c r="Z1139" s="4">
        <v>480</v>
      </c>
      <c r="AA1139" s="4">
        <v>485</v>
      </c>
      <c r="AB1139" s="4">
        <v>3</v>
      </c>
      <c r="AC1139" s="4">
        <v>3</v>
      </c>
      <c r="AD1139" s="4">
        <v>22</v>
      </c>
      <c r="AE1139" s="4">
        <v>22</v>
      </c>
      <c r="AF1139" s="4">
        <v>10</v>
      </c>
      <c r="AG1139" s="4">
        <v>10</v>
      </c>
      <c r="AH1139" s="4">
        <v>6</v>
      </c>
      <c r="AI1139" s="4">
        <v>6</v>
      </c>
      <c r="AJ1139" s="4">
        <v>12</v>
      </c>
      <c r="AK1139" s="4">
        <v>12</v>
      </c>
      <c r="AL1139" s="4">
        <v>2</v>
      </c>
      <c r="AM1139" s="4">
        <v>2</v>
      </c>
      <c r="AN1139" s="4">
        <v>0</v>
      </c>
      <c r="AO1139" s="4">
        <v>0</v>
      </c>
      <c r="AP1139" s="3" t="s">
        <v>58</v>
      </c>
      <c r="AQ1139" s="3" t="s">
        <v>58</v>
      </c>
      <c r="AS1139" s="6" t="str">
        <f>HYPERLINK("https://creighton-primo.hosted.exlibrisgroup.com/primo-explore/search?tab=default_tab&amp;search_scope=EVERYTHING&amp;vid=01CRU&amp;lang=en_US&amp;offset=0&amp;query=any,contains,991005055789702656","Catalog Record")</f>
        <v>Catalog Record</v>
      </c>
      <c r="AT1139" s="6" t="str">
        <f>HYPERLINK("http://www.worldcat.org/oclc/6891406","WorldCat Record")</f>
        <v>WorldCat Record</v>
      </c>
      <c r="AU1139" s="3" t="s">
        <v>14403</v>
      </c>
      <c r="AV1139" s="3" t="s">
        <v>14404</v>
      </c>
      <c r="AW1139" s="3" t="s">
        <v>14405</v>
      </c>
      <c r="AX1139" s="3" t="s">
        <v>14405</v>
      </c>
      <c r="AY1139" s="3" t="s">
        <v>14406</v>
      </c>
      <c r="AZ1139" s="3" t="s">
        <v>73</v>
      </c>
      <c r="BB1139" s="3" t="s">
        <v>14407</v>
      </c>
      <c r="BC1139" s="3" t="s">
        <v>14408</v>
      </c>
      <c r="BD1139" s="3" t="s">
        <v>14409</v>
      </c>
    </row>
    <row r="1140" spans="1:56" ht="51" customHeight="1" x14ac:dyDescent="0.25">
      <c r="A1140" s="7" t="s">
        <v>58</v>
      </c>
      <c r="B1140" s="2" t="s">
        <v>14410</v>
      </c>
      <c r="C1140" s="2" t="s">
        <v>14411</v>
      </c>
      <c r="D1140" s="2" t="s">
        <v>14412</v>
      </c>
      <c r="F1140" s="3" t="s">
        <v>58</v>
      </c>
      <c r="G1140" s="3" t="s">
        <v>59</v>
      </c>
      <c r="H1140" s="3" t="s">
        <v>58</v>
      </c>
      <c r="I1140" s="3" t="s">
        <v>58</v>
      </c>
      <c r="J1140" s="3" t="s">
        <v>60</v>
      </c>
      <c r="K1140" s="2" t="s">
        <v>14413</v>
      </c>
      <c r="L1140" s="2" t="s">
        <v>14414</v>
      </c>
      <c r="M1140" s="3" t="s">
        <v>996</v>
      </c>
      <c r="O1140" s="3" t="s">
        <v>63</v>
      </c>
      <c r="P1140" s="3" t="s">
        <v>3323</v>
      </c>
      <c r="R1140" s="3" t="s">
        <v>65</v>
      </c>
      <c r="S1140" s="4">
        <v>2</v>
      </c>
      <c r="T1140" s="4">
        <v>2</v>
      </c>
      <c r="U1140" s="5" t="s">
        <v>4879</v>
      </c>
      <c r="V1140" s="5" t="s">
        <v>4879</v>
      </c>
      <c r="W1140" s="5" t="s">
        <v>14415</v>
      </c>
      <c r="X1140" s="5" t="s">
        <v>14415</v>
      </c>
      <c r="Y1140" s="4">
        <v>162</v>
      </c>
      <c r="Z1140" s="4">
        <v>120</v>
      </c>
      <c r="AA1140" s="4">
        <v>129</v>
      </c>
      <c r="AB1140" s="4">
        <v>2</v>
      </c>
      <c r="AC1140" s="4">
        <v>2</v>
      </c>
      <c r="AD1140" s="4">
        <v>4</v>
      </c>
      <c r="AE1140" s="4">
        <v>4</v>
      </c>
      <c r="AF1140" s="4">
        <v>1</v>
      </c>
      <c r="AG1140" s="4">
        <v>1</v>
      </c>
      <c r="AH1140" s="4">
        <v>0</v>
      </c>
      <c r="AI1140" s="4">
        <v>0</v>
      </c>
      <c r="AJ1140" s="4">
        <v>3</v>
      </c>
      <c r="AK1140" s="4">
        <v>3</v>
      </c>
      <c r="AL1140" s="4">
        <v>1</v>
      </c>
      <c r="AM1140" s="4">
        <v>1</v>
      </c>
      <c r="AN1140" s="4">
        <v>0</v>
      </c>
      <c r="AO1140" s="4">
        <v>0</v>
      </c>
      <c r="AP1140" s="3" t="s">
        <v>58</v>
      </c>
      <c r="AQ1140" s="3" t="s">
        <v>68</v>
      </c>
      <c r="AR1140" s="6" t="str">
        <f>HYPERLINK("http://catalog.hathitrust.org/Record/001251976","HathiTrust Record")</f>
        <v>HathiTrust Record</v>
      </c>
      <c r="AS1140" s="6" t="str">
        <f>HYPERLINK("https://creighton-primo.hosted.exlibrisgroup.com/primo-explore/search?tab=default_tab&amp;search_scope=EVERYTHING&amp;vid=01CRU&amp;lang=en_US&amp;offset=0&amp;query=any,contains,991003005169702656","Catalog Record")</f>
        <v>Catalog Record</v>
      </c>
      <c r="AT1140" s="6" t="str">
        <f>HYPERLINK("http://www.worldcat.org/oclc/572607","WorldCat Record")</f>
        <v>WorldCat Record</v>
      </c>
      <c r="AU1140" s="3" t="s">
        <v>14416</v>
      </c>
      <c r="AV1140" s="3" t="s">
        <v>14417</v>
      </c>
      <c r="AW1140" s="3" t="s">
        <v>14418</v>
      </c>
      <c r="AX1140" s="3" t="s">
        <v>14418</v>
      </c>
      <c r="AY1140" s="3" t="s">
        <v>14419</v>
      </c>
      <c r="AZ1140" s="3" t="s">
        <v>73</v>
      </c>
      <c r="BC1140" s="3" t="s">
        <v>14420</v>
      </c>
      <c r="BD1140" s="3" t="s">
        <v>14421</v>
      </c>
    </row>
    <row r="1141" spans="1:56" ht="51" customHeight="1" x14ac:dyDescent="0.25">
      <c r="A1141" s="7" t="s">
        <v>58</v>
      </c>
      <c r="B1141" s="2" t="s">
        <v>14422</v>
      </c>
      <c r="C1141" s="2" t="s">
        <v>14423</v>
      </c>
      <c r="D1141" s="2" t="s">
        <v>14424</v>
      </c>
      <c r="F1141" s="3" t="s">
        <v>58</v>
      </c>
      <c r="G1141" s="3" t="s">
        <v>59</v>
      </c>
      <c r="H1141" s="3" t="s">
        <v>58</v>
      </c>
      <c r="I1141" s="3" t="s">
        <v>58</v>
      </c>
      <c r="J1141" s="3" t="s">
        <v>60</v>
      </c>
      <c r="K1141" s="2" t="s">
        <v>14425</v>
      </c>
      <c r="L1141" s="2" t="s">
        <v>14426</v>
      </c>
      <c r="M1141" s="3" t="s">
        <v>2214</v>
      </c>
      <c r="N1141" s="2" t="s">
        <v>1009</v>
      </c>
      <c r="O1141" s="3" t="s">
        <v>63</v>
      </c>
      <c r="P1141" s="3" t="s">
        <v>214</v>
      </c>
      <c r="R1141" s="3" t="s">
        <v>65</v>
      </c>
      <c r="S1141" s="4">
        <v>3</v>
      </c>
      <c r="T1141" s="4">
        <v>3</v>
      </c>
      <c r="U1141" s="5" t="s">
        <v>14427</v>
      </c>
      <c r="V1141" s="5" t="s">
        <v>14427</v>
      </c>
      <c r="W1141" s="5" t="s">
        <v>14428</v>
      </c>
      <c r="X1141" s="5" t="s">
        <v>14428</v>
      </c>
      <c r="Y1141" s="4">
        <v>598</v>
      </c>
      <c r="Z1141" s="4">
        <v>565</v>
      </c>
      <c r="AA1141" s="4">
        <v>572</v>
      </c>
      <c r="AB1141" s="4">
        <v>2</v>
      </c>
      <c r="AC1141" s="4">
        <v>2</v>
      </c>
      <c r="AD1141" s="4">
        <v>7</v>
      </c>
      <c r="AE1141" s="4">
        <v>7</v>
      </c>
      <c r="AF1141" s="4">
        <v>3</v>
      </c>
      <c r="AG1141" s="4">
        <v>3</v>
      </c>
      <c r="AH1141" s="4">
        <v>1</v>
      </c>
      <c r="AI1141" s="4">
        <v>1</v>
      </c>
      <c r="AJ1141" s="4">
        <v>5</v>
      </c>
      <c r="AK1141" s="4">
        <v>5</v>
      </c>
      <c r="AL1141" s="4">
        <v>1</v>
      </c>
      <c r="AM1141" s="4">
        <v>1</v>
      </c>
      <c r="AN1141" s="4">
        <v>0</v>
      </c>
      <c r="AO1141" s="4">
        <v>0</v>
      </c>
      <c r="AP1141" s="3" t="s">
        <v>58</v>
      </c>
      <c r="AQ1141" s="3" t="s">
        <v>58</v>
      </c>
      <c r="AS1141" s="6" t="str">
        <f>HYPERLINK("https://creighton-primo.hosted.exlibrisgroup.com/primo-explore/search?tab=default_tab&amp;search_scope=EVERYTHING&amp;vid=01CRU&amp;lang=en_US&amp;offset=0&amp;query=any,contains,991004430829702656","Catalog Record")</f>
        <v>Catalog Record</v>
      </c>
      <c r="AT1141" s="6" t="str">
        <f>HYPERLINK("http://www.worldcat.org/oclc/56329450","WorldCat Record")</f>
        <v>WorldCat Record</v>
      </c>
      <c r="AU1141" s="3" t="s">
        <v>14429</v>
      </c>
      <c r="AV1141" s="3" t="s">
        <v>14430</v>
      </c>
      <c r="AW1141" s="3" t="s">
        <v>14431</v>
      </c>
      <c r="AX1141" s="3" t="s">
        <v>14431</v>
      </c>
      <c r="AY1141" s="3" t="s">
        <v>14432</v>
      </c>
      <c r="AZ1141" s="3" t="s">
        <v>73</v>
      </c>
      <c r="BB1141" s="3" t="s">
        <v>14433</v>
      </c>
      <c r="BC1141" s="3" t="s">
        <v>14434</v>
      </c>
      <c r="BD1141" s="3" t="s">
        <v>14435</v>
      </c>
    </row>
    <row r="1142" spans="1:56" ht="51" customHeight="1" x14ac:dyDescent="0.25">
      <c r="A1142" s="7" t="s">
        <v>58</v>
      </c>
      <c r="B1142" s="2" t="s">
        <v>14436</v>
      </c>
      <c r="C1142" s="2" t="s">
        <v>14437</v>
      </c>
      <c r="D1142" s="2" t="s">
        <v>14438</v>
      </c>
      <c r="F1142" s="3" t="s">
        <v>58</v>
      </c>
      <c r="G1142" s="3" t="s">
        <v>59</v>
      </c>
      <c r="H1142" s="3" t="s">
        <v>58</v>
      </c>
      <c r="I1142" s="3" t="s">
        <v>58</v>
      </c>
      <c r="J1142" s="3" t="s">
        <v>60</v>
      </c>
      <c r="K1142" s="2" t="s">
        <v>14439</v>
      </c>
      <c r="L1142" s="2" t="s">
        <v>14440</v>
      </c>
      <c r="M1142" s="3" t="s">
        <v>1385</v>
      </c>
      <c r="O1142" s="3" t="s">
        <v>63</v>
      </c>
      <c r="P1142" s="3" t="s">
        <v>584</v>
      </c>
      <c r="R1142" s="3" t="s">
        <v>65</v>
      </c>
      <c r="S1142" s="4">
        <v>5</v>
      </c>
      <c r="T1142" s="4">
        <v>5</v>
      </c>
      <c r="U1142" s="5" t="s">
        <v>14441</v>
      </c>
      <c r="V1142" s="5" t="s">
        <v>14441</v>
      </c>
      <c r="W1142" s="5" t="s">
        <v>14415</v>
      </c>
      <c r="X1142" s="5" t="s">
        <v>14415</v>
      </c>
      <c r="Y1142" s="4">
        <v>514</v>
      </c>
      <c r="Z1142" s="4">
        <v>354</v>
      </c>
      <c r="AA1142" s="4">
        <v>368</v>
      </c>
      <c r="AB1142" s="4">
        <v>3</v>
      </c>
      <c r="AC1142" s="4">
        <v>3</v>
      </c>
      <c r="AD1142" s="4">
        <v>20</v>
      </c>
      <c r="AE1142" s="4">
        <v>20</v>
      </c>
      <c r="AF1142" s="4">
        <v>8</v>
      </c>
      <c r="AG1142" s="4">
        <v>8</v>
      </c>
      <c r="AH1142" s="4">
        <v>6</v>
      </c>
      <c r="AI1142" s="4">
        <v>6</v>
      </c>
      <c r="AJ1142" s="4">
        <v>9</v>
      </c>
      <c r="AK1142" s="4">
        <v>9</v>
      </c>
      <c r="AL1142" s="4">
        <v>2</v>
      </c>
      <c r="AM1142" s="4">
        <v>2</v>
      </c>
      <c r="AN1142" s="4">
        <v>0</v>
      </c>
      <c r="AO1142" s="4">
        <v>0</v>
      </c>
      <c r="AP1142" s="3" t="s">
        <v>58</v>
      </c>
      <c r="AQ1142" s="3" t="s">
        <v>68</v>
      </c>
      <c r="AR1142" s="6" t="str">
        <f>HYPERLINK("http://catalog.hathitrust.org/Record/001251980","HathiTrust Record")</f>
        <v>HathiTrust Record</v>
      </c>
      <c r="AS1142" s="6" t="str">
        <f>HYPERLINK("https://creighton-primo.hosted.exlibrisgroup.com/primo-explore/search?tab=default_tab&amp;search_scope=EVERYTHING&amp;vid=01CRU&amp;lang=en_US&amp;offset=0&amp;query=any,contains,991003580669702656","Catalog Record")</f>
        <v>Catalog Record</v>
      </c>
      <c r="AT1142" s="6" t="str">
        <f>HYPERLINK("http://www.worldcat.org/oclc/1161749","WorldCat Record")</f>
        <v>WorldCat Record</v>
      </c>
      <c r="AU1142" s="3" t="s">
        <v>14442</v>
      </c>
      <c r="AV1142" s="3" t="s">
        <v>14443</v>
      </c>
      <c r="AW1142" s="3" t="s">
        <v>14444</v>
      </c>
      <c r="AX1142" s="3" t="s">
        <v>14444</v>
      </c>
      <c r="AY1142" s="3" t="s">
        <v>14445</v>
      </c>
      <c r="AZ1142" s="3" t="s">
        <v>73</v>
      </c>
      <c r="BB1142" s="3" t="s">
        <v>14446</v>
      </c>
      <c r="BC1142" s="3" t="s">
        <v>14447</v>
      </c>
      <c r="BD1142" s="3" t="s">
        <v>14448</v>
      </c>
    </row>
    <row r="1143" spans="1:56" ht="51" customHeight="1" x14ac:dyDescent="0.25">
      <c r="A1143" s="7" t="s">
        <v>58</v>
      </c>
      <c r="B1143" s="2" t="s">
        <v>14449</v>
      </c>
      <c r="C1143" s="2" t="s">
        <v>14450</v>
      </c>
      <c r="D1143" s="2" t="s">
        <v>14451</v>
      </c>
      <c r="F1143" s="3" t="s">
        <v>58</v>
      </c>
      <c r="G1143" s="3" t="s">
        <v>59</v>
      </c>
      <c r="H1143" s="3" t="s">
        <v>58</v>
      </c>
      <c r="I1143" s="3" t="s">
        <v>58</v>
      </c>
      <c r="J1143" s="3" t="s">
        <v>60</v>
      </c>
      <c r="L1143" s="2" t="s">
        <v>14452</v>
      </c>
      <c r="M1143" s="3" t="s">
        <v>1357</v>
      </c>
      <c r="O1143" s="3" t="s">
        <v>63</v>
      </c>
      <c r="P1143" s="3" t="s">
        <v>816</v>
      </c>
      <c r="R1143" s="3" t="s">
        <v>65</v>
      </c>
      <c r="S1143" s="4">
        <v>5</v>
      </c>
      <c r="T1143" s="4">
        <v>5</v>
      </c>
      <c r="U1143" s="5" t="s">
        <v>14441</v>
      </c>
      <c r="V1143" s="5" t="s">
        <v>14441</v>
      </c>
      <c r="W1143" s="5" t="s">
        <v>13789</v>
      </c>
      <c r="X1143" s="5" t="s">
        <v>13789</v>
      </c>
      <c r="Y1143" s="4">
        <v>409</v>
      </c>
      <c r="Z1143" s="4">
        <v>375</v>
      </c>
      <c r="AA1143" s="4">
        <v>461</v>
      </c>
      <c r="AB1143" s="4">
        <v>5</v>
      </c>
      <c r="AC1143" s="4">
        <v>5</v>
      </c>
      <c r="AD1143" s="4">
        <v>21</v>
      </c>
      <c r="AE1143" s="4">
        <v>24</v>
      </c>
      <c r="AF1143" s="4">
        <v>9</v>
      </c>
      <c r="AG1143" s="4">
        <v>9</v>
      </c>
      <c r="AH1143" s="4">
        <v>6</v>
      </c>
      <c r="AI1143" s="4">
        <v>8</v>
      </c>
      <c r="AJ1143" s="4">
        <v>8</v>
      </c>
      <c r="AK1143" s="4">
        <v>10</v>
      </c>
      <c r="AL1143" s="4">
        <v>4</v>
      </c>
      <c r="AM1143" s="4">
        <v>4</v>
      </c>
      <c r="AN1143" s="4">
        <v>0</v>
      </c>
      <c r="AO1143" s="4">
        <v>0</v>
      </c>
      <c r="AP1143" s="3" t="s">
        <v>58</v>
      </c>
      <c r="AQ1143" s="3" t="s">
        <v>68</v>
      </c>
      <c r="AR1143" s="6" t="str">
        <f>HYPERLINK("http://catalog.hathitrust.org/Record/007127839","HathiTrust Record")</f>
        <v>HathiTrust Record</v>
      </c>
      <c r="AS1143" s="6" t="str">
        <f>HYPERLINK("https://creighton-primo.hosted.exlibrisgroup.com/primo-explore/search?tab=default_tab&amp;search_scope=EVERYTHING&amp;vid=01CRU&amp;lang=en_US&amp;offset=0&amp;query=any,contains,991000647739702656","Catalog Record")</f>
        <v>Catalog Record</v>
      </c>
      <c r="AT1143" s="6" t="str">
        <f>HYPERLINK("http://www.worldcat.org/oclc/111552","WorldCat Record")</f>
        <v>WorldCat Record</v>
      </c>
      <c r="AU1143" s="3" t="s">
        <v>14453</v>
      </c>
      <c r="AV1143" s="3" t="s">
        <v>14454</v>
      </c>
      <c r="AW1143" s="3" t="s">
        <v>14455</v>
      </c>
      <c r="AX1143" s="3" t="s">
        <v>14455</v>
      </c>
      <c r="AY1143" s="3" t="s">
        <v>14456</v>
      </c>
      <c r="AZ1143" s="3" t="s">
        <v>73</v>
      </c>
      <c r="BB1143" s="3" t="s">
        <v>14457</v>
      </c>
      <c r="BC1143" s="3" t="s">
        <v>14458</v>
      </c>
      <c r="BD1143" s="3" t="s">
        <v>14459</v>
      </c>
    </row>
    <row r="1144" spans="1:56" ht="51" customHeight="1" x14ac:dyDescent="0.25">
      <c r="A1144" s="7" t="s">
        <v>58</v>
      </c>
      <c r="B1144" s="2" t="s">
        <v>14460</v>
      </c>
      <c r="C1144" s="2" t="s">
        <v>14461</v>
      </c>
      <c r="D1144" s="2" t="s">
        <v>14462</v>
      </c>
      <c r="F1144" s="3" t="s">
        <v>58</v>
      </c>
      <c r="G1144" s="3" t="s">
        <v>59</v>
      </c>
      <c r="H1144" s="3" t="s">
        <v>58</v>
      </c>
      <c r="I1144" s="3" t="s">
        <v>58</v>
      </c>
      <c r="J1144" s="3" t="s">
        <v>60</v>
      </c>
      <c r="K1144" s="2" t="s">
        <v>14463</v>
      </c>
      <c r="L1144" s="2" t="s">
        <v>14464</v>
      </c>
      <c r="M1144" s="3" t="s">
        <v>1153</v>
      </c>
      <c r="O1144" s="3" t="s">
        <v>63</v>
      </c>
      <c r="P1144" s="3" t="s">
        <v>816</v>
      </c>
      <c r="R1144" s="3" t="s">
        <v>65</v>
      </c>
      <c r="S1144" s="4">
        <v>2</v>
      </c>
      <c r="T1144" s="4">
        <v>2</v>
      </c>
      <c r="U1144" s="5" t="s">
        <v>14465</v>
      </c>
      <c r="V1144" s="5" t="s">
        <v>14465</v>
      </c>
      <c r="W1144" s="5" t="s">
        <v>2034</v>
      </c>
      <c r="X1144" s="5" t="s">
        <v>2034</v>
      </c>
      <c r="Y1144" s="4">
        <v>624</v>
      </c>
      <c r="Z1144" s="4">
        <v>506</v>
      </c>
      <c r="AA1144" s="4">
        <v>509</v>
      </c>
      <c r="AB1144" s="4">
        <v>3</v>
      </c>
      <c r="AC1144" s="4">
        <v>3</v>
      </c>
      <c r="AD1144" s="4">
        <v>21</v>
      </c>
      <c r="AE1144" s="4">
        <v>21</v>
      </c>
      <c r="AF1144" s="4">
        <v>8</v>
      </c>
      <c r="AG1144" s="4">
        <v>8</v>
      </c>
      <c r="AH1144" s="4">
        <v>6</v>
      </c>
      <c r="AI1144" s="4">
        <v>6</v>
      </c>
      <c r="AJ1144" s="4">
        <v>10</v>
      </c>
      <c r="AK1144" s="4">
        <v>10</v>
      </c>
      <c r="AL1144" s="4">
        <v>2</v>
      </c>
      <c r="AM1144" s="4">
        <v>2</v>
      </c>
      <c r="AN1144" s="4">
        <v>0</v>
      </c>
      <c r="AO1144" s="4">
        <v>0</v>
      </c>
      <c r="AP1144" s="3" t="s">
        <v>58</v>
      </c>
      <c r="AQ1144" s="3" t="s">
        <v>68</v>
      </c>
      <c r="AR1144" s="6" t="str">
        <f>HYPERLINK("http://catalog.hathitrust.org/Record/001252066","HathiTrust Record")</f>
        <v>HathiTrust Record</v>
      </c>
      <c r="AS1144" s="6" t="str">
        <f>HYPERLINK("https://creighton-primo.hosted.exlibrisgroup.com/primo-explore/search?tab=default_tab&amp;search_scope=EVERYTHING&amp;vid=01CRU&amp;lang=en_US&amp;offset=0&amp;query=any,contains,991003210849702656","Catalog Record")</f>
        <v>Catalog Record</v>
      </c>
      <c r="AT1144" s="6" t="str">
        <f>HYPERLINK("http://www.worldcat.org/oclc/736912","WorldCat Record")</f>
        <v>WorldCat Record</v>
      </c>
      <c r="AU1144" s="3" t="s">
        <v>14466</v>
      </c>
      <c r="AV1144" s="3" t="s">
        <v>14467</v>
      </c>
      <c r="AW1144" s="3" t="s">
        <v>14468</v>
      </c>
      <c r="AX1144" s="3" t="s">
        <v>14468</v>
      </c>
      <c r="AY1144" s="3" t="s">
        <v>14469</v>
      </c>
      <c r="AZ1144" s="3" t="s">
        <v>73</v>
      </c>
      <c r="BB1144" s="3" t="s">
        <v>14470</v>
      </c>
      <c r="BC1144" s="3" t="s">
        <v>14471</v>
      </c>
      <c r="BD1144" s="3" t="s">
        <v>14472</v>
      </c>
    </row>
    <row r="1145" spans="1:56" ht="51" customHeight="1" x14ac:dyDescent="0.25">
      <c r="A1145" s="7" t="s">
        <v>58</v>
      </c>
      <c r="B1145" s="2" t="s">
        <v>14473</v>
      </c>
      <c r="C1145" s="2" t="s">
        <v>14474</v>
      </c>
      <c r="D1145" s="2" t="s">
        <v>14475</v>
      </c>
      <c r="F1145" s="3" t="s">
        <v>58</v>
      </c>
      <c r="G1145" s="3" t="s">
        <v>59</v>
      </c>
      <c r="H1145" s="3" t="s">
        <v>58</v>
      </c>
      <c r="I1145" s="3" t="s">
        <v>58</v>
      </c>
      <c r="J1145" s="3" t="s">
        <v>60</v>
      </c>
      <c r="K1145" s="2" t="s">
        <v>14439</v>
      </c>
      <c r="L1145" s="2" t="s">
        <v>14476</v>
      </c>
      <c r="M1145" s="3" t="s">
        <v>1784</v>
      </c>
      <c r="O1145" s="3" t="s">
        <v>63</v>
      </c>
      <c r="P1145" s="3" t="s">
        <v>584</v>
      </c>
      <c r="R1145" s="3" t="s">
        <v>65</v>
      </c>
      <c r="S1145" s="4">
        <v>3</v>
      </c>
      <c r="T1145" s="4">
        <v>3</v>
      </c>
      <c r="U1145" s="5" t="s">
        <v>14477</v>
      </c>
      <c r="V1145" s="5" t="s">
        <v>14477</v>
      </c>
      <c r="W1145" s="5" t="s">
        <v>8127</v>
      </c>
      <c r="X1145" s="5" t="s">
        <v>8127</v>
      </c>
      <c r="Y1145" s="4">
        <v>411</v>
      </c>
      <c r="Z1145" s="4">
        <v>267</v>
      </c>
      <c r="AA1145" s="4">
        <v>275</v>
      </c>
      <c r="AB1145" s="4">
        <v>3</v>
      </c>
      <c r="AC1145" s="4">
        <v>3</v>
      </c>
      <c r="AD1145" s="4">
        <v>9</v>
      </c>
      <c r="AE1145" s="4">
        <v>9</v>
      </c>
      <c r="AF1145" s="4">
        <v>0</v>
      </c>
      <c r="AG1145" s="4">
        <v>0</v>
      </c>
      <c r="AH1145" s="4">
        <v>4</v>
      </c>
      <c r="AI1145" s="4">
        <v>4</v>
      </c>
      <c r="AJ1145" s="4">
        <v>5</v>
      </c>
      <c r="AK1145" s="4">
        <v>5</v>
      </c>
      <c r="AL1145" s="4">
        <v>2</v>
      </c>
      <c r="AM1145" s="4">
        <v>2</v>
      </c>
      <c r="AN1145" s="4">
        <v>0</v>
      </c>
      <c r="AO1145" s="4">
        <v>0</v>
      </c>
      <c r="AP1145" s="3" t="s">
        <v>58</v>
      </c>
      <c r="AQ1145" s="3" t="s">
        <v>68</v>
      </c>
      <c r="AR1145" s="6" t="str">
        <f>HYPERLINK("http://catalog.hathitrust.org/Record/000303373","HathiTrust Record")</f>
        <v>HathiTrust Record</v>
      </c>
      <c r="AS1145" s="6" t="str">
        <f>HYPERLINK("https://creighton-primo.hosted.exlibrisgroup.com/primo-explore/search?tab=default_tab&amp;search_scope=EVERYTHING&amp;vid=01CRU&amp;lang=en_US&amp;offset=0&amp;query=any,contains,991004775269702656","Catalog Record")</f>
        <v>Catalog Record</v>
      </c>
      <c r="AT1145" s="6" t="str">
        <f>HYPERLINK("http://www.worldcat.org/oclc/5101029","WorldCat Record")</f>
        <v>WorldCat Record</v>
      </c>
      <c r="AU1145" s="3" t="s">
        <v>14478</v>
      </c>
      <c r="AV1145" s="3" t="s">
        <v>14479</v>
      </c>
      <c r="AW1145" s="3" t="s">
        <v>14480</v>
      </c>
      <c r="AX1145" s="3" t="s">
        <v>14480</v>
      </c>
      <c r="AY1145" s="3" t="s">
        <v>14481</v>
      </c>
      <c r="AZ1145" s="3" t="s">
        <v>73</v>
      </c>
      <c r="BB1145" s="3" t="s">
        <v>14482</v>
      </c>
      <c r="BC1145" s="3" t="s">
        <v>14483</v>
      </c>
      <c r="BD1145" s="3" t="s">
        <v>14484</v>
      </c>
    </row>
    <row r="1146" spans="1:56" ht="51" customHeight="1" x14ac:dyDescent="0.25">
      <c r="A1146" s="7" t="s">
        <v>58</v>
      </c>
      <c r="B1146" s="2" t="s">
        <v>14485</v>
      </c>
      <c r="C1146" s="2" t="s">
        <v>14486</v>
      </c>
      <c r="D1146" s="2" t="s">
        <v>14487</v>
      </c>
      <c r="F1146" s="3" t="s">
        <v>58</v>
      </c>
      <c r="G1146" s="3" t="s">
        <v>59</v>
      </c>
      <c r="H1146" s="3" t="s">
        <v>58</v>
      </c>
      <c r="I1146" s="3" t="s">
        <v>58</v>
      </c>
      <c r="J1146" s="3" t="s">
        <v>60</v>
      </c>
      <c r="K1146" s="2" t="s">
        <v>14488</v>
      </c>
      <c r="L1146" s="2" t="s">
        <v>14489</v>
      </c>
      <c r="M1146" s="3" t="s">
        <v>996</v>
      </c>
      <c r="O1146" s="3" t="s">
        <v>63</v>
      </c>
      <c r="P1146" s="3" t="s">
        <v>214</v>
      </c>
      <c r="R1146" s="3" t="s">
        <v>65</v>
      </c>
      <c r="S1146" s="4">
        <v>2</v>
      </c>
      <c r="T1146" s="4">
        <v>2</v>
      </c>
      <c r="U1146" s="5" t="s">
        <v>14490</v>
      </c>
      <c r="V1146" s="5" t="s">
        <v>14490</v>
      </c>
      <c r="W1146" s="5" t="s">
        <v>14491</v>
      </c>
      <c r="X1146" s="5" t="s">
        <v>14491</v>
      </c>
      <c r="Y1146" s="4">
        <v>628</v>
      </c>
      <c r="Z1146" s="4">
        <v>544</v>
      </c>
      <c r="AA1146" s="4">
        <v>567</v>
      </c>
      <c r="AB1146" s="4">
        <v>5</v>
      </c>
      <c r="AC1146" s="4">
        <v>5</v>
      </c>
      <c r="AD1146" s="4">
        <v>24</v>
      </c>
      <c r="AE1146" s="4">
        <v>28</v>
      </c>
      <c r="AF1146" s="4">
        <v>8</v>
      </c>
      <c r="AG1146" s="4">
        <v>8</v>
      </c>
      <c r="AH1146" s="4">
        <v>6</v>
      </c>
      <c r="AI1146" s="4">
        <v>6</v>
      </c>
      <c r="AJ1146" s="4">
        <v>12</v>
      </c>
      <c r="AK1146" s="4">
        <v>12</v>
      </c>
      <c r="AL1146" s="4">
        <v>4</v>
      </c>
      <c r="AM1146" s="4">
        <v>4</v>
      </c>
      <c r="AN1146" s="4">
        <v>0</v>
      </c>
      <c r="AO1146" s="4">
        <v>4</v>
      </c>
      <c r="AP1146" s="3" t="s">
        <v>58</v>
      </c>
      <c r="AQ1146" s="3" t="s">
        <v>68</v>
      </c>
      <c r="AR1146" s="6" t="str">
        <f>HYPERLINK("http://catalog.hathitrust.org/Record/001252127","HathiTrust Record")</f>
        <v>HathiTrust Record</v>
      </c>
      <c r="AS1146" s="6" t="str">
        <f>HYPERLINK("https://creighton-primo.hosted.exlibrisgroup.com/primo-explore/search?tab=default_tab&amp;search_scope=EVERYTHING&amp;vid=01CRU&amp;lang=en_US&amp;offset=0&amp;query=any,contains,991001905579702656","Catalog Record")</f>
        <v>Catalog Record</v>
      </c>
      <c r="AT1146" s="6" t="str">
        <f>HYPERLINK("http://www.worldcat.org/oclc/240336","WorldCat Record")</f>
        <v>WorldCat Record</v>
      </c>
      <c r="AU1146" s="3" t="s">
        <v>14492</v>
      </c>
      <c r="AV1146" s="3" t="s">
        <v>14493</v>
      </c>
      <c r="AW1146" s="3" t="s">
        <v>14494</v>
      </c>
      <c r="AX1146" s="3" t="s">
        <v>14494</v>
      </c>
      <c r="AY1146" s="3" t="s">
        <v>14495</v>
      </c>
      <c r="AZ1146" s="3" t="s">
        <v>73</v>
      </c>
      <c r="BC1146" s="3" t="s">
        <v>14496</v>
      </c>
      <c r="BD1146" s="3" t="s">
        <v>14497</v>
      </c>
    </row>
    <row r="1147" spans="1:56" ht="51" customHeight="1" x14ac:dyDescent="0.25">
      <c r="A1147" s="7" t="s">
        <v>58</v>
      </c>
      <c r="B1147" s="2" t="s">
        <v>14498</v>
      </c>
      <c r="C1147" s="2" t="s">
        <v>14499</v>
      </c>
      <c r="D1147" s="2" t="s">
        <v>14500</v>
      </c>
      <c r="F1147" s="3" t="s">
        <v>58</v>
      </c>
      <c r="G1147" s="3" t="s">
        <v>59</v>
      </c>
      <c r="H1147" s="3" t="s">
        <v>58</v>
      </c>
      <c r="I1147" s="3" t="s">
        <v>58</v>
      </c>
      <c r="J1147" s="3" t="s">
        <v>60</v>
      </c>
      <c r="K1147" s="2" t="s">
        <v>14501</v>
      </c>
      <c r="L1147" s="2" t="s">
        <v>14502</v>
      </c>
      <c r="M1147" s="3" t="s">
        <v>4483</v>
      </c>
      <c r="N1147" s="2" t="s">
        <v>1470</v>
      </c>
      <c r="O1147" s="3" t="s">
        <v>63</v>
      </c>
      <c r="P1147" s="3" t="s">
        <v>214</v>
      </c>
      <c r="R1147" s="3" t="s">
        <v>65</v>
      </c>
      <c r="S1147" s="4">
        <v>7</v>
      </c>
      <c r="T1147" s="4">
        <v>7</v>
      </c>
      <c r="U1147" s="5" t="s">
        <v>2838</v>
      </c>
      <c r="V1147" s="5" t="s">
        <v>2838</v>
      </c>
      <c r="W1147" s="5" t="s">
        <v>11927</v>
      </c>
      <c r="X1147" s="5" t="s">
        <v>11927</v>
      </c>
      <c r="Y1147" s="4">
        <v>1157</v>
      </c>
      <c r="Z1147" s="4">
        <v>1043</v>
      </c>
      <c r="AA1147" s="4">
        <v>1057</v>
      </c>
      <c r="AB1147" s="4">
        <v>9</v>
      </c>
      <c r="AC1147" s="4">
        <v>9</v>
      </c>
      <c r="AD1147" s="4">
        <v>48</v>
      </c>
      <c r="AE1147" s="4">
        <v>48</v>
      </c>
      <c r="AF1147" s="4">
        <v>16</v>
      </c>
      <c r="AG1147" s="4">
        <v>16</v>
      </c>
      <c r="AH1147" s="4">
        <v>8</v>
      </c>
      <c r="AI1147" s="4">
        <v>8</v>
      </c>
      <c r="AJ1147" s="4">
        <v>24</v>
      </c>
      <c r="AK1147" s="4">
        <v>24</v>
      </c>
      <c r="AL1147" s="4">
        <v>8</v>
      </c>
      <c r="AM1147" s="4">
        <v>8</v>
      </c>
      <c r="AN1147" s="4">
        <v>1</v>
      </c>
      <c r="AO1147" s="4">
        <v>1</v>
      </c>
      <c r="AP1147" s="3" t="s">
        <v>58</v>
      </c>
      <c r="AQ1147" s="3" t="s">
        <v>68</v>
      </c>
      <c r="AR1147" s="6" t="str">
        <f>HYPERLINK("http://catalog.hathitrust.org/Record/001252145","HathiTrust Record")</f>
        <v>HathiTrust Record</v>
      </c>
      <c r="AS1147" s="6" t="str">
        <f>HYPERLINK("https://creighton-primo.hosted.exlibrisgroup.com/primo-explore/search?tab=default_tab&amp;search_scope=EVERYTHING&amp;vid=01CRU&amp;lang=en_US&amp;offset=0&amp;query=any,contains,991002710029702656","Catalog Record")</f>
        <v>Catalog Record</v>
      </c>
      <c r="AT1147" s="6" t="str">
        <f>HYPERLINK("http://www.worldcat.org/oclc/408864","WorldCat Record")</f>
        <v>WorldCat Record</v>
      </c>
      <c r="AU1147" s="3" t="s">
        <v>14503</v>
      </c>
      <c r="AV1147" s="3" t="s">
        <v>14504</v>
      </c>
      <c r="AW1147" s="3" t="s">
        <v>14505</v>
      </c>
      <c r="AX1147" s="3" t="s">
        <v>14505</v>
      </c>
      <c r="AY1147" s="3" t="s">
        <v>14506</v>
      </c>
      <c r="AZ1147" s="3" t="s">
        <v>73</v>
      </c>
      <c r="BC1147" s="3" t="s">
        <v>14507</v>
      </c>
      <c r="BD1147" s="3" t="s">
        <v>14508</v>
      </c>
    </row>
    <row r="1148" spans="1:56" ht="51" customHeight="1" x14ac:dyDescent="0.25">
      <c r="A1148" s="7" t="s">
        <v>58</v>
      </c>
      <c r="B1148" s="2" t="s">
        <v>14509</v>
      </c>
      <c r="C1148" s="2" t="s">
        <v>14510</v>
      </c>
      <c r="D1148" s="2" t="s">
        <v>14511</v>
      </c>
      <c r="F1148" s="3" t="s">
        <v>58</v>
      </c>
      <c r="G1148" s="3" t="s">
        <v>59</v>
      </c>
      <c r="H1148" s="3" t="s">
        <v>58</v>
      </c>
      <c r="I1148" s="3" t="s">
        <v>58</v>
      </c>
      <c r="J1148" s="3" t="s">
        <v>60</v>
      </c>
      <c r="K1148" s="2" t="s">
        <v>13353</v>
      </c>
      <c r="L1148" s="2" t="s">
        <v>14512</v>
      </c>
      <c r="M1148" s="3" t="s">
        <v>996</v>
      </c>
      <c r="N1148" s="2" t="s">
        <v>14513</v>
      </c>
      <c r="O1148" s="3" t="s">
        <v>63</v>
      </c>
      <c r="P1148" s="3" t="s">
        <v>816</v>
      </c>
      <c r="Q1148" s="2" t="s">
        <v>14514</v>
      </c>
      <c r="R1148" s="3" t="s">
        <v>65</v>
      </c>
      <c r="S1148" s="4">
        <v>9</v>
      </c>
      <c r="T1148" s="4">
        <v>9</v>
      </c>
      <c r="U1148" s="5" t="s">
        <v>87</v>
      </c>
      <c r="V1148" s="5" t="s">
        <v>87</v>
      </c>
      <c r="W1148" s="5" t="s">
        <v>2034</v>
      </c>
      <c r="X1148" s="5" t="s">
        <v>2034</v>
      </c>
      <c r="Y1148" s="4">
        <v>878</v>
      </c>
      <c r="Z1148" s="4">
        <v>762</v>
      </c>
      <c r="AA1148" s="4">
        <v>776</v>
      </c>
      <c r="AB1148" s="4">
        <v>4</v>
      </c>
      <c r="AC1148" s="4">
        <v>4</v>
      </c>
      <c r="AD1148" s="4">
        <v>35</v>
      </c>
      <c r="AE1148" s="4">
        <v>36</v>
      </c>
      <c r="AF1148" s="4">
        <v>16</v>
      </c>
      <c r="AG1148" s="4">
        <v>16</v>
      </c>
      <c r="AH1148" s="4">
        <v>6</v>
      </c>
      <c r="AI1148" s="4">
        <v>7</v>
      </c>
      <c r="AJ1148" s="4">
        <v>17</v>
      </c>
      <c r="AK1148" s="4">
        <v>18</v>
      </c>
      <c r="AL1148" s="4">
        <v>3</v>
      </c>
      <c r="AM1148" s="4">
        <v>3</v>
      </c>
      <c r="AN1148" s="4">
        <v>1</v>
      </c>
      <c r="AO1148" s="4">
        <v>1</v>
      </c>
      <c r="AP1148" s="3" t="s">
        <v>58</v>
      </c>
      <c r="AQ1148" s="3" t="s">
        <v>68</v>
      </c>
      <c r="AR1148" s="6" t="str">
        <f>HYPERLINK("http://catalog.hathitrust.org/Record/001252150","HathiTrust Record")</f>
        <v>HathiTrust Record</v>
      </c>
      <c r="AS1148" s="6" t="str">
        <f>HYPERLINK("https://creighton-primo.hosted.exlibrisgroup.com/primo-explore/search?tab=default_tab&amp;search_scope=EVERYTHING&amp;vid=01CRU&amp;lang=en_US&amp;offset=0&amp;query=any,contains,991002953019702656","Catalog Record")</f>
        <v>Catalog Record</v>
      </c>
      <c r="AT1148" s="6" t="str">
        <f>HYPERLINK("http://www.worldcat.org/oclc/539936","WorldCat Record")</f>
        <v>WorldCat Record</v>
      </c>
      <c r="AU1148" s="3" t="s">
        <v>14515</v>
      </c>
      <c r="AV1148" s="3" t="s">
        <v>14516</v>
      </c>
      <c r="AW1148" s="3" t="s">
        <v>14517</v>
      </c>
      <c r="AX1148" s="3" t="s">
        <v>14517</v>
      </c>
      <c r="AY1148" s="3" t="s">
        <v>14518</v>
      </c>
      <c r="AZ1148" s="3" t="s">
        <v>73</v>
      </c>
      <c r="BB1148" s="3" t="s">
        <v>14519</v>
      </c>
      <c r="BC1148" s="3" t="s">
        <v>14520</v>
      </c>
      <c r="BD1148" s="3" t="s">
        <v>14521</v>
      </c>
    </row>
    <row r="1149" spans="1:56" ht="51" customHeight="1" x14ac:dyDescent="0.25">
      <c r="A1149" s="7" t="s">
        <v>58</v>
      </c>
      <c r="B1149" s="2" t="s">
        <v>14522</v>
      </c>
      <c r="C1149" s="2" t="s">
        <v>14523</v>
      </c>
      <c r="D1149" s="2" t="s">
        <v>14524</v>
      </c>
      <c r="F1149" s="3" t="s">
        <v>58</v>
      </c>
      <c r="G1149" s="3" t="s">
        <v>59</v>
      </c>
      <c r="H1149" s="3" t="s">
        <v>58</v>
      </c>
      <c r="I1149" s="3" t="s">
        <v>58</v>
      </c>
      <c r="J1149" s="3" t="s">
        <v>60</v>
      </c>
      <c r="K1149" s="2" t="s">
        <v>14525</v>
      </c>
      <c r="L1149" s="2" t="s">
        <v>14526</v>
      </c>
      <c r="M1149" s="3" t="s">
        <v>183</v>
      </c>
      <c r="O1149" s="3" t="s">
        <v>63</v>
      </c>
      <c r="P1149" s="3" t="s">
        <v>510</v>
      </c>
      <c r="R1149" s="3" t="s">
        <v>65</v>
      </c>
      <c r="S1149" s="4">
        <v>1</v>
      </c>
      <c r="T1149" s="4">
        <v>1</v>
      </c>
      <c r="U1149" s="5" t="s">
        <v>14490</v>
      </c>
      <c r="V1149" s="5" t="s">
        <v>14490</v>
      </c>
      <c r="W1149" s="5" t="s">
        <v>11927</v>
      </c>
      <c r="X1149" s="5" t="s">
        <v>11927</v>
      </c>
      <c r="Y1149" s="4">
        <v>35</v>
      </c>
      <c r="Z1149" s="4">
        <v>30</v>
      </c>
      <c r="AA1149" s="4">
        <v>508</v>
      </c>
      <c r="AB1149" s="4">
        <v>1</v>
      </c>
      <c r="AC1149" s="4">
        <v>3</v>
      </c>
      <c r="AD1149" s="4">
        <v>1</v>
      </c>
      <c r="AE1149" s="4">
        <v>22</v>
      </c>
      <c r="AF1149" s="4">
        <v>1</v>
      </c>
      <c r="AG1149" s="4">
        <v>7</v>
      </c>
      <c r="AH1149" s="4">
        <v>1</v>
      </c>
      <c r="AI1149" s="4">
        <v>7</v>
      </c>
      <c r="AJ1149" s="4">
        <v>0</v>
      </c>
      <c r="AK1149" s="4">
        <v>12</v>
      </c>
      <c r="AL1149" s="4">
        <v>0</v>
      </c>
      <c r="AM1149" s="4">
        <v>2</v>
      </c>
      <c r="AN1149" s="4">
        <v>0</v>
      </c>
      <c r="AO1149" s="4">
        <v>0</v>
      </c>
      <c r="AP1149" s="3" t="s">
        <v>58</v>
      </c>
      <c r="AQ1149" s="3" t="s">
        <v>58</v>
      </c>
      <c r="AS1149" s="6" t="str">
        <f>HYPERLINK("https://creighton-primo.hosted.exlibrisgroup.com/primo-explore/search?tab=default_tab&amp;search_scope=EVERYTHING&amp;vid=01CRU&amp;lang=en_US&amp;offset=0&amp;query=any,contains,991004269389702656","Catalog Record")</f>
        <v>Catalog Record</v>
      </c>
      <c r="AT1149" s="6" t="str">
        <f>HYPERLINK("http://www.worldcat.org/oclc/2874726","WorldCat Record")</f>
        <v>WorldCat Record</v>
      </c>
      <c r="AU1149" s="3" t="s">
        <v>14527</v>
      </c>
      <c r="AV1149" s="3" t="s">
        <v>14528</v>
      </c>
      <c r="AW1149" s="3" t="s">
        <v>14529</v>
      </c>
      <c r="AX1149" s="3" t="s">
        <v>14529</v>
      </c>
      <c r="AY1149" s="3" t="s">
        <v>14530</v>
      </c>
      <c r="AZ1149" s="3" t="s">
        <v>73</v>
      </c>
      <c r="BB1149" s="3" t="s">
        <v>14531</v>
      </c>
      <c r="BC1149" s="3" t="s">
        <v>14532</v>
      </c>
      <c r="BD1149" s="3" t="s">
        <v>14533</v>
      </c>
    </row>
    <row r="1150" spans="1:56" ht="51" customHeight="1" x14ac:dyDescent="0.25">
      <c r="A1150" s="7" t="s">
        <v>58</v>
      </c>
      <c r="B1150" s="2" t="s">
        <v>14534</v>
      </c>
      <c r="C1150" s="2" t="s">
        <v>14535</v>
      </c>
      <c r="D1150" s="2" t="s">
        <v>14536</v>
      </c>
      <c r="F1150" s="3" t="s">
        <v>58</v>
      </c>
      <c r="G1150" s="3" t="s">
        <v>59</v>
      </c>
      <c r="H1150" s="3" t="s">
        <v>58</v>
      </c>
      <c r="I1150" s="3" t="s">
        <v>58</v>
      </c>
      <c r="J1150" s="3" t="s">
        <v>60</v>
      </c>
      <c r="K1150" s="2" t="s">
        <v>14537</v>
      </c>
      <c r="L1150" s="2" t="s">
        <v>3373</v>
      </c>
      <c r="M1150" s="3" t="s">
        <v>1061</v>
      </c>
      <c r="O1150" s="3" t="s">
        <v>63</v>
      </c>
      <c r="P1150" s="3" t="s">
        <v>214</v>
      </c>
      <c r="R1150" s="3" t="s">
        <v>65</v>
      </c>
      <c r="S1150" s="4">
        <v>7</v>
      </c>
      <c r="T1150" s="4">
        <v>7</v>
      </c>
      <c r="U1150" s="5" t="s">
        <v>14538</v>
      </c>
      <c r="V1150" s="5" t="s">
        <v>14538</v>
      </c>
      <c r="W1150" s="5" t="s">
        <v>14539</v>
      </c>
      <c r="X1150" s="5" t="s">
        <v>14539</v>
      </c>
      <c r="Y1150" s="4">
        <v>420</v>
      </c>
      <c r="Z1150" s="4">
        <v>331</v>
      </c>
      <c r="AA1150" s="4">
        <v>335</v>
      </c>
      <c r="AB1150" s="4">
        <v>3</v>
      </c>
      <c r="AC1150" s="4">
        <v>3</v>
      </c>
      <c r="AD1150" s="4">
        <v>21</v>
      </c>
      <c r="AE1150" s="4">
        <v>21</v>
      </c>
      <c r="AF1150" s="4">
        <v>6</v>
      </c>
      <c r="AG1150" s="4">
        <v>6</v>
      </c>
      <c r="AH1150" s="4">
        <v>8</v>
      </c>
      <c r="AI1150" s="4">
        <v>8</v>
      </c>
      <c r="AJ1150" s="4">
        <v>13</v>
      </c>
      <c r="AK1150" s="4">
        <v>13</v>
      </c>
      <c r="AL1150" s="4">
        <v>2</v>
      </c>
      <c r="AM1150" s="4">
        <v>2</v>
      </c>
      <c r="AN1150" s="4">
        <v>0</v>
      </c>
      <c r="AO1150" s="4">
        <v>0</v>
      </c>
      <c r="AP1150" s="3" t="s">
        <v>58</v>
      </c>
      <c r="AQ1150" s="3" t="s">
        <v>58</v>
      </c>
      <c r="AS1150" s="6" t="str">
        <f>HYPERLINK("https://creighton-primo.hosted.exlibrisgroup.com/primo-explore/search?tab=default_tab&amp;search_scope=EVERYTHING&amp;vid=01CRU&amp;lang=en_US&amp;offset=0&amp;query=any,contains,991002735129702656","Catalog Record")</f>
        <v>Catalog Record</v>
      </c>
      <c r="AT1150" s="6" t="str">
        <f>HYPERLINK("http://www.worldcat.org/oclc/35887257","WorldCat Record")</f>
        <v>WorldCat Record</v>
      </c>
      <c r="AU1150" s="3" t="s">
        <v>14540</v>
      </c>
      <c r="AV1150" s="3" t="s">
        <v>14541</v>
      </c>
      <c r="AW1150" s="3" t="s">
        <v>14542</v>
      </c>
      <c r="AX1150" s="3" t="s">
        <v>14542</v>
      </c>
      <c r="AY1150" s="3" t="s">
        <v>14543</v>
      </c>
      <c r="AZ1150" s="3" t="s">
        <v>73</v>
      </c>
      <c r="BB1150" s="3" t="s">
        <v>14544</v>
      </c>
      <c r="BC1150" s="3" t="s">
        <v>14545</v>
      </c>
      <c r="BD1150" s="3" t="s">
        <v>14546</v>
      </c>
    </row>
    <row r="1151" spans="1:56" ht="51" customHeight="1" x14ac:dyDescent="0.25">
      <c r="A1151" s="7" t="s">
        <v>58</v>
      </c>
      <c r="B1151" s="2" t="s">
        <v>14547</v>
      </c>
      <c r="C1151" s="2" t="s">
        <v>14548</v>
      </c>
      <c r="D1151" s="2" t="s">
        <v>14549</v>
      </c>
      <c r="F1151" s="3" t="s">
        <v>58</v>
      </c>
      <c r="G1151" s="3" t="s">
        <v>59</v>
      </c>
      <c r="H1151" s="3" t="s">
        <v>58</v>
      </c>
      <c r="I1151" s="3" t="s">
        <v>58</v>
      </c>
      <c r="J1151" s="3" t="s">
        <v>60</v>
      </c>
      <c r="K1151" s="2" t="s">
        <v>14550</v>
      </c>
      <c r="L1151" s="2" t="s">
        <v>14551</v>
      </c>
      <c r="M1151" s="3" t="s">
        <v>1061</v>
      </c>
      <c r="O1151" s="3" t="s">
        <v>63</v>
      </c>
      <c r="P1151" s="3" t="s">
        <v>3323</v>
      </c>
      <c r="R1151" s="3" t="s">
        <v>65</v>
      </c>
      <c r="S1151" s="4">
        <v>3</v>
      </c>
      <c r="T1151" s="4">
        <v>3</v>
      </c>
      <c r="U1151" s="5" t="s">
        <v>13497</v>
      </c>
      <c r="V1151" s="5" t="s">
        <v>13497</v>
      </c>
      <c r="W1151" s="5" t="s">
        <v>14552</v>
      </c>
      <c r="X1151" s="5" t="s">
        <v>14552</v>
      </c>
      <c r="Y1151" s="4">
        <v>131</v>
      </c>
      <c r="Z1151" s="4">
        <v>85</v>
      </c>
      <c r="AA1151" s="4">
        <v>113</v>
      </c>
      <c r="AB1151" s="4">
        <v>2</v>
      </c>
      <c r="AC1151" s="4">
        <v>2</v>
      </c>
      <c r="AD1151" s="4">
        <v>7</v>
      </c>
      <c r="AE1151" s="4">
        <v>7</v>
      </c>
      <c r="AF1151" s="4">
        <v>1</v>
      </c>
      <c r="AG1151" s="4">
        <v>1</v>
      </c>
      <c r="AH1151" s="4">
        <v>2</v>
      </c>
      <c r="AI1151" s="4">
        <v>2</v>
      </c>
      <c r="AJ1151" s="4">
        <v>5</v>
      </c>
      <c r="AK1151" s="4">
        <v>5</v>
      </c>
      <c r="AL1151" s="4">
        <v>1</v>
      </c>
      <c r="AM1151" s="4">
        <v>1</v>
      </c>
      <c r="AN1151" s="4">
        <v>0</v>
      </c>
      <c r="AO1151" s="4">
        <v>0</v>
      </c>
      <c r="AP1151" s="3" t="s">
        <v>58</v>
      </c>
      <c r="AQ1151" s="3" t="s">
        <v>68</v>
      </c>
      <c r="AR1151" s="6" t="str">
        <f>HYPERLINK("http://catalog.hathitrust.org/Record/003991643","HathiTrust Record")</f>
        <v>HathiTrust Record</v>
      </c>
      <c r="AS1151" s="6" t="str">
        <f>HYPERLINK("https://creighton-primo.hosted.exlibrisgroup.com/primo-explore/search?tab=default_tab&amp;search_scope=EVERYTHING&amp;vid=01CRU&amp;lang=en_US&amp;offset=0&amp;query=any,contains,991002918949702656","Catalog Record")</f>
        <v>Catalog Record</v>
      </c>
      <c r="AT1151" s="6" t="str">
        <f>HYPERLINK("http://www.worldcat.org/oclc/38602571","WorldCat Record")</f>
        <v>WorldCat Record</v>
      </c>
      <c r="AU1151" s="3" t="s">
        <v>14553</v>
      </c>
      <c r="AV1151" s="3" t="s">
        <v>14554</v>
      </c>
      <c r="AW1151" s="3" t="s">
        <v>14555</v>
      </c>
      <c r="AX1151" s="3" t="s">
        <v>14555</v>
      </c>
      <c r="AY1151" s="3" t="s">
        <v>14556</v>
      </c>
      <c r="AZ1151" s="3" t="s">
        <v>73</v>
      </c>
      <c r="BB1151" s="3" t="s">
        <v>14557</v>
      </c>
      <c r="BC1151" s="3" t="s">
        <v>14558</v>
      </c>
      <c r="BD1151" s="3" t="s">
        <v>14559</v>
      </c>
    </row>
    <row r="1152" spans="1:56" ht="51" customHeight="1" x14ac:dyDescent="0.25">
      <c r="A1152" s="7" t="s">
        <v>58</v>
      </c>
      <c r="B1152" s="2" t="s">
        <v>14560</v>
      </c>
      <c r="C1152" s="2" t="s">
        <v>14561</v>
      </c>
      <c r="D1152" s="2" t="s">
        <v>14562</v>
      </c>
      <c r="F1152" s="3" t="s">
        <v>58</v>
      </c>
      <c r="G1152" s="3" t="s">
        <v>59</v>
      </c>
      <c r="H1152" s="3" t="s">
        <v>58</v>
      </c>
      <c r="I1152" s="3" t="s">
        <v>58</v>
      </c>
      <c r="J1152" s="3" t="s">
        <v>60</v>
      </c>
      <c r="K1152" s="2" t="s">
        <v>14563</v>
      </c>
      <c r="L1152" s="2" t="s">
        <v>14564</v>
      </c>
      <c r="M1152" s="3" t="s">
        <v>261</v>
      </c>
      <c r="N1152" s="2" t="s">
        <v>14565</v>
      </c>
      <c r="O1152" s="3" t="s">
        <v>63</v>
      </c>
      <c r="P1152" s="3" t="s">
        <v>571</v>
      </c>
      <c r="R1152" s="3" t="s">
        <v>65</v>
      </c>
      <c r="S1152" s="4">
        <v>5</v>
      </c>
      <c r="T1152" s="4">
        <v>5</v>
      </c>
      <c r="U1152" s="5" t="s">
        <v>14566</v>
      </c>
      <c r="V1152" s="5" t="s">
        <v>14566</v>
      </c>
      <c r="W1152" s="5" t="s">
        <v>8127</v>
      </c>
      <c r="X1152" s="5" t="s">
        <v>8127</v>
      </c>
      <c r="Y1152" s="4">
        <v>227</v>
      </c>
      <c r="Z1152" s="4">
        <v>223</v>
      </c>
      <c r="AA1152" s="4">
        <v>2062</v>
      </c>
      <c r="AB1152" s="4">
        <v>3</v>
      </c>
      <c r="AC1152" s="4">
        <v>15</v>
      </c>
      <c r="AD1152" s="4">
        <v>4</v>
      </c>
      <c r="AE1152" s="4">
        <v>48</v>
      </c>
      <c r="AF1152" s="4">
        <v>1</v>
      </c>
      <c r="AG1152" s="4">
        <v>18</v>
      </c>
      <c r="AH1152" s="4">
        <v>1</v>
      </c>
      <c r="AI1152" s="4">
        <v>10</v>
      </c>
      <c r="AJ1152" s="4">
        <v>2</v>
      </c>
      <c r="AK1152" s="4">
        <v>22</v>
      </c>
      <c r="AL1152" s="4">
        <v>0</v>
      </c>
      <c r="AM1152" s="4">
        <v>7</v>
      </c>
      <c r="AN1152" s="4">
        <v>1</v>
      </c>
      <c r="AO1152" s="4">
        <v>2</v>
      </c>
      <c r="AP1152" s="3" t="s">
        <v>58</v>
      </c>
      <c r="AQ1152" s="3" t="s">
        <v>58</v>
      </c>
      <c r="AS1152" s="6" t="str">
        <f>HYPERLINK("https://creighton-primo.hosted.exlibrisgroup.com/primo-explore/search?tab=default_tab&amp;search_scope=EVERYTHING&amp;vid=01CRU&amp;lang=en_US&amp;offset=0&amp;query=any,contains,991004209579702656","Catalog Record")</f>
        <v>Catalog Record</v>
      </c>
      <c r="AT1152" s="6" t="str">
        <f>HYPERLINK("http://www.worldcat.org/oclc/2680265","WorldCat Record")</f>
        <v>WorldCat Record</v>
      </c>
      <c r="AU1152" s="3" t="s">
        <v>14567</v>
      </c>
      <c r="AV1152" s="3" t="s">
        <v>14568</v>
      </c>
      <c r="AW1152" s="3" t="s">
        <v>14569</v>
      </c>
      <c r="AX1152" s="3" t="s">
        <v>14569</v>
      </c>
      <c r="AY1152" s="3" t="s">
        <v>14570</v>
      </c>
      <c r="AZ1152" s="3" t="s">
        <v>73</v>
      </c>
      <c r="BC1152" s="3" t="s">
        <v>14571</v>
      </c>
      <c r="BD1152" s="3" t="s">
        <v>14572</v>
      </c>
    </row>
    <row r="1153" spans="1:56" ht="51" customHeight="1" x14ac:dyDescent="0.25">
      <c r="A1153" s="7" t="s">
        <v>58</v>
      </c>
      <c r="B1153" s="2" t="s">
        <v>14573</v>
      </c>
      <c r="C1153" s="2" t="s">
        <v>14574</v>
      </c>
      <c r="D1153" s="2" t="s">
        <v>14575</v>
      </c>
      <c r="F1153" s="3" t="s">
        <v>58</v>
      </c>
      <c r="G1153" s="3" t="s">
        <v>59</v>
      </c>
      <c r="H1153" s="3" t="s">
        <v>58</v>
      </c>
      <c r="I1153" s="3" t="s">
        <v>58</v>
      </c>
      <c r="J1153" s="3" t="s">
        <v>60</v>
      </c>
      <c r="K1153" s="2" t="s">
        <v>14576</v>
      </c>
      <c r="L1153" s="2" t="s">
        <v>14577</v>
      </c>
      <c r="M1153" s="3" t="s">
        <v>183</v>
      </c>
      <c r="O1153" s="3" t="s">
        <v>63</v>
      </c>
      <c r="P1153" s="3" t="s">
        <v>571</v>
      </c>
      <c r="R1153" s="3" t="s">
        <v>65</v>
      </c>
      <c r="S1153" s="4">
        <v>9</v>
      </c>
      <c r="T1153" s="4">
        <v>9</v>
      </c>
      <c r="U1153" s="5" t="s">
        <v>14578</v>
      </c>
      <c r="V1153" s="5" t="s">
        <v>14578</v>
      </c>
      <c r="W1153" s="5" t="s">
        <v>8127</v>
      </c>
      <c r="X1153" s="5" t="s">
        <v>8127</v>
      </c>
      <c r="Y1153" s="4">
        <v>74</v>
      </c>
      <c r="Z1153" s="4">
        <v>69</v>
      </c>
      <c r="AA1153" s="4">
        <v>160</v>
      </c>
      <c r="AB1153" s="4">
        <v>1</v>
      </c>
      <c r="AC1153" s="4">
        <v>1</v>
      </c>
      <c r="AD1153" s="4">
        <v>1</v>
      </c>
      <c r="AE1153" s="4">
        <v>5</v>
      </c>
      <c r="AF1153" s="4">
        <v>0</v>
      </c>
      <c r="AG1153" s="4">
        <v>2</v>
      </c>
      <c r="AH1153" s="4">
        <v>1</v>
      </c>
      <c r="AI1153" s="4">
        <v>1</v>
      </c>
      <c r="AJ1153" s="4">
        <v>1</v>
      </c>
      <c r="AK1153" s="4">
        <v>4</v>
      </c>
      <c r="AL1153" s="4">
        <v>0</v>
      </c>
      <c r="AM1153" s="4">
        <v>0</v>
      </c>
      <c r="AN1153" s="4">
        <v>0</v>
      </c>
      <c r="AO1153" s="4">
        <v>0</v>
      </c>
      <c r="AP1153" s="3" t="s">
        <v>58</v>
      </c>
      <c r="AQ1153" s="3" t="s">
        <v>68</v>
      </c>
      <c r="AR1153" s="6" t="str">
        <f>HYPERLINK("http://catalog.hathitrust.org/Record/000298043","HathiTrust Record")</f>
        <v>HathiTrust Record</v>
      </c>
      <c r="AS1153" s="6" t="str">
        <f>HYPERLINK("https://creighton-primo.hosted.exlibrisgroup.com/primo-explore/search?tab=default_tab&amp;search_scope=EVERYTHING&amp;vid=01CRU&amp;lang=en_US&amp;offset=0&amp;query=any,contains,991004718689702656","Catalog Record")</f>
        <v>Catalog Record</v>
      </c>
      <c r="AT1153" s="6" t="str">
        <f>HYPERLINK("http://www.worldcat.org/oclc/4787625","WorldCat Record")</f>
        <v>WorldCat Record</v>
      </c>
      <c r="AU1153" s="3" t="s">
        <v>14579</v>
      </c>
      <c r="AV1153" s="3" t="s">
        <v>14580</v>
      </c>
      <c r="AW1153" s="3" t="s">
        <v>14581</v>
      </c>
      <c r="AX1153" s="3" t="s">
        <v>14581</v>
      </c>
      <c r="AY1153" s="3" t="s">
        <v>14582</v>
      </c>
      <c r="AZ1153" s="3" t="s">
        <v>73</v>
      </c>
      <c r="BC1153" s="3" t="s">
        <v>14583</v>
      </c>
      <c r="BD1153" s="3" t="s">
        <v>14584</v>
      </c>
    </row>
    <row r="1154" spans="1:56" ht="51" customHeight="1" x14ac:dyDescent="0.25">
      <c r="A1154" s="7" t="s">
        <v>58</v>
      </c>
      <c r="B1154" s="2" t="s">
        <v>14585</v>
      </c>
      <c r="C1154" s="2" t="s">
        <v>14586</v>
      </c>
      <c r="D1154" s="2" t="s">
        <v>14587</v>
      </c>
      <c r="F1154" s="3" t="s">
        <v>58</v>
      </c>
      <c r="G1154" s="3" t="s">
        <v>59</v>
      </c>
      <c r="H1154" s="3" t="s">
        <v>58</v>
      </c>
      <c r="I1154" s="3" t="s">
        <v>58</v>
      </c>
      <c r="J1154" s="3" t="s">
        <v>60</v>
      </c>
      <c r="L1154" s="2" t="s">
        <v>14588</v>
      </c>
      <c r="M1154" s="3" t="s">
        <v>382</v>
      </c>
      <c r="O1154" s="3" t="s">
        <v>63</v>
      </c>
      <c r="P1154" s="3" t="s">
        <v>214</v>
      </c>
      <c r="Q1154" s="2" t="s">
        <v>14589</v>
      </c>
      <c r="R1154" s="3" t="s">
        <v>65</v>
      </c>
      <c r="S1154" s="4">
        <v>13</v>
      </c>
      <c r="T1154" s="4">
        <v>13</v>
      </c>
      <c r="U1154" s="5" t="s">
        <v>14590</v>
      </c>
      <c r="V1154" s="5" t="s">
        <v>14590</v>
      </c>
      <c r="W1154" s="5" t="s">
        <v>14591</v>
      </c>
      <c r="X1154" s="5" t="s">
        <v>14591</v>
      </c>
      <c r="Y1154" s="4">
        <v>575</v>
      </c>
      <c r="Z1154" s="4">
        <v>449</v>
      </c>
      <c r="AA1154" s="4">
        <v>468</v>
      </c>
      <c r="AB1154" s="4">
        <v>4</v>
      </c>
      <c r="AC1154" s="4">
        <v>4</v>
      </c>
      <c r="AD1154" s="4">
        <v>24</v>
      </c>
      <c r="AE1154" s="4">
        <v>24</v>
      </c>
      <c r="AF1154" s="4">
        <v>8</v>
      </c>
      <c r="AG1154" s="4">
        <v>8</v>
      </c>
      <c r="AH1154" s="4">
        <v>7</v>
      </c>
      <c r="AI1154" s="4">
        <v>7</v>
      </c>
      <c r="AJ1154" s="4">
        <v>12</v>
      </c>
      <c r="AK1154" s="4">
        <v>12</v>
      </c>
      <c r="AL1154" s="4">
        <v>3</v>
      </c>
      <c r="AM1154" s="4">
        <v>3</v>
      </c>
      <c r="AN1154" s="4">
        <v>0</v>
      </c>
      <c r="AO1154" s="4">
        <v>0</v>
      </c>
      <c r="AP1154" s="3" t="s">
        <v>58</v>
      </c>
      <c r="AQ1154" s="3" t="s">
        <v>58</v>
      </c>
      <c r="AS1154" s="6" t="str">
        <f>HYPERLINK("https://creighton-primo.hosted.exlibrisgroup.com/primo-explore/search?tab=default_tab&amp;search_scope=EVERYTHING&amp;vid=01CRU&amp;lang=en_US&amp;offset=0&amp;query=any,contains,991002958329702656","Catalog Record")</f>
        <v>Catalog Record</v>
      </c>
      <c r="AT1154" s="6" t="str">
        <f>HYPERLINK("http://www.worldcat.org/oclc/39523320","WorldCat Record")</f>
        <v>WorldCat Record</v>
      </c>
      <c r="AU1154" s="3" t="s">
        <v>14592</v>
      </c>
      <c r="AV1154" s="3" t="s">
        <v>14593</v>
      </c>
      <c r="AW1154" s="3" t="s">
        <v>14594</v>
      </c>
      <c r="AX1154" s="3" t="s">
        <v>14594</v>
      </c>
      <c r="AY1154" s="3" t="s">
        <v>14595</v>
      </c>
      <c r="AZ1154" s="3" t="s">
        <v>73</v>
      </c>
      <c r="BB1154" s="3" t="s">
        <v>14596</v>
      </c>
      <c r="BC1154" s="3" t="s">
        <v>14597</v>
      </c>
      <c r="BD1154" s="3" t="s">
        <v>14598</v>
      </c>
    </row>
    <row r="1155" spans="1:56" ht="51" customHeight="1" x14ac:dyDescent="0.25">
      <c r="A1155" s="7" t="s">
        <v>58</v>
      </c>
      <c r="B1155" s="2" t="s">
        <v>14599</v>
      </c>
      <c r="C1155" s="2" t="s">
        <v>14600</v>
      </c>
      <c r="D1155" s="2" t="s">
        <v>14601</v>
      </c>
      <c r="F1155" s="3" t="s">
        <v>58</v>
      </c>
      <c r="G1155" s="3" t="s">
        <v>59</v>
      </c>
      <c r="H1155" s="3" t="s">
        <v>58</v>
      </c>
      <c r="I1155" s="3" t="s">
        <v>58</v>
      </c>
      <c r="J1155" s="3" t="s">
        <v>60</v>
      </c>
      <c r="K1155" s="2" t="s">
        <v>14602</v>
      </c>
      <c r="L1155" s="2" t="s">
        <v>14603</v>
      </c>
      <c r="M1155" s="3" t="s">
        <v>524</v>
      </c>
      <c r="O1155" s="3" t="s">
        <v>63</v>
      </c>
      <c r="P1155" s="3" t="s">
        <v>214</v>
      </c>
      <c r="R1155" s="3" t="s">
        <v>65</v>
      </c>
      <c r="S1155" s="4">
        <v>5</v>
      </c>
      <c r="T1155" s="4">
        <v>5</v>
      </c>
      <c r="U1155" s="5" t="s">
        <v>10929</v>
      </c>
      <c r="V1155" s="5" t="s">
        <v>10929</v>
      </c>
      <c r="W1155" s="5" t="s">
        <v>8127</v>
      </c>
      <c r="X1155" s="5" t="s">
        <v>8127</v>
      </c>
      <c r="Y1155" s="4">
        <v>269</v>
      </c>
      <c r="Z1155" s="4">
        <v>241</v>
      </c>
      <c r="AA1155" s="4">
        <v>366</v>
      </c>
      <c r="AB1155" s="4">
        <v>2</v>
      </c>
      <c r="AC1155" s="4">
        <v>3</v>
      </c>
      <c r="AD1155" s="4">
        <v>10</v>
      </c>
      <c r="AE1155" s="4">
        <v>13</v>
      </c>
      <c r="AF1155" s="4">
        <v>3</v>
      </c>
      <c r="AG1155" s="4">
        <v>4</v>
      </c>
      <c r="AH1155" s="4">
        <v>3</v>
      </c>
      <c r="AI1155" s="4">
        <v>3</v>
      </c>
      <c r="AJ1155" s="4">
        <v>7</v>
      </c>
      <c r="AK1155" s="4">
        <v>9</v>
      </c>
      <c r="AL1155" s="4">
        <v>1</v>
      </c>
      <c r="AM1155" s="4">
        <v>2</v>
      </c>
      <c r="AN1155" s="4">
        <v>0</v>
      </c>
      <c r="AO1155" s="4">
        <v>0</v>
      </c>
      <c r="AP1155" s="3" t="s">
        <v>58</v>
      </c>
      <c r="AQ1155" s="3" t="s">
        <v>68</v>
      </c>
      <c r="AR1155" s="6" t="str">
        <f>HYPERLINK("http://catalog.hathitrust.org/Record/000671181","HathiTrust Record")</f>
        <v>HathiTrust Record</v>
      </c>
      <c r="AS1155" s="6" t="str">
        <f>HYPERLINK("https://creighton-primo.hosted.exlibrisgroup.com/primo-explore/search?tab=default_tab&amp;search_scope=EVERYTHING&amp;vid=01CRU&amp;lang=en_US&amp;offset=0&amp;query=any,contains,991000815609702656","Catalog Record")</f>
        <v>Catalog Record</v>
      </c>
      <c r="AT1155" s="6" t="str">
        <f>HYPERLINK("http://www.worldcat.org/oclc/13358015","WorldCat Record")</f>
        <v>WorldCat Record</v>
      </c>
      <c r="AU1155" s="3" t="s">
        <v>14604</v>
      </c>
      <c r="AV1155" s="3" t="s">
        <v>14605</v>
      </c>
      <c r="AW1155" s="3" t="s">
        <v>14606</v>
      </c>
      <c r="AX1155" s="3" t="s">
        <v>14606</v>
      </c>
      <c r="AY1155" s="3" t="s">
        <v>14607</v>
      </c>
      <c r="AZ1155" s="3" t="s">
        <v>73</v>
      </c>
      <c r="BB1155" s="3" t="s">
        <v>14608</v>
      </c>
      <c r="BC1155" s="3" t="s">
        <v>14609</v>
      </c>
      <c r="BD1155" s="3" t="s">
        <v>14610</v>
      </c>
    </row>
    <row r="1156" spans="1:56" ht="51" customHeight="1" x14ac:dyDescent="0.25">
      <c r="A1156" s="7" t="s">
        <v>58</v>
      </c>
      <c r="B1156" s="2" t="s">
        <v>14611</v>
      </c>
      <c r="C1156" s="2" t="s">
        <v>14612</v>
      </c>
      <c r="D1156" s="2" t="s">
        <v>14613</v>
      </c>
      <c r="F1156" s="3" t="s">
        <v>58</v>
      </c>
      <c r="G1156" s="3" t="s">
        <v>59</v>
      </c>
      <c r="H1156" s="3" t="s">
        <v>58</v>
      </c>
      <c r="I1156" s="3" t="s">
        <v>58</v>
      </c>
      <c r="J1156" s="3" t="s">
        <v>60</v>
      </c>
      <c r="K1156" s="2" t="s">
        <v>14614</v>
      </c>
      <c r="L1156" s="2" t="s">
        <v>14615</v>
      </c>
      <c r="M1156" s="3" t="s">
        <v>479</v>
      </c>
      <c r="O1156" s="3" t="s">
        <v>63</v>
      </c>
      <c r="P1156" s="3" t="s">
        <v>3323</v>
      </c>
      <c r="R1156" s="3" t="s">
        <v>65</v>
      </c>
      <c r="S1156" s="4">
        <v>1</v>
      </c>
      <c r="T1156" s="4">
        <v>1</v>
      </c>
      <c r="U1156" s="5" t="s">
        <v>10929</v>
      </c>
      <c r="V1156" s="5" t="s">
        <v>10929</v>
      </c>
      <c r="W1156" s="5" t="s">
        <v>14616</v>
      </c>
      <c r="X1156" s="5" t="s">
        <v>14616</v>
      </c>
      <c r="Y1156" s="4">
        <v>192</v>
      </c>
      <c r="Z1156" s="4">
        <v>123</v>
      </c>
      <c r="AA1156" s="4">
        <v>125</v>
      </c>
      <c r="AB1156" s="4">
        <v>2</v>
      </c>
      <c r="AC1156" s="4">
        <v>2</v>
      </c>
      <c r="AD1156" s="4">
        <v>7</v>
      </c>
      <c r="AE1156" s="4">
        <v>7</v>
      </c>
      <c r="AF1156" s="4">
        <v>0</v>
      </c>
      <c r="AG1156" s="4">
        <v>0</v>
      </c>
      <c r="AH1156" s="4">
        <v>4</v>
      </c>
      <c r="AI1156" s="4">
        <v>4</v>
      </c>
      <c r="AJ1156" s="4">
        <v>4</v>
      </c>
      <c r="AK1156" s="4">
        <v>4</v>
      </c>
      <c r="AL1156" s="4">
        <v>1</v>
      </c>
      <c r="AM1156" s="4">
        <v>1</v>
      </c>
      <c r="AN1156" s="4">
        <v>0</v>
      </c>
      <c r="AO1156" s="4">
        <v>0</v>
      </c>
      <c r="AP1156" s="3" t="s">
        <v>58</v>
      </c>
      <c r="AQ1156" s="3" t="s">
        <v>68</v>
      </c>
      <c r="AR1156" s="6" t="str">
        <f>HYPERLINK("http://catalog.hathitrust.org/Record/002999108","HathiTrust Record")</f>
        <v>HathiTrust Record</v>
      </c>
      <c r="AS1156" s="6" t="str">
        <f>HYPERLINK("https://creighton-primo.hosted.exlibrisgroup.com/primo-explore/search?tab=default_tab&amp;search_scope=EVERYTHING&amp;vid=01CRU&amp;lang=en_US&amp;offset=0&amp;query=any,contains,991002279149702656","Catalog Record")</f>
        <v>Catalog Record</v>
      </c>
      <c r="AT1156" s="6" t="str">
        <f>HYPERLINK("http://www.worldcat.org/oclc/29563688","WorldCat Record")</f>
        <v>WorldCat Record</v>
      </c>
      <c r="AU1156" s="3" t="s">
        <v>14617</v>
      </c>
      <c r="AV1156" s="3" t="s">
        <v>14618</v>
      </c>
      <c r="AW1156" s="3" t="s">
        <v>14619</v>
      </c>
      <c r="AX1156" s="3" t="s">
        <v>14619</v>
      </c>
      <c r="AY1156" s="3" t="s">
        <v>14620</v>
      </c>
      <c r="AZ1156" s="3" t="s">
        <v>73</v>
      </c>
      <c r="BB1156" s="3" t="s">
        <v>14621</v>
      </c>
      <c r="BC1156" s="3" t="s">
        <v>14622</v>
      </c>
      <c r="BD1156" s="3" t="s">
        <v>14623</v>
      </c>
    </row>
    <row r="1157" spans="1:56" ht="51" customHeight="1" x14ac:dyDescent="0.25">
      <c r="A1157" s="7" t="s">
        <v>58</v>
      </c>
      <c r="B1157" s="2" t="s">
        <v>14624</v>
      </c>
      <c r="C1157" s="2" t="s">
        <v>14625</v>
      </c>
      <c r="D1157" s="2" t="s">
        <v>14626</v>
      </c>
      <c r="F1157" s="3" t="s">
        <v>58</v>
      </c>
      <c r="G1157" s="3" t="s">
        <v>59</v>
      </c>
      <c r="H1157" s="3" t="s">
        <v>58</v>
      </c>
      <c r="I1157" s="3" t="s">
        <v>58</v>
      </c>
      <c r="J1157" s="3" t="s">
        <v>60</v>
      </c>
      <c r="K1157" s="2" t="s">
        <v>14627</v>
      </c>
      <c r="L1157" s="2" t="s">
        <v>14628</v>
      </c>
      <c r="M1157" s="3" t="s">
        <v>423</v>
      </c>
      <c r="N1157" s="2" t="s">
        <v>14629</v>
      </c>
      <c r="O1157" s="3" t="s">
        <v>63</v>
      </c>
      <c r="P1157" s="3" t="s">
        <v>214</v>
      </c>
      <c r="R1157" s="3" t="s">
        <v>65</v>
      </c>
      <c r="S1157" s="4">
        <v>8</v>
      </c>
      <c r="T1157" s="4">
        <v>8</v>
      </c>
      <c r="U1157" s="5" t="s">
        <v>4565</v>
      </c>
      <c r="V1157" s="5" t="s">
        <v>4565</v>
      </c>
      <c r="W1157" s="5" t="s">
        <v>14630</v>
      </c>
      <c r="X1157" s="5" t="s">
        <v>14630</v>
      </c>
      <c r="Y1157" s="4">
        <v>527</v>
      </c>
      <c r="Z1157" s="4">
        <v>489</v>
      </c>
      <c r="AA1157" s="4">
        <v>648</v>
      </c>
      <c r="AB1157" s="4">
        <v>2</v>
      </c>
      <c r="AC1157" s="4">
        <v>4</v>
      </c>
      <c r="AD1157" s="4">
        <v>23</v>
      </c>
      <c r="AE1157" s="4">
        <v>29</v>
      </c>
      <c r="AF1157" s="4">
        <v>7</v>
      </c>
      <c r="AG1157" s="4">
        <v>8</v>
      </c>
      <c r="AH1157" s="4">
        <v>6</v>
      </c>
      <c r="AI1157" s="4">
        <v>8</v>
      </c>
      <c r="AJ1157" s="4">
        <v>13</v>
      </c>
      <c r="AK1157" s="4">
        <v>17</v>
      </c>
      <c r="AL1157" s="4">
        <v>1</v>
      </c>
      <c r="AM1157" s="4">
        <v>3</v>
      </c>
      <c r="AN1157" s="4">
        <v>0</v>
      </c>
      <c r="AO1157" s="4">
        <v>0</v>
      </c>
      <c r="AP1157" s="3" t="s">
        <v>58</v>
      </c>
      <c r="AQ1157" s="3" t="s">
        <v>58</v>
      </c>
      <c r="AS1157" s="6" t="str">
        <f>HYPERLINK("https://creighton-primo.hosted.exlibrisgroup.com/primo-explore/search?tab=default_tab&amp;search_scope=EVERYTHING&amp;vid=01CRU&amp;lang=en_US&amp;offset=0&amp;query=any,contains,991002836749702656","Catalog Record")</f>
        <v>Catalog Record</v>
      </c>
      <c r="AT1157" s="6" t="str">
        <f>HYPERLINK("http://www.worldcat.org/oclc/37361771","WorldCat Record")</f>
        <v>WorldCat Record</v>
      </c>
      <c r="AU1157" s="3" t="s">
        <v>14631</v>
      </c>
      <c r="AV1157" s="3" t="s">
        <v>14632</v>
      </c>
      <c r="AW1157" s="3" t="s">
        <v>14633</v>
      </c>
      <c r="AX1157" s="3" t="s">
        <v>14633</v>
      </c>
      <c r="AY1157" s="3" t="s">
        <v>14634</v>
      </c>
      <c r="AZ1157" s="3" t="s">
        <v>73</v>
      </c>
      <c r="BB1157" s="3" t="s">
        <v>14635</v>
      </c>
      <c r="BC1157" s="3" t="s">
        <v>14636</v>
      </c>
      <c r="BD1157" s="3" t="s">
        <v>14637</v>
      </c>
    </row>
    <row r="1158" spans="1:56" ht="51" customHeight="1" x14ac:dyDescent="0.25">
      <c r="A1158" s="7" t="s">
        <v>58</v>
      </c>
      <c r="B1158" s="2" t="s">
        <v>14638</v>
      </c>
      <c r="C1158" s="2" t="s">
        <v>14639</v>
      </c>
      <c r="D1158" s="2" t="s">
        <v>14640</v>
      </c>
      <c r="F1158" s="3" t="s">
        <v>58</v>
      </c>
      <c r="G1158" s="3" t="s">
        <v>59</v>
      </c>
      <c r="H1158" s="3" t="s">
        <v>58</v>
      </c>
      <c r="I1158" s="3" t="s">
        <v>58</v>
      </c>
      <c r="J1158" s="3" t="s">
        <v>60</v>
      </c>
      <c r="K1158" s="2" t="s">
        <v>14641</v>
      </c>
      <c r="L1158" s="2" t="s">
        <v>14642</v>
      </c>
      <c r="M1158" s="3" t="s">
        <v>745</v>
      </c>
      <c r="N1158" s="2" t="s">
        <v>424</v>
      </c>
      <c r="O1158" s="3" t="s">
        <v>63</v>
      </c>
      <c r="P1158" s="3" t="s">
        <v>584</v>
      </c>
      <c r="Q1158" s="2" t="s">
        <v>14643</v>
      </c>
      <c r="R1158" s="3" t="s">
        <v>65</v>
      </c>
      <c r="S1158" s="4">
        <v>2</v>
      </c>
      <c r="T1158" s="4">
        <v>2</v>
      </c>
      <c r="U1158" s="5" t="s">
        <v>11060</v>
      </c>
      <c r="V1158" s="5" t="s">
        <v>11060</v>
      </c>
      <c r="W1158" s="5" t="s">
        <v>11927</v>
      </c>
      <c r="X1158" s="5" t="s">
        <v>11927</v>
      </c>
      <c r="Y1158" s="4">
        <v>197</v>
      </c>
      <c r="Z1158" s="4">
        <v>137</v>
      </c>
      <c r="AA1158" s="4">
        <v>542</v>
      </c>
      <c r="AB1158" s="4">
        <v>2</v>
      </c>
      <c r="AC1158" s="4">
        <v>5</v>
      </c>
      <c r="AD1158" s="4">
        <v>8</v>
      </c>
      <c r="AE1158" s="4">
        <v>28</v>
      </c>
      <c r="AF1158" s="4">
        <v>1</v>
      </c>
      <c r="AG1158" s="4">
        <v>9</v>
      </c>
      <c r="AH1158" s="4">
        <v>2</v>
      </c>
      <c r="AI1158" s="4">
        <v>7</v>
      </c>
      <c r="AJ1158" s="4">
        <v>6</v>
      </c>
      <c r="AK1158" s="4">
        <v>13</v>
      </c>
      <c r="AL1158" s="4">
        <v>1</v>
      </c>
      <c r="AM1158" s="4">
        <v>4</v>
      </c>
      <c r="AN1158" s="4">
        <v>0</v>
      </c>
      <c r="AO1158" s="4">
        <v>1</v>
      </c>
      <c r="AP1158" s="3" t="s">
        <v>58</v>
      </c>
      <c r="AQ1158" s="3" t="s">
        <v>58</v>
      </c>
      <c r="AS1158" s="6" t="str">
        <f>HYPERLINK("https://creighton-primo.hosted.exlibrisgroup.com/primo-explore/search?tab=default_tab&amp;search_scope=EVERYTHING&amp;vid=01CRU&amp;lang=en_US&amp;offset=0&amp;query=any,contains,991003948159702656","Catalog Record")</f>
        <v>Catalog Record</v>
      </c>
      <c r="AT1158" s="6" t="str">
        <f>HYPERLINK("http://www.worldcat.org/oclc/1949808","WorldCat Record")</f>
        <v>WorldCat Record</v>
      </c>
      <c r="AU1158" s="3" t="s">
        <v>14644</v>
      </c>
      <c r="AV1158" s="3" t="s">
        <v>14645</v>
      </c>
      <c r="AW1158" s="3" t="s">
        <v>14646</v>
      </c>
      <c r="AX1158" s="3" t="s">
        <v>14646</v>
      </c>
      <c r="AY1158" s="3" t="s">
        <v>14647</v>
      </c>
      <c r="AZ1158" s="3" t="s">
        <v>73</v>
      </c>
      <c r="BC1158" s="3" t="s">
        <v>14648</v>
      </c>
      <c r="BD1158" s="3" t="s">
        <v>14649</v>
      </c>
    </row>
    <row r="1159" spans="1:56" ht="51" customHeight="1" x14ac:dyDescent="0.25">
      <c r="A1159" s="7" t="s">
        <v>58</v>
      </c>
      <c r="B1159" s="2" t="s">
        <v>14650</v>
      </c>
      <c r="C1159" s="2" t="s">
        <v>14651</v>
      </c>
      <c r="D1159" s="2" t="s">
        <v>14652</v>
      </c>
      <c r="F1159" s="3" t="s">
        <v>58</v>
      </c>
      <c r="G1159" s="3" t="s">
        <v>59</v>
      </c>
      <c r="H1159" s="3" t="s">
        <v>58</v>
      </c>
      <c r="I1159" s="3" t="s">
        <v>58</v>
      </c>
      <c r="J1159" s="3" t="s">
        <v>60</v>
      </c>
      <c r="K1159" s="2" t="s">
        <v>14653</v>
      </c>
      <c r="L1159" s="2" t="s">
        <v>14654</v>
      </c>
      <c r="M1159" s="3" t="s">
        <v>138</v>
      </c>
      <c r="O1159" s="3" t="s">
        <v>63</v>
      </c>
      <c r="P1159" s="3" t="s">
        <v>3323</v>
      </c>
      <c r="R1159" s="3" t="s">
        <v>65</v>
      </c>
      <c r="S1159" s="4">
        <v>2</v>
      </c>
      <c r="T1159" s="4">
        <v>2</v>
      </c>
      <c r="U1159" s="5" t="s">
        <v>14655</v>
      </c>
      <c r="V1159" s="5" t="s">
        <v>14655</v>
      </c>
      <c r="W1159" s="5" t="s">
        <v>8127</v>
      </c>
      <c r="X1159" s="5" t="s">
        <v>8127</v>
      </c>
      <c r="Y1159" s="4">
        <v>213</v>
      </c>
      <c r="Z1159" s="4">
        <v>187</v>
      </c>
      <c r="AA1159" s="4">
        <v>189</v>
      </c>
      <c r="AB1159" s="4">
        <v>2</v>
      </c>
      <c r="AC1159" s="4">
        <v>2</v>
      </c>
      <c r="AD1159" s="4">
        <v>7</v>
      </c>
      <c r="AE1159" s="4">
        <v>7</v>
      </c>
      <c r="AF1159" s="4">
        <v>1</v>
      </c>
      <c r="AG1159" s="4">
        <v>1</v>
      </c>
      <c r="AH1159" s="4">
        <v>3</v>
      </c>
      <c r="AI1159" s="4">
        <v>3</v>
      </c>
      <c r="AJ1159" s="4">
        <v>4</v>
      </c>
      <c r="AK1159" s="4">
        <v>4</v>
      </c>
      <c r="AL1159" s="4">
        <v>1</v>
      </c>
      <c r="AM1159" s="4">
        <v>1</v>
      </c>
      <c r="AN1159" s="4">
        <v>0</v>
      </c>
      <c r="AO1159" s="4">
        <v>0</v>
      </c>
      <c r="AP1159" s="3" t="s">
        <v>58</v>
      </c>
      <c r="AQ1159" s="3" t="s">
        <v>68</v>
      </c>
      <c r="AR1159" s="6" t="str">
        <f>HYPERLINK("http://catalog.hathitrust.org/Record/000187826","HathiTrust Record")</f>
        <v>HathiTrust Record</v>
      </c>
      <c r="AS1159" s="6" t="str">
        <f>HYPERLINK("https://creighton-primo.hosted.exlibrisgroup.com/primo-explore/search?tab=default_tab&amp;search_scope=EVERYTHING&amp;vid=01CRU&amp;lang=en_US&amp;offset=0&amp;query=any,contains,991000046339702656","Catalog Record")</f>
        <v>Catalog Record</v>
      </c>
      <c r="AT1159" s="6" t="str">
        <f>HYPERLINK("http://www.worldcat.org/oclc/8669062","WorldCat Record")</f>
        <v>WorldCat Record</v>
      </c>
      <c r="AU1159" s="3" t="s">
        <v>14656</v>
      </c>
      <c r="AV1159" s="3" t="s">
        <v>14657</v>
      </c>
      <c r="AW1159" s="3" t="s">
        <v>14658</v>
      </c>
      <c r="AX1159" s="3" t="s">
        <v>14658</v>
      </c>
      <c r="AY1159" s="3" t="s">
        <v>14659</v>
      </c>
      <c r="AZ1159" s="3" t="s">
        <v>73</v>
      </c>
      <c r="BB1159" s="3" t="s">
        <v>14660</v>
      </c>
      <c r="BC1159" s="3" t="s">
        <v>14661</v>
      </c>
      <c r="BD1159" s="3" t="s">
        <v>14662</v>
      </c>
    </row>
    <row r="1160" spans="1:56" ht="51" customHeight="1" x14ac:dyDescent="0.25">
      <c r="A1160" s="7" t="s">
        <v>58</v>
      </c>
      <c r="B1160" s="2" t="s">
        <v>14663</v>
      </c>
      <c r="C1160" s="2" t="s">
        <v>14664</v>
      </c>
      <c r="D1160" s="2" t="s">
        <v>14665</v>
      </c>
      <c r="F1160" s="3" t="s">
        <v>58</v>
      </c>
      <c r="G1160" s="3" t="s">
        <v>59</v>
      </c>
      <c r="H1160" s="3" t="s">
        <v>58</v>
      </c>
      <c r="I1160" s="3" t="s">
        <v>58</v>
      </c>
      <c r="J1160" s="3" t="s">
        <v>60</v>
      </c>
      <c r="K1160" s="2" t="s">
        <v>12467</v>
      </c>
      <c r="L1160" s="2" t="s">
        <v>14666</v>
      </c>
      <c r="M1160" s="3" t="s">
        <v>951</v>
      </c>
      <c r="O1160" s="3" t="s">
        <v>63</v>
      </c>
      <c r="P1160" s="3" t="s">
        <v>584</v>
      </c>
      <c r="Q1160" s="2" t="s">
        <v>14667</v>
      </c>
      <c r="R1160" s="3" t="s">
        <v>65</v>
      </c>
      <c r="S1160" s="4">
        <v>7</v>
      </c>
      <c r="T1160" s="4">
        <v>7</v>
      </c>
      <c r="U1160" s="5" t="s">
        <v>14590</v>
      </c>
      <c r="V1160" s="5" t="s">
        <v>14590</v>
      </c>
      <c r="W1160" s="5" t="s">
        <v>7631</v>
      </c>
      <c r="X1160" s="5" t="s">
        <v>7631</v>
      </c>
      <c r="Y1160" s="4">
        <v>337</v>
      </c>
      <c r="Z1160" s="4">
        <v>231</v>
      </c>
      <c r="AA1160" s="4">
        <v>231</v>
      </c>
      <c r="AB1160" s="4">
        <v>3</v>
      </c>
      <c r="AC1160" s="4">
        <v>3</v>
      </c>
      <c r="AD1160" s="4">
        <v>12</v>
      </c>
      <c r="AE1160" s="4">
        <v>12</v>
      </c>
      <c r="AF1160" s="4">
        <v>3</v>
      </c>
      <c r="AG1160" s="4">
        <v>3</v>
      </c>
      <c r="AH1160" s="4">
        <v>4</v>
      </c>
      <c r="AI1160" s="4">
        <v>4</v>
      </c>
      <c r="AJ1160" s="4">
        <v>4</v>
      </c>
      <c r="AK1160" s="4">
        <v>4</v>
      </c>
      <c r="AL1160" s="4">
        <v>2</v>
      </c>
      <c r="AM1160" s="4">
        <v>2</v>
      </c>
      <c r="AN1160" s="4">
        <v>0</v>
      </c>
      <c r="AO1160" s="4">
        <v>0</v>
      </c>
      <c r="AP1160" s="3" t="s">
        <v>58</v>
      </c>
      <c r="AQ1160" s="3" t="s">
        <v>58</v>
      </c>
      <c r="AS1160" s="6" t="str">
        <f>HYPERLINK("https://creighton-primo.hosted.exlibrisgroup.com/primo-explore/search?tab=default_tab&amp;search_scope=EVERYTHING&amp;vid=01CRU&amp;lang=en_US&amp;offset=0&amp;query=any,contains,991003468789702656","Catalog Record")</f>
        <v>Catalog Record</v>
      </c>
      <c r="AT1160" s="6" t="str">
        <f>HYPERLINK("http://www.worldcat.org/oclc/43786758","WorldCat Record")</f>
        <v>WorldCat Record</v>
      </c>
      <c r="AU1160" s="3" t="s">
        <v>14668</v>
      </c>
      <c r="AV1160" s="3" t="s">
        <v>14669</v>
      </c>
      <c r="AW1160" s="3" t="s">
        <v>14670</v>
      </c>
      <c r="AX1160" s="3" t="s">
        <v>14670</v>
      </c>
      <c r="AY1160" s="3" t="s">
        <v>14671</v>
      </c>
      <c r="AZ1160" s="3" t="s">
        <v>73</v>
      </c>
      <c r="BB1160" s="3" t="s">
        <v>14672</v>
      </c>
      <c r="BC1160" s="3" t="s">
        <v>14673</v>
      </c>
      <c r="BD1160" s="3" t="s">
        <v>14674</v>
      </c>
    </row>
    <row r="1161" spans="1:56" ht="51" customHeight="1" x14ac:dyDescent="0.25">
      <c r="A1161" s="7" t="s">
        <v>58</v>
      </c>
      <c r="B1161" s="2" t="s">
        <v>14675</v>
      </c>
      <c r="C1161" s="2" t="s">
        <v>14676</v>
      </c>
      <c r="D1161" s="2" t="s">
        <v>14677</v>
      </c>
      <c r="F1161" s="3" t="s">
        <v>58</v>
      </c>
      <c r="G1161" s="3" t="s">
        <v>59</v>
      </c>
      <c r="H1161" s="3" t="s">
        <v>58</v>
      </c>
      <c r="I1161" s="3" t="s">
        <v>58</v>
      </c>
      <c r="J1161" s="3" t="s">
        <v>60</v>
      </c>
      <c r="K1161" s="2" t="s">
        <v>13456</v>
      </c>
      <c r="L1161" s="2" t="s">
        <v>14654</v>
      </c>
      <c r="M1161" s="3" t="s">
        <v>138</v>
      </c>
      <c r="O1161" s="3" t="s">
        <v>63</v>
      </c>
      <c r="P1161" s="3" t="s">
        <v>3323</v>
      </c>
      <c r="R1161" s="3" t="s">
        <v>65</v>
      </c>
      <c r="S1161" s="4">
        <v>11</v>
      </c>
      <c r="T1161" s="4">
        <v>11</v>
      </c>
      <c r="U1161" s="5" t="s">
        <v>14578</v>
      </c>
      <c r="V1161" s="5" t="s">
        <v>14578</v>
      </c>
      <c r="W1161" s="5" t="s">
        <v>8127</v>
      </c>
      <c r="X1161" s="5" t="s">
        <v>8127</v>
      </c>
      <c r="Y1161" s="4">
        <v>284</v>
      </c>
      <c r="Z1161" s="4">
        <v>244</v>
      </c>
      <c r="AA1161" s="4">
        <v>252</v>
      </c>
      <c r="AB1161" s="4">
        <v>2</v>
      </c>
      <c r="AC1161" s="4">
        <v>2</v>
      </c>
      <c r="AD1161" s="4">
        <v>8</v>
      </c>
      <c r="AE1161" s="4">
        <v>8</v>
      </c>
      <c r="AF1161" s="4">
        <v>1</v>
      </c>
      <c r="AG1161" s="4">
        <v>1</v>
      </c>
      <c r="AH1161" s="4">
        <v>3</v>
      </c>
      <c r="AI1161" s="4">
        <v>3</v>
      </c>
      <c r="AJ1161" s="4">
        <v>5</v>
      </c>
      <c r="AK1161" s="4">
        <v>5</v>
      </c>
      <c r="AL1161" s="4">
        <v>1</v>
      </c>
      <c r="AM1161" s="4">
        <v>1</v>
      </c>
      <c r="AN1161" s="4">
        <v>0</v>
      </c>
      <c r="AO1161" s="4">
        <v>0</v>
      </c>
      <c r="AP1161" s="3" t="s">
        <v>58</v>
      </c>
      <c r="AQ1161" s="3" t="s">
        <v>68</v>
      </c>
      <c r="AR1161" s="6" t="str">
        <f>HYPERLINK("http://catalog.hathitrust.org/Record/000150258","HathiTrust Record")</f>
        <v>HathiTrust Record</v>
      </c>
      <c r="AS1161" s="6" t="str">
        <f>HYPERLINK("https://creighton-primo.hosted.exlibrisgroup.com/primo-explore/search?tab=default_tab&amp;search_scope=EVERYTHING&amp;vid=01CRU&amp;lang=en_US&amp;offset=0&amp;query=any,contains,991000061189702656","Catalog Record")</f>
        <v>Catalog Record</v>
      </c>
      <c r="AT1161" s="6" t="str">
        <f>HYPERLINK("http://www.worldcat.org/oclc/8729824","WorldCat Record")</f>
        <v>WorldCat Record</v>
      </c>
      <c r="AU1161" s="3" t="s">
        <v>14678</v>
      </c>
      <c r="AV1161" s="3" t="s">
        <v>14679</v>
      </c>
      <c r="AW1161" s="3" t="s">
        <v>14680</v>
      </c>
      <c r="AX1161" s="3" t="s">
        <v>14680</v>
      </c>
      <c r="AY1161" s="3" t="s">
        <v>14681</v>
      </c>
      <c r="AZ1161" s="3" t="s">
        <v>73</v>
      </c>
      <c r="BB1161" s="3" t="s">
        <v>14682</v>
      </c>
      <c r="BC1161" s="3" t="s">
        <v>14683</v>
      </c>
      <c r="BD1161" s="3" t="s">
        <v>14684</v>
      </c>
    </row>
    <row r="1162" spans="1:56" ht="51" customHeight="1" x14ac:dyDescent="0.25">
      <c r="A1162" s="7" t="s">
        <v>58</v>
      </c>
      <c r="B1162" s="2" t="s">
        <v>14685</v>
      </c>
      <c r="C1162" s="2" t="s">
        <v>14686</v>
      </c>
      <c r="D1162" s="2" t="s">
        <v>14687</v>
      </c>
      <c r="F1162" s="3" t="s">
        <v>58</v>
      </c>
      <c r="G1162" s="3" t="s">
        <v>59</v>
      </c>
      <c r="H1162" s="3" t="s">
        <v>58</v>
      </c>
      <c r="I1162" s="3" t="s">
        <v>58</v>
      </c>
      <c r="J1162" s="3" t="s">
        <v>60</v>
      </c>
      <c r="K1162" s="2" t="s">
        <v>14688</v>
      </c>
      <c r="L1162" s="2" t="s">
        <v>14689</v>
      </c>
      <c r="M1162" s="3" t="s">
        <v>1499</v>
      </c>
      <c r="N1162" s="2" t="s">
        <v>2091</v>
      </c>
      <c r="O1162" s="3" t="s">
        <v>63</v>
      </c>
      <c r="P1162" s="3" t="s">
        <v>214</v>
      </c>
      <c r="Q1162" s="2" t="s">
        <v>14690</v>
      </c>
      <c r="R1162" s="3" t="s">
        <v>65</v>
      </c>
      <c r="S1162" s="4">
        <v>8</v>
      </c>
      <c r="T1162" s="4">
        <v>8</v>
      </c>
      <c r="U1162" s="5" t="s">
        <v>13761</v>
      </c>
      <c r="V1162" s="5" t="s">
        <v>13761</v>
      </c>
      <c r="W1162" s="5" t="s">
        <v>14491</v>
      </c>
      <c r="X1162" s="5" t="s">
        <v>14491</v>
      </c>
      <c r="Y1162" s="4">
        <v>363</v>
      </c>
      <c r="Z1162" s="4">
        <v>332</v>
      </c>
      <c r="AA1162" s="4">
        <v>791</v>
      </c>
      <c r="AB1162" s="4">
        <v>3</v>
      </c>
      <c r="AC1162" s="4">
        <v>5</v>
      </c>
      <c r="AD1162" s="4">
        <v>13</v>
      </c>
      <c r="AE1162" s="4">
        <v>31</v>
      </c>
      <c r="AF1162" s="4">
        <v>2</v>
      </c>
      <c r="AG1162" s="4">
        <v>11</v>
      </c>
      <c r="AH1162" s="4">
        <v>5</v>
      </c>
      <c r="AI1162" s="4">
        <v>9</v>
      </c>
      <c r="AJ1162" s="4">
        <v>7</v>
      </c>
      <c r="AK1162" s="4">
        <v>13</v>
      </c>
      <c r="AL1162" s="4">
        <v>2</v>
      </c>
      <c r="AM1162" s="4">
        <v>4</v>
      </c>
      <c r="AN1162" s="4">
        <v>0</v>
      </c>
      <c r="AO1162" s="4">
        <v>1</v>
      </c>
      <c r="AP1162" s="3" t="s">
        <v>58</v>
      </c>
      <c r="AQ1162" s="3" t="s">
        <v>58</v>
      </c>
      <c r="AS1162" s="6" t="str">
        <f>HYPERLINK("https://creighton-primo.hosted.exlibrisgroup.com/primo-explore/search?tab=default_tab&amp;search_scope=EVERYTHING&amp;vid=01CRU&amp;lang=en_US&amp;offset=0&amp;query=any,contains,991000938329702656","Catalog Record")</f>
        <v>Catalog Record</v>
      </c>
      <c r="AT1162" s="6" t="str">
        <f>HYPERLINK("http://www.worldcat.org/oclc/165601","WorldCat Record")</f>
        <v>WorldCat Record</v>
      </c>
      <c r="AU1162" s="3" t="s">
        <v>14691</v>
      </c>
      <c r="AV1162" s="3" t="s">
        <v>14692</v>
      </c>
      <c r="AW1162" s="3" t="s">
        <v>14693</v>
      </c>
      <c r="AX1162" s="3" t="s">
        <v>14693</v>
      </c>
      <c r="AY1162" s="3" t="s">
        <v>14694</v>
      </c>
      <c r="AZ1162" s="3" t="s">
        <v>73</v>
      </c>
      <c r="BC1162" s="3" t="s">
        <v>14695</v>
      </c>
      <c r="BD1162" s="3" t="s">
        <v>14696</v>
      </c>
    </row>
    <row r="1163" spans="1:56" ht="51" customHeight="1" x14ac:dyDescent="0.25">
      <c r="A1163" s="7" t="s">
        <v>58</v>
      </c>
      <c r="B1163" s="2" t="s">
        <v>14697</v>
      </c>
      <c r="C1163" s="2" t="s">
        <v>14698</v>
      </c>
      <c r="D1163" s="2" t="s">
        <v>14699</v>
      </c>
      <c r="F1163" s="3" t="s">
        <v>58</v>
      </c>
      <c r="G1163" s="3" t="s">
        <v>59</v>
      </c>
      <c r="H1163" s="3" t="s">
        <v>58</v>
      </c>
      <c r="I1163" s="3" t="s">
        <v>58</v>
      </c>
      <c r="J1163" s="3" t="s">
        <v>60</v>
      </c>
      <c r="K1163" s="2" t="s">
        <v>14700</v>
      </c>
      <c r="L1163" s="2" t="s">
        <v>14701</v>
      </c>
      <c r="M1163" s="3" t="s">
        <v>2004</v>
      </c>
      <c r="O1163" s="3" t="s">
        <v>63</v>
      </c>
      <c r="P1163" s="3" t="s">
        <v>571</v>
      </c>
      <c r="R1163" s="3" t="s">
        <v>65</v>
      </c>
      <c r="S1163" s="4">
        <v>2</v>
      </c>
      <c r="T1163" s="4">
        <v>2</v>
      </c>
      <c r="U1163" s="5" t="s">
        <v>11060</v>
      </c>
      <c r="V1163" s="5" t="s">
        <v>11060</v>
      </c>
      <c r="W1163" s="5" t="s">
        <v>11927</v>
      </c>
      <c r="X1163" s="5" t="s">
        <v>11927</v>
      </c>
      <c r="Y1163" s="4">
        <v>233</v>
      </c>
      <c r="Z1163" s="4">
        <v>169</v>
      </c>
      <c r="AA1163" s="4">
        <v>181</v>
      </c>
      <c r="AB1163" s="4">
        <v>1</v>
      </c>
      <c r="AC1163" s="4">
        <v>1</v>
      </c>
      <c r="AD1163" s="4">
        <v>5</v>
      </c>
      <c r="AE1163" s="4">
        <v>5</v>
      </c>
      <c r="AF1163" s="4">
        <v>3</v>
      </c>
      <c r="AG1163" s="4">
        <v>3</v>
      </c>
      <c r="AH1163" s="4">
        <v>1</v>
      </c>
      <c r="AI1163" s="4">
        <v>1</v>
      </c>
      <c r="AJ1163" s="4">
        <v>1</v>
      </c>
      <c r="AK1163" s="4">
        <v>1</v>
      </c>
      <c r="AL1163" s="4">
        <v>0</v>
      </c>
      <c r="AM1163" s="4">
        <v>0</v>
      </c>
      <c r="AN1163" s="4">
        <v>0</v>
      </c>
      <c r="AO1163" s="4">
        <v>0</v>
      </c>
      <c r="AP1163" s="3" t="s">
        <v>58</v>
      </c>
      <c r="AQ1163" s="3" t="s">
        <v>68</v>
      </c>
      <c r="AR1163" s="6" t="str">
        <f>HYPERLINK("http://catalog.hathitrust.org/Record/001266639","HathiTrust Record")</f>
        <v>HathiTrust Record</v>
      </c>
      <c r="AS1163" s="6" t="str">
        <f>HYPERLINK("https://creighton-primo.hosted.exlibrisgroup.com/primo-explore/search?tab=default_tab&amp;search_scope=EVERYTHING&amp;vid=01CRU&amp;lang=en_US&amp;offset=0&amp;query=any,contains,991003813089702656","Catalog Record")</f>
        <v>Catalog Record</v>
      </c>
      <c r="AT1163" s="6" t="str">
        <f>HYPERLINK("http://www.worldcat.org/oclc/1542187","WorldCat Record")</f>
        <v>WorldCat Record</v>
      </c>
      <c r="AU1163" s="3" t="s">
        <v>14702</v>
      </c>
      <c r="AV1163" s="3" t="s">
        <v>14703</v>
      </c>
      <c r="AW1163" s="3" t="s">
        <v>14704</v>
      </c>
      <c r="AX1163" s="3" t="s">
        <v>14704</v>
      </c>
      <c r="AY1163" s="3" t="s">
        <v>14705</v>
      </c>
      <c r="AZ1163" s="3" t="s">
        <v>73</v>
      </c>
      <c r="BC1163" s="3" t="s">
        <v>14706</v>
      </c>
      <c r="BD1163" s="3" t="s">
        <v>14707</v>
      </c>
    </row>
    <row r="1164" spans="1:56" ht="51" customHeight="1" x14ac:dyDescent="0.25">
      <c r="A1164" s="7" t="s">
        <v>58</v>
      </c>
      <c r="B1164" s="2" t="s">
        <v>14708</v>
      </c>
      <c r="C1164" s="2" t="s">
        <v>14709</v>
      </c>
      <c r="D1164" s="2" t="s">
        <v>14710</v>
      </c>
      <c r="F1164" s="3" t="s">
        <v>58</v>
      </c>
      <c r="G1164" s="3" t="s">
        <v>59</v>
      </c>
      <c r="H1164" s="3" t="s">
        <v>58</v>
      </c>
      <c r="I1164" s="3" t="s">
        <v>58</v>
      </c>
      <c r="J1164" s="3" t="s">
        <v>60</v>
      </c>
      <c r="L1164" s="2" t="s">
        <v>14711</v>
      </c>
      <c r="M1164" s="3" t="s">
        <v>2295</v>
      </c>
      <c r="O1164" s="3" t="s">
        <v>63</v>
      </c>
      <c r="P1164" s="3" t="s">
        <v>3323</v>
      </c>
      <c r="R1164" s="3" t="s">
        <v>65</v>
      </c>
      <c r="S1164" s="4">
        <v>1</v>
      </c>
      <c r="T1164" s="4">
        <v>1</v>
      </c>
      <c r="U1164" s="5" t="s">
        <v>14712</v>
      </c>
      <c r="V1164" s="5" t="s">
        <v>14712</v>
      </c>
      <c r="W1164" s="5" t="s">
        <v>14712</v>
      </c>
      <c r="X1164" s="5" t="s">
        <v>14712</v>
      </c>
      <c r="Y1164" s="4">
        <v>127</v>
      </c>
      <c r="Z1164" s="4">
        <v>83</v>
      </c>
      <c r="AA1164" s="4">
        <v>85</v>
      </c>
      <c r="AB1164" s="4">
        <v>1</v>
      </c>
      <c r="AC1164" s="4">
        <v>1</v>
      </c>
      <c r="AD1164" s="4">
        <v>3</v>
      </c>
      <c r="AE1164" s="4">
        <v>3</v>
      </c>
      <c r="AF1164" s="4">
        <v>0</v>
      </c>
      <c r="AG1164" s="4">
        <v>0</v>
      </c>
      <c r="AH1164" s="4">
        <v>1</v>
      </c>
      <c r="AI1164" s="4">
        <v>1</v>
      </c>
      <c r="AJ1164" s="4">
        <v>3</v>
      </c>
      <c r="AK1164" s="4">
        <v>3</v>
      </c>
      <c r="AL1164" s="4">
        <v>0</v>
      </c>
      <c r="AM1164" s="4">
        <v>0</v>
      </c>
      <c r="AN1164" s="4">
        <v>0</v>
      </c>
      <c r="AO1164" s="4">
        <v>0</v>
      </c>
      <c r="AP1164" s="3" t="s">
        <v>58</v>
      </c>
      <c r="AQ1164" s="3" t="s">
        <v>68</v>
      </c>
      <c r="AR1164" s="6" t="str">
        <f>HYPERLINK("http://catalog.hathitrust.org/Record/004348684","HathiTrust Record")</f>
        <v>HathiTrust Record</v>
      </c>
      <c r="AS1164" s="6" t="str">
        <f>HYPERLINK("https://creighton-primo.hosted.exlibrisgroup.com/primo-explore/search?tab=default_tab&amp;search_scope=EVERYTHING&amp;vid=01CRU&amp;lang=en_US&amp;offset=0&amp;query=any,contains,991004994919702656","Catalog Record")</f>
        <v>Catalog Record</v>
      </c>
      <c r="AT1164" s="6" t="str">
        <f>HYPERLINK("http://www.worldcat.org/oclc/54372881","WorldCat Record")</f>
        <v>WorldCat Record</v>
      </c>
      <c r="AU1164" s="3" t="s">
        <v>14713</v>
      </c>
      <c r="AV1164" s="3" t="s">
        <v>14714</v>
      </c>
      <c r="AW1164" s="3" t="s">
        <v>14715</v>
      </c>
      <c r="AX1164" s="3" t="s">
        <v>14715</v>
      </c>
      <c r="AY1164" s="3" t="s">
        <v>14716</v>
      </c>
      <c r="AZ1164" s="3" t="s">
        <v>73</v>
      </c>
      <c r="BB1164" s="3" t="s">
        <v>14717</v>
      </c>
      <c r="BC1164" s="3" t="s">
        <v>14718</v>
      </c>
      <c r="BD1164" s="3" t="s">
        <v>14719</v>
      </c>
    </row>
    <row r="1165" spans="1:56" ht="51" customHeight="1" x14ac:dyDescent="0.25">
      <c r="A1165" s="7" t="s">
        <v>58</v>
      </c>
      <c r="B1165" s="2" t="s">
        <v>14720</v>
      </c>
      <c r="C1165" s="2" t="s">
        <v>14721</v>
      </c>
      <c r="D1165" s="2" t="s">
        <v>14722</v>
      </c>
      <c r="F1165" s="3" t="s">
        <v>58</v>
      </c>
      <c r="G1165" s="3" t="s">
        <v>59</v>
      </c>
      <c r="H1165" s="3" t="s">
        <v>58</v>
      </c>
      <c r="I1165" s="3" t="s">
        <v>58</v>
      </c>
      <c r="J1165" s="3" t="s">
        <v>60</v>
      </c>
      <c r="K1165" s="2" t="s">
        <v>14723</v>
      </c>
      <c r="L1165" s="2" t="s">
        <v>14724</v>
      </c>
      <c r="M1165" s="3" t="s">
        <v>800</v>
      </c>
      <c r="O1165" s="3" t="s">
        <v>63</v>
      </c>
      <c r="P1165" s="3" t="s">
        <v>3323</v>
      </c>
      <c r="R1165" s="3" t="s">
        <v>65</v>
      </c>
      <c r="S1165" s="4">
        <v>3</v>
      </c>
      <c r="T1165" s="4">
        <v>3</v>
      </c>
      <c r="U1165" s="5" t="s">
        <v>12419</v>
      </c>
      <c r="V1165" s="5" t="s">
        <v>12419</v>
      </c>
      <c r="W1165" s="5" t="s">
        <v>14725</v>
      </c>
      <c r="X1165" s="5" t="s">
        <v>14725</v>
      </c>
      <c r="Y1165" s="4">
        <v>176</v>
      </c>
      <c r="Z1165" s="4">
        <v>161</v>
      </c>
      <c r="AA1165" s="4">
        <v>165</v>
      </c>
      <c r="AB1165" s="4">
        <v>2</v>
      </c>
      <c r="AC1165" s="4">
        <v>2</v>
      </c>
      <c r="AD1165" s="4">
        <v>6</v>
      </c>
      <c r="AE1165" s="4">
        <v>6</v>
      </c>
      <c r="AF1165" s="4">
        <v>1</v>
      </c>
      <c r="AG1165" s="4">
        <v>1</v>
      </c>
      <c r="AH1165" s="4">
        <v>0</v>
      </c>
      <c r="AI1165" s="4">
        <v>0</v>
      </c>
      <c r="AJ1165" s="4">
        <v>5</v>
      </c>
      <c r="AK1165" s="4">
        <v>5</v>
      </c>
      <c r="AL1165" s="4">
        <v>1</v>
      </c>
      <c r="AM1165" s="4">
        <v>1</v>
      </c>
      <c r="AN1165" s="4">
        <v>0</v>
      </c>
      <c r="AO1165" s="4">
        <v>0</v>
      </c>
      <c r="AP1165" s="3" t="s">
        <v>58</v>
      </c>
      <c r="AQ1165" s="3" t="s">
        <v>68</v>
      </c>
      <c r="AR1165" s="6" t="str">
        <f>HYPERLINK("http://catalog.hathitrust.org/Record/003040190","HathiTrust Record")</f>
        <v>HathiTrust Record</v>
      </c>
      <c r="AS1165" s="6" t="str">
        <f>HYPERLINK("https://creighton-primo.hosted.exlibrisgroup.com/primo-explore/search?tab=default_tab&amp;search_scope=EVERYTHING&amp;vid=01CRU&amp;lang=en_US&amp;offset=0&amp;query=any,contains,991002551679702656","Catalog Record")</f>
        <v>Catalog Record</v>
      </c>
      <c r="AT1165" s="6" t="str">
        <f>HYPERLINK("http://www.worldcat.org/oclc/33161099","WorldCat Record")</f>
        <v>WorldCat Record</v>
      </c>
      <c r="AU1165" s="3" t="s">
        <v>14726</v>
      </c>
      <c r="AV1165" s="3" t="s">
        <v>14727</v>
      </c>
      <c r="AW1165" s="3" t="s">
        <v>14728</v>
      </c>
      <c r="AX1165" s="3" t="s">
        <v>14728</v>
      </c>
      <c r="AY1165" s="3" t="s">
        <v>14729</v>
      </c>
      <c r="AZ1165" s="3" t="s">
        <v>73</v>
      </c>
      <c r="BC1165" s="3" t="s">
        <v>14730</v>
      </c>
      <c r="BD1165" s="3" t="s">
        <v>14731</v>
      </c>
    </row>
    <row r="1166" spans="1:56" ht="51" customHeight="1" x14ac:dyDescent="0.25">
      <c r="A1166" s="7" t="s">
        <v>58</v>
      </c>
      <c r="B1166" s="2" t="s">
        <v>14732</v>
      </c>
      <c r="C1166" s="2" t="s">
        <v>14733</v>
      </c>
      <c r="D1166" s="2" t="s">
        <v>14734</v>
      </c>
      <c r="F1166" s="3" t="s">
        <v>58</v>
      </c>
      <c r="G1166" s="3" t="s">
        <v>59</v>
      </c>
      <c r="H1166" s="3" t="s">
        <v>58</v>
      </c>
      <c r="I1166" s="3" t="s">
        <v>58</v>
      </c>
      <c r="J1166" s="3" t="s">
        <v>60</v>
      </c>
      <c r="L1166" s="2" t="s">
        <v>14735</v>
      </c>
      <c r="M1166" s="3" t="s">
        <v>2214</v>
      </c>
      <c r="O1166" s="3" t="s">
        <v>63</v>
      </c>
      <c r="P1166" s="3" t="s">
        <v>584</v>
      </c>
      <c r="Q1166" s="2" t="s">
        <v>14736</v>
      </c>
      <c r="R1166" s="3" t="s">
        <v>65</v>
      </c>
      <c r="S1166" s="4">
        <v>1</v>
      </c>
      <c r="T1166" s="4">
        <v>1</v>
      </c>
      <c r="U1166" s="5" t="s">
        <v>14737</v>
      </c>
      <c r="V1166" s="5" t="s">
        <v>14737</v>
      </c>
      <c r="W1166" s="5" t="s">
        <v>14737</v>
      </c>
      <c r="X1166" s="5" t="s">
        <v>14737</v>
      </c>
      <c r="Y1166" s="4">
        <v>167</v>
      </c>
      <c r="Z1166" s="4">
        <v>121</v>
      </c>
      <c r="AA1166" s="4">
        <v>147</v>
      </c>
      <c r="AB1166" s="4">
        <v>2</v>
      </c>
      <c r="AC1166" s="4">
        <v>2</v>
      </c>
      <c r="AD1166" s="4">
        <v>5</v>
      </c>
      <c r="AE1166" s="4">
        <v>5</v>
      </c>
      <c r="AF1166" s="4">
        <v>1</v>
      </c>
      <c r="AG1166" s="4">
        <v>1</v>
      </c>
      <c r="AH1166" s="4">
        <v>2</v>
      </c>
      <c r="AI1166" s="4">
        <v>2</v>
      </c>
      <c r="AJ1166" s="4">
        <v>3</v>
      </c>
      <c r="AK1166" s="4">
        <v>3</v>
      </c>
      <c r="AL1166" s="4">
        <v>1</v>
      </c>
      <c r="AM1166" s="4">
        <v>1</v>
      </c>
      <c r="AN1166" s="4">
        <v>0</v>
      </c>
      <c r="AO1166" s="4">
        <v>0</v>
      </c>
      <c r="AP1166" s="3" t="s">
        <v>58</v>
      </c>
      <c r="AQ1166" s="3" t="s">
        <v>58</v>
      </c>
      <c r="AS1166" s="6" t="str">
        <f>HYPERLINK("https://creighton-primo.hosted.exlibrisgroup.com/primo-explore/search?tab=default_tab&amp;search_scope=EVERYTHING&amp;vid=01CRU&amp;lang=en_US&amp;offset=0&amp;query=any,contains,991004911899702656","Catalog Record")</f>
        <v>Catalog Record</v>
      </c>
      <c r="AT1166" s="6" t="str">
        <f>HYPERLINK("http://www.worldcat.org/oclc/56941889","WorldCat Record")</f>
        <v>WorldCat Record</v>
      </c>
      <c r="AU1166" s="3" t="s">
        <v>14738</v>
      </c>
      <c r="AV1166" s="3" t="s">
        <v>14739</v>
      </c>
      <c r="AW1166" s="3" t="s">
        <v>14740</v>
      </c>
      <c r="AX1166" s="3" t="s">
        <v>14740</v>
      </c>
      <c r="AY1166" s="3" t="s">
        <v>14741</v>
      </c>
      <c r="AZ1166" s="3" t="s">
        <v>73</v>
      </c>
      <c r="BB1166" s="3" t="s">
        <v>14742</v>
      </c>
      <c r="BC1166" s="3" t="s">
        <v>14743</v>
      </c>
      <c r="BD1166" s="3" t="s">
        <v>14744</v>
      </c>
    </row>
    <row r="1167" spans="1:56" ht="51" customHeight="1" x14ac:dyDescent="0.25">
      <c r="A1167" s="7" t="s">
        <v>58</v>
      </c>
      <c r="B1167" s="2" t="s">
        <v>14745</v>
      </c>
      <c r="C1167" s="2" t="s">
        <v>14746</v>
      </c>
      <c r="D1167" s="2" t="s">
        <v>14747</v>
      </c>
      <c r="F1167" s="3" t="s">
        <v>58</v>
      </c>
      <c r="G1167" s="3" t="s">
        <v>59</v>
      </c>
      <c r="H1167" s="3" t="s">
        <v>58</v>
      </c>
      <c r="I1167" s="3" t="s">
        <v>58</v>
      </c>
      <c r="J1167" s="3" t="s">
        <v>60</v>
      </c>
      <c r="K1167" s="2" t="s">
        <v>14748</v>
      </c>
      <c r="L1167" s="2" t="s">
        <v>14749</v>
      </c>
      <c r="M1167" s="3" t="s">
        <v>800</v>
      </c>
      <c r="O1167" s="3" t="s">
        <v>63</v>
      </c>
      <c r="P1167" s="3" t="s">
        <v>1837</v>
      </c>
      <c r="R1167" s="3" t="s">
        <v>65</v>
      </c>
      <c r="S1167" s="4">
        <v>4</v>
      </c>
      <c r="T1167" s="4">
        <v>4</v>
      </c>
      <c r="U1167" s="5" t="s">
        <v>13211</v>
      </c>
      <c r="V1167" s="5" t="s">
        <v>13211</v>
      </c>
      <c r="W1167" s="5" t="s">
        <v>14750</v>
      </c>
      <c r="X1167" s="5" t="s">
        <v>14750</v>
      </c>
      <c r="Y1167" s="4">
        <v>251</v>
      </c>
      <c r="Z1167" s="4">
        <v>217</v>
      </c>
      <c r="AA1167" s="4">
        <v>233</v>
      </c>
      <c r="AB1167" s="4">
        <v>2</v>
      </c>
      <c r="AC1167" s="4">
        <v>2</v>
      </c>
      <c r="AD1167" s="4">
        <v>14</v>
      </c>
      <c r="AE1167" s="4">
        <v>14</v>
      </c>
      <c r="AF1167" s="4">
        <v>4</v>
      </c>
      <c r="AG1167" s="4">
        <v>4</v>
      </c>
      <c r="AH1167" s="4">
        <v>5</v>
      </c>
      <c r="AI1167" s="4">
        <v>5</v>
      </c>
      <c r="AJ1167" s="4">
        <v>10</v>
      </c>
      <c r="AK1167" s="4">
        <v>10</v>
      </c>
      <c r="AL1167" s="4">
        <v>1</v>
      </c>
      <c r="AM1167" s="4">
        <v>1</v>
      </c>
      <c r="AN1167" s="4">
        <v>0</v>
      </c>
      <c r="AO1167" s="4">
        <v>0</v>
      </c>
      <c r="AP1167" s="3" t="s">
        <v>58</v>
      </c>
      <c r="AQ1167" s="3" t="s">
        <v>68</v>
      </c>
      <c r="AR1167" s="6" t="str">
        <f>HYPERLINK("http://catalog.hathitrust.org/Record/003007695","HathiTrust Record")</f>
        <v>HathiTrust Record</v>
      </c>
      <c r="AS1167" s="6" t="str">
        <f>HYPERLINK("https://creighton-primo.hosted.exlibrisgroup.com/primo-explore/search?tab=default_tab&amp;search_scope=EVERYTHING&amp;vid=01CRU&amp;lang=en_US&amp;offset=0&amp;query=any,contains,991002472139702656","Catalog Record")</f>
        <v>Catalog Record</v>
      </c>
      <c r="AT1167" s="6" t="str">
        <f>HYPERLINK("http://www.worldcat.org/oclc/32199926","WorldCat Record")</f>
        <v>WorldCat Record</v>
      </c>
      <c r="AU1167" s="3" t="s">
        <v>14751</v>
      </c>
      <c r="AV1167" s="3" t="s">
        <v>14752</v>
      </c>
      <c r="AW1167" s="3" t="s">
        <v>14753</v>
      </c>
      <c r="AX1167" s="3" t="s">
        <v>14753</v>
      </c>
      <c r="AY1167" s="3" t="s">
        <v>14754</v>
      </c>
      <c r="AZ1167" s="3" t="s">
        <v>73</v>
      </c>
      <c r="BB1167" s="3" t="s">
        <v>14755</v>
      </c>
      <c r="BC1167" s="3" t="s">
        <v>14756</v>
      </c>
      <c r="BD1167" s="3" t="s">
        <v>14757</v>
      </c>
    </row>
    <row r="1168" spans="1:56" ht="51" customHeight="1" x14ac:dyDescent="0.25">
      <c r="A1168" s="7" t="s">
        <v>58</v>
      </c>
      <c r="B1168" s="2" t="s">
        <v>14758</v>
      </c>
      <c r="C1168" s="2" t="s">
        <v>14759</v>
      </c>
      <c r="D1168" s="2" t="s">
        <v>14760</v>
      </c>
      <c r="F1168" s="3" t="s">
        <v>58</v>
      </c>
      <c r="G1168" s="3" t="s">
        <v>59</v>
      </c>
      <c r="H1168" s="3" t="s">
        <v>58</v>
      </c>
      <c r="I1168" s="3" t="s">
        <v>58</v>
      </c>
      <c r="J1168" s="3" t="s">
        <v>60</v>
      </c>
      <c r="K1168" s="2" t="s">
        <v>14761</v>
      </c>
      <c r="L1168" s="2" t="s">
        <v>14762</v>
      </c>
      <c r="M1168" s="3" t="s">
        <v>479</v>
      </c>
      <c r="O1168" s="3" t="s">
        <v>63</v>
      </c>
      <c r="P1168" s="3" t="s">
        <v>510</v>
      </c>
      <c r="R1168" s="3" t="s">
        <v>65</v>
      </c>
      <c r="S1168" s="4">
        <v>4</v>
      </c>
      <c r="T1168" s="4">
        <v>4</v>
      </c>
      <c r="U1168" s="5" t="s">
        <v>14763</v>
      </c>
      <c r="V1168" s="5" t="s">
        <v>14763</v>
      </c>
      <c r="W1168" s="5" t="s">
        <v>14764</v>
      </c>
      <c r="X1168" s="5" t="s">
        <v>14764</v>
      </c>
      <c r="Y1168" s="4">
        <v>531</v>
      </c>
      <c r="Z1168" s="4">
        <v>427</v>
      </c>
      <c r="AA1168" s="4">
        <v>428</v>
      </c>
      <c r="AB1168" s="4">
        <v>3</v>
      </c>
      <c r="AC1168" s="4">
        <v>3</v>
      </c>
      <c r="AD1168" s="4">
        <v>17</v>
      </c>
      <c r="AE1168" s="4">
        <v>17</v>
      </c>
      <c r="AF1168" s="4">
        <v>5</v>
      </c>
      <c r="AG1168" s="4">
        <v>5</v>
      </c>
      <c r="AH1168" s="4">
        <v>5</v>
      </c>
      <c r="AI1168" s="4">
        <v>5</v>
      </c>
      <c r="AJ1168" s="4">
        <v>11</v>
      </c>
      <c r="AK1168" s="4">
        <v>11</v>
      </c>
      <c r="AL1168" s="4">
        <v>2</v>
      </c>
      <c r="AM1168" s="4">
        <v>2</v>
      </c>
      <c r="AN1168" s="4">
        <v>0</v>
      </c>
      <c r="AO1168" s="4">
        <v>0</v>
      </c>
      <c r="AP1168" s="3" t="s">
        <v>58</v>
      </c>
      <c r="AQ1168" s="3" t="s">
        <v>58</v>
      </c>
      <c r="AS1168" s="6" t="str">
        <f>HYPERLINK("https://creighton-primo.hosted.exlibrisgroup.com/primo-explore/search?tab=default_tab&amp;search_scope=EVERYTHING&amp;vid=01CRU&amp;lang=en_US&amp;offset=0&amp;query=any,contains,991002325409702656","Catalog Record")</f>
        <v>Catalog Record</v>
      </c>
      <c r="AT1168" s="6" t="str">
        <f>HYPERLINK("http://www.worldcat.org/oclc/30156601","WorldCat Record")</f>
        <v>WorldCat Record</v>
      </c>
      <c r="AU1168" s="3" t="s">
        <v>14765</v>
      </c>
      <c r="AV1168" s="3" t="s">
        <v>14766</v>
      </c>
      <c r="AW1168" s="3" t="s">
        <v>14767</v>
      </c>
      <c r="AX1168" s="3" t="s">
        <v>14767</v>
      </c>
      <c r="AY1168" s="3" t="s">
        <v>14768</v>
      </c>
      <c r="AZ1168" s="3" t="s">
        <v>73</v>
      </c>
      <c r="BB1168" s="3" t="s">
        <v>14769</v>
      </c>
      <c r="BC1168" s="3" t="s">
        <v>14770</v>
      </c>
      <c r="BD1168" s="3" t="s">
        <v>14771</v>
      </c>
    </row>
    <row r="1169" spans="1:56" ht="51" customHeight="1" x14ac:dyDescent="0.25">
      <c r="A1169" s="7" t="s">
        <v>58</v>
      </c>
      <c r="B1169" s="2" t="s">
        <v>14772</v>
      </c>
      <c r="C1169" s="2" t="s">
        <v>14773</v>
      </c>
      <c r="D1169" s="2" t="s">
        <v>14774</v>
      </c>
      <c r="F1169" s="3" t="s">
        <v>58</v>
      </c>
      <c r="G1169" s="3" t="s">
        <v>59</v>
      </c>
      <c r="H1169" s="3" t="s">
        <v>58</v>
      </c>
      <c r="I1169" s="3" t="s">
        <v>58</v>
      </c>
      <c r="J1169" s="3" t="s">
        <v>60</v>
      </c>
      <c r="K1169" s="2" t="s">
        <v>14775</v>
      </c>
      <c r="L1169" s="2" t="s">
        <v>14776</v>
      </c>
      <c r="M1169" s="3" t="s">
        <v>996</v>
      </c>
      <c r="O1169" s="3" t="s">
        <v>63</v>
      </c>
      <c r="P1169" s="3" t="s">
        <v>3323</v>
      </c>
      <c r="R1169" s="3" t="s">
        <v>65</v>
      </c>
      <c r="S1169" s="4">
        <v>2</v>
      </c>
      <c r="T1169" s="4">
        <v>2</v>
      </c>
      <c r="U1169" s="5" t="s">
        <v>14777</v>
      </c>
      <c r="V1169" s="5" t="s">
        <v>14777</v>
      </c>
      <c r="W1169" s="5" t="s">
        <v>11927</v>
      </c>
      <c r="X1169" s="5" t="s">
        <v>11927</v>
      </c>
      <c r="Y1169" s="4">
        <v>295</v>
      </c>
      <c r="Z1169" s="4">
        <v>274</v>
      </c>
      <c r="AA1169" s="4">
        <v>277</v>
      </c>
      <c r="AB1169" s="4">
        <v>3</v>
      </c>
      <c r="AC1169" s="4">
        <v>3</v>
      </c>
      <c r="AD1169" s="4">
        <v>15</v>
      </c>
      <c r="AE1169" s="4">
        <v>15</v>
      </c>
      <c r="AF1169" s="4">
        <v>2</v>
      </c>
      <c r="AG1169" s="4">
        <v>2</v>
      </c>
      <c r="AH1169" s="4">
        <v>5</v>
      </c>
      <c r="AI1169" s="4">
        <v>5</v>
      </c>
      <c r="AJ1169" s="4">
        <v>9</v>
      </c>
      <c r="AK1169" s="4">
        <v>9</v>
      </c>
      <c r="AL1169" s="4">
        <v>2</v>
      </c>
      <c r="AM1169" s="4">
        <v>2</v>
      </c>
      <c r="AN1169" s="4">
        <v>0</v>
      </c>
      <c r="AO1169" s="4">
        <v>0</v>
      </c>
      <c r="AP1169" s="3" t="s">
        <v>58</v>
      </c>
      <c r="AQ1169" s="3" t="s">
        <v>68</v>
      </c>
      <c r="AR1169" s="6" t="str">
        <f>HYPERLINK("http://catalog.hathitrust.org/Record/001252435","HathiTrust Record")</f>
        <v>HathiTrust Record</v>
      </c>
      <c r="AS1169" s="6" t="str">
        <f>HYPERLINK("https://creighton-primo.hosted.exlibrisgroup.com/primo-explore/search?tab=default_tab&amp;search_scope=EVERYTHING&amp;vid=01CRU&amp;lang=en_US&amp;offset=0&amp;query=any,contains,991002881209702656","Catalog Record")</f>
        <v>Catalog Record</v>
      </c>
      <c r="AT1169" s="6" t="str">
        <f>HYPERLINK("http://www.worldcat.org/oclc/505751","WorldCat Record")</f>
        <v>WorldCat Record</v>
      </c>
      <c r="AU1169" s="3" t="s">
        <v>14778</v>
      </c>
      <c r="AV1169" s="3" t="s">
        <v>14779</v>
      </c>
      <c r="AW1169" s="3" t="s">
        <v>14780</v>
      </c>
      <c r="AX1169" s="3" t="s">
        <v>14780</v>
      </c>
      <c r="AY1169" s="3" t="s">
        <v>14781</v>
      </c>
      <c r="AZ1169" s="3" t="s">
        <v>73</v>
      </c>
      <c r="BC1169" s="3" t="s">
        <v>14782</v>
      </c>
      <c r="BD1169" s="3" t="s">
        <v>14783</v>
      </c>
    </row>
    <row r="1170" spans="1:56" ht="51" customHeight="1" x14ac:dyDescent="0.25">
      <c r="A1170" s="7" t="s">
        <v>58</v>
      </c>
      <c r="B1170" s="2" t="s">
        <v>14784</v>
      </c>
      <c r="C1170" s="2" t="s">
        <v>14785</v>
      </c>
      <c r="D1170" s="2" t="s">
        <v>14786</v>
      </c>
      <c r="E1170" s="3" t="s">
        <v>1412</v>
      </c>
      <c r="F1170" s="3" t="s">
        <v>58</v>
      </c>
      <c r="G1170" s="3" t="s">
        <v>59</v>
      </c>
      <c r="H1170" s="3" t="s">
        <v>58</v>
      </c>
      <c r="I1170" s="3" t="s">
        <v>58</v>
      </c>
      <c r="J1170" s="3" t="s">
        <v>60</v>
      </c>
      <c r="K1170" s="2" t="s">
        <v>14787</v>
      </c>
      <c r="L1170" s="2" t="s">
        <v>14551</v>
      </c>
      <c r="M1170" s="3" t="s">
        <v>1061</v>
      </c>
      <c r="O1170" s="3" t="s">
        <v>63</v>
      </c>
      <c r="P1170" s="3" t="s">
        <v>3323</v>
      </c>
      <c r="Q1170" s="2" t="s">
        <v>14788</v>
      </c>
      <c r="R1170" s="3" t="s">
        <v>65</v>
      </c>
      <c r="S1170" s="4">
        <v>5</v>
      </c>
      <c r="T1170" s="4">
        <v>5</v>
      </c>
      <c r="U1170" s="5" t="s">
        <v>9162</v>
      </c>
      <c r="V1170" s="5" t="s">
        <v>9162</v>
      </c>
      <c r="W1170" s="5" t="s">
        <v>8657</v>
      </c>
      <c r="X1170" s="5" t="s">
        <v>8657</v>
      </c>
      <c r="Y1170" s="4">
        <v>109</v>
      </c>
      <c r="Z1170" s="4">
        <v>75</v>
      </c>
      <c r="AA1170" s="4">
        <v>255</v>
      </c>
      <c r="AB1170" s="4">
        <v>1</v>
      </c>
      <c r="AC1170" s="4">
        <v>2</v>
      </c>
      <c r="AD1170" s="4">
        <v>7</v>
      </c>
      <c r="AE1170" s="4">
        <v>14</v>
      </c>
      <c r="AF1170" s="4">
        <v>2</v>
      </c>
      <c r="AG1170" s="4">
        <v>2</v>
      </c>
      <c r="AH1170" s="4">
        <v>3</v>
      </c>
      <c r="AI1170" s="4">
        <v>6</v>
      </c>
      <c r="AJ1170" s="4">
        <v>5</v>
      </c>
      <c r="AK1170" s="4">
        <v>10</v>
      </c>
      <c r="AL1170" s="4">
        <v>0</v>
      </c>
      <c r="AM1170" s="4">
        <v>1</v>
      </c>
      <c r="AN1170" s="4">
        <v>0</v>
      </c>
      <c r="AO1170" s="4">
        <v>0</v>
      </c>
      <c r="AP1170" s="3" t="s">
        <v>58</v>
      </c>
      <c r="AQ1170" s="3" t="s">
        <v>58</v>
      </c>
      <c r="AS1170" s="6" t="str">
        <f>HYPERLINK("https://creighton-primo.hosted.exlibrisgroup.com/primo-explore/search?tab=default_tab&amp;search_scope=EVERYTHING&amp;vid=01CRU&amp;lang=en_US&amp;offset=0&amp;query=any,contains,991002929409702656","Catalog Record")</f>
        <v>Catalog Record</v>
      </c>
      <c r="AT1170" s="6" t="str">
        <f>HYPERLINK("http://www.worldcat.org/oclc/38943247","WorldCat Record")</f>
        <v>WorldCat Record</v>
      </c>
      <c r="AU1170" s="3" t="s">
        <v>14789</v>
      </c>
      <c r="AV1170" s="3" t="s">
        <v>14790</v>
      </c>
      <c r="AW1170" s="3" t="s">
        <v>14791</v>
      </c>
      <c r="AX1170" s="3" t="s">
        <v>14791</v>
      </c>
      <c r="AY1170" s="3" t="s">
        <v>14792</v>
      </c>
      <c r="AZ1170" s="3" t="s">
        <v>73</v>
      </c>
      <c r="BB1170" s="3" t="s">
        <v>14793</v>
      </c>
      <c r="BC1170" s="3" t="s">
        <v>14794</v>
      </c>
      <c r="BD1170" s="3" t="s">
        <v>14795</v>
      </c>
    </row>
    <row r="1171" spans="1:56" ht="51" customHeight="1" x14ac:dyDescent="0.25">
      <c r="A1171" s="7" t="s">
        <v>58</v>
      </c>
      <c r="B1171" s="2" t="s">
        <v>14796</v>
      </c>
      <c r="C1171" s="2" t="s">
        <v>14797</v>
      </c>
      <c r="D1171" s="2" t="s">
        <v>14798</v>
      </c>
      <c r="F1171" s="3" t="s">
        <v>58</v>
      </c>
      <c r="G1171" s="3" t="s">
        <v>59</v>
      </c>
      <c r="H1171" s="3" t="s">
        <v>58</v>
      </c>
      <c r="I1171" s="3" t="s">
        <v>58</v>
      </c>
      <c r="J1171" s="3" t="s">
        <v>60</v>
      </c>
      <c r="K1171" s="2" t="s">
        <v>14799</v>
      </c>
      <c r="L1171" s="2" t="s">
        <v>14800</v>
      </c>
      <c r="M1171" s="3" t="s">
        <v>1385</v>
      </c>
      <c r="O1171" s="3" t="s">
        <v>63</v>
      </c>
      <c r="P1171" s="3" t="s">
        <v>3323</v>
      </c>
      <c r="R1171" s="3" t="s">
        <v>65</v>
      </c>
      <c r="S1171" s="4">
        <v>12</v>
      </c>
      <c r="T1171" s="4">
        <v>12</v>
      </c>
      <c r="U1171" s="5" t="s">
        <v>4921</v>
      </c>
      <c r="V1171" s="5" t="s">
        <v>4921</v>
      </c>
      <c r="W1171" s="5" t="s">
        <v>14801</v>
      </c>
      <c r="X1171" s="5" t="s">
        <v>14801</v>
      </c>
      <c r="Y1171" s="4">
        <v>129</v>
      </c>
      <c r="Z1171" s="4">
        <v>95</v>
      </c>
      <c r="AA1171" s="4">
        <v>97</v>
      </c>
      <c r="AB1171" s="4">
        <v>1</v>
      </c>
      <c r="AC1171" s="4">
        <v>1</v>
      </c>
      <c r="AD1171" s="4">
        <v>2</v>
      </c>
      <c r="AE1171" s="4">
        <v>2</v>
      </c>
      <c r="AF1171" s="4">
        <v>0</v>
      </c>
      <c r="AG1171" s="4">
        <v>0</v>
      </c>
      <c r="AH1171" s="4">
        <v>2</v>
      </c>
      <c r="AI1171" s="4">
        <v>2</v>
      </c>
      <c r="AJ1171" s="4">
        <v>0</v>
      </c>
      <c r="AK1171" s="4">
        <v>0</v>
      </c>
      <c r="AL1171" s="4">
        <v>0</v>
      </c>
      <c r="AM1171" s="4">
        <v>0</v>
      </c>
      <c r="AN1171" s="4">
        <v>0</v>
      </c>
      <c r="AO1171" s="4">
        <v>0</v>
      </c>
      <c r="AP1171" s="3" t="s">
        <v>58</v>
      </c>
      <c r="AQ1171" s="3" t="s">
        <v>68</v>
      </c>
      <c r="AR1171" s="6" t="str">
        <f>HYPERLINK("http://catalog.hathitrust.org/Record/001252537","HathiTrust Record")</f>
        <v>HathiTrust Record</v>
      </c>
      <c r="AS1171" s="6" t="str">
        <f>HYPERLINK("https://creighton-primo.hosted.exlibrisgroup.com/primo-explore/search?tab=default_tab&amp;search_scope=EVERYTHING&amp;vid=01CRU&amp;lang=en_US&amp;offset=0&amp;query=any,contains,991003448079702656","Catalog Record")</f>
        <v>Catalog Record</v>
      </c>
      <c r="AT1171" s="6" t="str">
        <f>HYPERLINK("http://www.worldcat.org/oclc/983918","WorldCat Record")</f>
        <v>WorldCat Record</v>
      </c>
      <c r="AU1171" s="3" t="s">
        <v>14802</v>
      </c>
      <c r="AV1171" s="3" t="s">
        <v>14803</v>
      </c>
      <c r="AW1171" s="3" t="s">
        <v>14804</v>
      </c>
      <c r="AX1171" s="3" t="s">
        <v>14804</v>
      </c>
      <c r="AY1171" s="3" t="s">
        <v>14805</v>
      </c>
      <c r="AZ1171" s="3" t="s">
        <v>73</v>
      </c>
      <c r="BC1171" s="3" t="s">
        <v>14806</v>
      </c>
      <c r="BD1171" s="3" t="s">
        <v>14807</v>
      </c>
    </row>
    <row r="1172" spans="1:56" ht="51" customHeight="1" x14ac:dyDescent="0.25">
      <c r="A1172" s="7" t="s">
        <v>58</v>
      </c>
      <c r="B1172" s="2" t="s">
        <v>14808</v>
      </c>
      <c r="C1172" s="2" t="s">
        <v>14809</v>
      </c>
      <c r="D1172" s="2" t="s">
        <v>14810</v>
      </c>
      <c r="F1172" s="3" t="s">
        <v>58</v>
      </c>
      <c r="G1172" s="3" t="s">
        <v>59</v>
      </c>
      <c r="H1172" s="3" t="s">
        <v>58</v>
      </c>
      <c r="I1172" s="3" t="s">
        <v>58</v>
      </c>
      <c r="J1172" s="3" t="s">
        <v>60</v>
      </c>
      <c r="K1172" s="2" t="s">
        <v>14811</v>
      </c>
      <c r="L1172" s="2" t="s">
        <v>14812</v>
      </c>
      <c r="M1172" s="3" t="s">
        <v>1499</v>
      </c>
      <c r="O1172" s="3" t="s">
        <v>63</v>
      </c>
      <c r="P1172" s="3" t="s">
        <v>214</v>
      </c>
      <c r="R1172" s="3" t="s">
        <v>65</v>
      </c>
      <c r="S1172" s="4">
        <v>24</v>
      </c>
      <c r="T1172" s="4">
        <v>24</v>
      </c>
      <c r="U1172" s="5" t="s">
        <v>14813</v>
      </c>
      <c r="V1172" s="5" t="s">
        <v>14813</v>
      </c>
      <c r="W1172" s="5" t="s">
        <v>14814</v>
      </c>
      <c r="X1172" s="5" t="s">
        <v>14814</v>
      </c>
      <c r="Y1172" s="4">
        <v>1021</v>
      </c>
      <c r="Z1172" s="4">
        <v>981</v>
      </c>
      <c r="AA1172" s="4">
        <v>1046</v>
      </c>
      <c r="AB1172" s="4">
        <v>11</v>
      </c>
      <c r="AC1172" s="4">
        <v>11</v>
      </c>
      <c r="AD1172" s="4">
        <v>33</v>
      </c>
      <c r="AE1172" s="4">
        <v>34</v>
      </c>
      <c r="AF1172" s="4">
        <v>11</v>
      </c>
      <c r="AG1172" s="4">
        <v>11</v>
      </c>
      <c r="AH1172" s="4">
        <v>6</v>
      </c>
      <c r="AI1172" s="4">
        <v>7</v>
      </c>
      <c r="AJ1172" s="4">
        <v>16</v>
      </c>
      <c r="AK1172" s="4">
        <v>16</v>
      </c>
      <c r="AL1172" s="4">
        <v>7</v>
      </c>
      <c r="AM1172" s="4">
        <v>7</v>
      </c>
      <c r="AN1172" s="4">
        <v>0</v>
      </c>
      <c r="AO1172" s="4">
        <v>0</v>
      </c>
      <c r="AP1172" s="3" t="s">
        <v>58</v>
      </c>
      <c r="AQ1172" s="3" t="s">
        <v>58</v>
      </c>
      <c r="AS1172" s="6" t="str">
        <f>HYPERLINK("https://creighton-primo.hosted.exlibrisgroup.com/primo-explore/search?tab=default_tab&amp;search_scope=EVERYTHING&amp;vid=01CRU&amp;lang=en_US&amp;offset=0&amp;query=any,contains,991002398259702656","Catalog Record")</f>
        <v>Catalog Record</v>
      </c>
      <c r="AT1172" s="6" t="str">
        <f>HYPERLINK("http://www.worldcat.org/oclc/335629","WorldCat Record")</f>
        <v>WorldCat Record</v>
      </c>
      <c r="AU1172" s="3" t="s">
        <v>14815</v>
      </c>
      <c r="AV1172" s="3" t="s">
        <v>14816</v>
      </c>
      <c r="AW1172" s="3" t="s">
        <v>14817</v>
      </c>
      <c r="AX1172" s="3" t="s">
        <v>14817</v>
      </c>
      <c r="AY1172" s="3" t="s">
        <v>14818</v>
      </c>
      <c r="AZ1172" s="3" t="s">
        <v>73</v>
      </c>
      <c r="BC1172" s="3" t="s">
        <v>14819</v>
      </c>
      <c r="BD1172" s="3" t="s">
        <v>14820</v>
      </c>
    </row>
    <row r="1173" spans="1:56" ht="51" customHeight="1" x14ac:dyDescent="0.25">
      <c r="A1173" s="7" t="s">
        <v>58</v>
      </c>
      <c r="B1173" s="2" t="s">
        <v>14821</v>
      </c>
      <c r="C1173" s="2" t="s">
        <v>14822</v>
      </c>
      <c r="D1173" s="2" t="s">
        <v>14823</v>
      </c>
      <c r="F1173" s="3" t="s">
        <v>58</v>
      </c>
      <c r="G1173" s="3" t="s">
        <v>59</v>
      </c>
      <c r="H1173" s="3" t="s">
        <v>58</v>
      </c>
      <c r="I1173" s="3" t="s">
        <v>58</v>
      </c>
      <c r="J1173" s="3" t="s">
        <v>60</v>
      </c>
      <c r="K1173" s="2" t="s">
        <v>14824</v>
      </c>
      <c r="L1173" s="2" t="s">
        <v>14825</v>
      </c>
      <c r="M1173" s="3" t="s">
        <v>183</v>
      </c>
      <c r="O1173" s="3" t="s">
        <v>63</v>
      </c>
      <c r="P1173" s="3" t="s">
        <v>584</v>
      </c>
      <c r="R1173" s="3" t="s">
        <v>65</v>
      </c>
      <c r="S1173" s="4">
        <v>12</v>
      </c>
      <c r="T1173" s="4">
        <v>12</v>
      </c>
      <c r="U1173" s="5" t="s">
        <v>14826</v>
      </c>
      <c r="V1173" s="5" t="s">
        <v>14826</v>
      </c>
      <c r="W1173" s="5" t="s">
        <v>14827</v>
      </c>
      <c r="X1173" s="5" t="s">
        <v>14827</v>
      </c>
      <c r="Y1173" s="4">
        <v>554</v>
      </c>
      <c r="Z1173" s="4">
        <v>394</v>
      </c>
      <c r="AA1173" s="4">
        <v>411</v>
      </c>
      <c r="AB1173" s="4">
        <v>4</v>
      </c>
      <c r="AC1173" s="4">
        <v>6</v>
      </c>
      <c r="AD1173" s="4">
        <v>14</v>
      </c>
      <c r="AE1173" s="4">
        <v>18</v>
      </c>
      <c r="AF1173" s="4">
        <v>3</v>
      </c>
      <c r="AG1173" s="4">
        <v>4</v>
      </c>
      <c r="AH1173" s="4">
        <v>3</v>
      </c>
      <c r="AI1173" s="4">
        <v>4</v>
      </c>
      <c r="AJ1173" s="4">
        <v>7</v>
      </c>
      <c r="AK1173" s="4">
        <v>8</v>
      </c>
      <c r="AL1173" s="4">
        <v>3</v>
      </c>
      <c r="AM1173" s="4">
        <v>5</v>
      </c>
      <c r="AN1173" s="4">
        <v>0</v>
      </c>
      <c r="AO1173" s="4">
        <v>0</v>
      </c>
      <c r="AP1173" s="3" t="s">
        <v>58</v>
      </c>
      <c r="AQ1173" s="3" t="s">
        <v>58</v>
      </c>
      <c r="AS1173" s="6" t="str">
        <f>HYPERLINK("https://creighton-primo.hosted.exlibrisgroup.com/primo-explore/search?tab=default_tab&amp;search_scope=EVERYTHING&amp;vid=01CRU&amp;lang=en_US&amp;offset=0&amp;query=any,contains,991004060049702656","Catalog Record")</f>
        <v>Catalog Record</v>
      </c>
      <c r="AT1173" s="6" t="str">
        <f>HYPERLINK("http://www.worldcat.org/oclc/2238179","WorldCat Record")</f>
        <v>WorldCat Record</v>
      </c>
      <c r="AU1173" s="3" t="s">
        <v>14828</v>
      </c>
      <c r="AV1173" s="3" t="s">
        <v>14829</v>
      </c>
      <c r="AW1173" s="3" t="s">
        <v>14830</v>
      </c>
      <c r="AX1173" s="3" t="s">
        <v>14830</v>
      </c>
      <c r="AY1173" s="3" t="s">
        <v>14831</v>
      </c>
      <c r="AZ1173" s="3" t="s">
        <v>73</v>
      </c>
      <c r="BB1173" s="3" t="s">
        <v>14832</v>
      </c>
      <c r="BC1173" s="3" t="s">
        <v>14833</v>
      </c>
      <c r="BD1173" s="3" t="s">
        <v>14834</v>
      </c>
    </row>
    <row r="1174" spans="1:56" ht="51" customHeight="1" x14ac:dyDescent="0.25">
      <c r="A1174" s="7" t="s">
        <v>58</v>
      </c>
      <c r="B1174" s="2" t="s">
        <v>14835</v>
      </c>
      <c r="C1174" s="2" t="s">
        <v>14836</v>
      </c>
      <c r="D1174" s="2" t="s">
        <v>14837</v>
      </c>
      <c r="F1174" s="3" t="s">
        <v>58</v>
      </c>
      <c r="G1174" s="3" t="s">
        <v>59</v>
      </c>
      <c r="H1174" s="3" t="s">
        <v>58</v>
      </c>
      <c r="I1174" s="3" t="s">
        <v>58</v>
      </c>
      <c r="J1174" s="3" t="s">
        <v>60</v>
      </c>
      <c r="K1174" s="2" t="s">
        <v>14838</v>
      </c>
      <c r="L1174" s="2" t="s">
        <v>14839</v>
      </c>
      <c r="M1174" s="3" t="s">
        <v>538</v>
      </c>
      <c r="O1174" s="3" t="s">
        <v>63</v>
      </c>
      <c r="P1174" s="3" t="s">
        <v>3323</v>
      </c>
      <c r="R1174" s="3" t="s">
        <v>65</v>
      </c>
      <c r="S1174" s="4">
        <v>4</v>
      </c>
      <c r="T1174" s="4">
        <v>4</v>
      </c>
      <c r="U1174" s="5" t="s">
        <v>14840</v>
      </c>
      <c r="V1174" s="5" t="s">
        <v>14840</v>
      </c>
      <c r="W1174" s="5" t="s">
        <v>14841</v>
      </c>
      <c r="X1174" s="5" t="s">
        <v>14841</v>
      </c>
      <c r="Y1174" s="4">
        <v>244</v>
      </c>
      <c r="Z1174" s="4">
        <v>189</v>
      </c>
      <c r="AA1174" s="4">
        <v>191</v>
      </c>
      <c r="AB1174" s="4">
        <v>1</v>
      </c>
      <c r="AC1174" s="4">
        <v>1</v>
      </c>
      <c r="AD1174" s="4">
        <v>3</v>
      </c>
      <c r="AE1174" s="4">
        <v>3</v>
      </c>
      <c r="AF1174" s="4">
        <v>0</v>
      </c>
      <c r="AG1174" s="4">
        <v>0</v>
      </c>
      <c r="AH1174" s="4">
        <v>0</v>
      </c>
      <c r="AI1174" s="4">
        <v>0</v>
      </c>
      <c r="AJ1174" s="4">
        <v>3</v>
      </c>
      <c r="AK1174" s="4">
        <v>3</v>
      </c>
      <c r="AL1174" s="4">
        <v>0</v>
      </c>
      <c r="AM1174" s="4">
        <v>0</v>
      </c>
      <c r="AN1174" s="4">
        <v>0</v>
      </c>
      <c r="AO1174" s="4">
        <v>0</v>
      </c>
      <c r="AP1174" s="3" t="s">
        <v>58</v>
      </c>
      <c r="AQ1174" s="3" t="s">
        <v>68</v>
      </c>
      <c r="AR1174" s="6" t="str">
        <f>HYPERLINK("http://catalog.hathitrust.org/Record/002711670","HathiTrust Record")</f>
        <v>HathiTrust Record</v>
      </c>
      <c r="AS1174" s="6" t="str">
        <f>HYPERLINK("https://creighton-primo.hosted.exlibrisgroup.com/primo-explore/search?tab=default_tab&amp;search_scope=EVERYTHING&amp;vid=01CRU&amp;lang=en_US&amp;offset=0&amp;query=any,contains,991000627489702656","Catalog Record")</f>
        <v>Catalog Record</v>
      </c>
      <c r="AT1174" s="6" t="str">
        <f>HYPERLINK("http://www.worldcat.org/oclc/104810","WorldCat Record")</f>
        <v>WorldCat Record</v>
      </c>
      <c r="AU1174" s="3" t="s">
        <v>14842</v>
      </c>
      <c r="AV1174" s="3" t="s">
        <v>14843</v>
      </c>
      <c r="AW1174" s="3" t="s">
        <v>14844</v>
      </c>
      <c r="AX1174" s="3" t="s">
        <v>14844</v>
      </c>
      <c r="AY1174" s="3" t="s">
        <v>14845</v>
      </c>
      <c r="AZ1174" s="3" t="s">
        <v>73</v>
      </c>
      <c r="BC1174" s="3" t="s">
        <v>14846</v>
      </c>
      <c r="BD1174" s="3" t="s">
        <v>14847</v>
      </c>
    </row>
    <row r="1175" spans="1:56" ht="51" customHeight="1" x14ac:dyDescent="0.25">
      <c r="A1175" s="7" t="s">
        <v>58</v>
      </c>
      <c r="B1175" s="2" t="s">
        <v>14848</v>
      </c>
      <c r="C1175" s="2" t="s">
        <v>14849</v>
      </c>
      <c r="D1175" s="2" t="s">
        <v>14850</v>
      </c>
      <c r="F1175" s="3" t="s">
        <v>58</v>
      </c>
      <c r="G1175" s="3" t="s">
        <v>59</v>
      </c>
      <c r="H1175" s="3" t="s">
        <v>58</v>
      </c>
      <c r="I1175" s="3" t="s">
        <v>58</v>
      </c>
      <c r="J1175" s="3" t="s">
        <v>60</v>
      </c>
      <c r="K1175" s="2" t="s">
        <v>11135</v>
      </c>
      <c r="L1175" s="2" t="s">
        <v>14851</v>
      </c>
      <c r="M1175" s="3" t="s">
        <v>524</v>
      </c>
      <c r="O1175" s="3" t="s">
        <v>63</v>
      </c>
      <c r="P1175" s="3" t="s">
        <v>584</v>
      </c>
      <c r="R1175" s="3" t="s">
        <v>65</v>
      </c>
      <c r="S1175" s="4">
        <v>3</v>
      </c>
      <c r="T1175" s="4">
        <v>3</v>
      </c>
      <c r="U1175" s="5" t="s">
        <v>14852</v>
      </c>
      <c r="V1175" s="5" t="s">
        <v>14852</v>
      </c>
      <c r="W1175" s="5" t="s">
        <v>14853</v>
      </c>
      <c r="X1175" s="5" t="s">
        <v>14853</v>
      </c>
      <c r="Y1175" s="4">
        <v>229</v>
      </c>
      <c r="Z1175" s="4">
        <v>98</v>
      </c>
      <c r="AA1175" s="4">
        <v>104</v>
      </c>
      <c r="AB1175" s="4">
        <v>3</v>
      </c>
      <c r="AC1175" s="4">
        <v>3</v>
      </c>
      <c r="AD1175" s="4">
        <v>4</v>
      </c>
      <c r="AE1175" s="4">
        <v>4</v>
      </c>
      <c r="AF1175" s="4">
        <v>0</v>
      </c>
      <c r="AG1175" s="4">
        <v>0</v>
      </c>
      <c r="AH1175" s="4">
        <v>1</v>
      </c>
      <c r="AI1175" s="4">
        <v>1</v>
      </c>
      <c r="AJ1175" s="4">
        <v>2</v>
      </c>
      <c r="AK1175" s="4">
        <v>2</v>
      </c>
      <c r="AL1175" s="4">
        <v>2</v>
      </c>
      <c r="AM1175" s="4">
        <v>2</v>
      </c>
      <c r="AN1175" s="4">
        <v>0</v>
      </c>
      <c r="AO1175" s="4">
        <v>0</v>
      </c>
      <c r="AP1175" s="3" t="s">
        <v>58</v>
      </c>
      <c r="AQ1175" s="3" t="s">
        <v>68</v>
      </c>
      <c r="AR1175" s="6" t="str">
        <f>HYPERLINK("http://catalog.hathitrust.org/Record/000432961","HathiTrust Record")</f>
        <v>HathiTrust Record</v>
      </c>
      <c r="AS1175" s="6" t="str">
        <f>HYPERLINK("https://creighton-primo.hosted.exlibrisgroup.com/primo-explore/search?tab=default_tab&amp;search_scope=EVERYTHING&amp;vid=01CRU&amp;lang=en_US&amp;offset=0&amp;query=any,contains,991000821799702656","Catalog Record")</f>
        <v>Catalog Record</v>
      </c>
      <c r="AT1175" s="6" t="str">
        <f>HYPERLINK("http://www.worldcat.org/oclc/16684571","WorldCat Record")</f>
        <v>WorldCat Record</v>
      </c>
      <c r="AU1175" s="3" t="s">
        <v>14854</v>
      </c>
      <c r="AV1175" s="3" t="s">
        <v>14855</v>
      </c>
      <c r="AW1175" s="3" t="s">
        <v>14856</v>
      </c>
      <c r="AX1175" s="3" t="s">
        <v>14856</v>
      </c>
      <c r="AY1175" s="3" t="s">
        <v>14857</v>
      </c>
      <c r="AZ1175" s="3" t="s">
        <v>73</v>
      </c>
      <c r="BB1175" s="3" t="s">
        <v>14858</v>
      </c>
      <c r="BC1175" s="3" t="s">
        <v>14859</v>
      </c>
      <c r="BD1175" s="3" t="s">
        <v>14860</v>
      </c>
    </row>
    <row r="1176" spans="1:56" ht="51" customHeight="1" x14ac:dyDescent="0.25">
      <c r="A1176" s="7" t="s">
        <v>58</v>
      </c>
      <c r="B1176" s="2" t="s">
        <v>14861</v>
      </c>
      <c r="C1176" s="2" t="s">
        <v>14862</v>
      </c>
      <c r="D1176" s="2" t="s">
        <v>14863</v>
      </c>
      <c r="F1176" s="3" t="s">
        <v>58</v>
      </c>
      <c r="G1176" s="3" t="s">
        <v>59</v>
      </c>
      <c r="H1176" s="3" t="s">
        <v>58</v>
      </c>
      <c r="I1176" s="3" t="s">
        <v>58</v>
      </c>
      <c r="J1176" s="3" t="s">
        <v>60</v>
      </c>
      <c r="K1176" s="2" t="s">
        <v>14864</v>
      </c>
      <c r="L1176" s="2" t="s">
        <v>14865</v>
      </c>
      <c r="M1176" s="3" t="s">
        <v>509</v>
      </c>
      <c r="N1176" s="2" t="s">
        <v>1470</v>
      </c>
      <c r="O1176" s="3" t="s">
        <v>63</v>
      </c>
      <c r="P1176" s="3" t="s">
        <v>214</v>
      </c>
      <c r="R1176" s="3" t="s">
        <v>65</v>
      </c>
      <c r="S1176" s="4">
        <v>17</v>
      </c>
      <c r="T1176" s="4">
        <v>17</v>
      </c>
      <c r="U1176" s="5" t="s">
        <v>14826</v>
      </c>
      <c r="V1176" s="5" t="s">
        <v>14826</v>
      </c>
      <c r="W1176" s="5" t="s">
        <v>14814</v>
      </c>
      <c r="X1176" s="5" t="s">
        <v>14814</v>
      </c>
      <c r="Y1176" s="4">
        <v>1408</v>
      </c>
      <c r="Z1176" s="4">
        <v>1319</v>
      </c>
      <c r="AA1176" s="4">
        <v>1893</v>
      </c>
      <c r="AB1176" s="4">
        <v>12</v>
      </c>
      <c r="AC1176" s="4">
        <v>17</v>
      </c>
      <c r="AD1176" s="4">
        <v>39</v>
      </c>
      <c r="AE1176" s="4">
        <v>57</v>
      </c>
      <c r="AF1176" s="4">
        <v>18</v>
      </c>
      <c r="AG1176" s="4">
        <v>25</v>
      </c>
      <c r="AH1176" s="4">
        <v>5</v>
      </c>
      <c r="AI1176" s="4">
        <v>10</v>
      </c>
      <c r="AJ1176" s="4">
        <v>12</v>
      </c>
      <c r="AK1176" s="4">
        <v>22</v>
      </c>
      <c r="AL1176" s="4">
        <v>10</v>
      </c>
      <c r="AM1176" s="4">
        <v>11</v>
      </c>
      <c r="AN1176" s="4">
        <v>0</v>
      </c>
      <c r="AO1176" s="4">
        <v>0</v>
      </c>
      <c r="AP1176" s="3" t="s">
        <v>58</v>
      </c>
      <c r="AQ1176" s="3" t="s">
        <v>68</v>
      </c>
      <c r="AR1176" s="6" t="str">
        <f>HYPERLINK("http://catalog.hathitrust.org/Record/001252620","HathiTrust Record")</f>
        <v>HathiTrust Record</v>
      </c>
      <c r="AS1176" s="6" t="str">
        <f>HYPERLINK("https://creighton-primo.hosted.exlibrisgroup.com/primo-explore/search?tab=default_tab&amp;search_scope=EVERYTHING&amp;vid=01CRU&amp;lang=en_US&amp;offset=0&amp;query=any,contains,991002713789702656","Catalog Record")</f>
        <v>Catalog Record</v>
      </c>
      <c r="AT1176" s="6" t="str">
        <f>HYPERLINK("http://www.worldcat.org/oclc/410719","WorldCat Record")</f>
        <v>WorldCat Record</v>
      </c>
      <c r="AU1176" s="3" t="s">
        <v>14866</v>
      </c>
      <c r="AV1176" s="3" t="s">
        <v>14867</v>
      </c>
      <c r="AW1176" s="3" t="s">
        <v>14868</v>
      </c>
      <c r="AX1176" s="3" t="s">
        <v>14868</v>
      </c>
      <c r="AY1176" s="3" t="s">
        <v>14869</v>
      </c>
      <c r="AZ1176" s="3" t="s">
        <v>73</v>
      </c>
      <c r="BC1176" s="3" t="s">
        <v>14870</v>
      </c>
      <c r="BD1176" s="3" t="s">
        <v>14871</v>
      </c>
    </row>
    <row r="1177" spans="1:56" ht="51" customHeight="1" x14ac:dyDescent="0.25">
      <c r="A1177" s="7" t="s">
        <v>58</v>
      </c>
      <c r="B1177" s="2" t="s">
        <v>14872</v>
      </c>
      <c r="C1177" s="2" t="s">
        <v>14873</v>
      </c>
      <c r="D1177" s="2" t="s">
        <v>14874</v>
      </c>
      <c r="F1177" s="3" t="s">
        <v>58</v>
      </c>
      <c r="G1177" s="3" t="s">
        <v>59</v>
      </c>
      <c r="H1177" s="3" t="s">
        <v>58</v>
      </c>
      <c r="I1177" s="3" t="s">
        <v>58</v>
      </c>
      <c r="J1177" s="3" t="s">
        <v>60</v>
      </c>
      <c r="K1177" s="2" t="s">
        <v>14875</v>
      </c>
      <c r="L1177" s="2" t="s">
        <v>14876</v>
      </c>
      <c r="M1177" s="3" t="s">
        <v>855</v>
      </c>
      <c r="O1177" s="3" t="s">
        <v>63</v>
      </c>
      <c r="P1177" s="3" t="s">
        <v>214</v>
      </c>
      <c r="R1177" s="3" t="s">
        <v>65</v>
      </c>
      <c r="S1177" s="4">
        <v>17</v>
      </c>
      <c r="T1177" s="4">
        <v>17</v>
      </c>
      <c r="U1177" s="5" t="s">
        <v>14877</v>
      </c>
      <c r="V1177" s="5" t="s">
        <v>14877</v>
      </c>
      <c r="W1177" s="5" t="s">
        <v>7551</v>
      </c>
      <c r="X1177" s="5" t="s">
        <v>7551</v>
      </c>
      <c r="Y1177" s="4">
        <v>665</v>
      </c>
      <c r="Z1177" s="4">
        <v>620</v>
      </c>
      <c r="AA1177" s="4">
        <v>639</v>
      </c>
      <c r="AB1177" s="4">
        <v>5</v>
      </c>
      <c r="AC1177" s="4">
        <v>5</v>
      </c>
      <c r="AD1177" s="4">
        <v>25</v>
      </c>
      <c r="AE1177" s="4">
        <v>26</v>
      </c>
      <c r="AF1177" s="4">
        <v>9</v>
      </c>
      <c r="AG1177" s="4">
        <v>10</v>
      </c>
      <c r="AH1177" s="4">
        <v>7</v>
      </c>
      <c r="AI1177" s="4">
        <v>8</v>
      </c>
      <c r="AJ1177" s="4">
        <v>12</v>
      </c>
      <c r="AK1177" s="4">
        <v>12</v>
      </c>
      <c r="AL1177" s="4">
        <v>3</v>
      </c>
      <c r="AM1177" s="4">
        <v>3</v>
      </c>
      <c r="AN1177" s="4">
        <v>0</v>
      </c>
      <c r="AO1177" s="4">
        <v>0</v>
      </c>
      <c r="AP1177" s="3" t="s">
        <v>58</v>
      </c>
      <c r="AQ1177" s="3" t="s">
        <v>68</v>
      </c>
      <c r="AR1177" s="6" t="str">
        <f>HYPERLINK("http://catalog.hathitrust.org/Record/002723970","HathiTrust Record")</f>
        <v>HathiTrust Record</v>
      </c>
      <c r="AS1177" s="6" t="str">
        <f>HYPERLINK("https://creighton-primo.hosted.exlibrisgroup.com/primo-explore/search?tab=default_tab&amp;search_scope=EVERYTHING&amp;vid=01CRU&amp;lang=en_US&amp;offset=0&amp;query=any,contains,991002127769702656","Catalog Record")</f>
        <v>Catalog Record</v>
      </c>
      <c r="AT1177" s="6" t="str">
        <f>HYPERLINK("http://www.worldcat.org/oclc/27264991","WorldCat Record")</f>
        <v>WorldCat Record</v>
      </c>
      <c r="AU1177" s="3" t="s">
        <v>14878</v>
      </c>
      <c r="AV1177" s="3" t="s">
        <v>14879</v>
      </c>
      <c r="AW1177" s="3" t="s">
        <v>14880</v>
      </c>
      <c r="AX1177" s="3" t="s">
        <v>14880</v>
      </c>
      <c r="AY1177" s="3" t="s">
        <v>14881</v>
      </c>
      <c r="AZ1177" s="3" t="s">
        <v>73</v>
      </c>
      <c r="BB1177" s="3" t="s">
        <v>14882</v>
      </c>
      <c r="BC1177" s="3" t="s">
        <v>14883</v>
      </c>
      <c r="BD1177" s="3" t="s">
        <v>14884</v>
      </c>
    </row>
    <row r="1178" spans="1:56" ht="51" customHeight="1" x14ac:dyDescent="0.25">
      <c r="A1178" s="7" t="s">
        <v>58</v>
      </c>
      <c r="B1178" s="2" t="s">
        <v>14885</v>
      </c>
      <c r="C1178" s="2" t="s">
        <v>14886</v>
      </c>
      <c r="D1178" s="2" t="s">
        <v>14887</v>
      </c>
      <c r="F1178" s="3" t="s">
        <v>58</v>
      </c>
      <c r="G1178" s="3" t="s">
        <v>59</v>
      </c>
      <c r="H1178" s="3" t="s">
        <v>58</v>
      </c>
      <c r="I1178" s="3" t="s">
        <v>58</v>
      </c>
      <c r="J1178" s="3" t="s">
        <v>60</v>
      </c>
      <c r="K1178" s="2" t="s">
        <v>14888</v>
      </c>
      <c r="L1178" s="2" t="s">
        <v>14889</v>
      </c>
      <c r="M1178" s="3" t="s">
        <v>83</v>
      </c>
      <c r="O1178" s="3" t="s">
        <v>63</v>
      </c>
      <c r="P1178" s="3" t="s">
        <v>3323</v>
      </c>
      <c r="R1178" s="3" t="s">
        <v>65</v>
      </c>
      <c r="S1178" s="4">
        <v>1</v>
      </c>
      <c r="T1178" s="4">
        <v>1</v>
      </c>
      <c r="U1178" s="5" t="s">
        <v>14890</v>
      </c>
      <c r="V1178" s="5" t="s">
        <v>14890</v>
      </c>
      <c r="W1178" s="5" t="s">
        <v>14853</v>
      </c>
      <c r="X1178" s="5" t="s">
        <v>14853</v>
      </c>
      <c r="Y1178" s="4">
        <v>332</v>
      </c>
      <c r="Z1178" s="4">
        <v>277</v>
      </c>
      <c r="AA1178" s="4">
        <v>289</v>
      </c>
      <c r="AB1178" s="4">
        <v>3</v>
      </c>
      <c r="AC1178" s="4">
        <v>3</v>
      </c>
      <c r="AD1178" s="4">
        <v>7</v>
      </c>
      <c r="AE1178" s="4">
        <v>7</v>
      </c>
      <c r="AF1178" s="4">
        <v>1</v>
      </c>
      <c r="AG1178" s="4">
        <v>1</v>
      </c>
      <c r="AH1178" s="4">
        <v>3</v>
      </c>
      <c r="AI1178" s="4">
        <v>3</v>
      </c>
      <c r="AJ1178" s="4">
        <v>3</v>
      </c>
      <c r="AK1178" s="4">
        <v>3</v>
      </c>
      <c r="AL1178" s="4">
        <v>2</v>
      </c>
      <c r="AM1178" s="4">
        <v>2</v>
      </c>
      <c r="AN1178" s="4">
        <v>0</v>
      </c>
      <c r="AO1178" s="4">
        <v>0</v>
      </c>
      <c r="AP1178" s="3" t="s">
        <v>58</v>
      </c>
      <c r="AQ1178" s="3" t="s">
        <v>68</v>
      </c>
      <c r="AR1178" s="6" t="str">
        <f>HYPERLINK("http://catalog.hathitrust.org/Record/000219031","HathiTrust Record")</f>
        <v>HathiTrust Record</v>
      </c>
      <c r="AS1178" s="6" t="str">
        <f>HYPERLINK("https://creighton-primo.hosted.exlibrisgroup.com/primo-explore/search?tab=default_tab&amp;search_scope=EVERYTHING&amp;vid=01CRU&amp;lang=en_US&amp;offset=0&amp;query=any,contains,991004626689702656","Catalog Record")</f>
        <v>Catalog Record</v>
      </c>
      <c r="AT1178" s="6" t="str">
        <f>HYPERLINK("http://www.worldcat.org/oclc/4345011","WorldCat Record")</f>
        <v>WorldCat Record</v>
      </c>
      <c r="AU1178" s="3" t="s">
        <v>14891</v>
      </c>
      <c r="AV1178" s="3" t="s">
        <v>14892</v>
      </c>
      <c r="AW1178" s="3" t="s">
        <v>14893</v>
      </c>
      <c r="AX1178" s="3" t="s">
        <v>14893</v>
      </c>
      <c r="AY1178" s="3" t="s">
        <v>14894</v>
      </c>
      <c r="AZ1178" s="3" t="s">
        <v>73</v>
      </c>
      <c r="BC1178" s="3" t="s">
        <v>14895</v>
      </c>
      <c r="BD1178" s="3" t="s">
        <v>14896</v>
      </c>
    </row>
    <row r="1179" spans="1:56" ht="51" customHeight="1" x14ac:dyDescent="0.25">
      <c r="A1179" s="7" t="s">
        <v>58</v>
      </c>
      <c r="B1179" s="2" t="s">
        <v>14897</v>
      </c>
      <c r="C1179" s="2" t="s">
        <v>14898</v>
      </c>
      <c r="D1179" s="2" t="s">
        <v>14899</v>
      </c>
      <c r="F1179" s="3" t="s">
        <v>58</v>
      </c>
      <c r="G1179" s="3" t="s">
        <v>59</v>
      </c>
      <c r="H1179" s="3" t="s">
        <v>58</v>
      </c>
      <c r="I1179" s="3" t="s">
        <v>58</v>
      </c>
      <c r="J1179" s="3" t="s">
        <v>60</v>
      </c>
      <c r="K1179" s="2" t="s">
        <v>14900</v>
      </c>
      <c r="L1179" s="2" t="s">
        <v>14901</v>
      </c>
      <c r="M1179" s="3" t="s">
        <v>1153</v>
      </c>
      <c r="O1179" s="3" t="s">
        <v>63</v>
      </c>
      <c r="P1179" s="3" t="s">
        <v>3323</v>
      </c>
      <c r="R1179" s="3" t="s">
        <v>65</v>
      </c>
      <c r="S1179" s="4">
        <v>11</v>
      </c>
      <c r="T1179" s="4">
        <v>11</v>
      </c>
      <c r="U1179" s="5" t="s">
        <v>14813</v>
      </c>
      <c r="V1179" s="5" t="s">
        <v>14813</v>
      </c>
      <c r="W1179" s="5" t="s">
        <v>14902</v>
      </c>
      <c r="X1179" s="5" t="s">
        <v>14902</v>
      </c>
      <c r="Y1179" s="4">
        <v>294</v>
      </c>
      <c r="Z1179" s="4">
        <v>231</v>
      </c>
      <c r="AA1179" s="4">
        <v>234</v>
      </c>
      <c r="AB1179" s="4">
        <v>2</v>
      </c>
      <c r="AC1179" s="4">
        <v>2</v>
      </c>
      <c r="AD1179" s="4">
        <v>6</v>
      </c>
      <c r="AE1179" s="4">
        <v>6</v>
      </c>
      <c r="AF1179" s="4">
        <v>2</v>
      </c>
      <c r="AG1179" s="4">
        <v>2</v>
      </c>
      <c r="AH1179" s="4">
        <v>2</v>
      </c>
      <c r="AI1179" s="4">
        <v>2</v>
      </c>
      <c r="AJ1179" s="4">
        <v>3</v>
      </c>
      <c r="AK1179" s="4">
        <v>3</v>
      </c>
      <c r="AL1179" s="4">
        <v>1</v>
      </c>
      <c r="AM1179" s="4">
        <v>1</v>
      </c>
      <c r="AN1179" s="4">
        <v>0</v>
      </c>
      <c r="AO1179" s="4">
        <v>0</v>
      </c>
      <c r="AP1179" s="3" t="s">
        <v>58</v>
      </c>
      <c r="AQ1179" s="3" t="s">
        <v>68</v>
      </c>
      <c r="AR1179" s="6" t="str">
        <f>HYPERLINK("http://catalog.hathitrust.org/Record/001252659","HathiTrust Record")</f>
        <v>HathiTrust Record</v>
      </c>
      <c r="AS1179" s="6" t="str">
        <f>HYPERLINK("https://creighton-primo.hosted.exlibrisgroup.com/primo-explore/search?tab=default_tab&amp;search_scope=EVERYTHING&amp;vid=01CRU&amp;lang=en_US&amp;offset=0&amp;query=any,contains,991003198869702656","Catalog Record")</f>
        <v>Catalog Record</v>
      </c>
      <c r="AT1179" s="6" t="str">
        <f>HYPERLINK("http://www.worldcat.org/oclc/723845","WorldCat Record")</f>
        <v>WorldCat Record</v>
      </c>
      <c r="AU1179" s="3" t="s">
        <v>14903</v>
      </c>
      <c r="AV1179" s="3" t="s">
        <v>14904</v>
      </c>
      <c r="AW1179" s="3" t="s">
        <v>14905</v>
      </c>
      <c r="AX1179" s="3" t="s">
        <v>14905</v>
      </c>
      <c r="AY1179" s="3" t="s">
        <v>14906</v>
      </c>
      <c r="AZ1179" s="3" t="s">
        <v>73</v>
      </c>
      <c r="BC1179" s="3" t="s">
        <v>14907</v>
      </c>
      <c r="BD1179" s="3" t="s">
        <v>14908</v>
      </c>
    </row>
    <row r="1180" spans="1:56" ht="51" customHeight="1" x14ac:dyDescent="0.25">
      <c r="A1180" s="7" t="s">
        <v>58</v>
      </c>
      <c r="B1180" s="2" t="s">
        <v>14909</v>
      </c>
      <c r="C1180" s="2" t="s">
        <v>14910</v>
      </c>
      <c r="D1180" s="2" t="s">
        <v>14911</v>
      </c>
      <c r="F1180" s="3" t="s">
        <v>58</v>
      </c>
      <c r="G1180" s="3" t="s">
        <v>59</v>
      </c>
      <c r="H1180" s="3" t="s">
        <v>58</v>
      </c>
      <c r="I1180" s="3" t="s">
        <v>58</v>
      </c>
      <c r="J1180" s="3" t="s">
        <v>60</v>
      </c>
      <c r="K1180" s="2" t="s">
        <v>14761</v>
      </c>
      <c r="L1180" s="2" t="s">
        <v>14912</v>
      </c>
      <c r="M1180" s="3" t="s">
        <v>183</v>
      </c>
      <c r="O1180" s="3" t="s">
        <v>63</v>
      </c>
      <c r="P1180" s="3" t="s">
        <v>214</v>
      </c>
      <c r="R1180" s="3" t="s">
        <v>65</v>
      </c>
      <c r="S1180" s="4">
        <v>7</v>
      </c>
      <c r="T1180" s="4">
        <v>7</v>
      </c>
      <c r="U1180" s="5" t="s">
        <v>14877</v>
      </c>
      <c r="V1180" s="5" t="s">
        <v>14877</v>
      </c>
      <c r="W1180" s="5" t="s">
        <v>14913</v>
      </c>
      <c r="X1180" s="5" t="s">
        <v>14913</v>
      </c>
      <c r="Y1180" s="4">
        <v>1152</v>
      </c>
      <c r="Z1180" s="4">
        <v>1075</v>
      </c>
      <c r="AA1180" s="4">
        <v>1374</v>
      </c>
      <c r="AB1180" s="4">
        <v>9</v>
      </c>
      <c r="AC1180" s="4">
        <v>9</v>
      </c>
      <c r="AD1180" s="4">
        <v>30</v>
      </c>
      <c r="AE1180" s="4">
        <v>42</v>
      </c>
      <c r="AF1180" s="4">
        <v>12</v>
      </c>
      <c r="AG1180" s="4">
        <v>18</v>
      </c>
      <c r="AH1180" s="4">
        <v>5</v>
      </c>
      <c r="AI1180" s="4">
        <v>8</v>
      </c>
      <c r="AJ1180" s="4">
        <v>13</v>
      </c>
      <c r="AK1180" s="4">
        <v>19</v>
      </c>
      <c r="AL1180" s="4">
        <v>6</v>
      </c>
      <c r="AM1180" s="4">
        <v>6</v>
      </c>
      <c r="AN1180" s="4">
        <v>0</v>
      </c>
      <c r="AO1180" s="4">
        <v>1</v>
      </c>
      <c r="AP1180" s="3" t="s">
        <v>58</v>
      </c>
      <c r="AQ1180" s="3" t="s">
        <v>68</v>
      </c>
      <c r="AR1180" s="6" t="str">
        <f>HYPERLINK("http://catalog.hathitrust.org/Record/000737315","HathiTrust Record")</f>
        <v>HathiTrust Record</v>
      </c>
      <c r="AS1180" s="6" t="str">
        <f>HYPERLINK("https://creighton-primo.hosted.exlibrisgroup.com/primo-explore/search?tab=default_tab&amp;search_scope=EVERYTHING&amp;vid=01CRU&amp;lang=en_US&amp;offset=0&amp;query=any,contains,991004107729702656","Catalog Record")</f>
        <v>Catalog Record</v>
      </c>
      <c r="AT1180" s="6" t="str">
        <f>HYPERLINK("http://www.worldcat.org/oclc/2388104","WorldCat Record")</f>
        <v>WorldCat Record</v>
      </c>
      <c r="AU1180" s="3" t="s">
        <v>14914</v>
      </c>
      <c r="AV1180" s="3" t="s">
        <v>14915</v>
      </c>
      <c r="AW1180" s="3" t="s">
        <v>14916</v>
      </c>
      <c r="AX1180" s="3" t="s">
        <v>14916</v>
      </c>
      <c r="AY1180" s="3" t="s">
        <v>14917</v>
      </c>
      <c r="AZ1180" s="3" t="s">
        <v>73</v>
      </c>
      <c r="BB1180" s="3" t="s">
        <v>14918</v>
      </c>
      <c r="BC1180" s="3" t="s">
        <v>14919</v>
      </c>
      <c r="BD1180" s="3" t="s">
        <v>14920</v>
      </c>
    </row>
    <row r="1181" spans="1:56" ht="51" customHeight="1" x14ac:dyDescent="0.25">
      <c r="A1181" s="7" t="s">
        <v>58</v>
      </c>
      <c r="B1181" s="2" t="s">
        <v>14921</v>
      </c>
      <c r="C1181" s="2" t="s">
        <v>14922</v>
      </c>
      <c r="D1181" s="2" t="s">
        <v>14923</v>
      </c>
      <c r="F1181" s="3" t="s">
        <v>58</v>
      </c>
      <c r="G1181" s="3" t="s">
        <v>59</v>
      </c>
      <c r="H1181" s="3" t="s">
        <v>58</v>
      </c>
      <c r="I1181" s="3" t="s">
        <v>58</v>
      </c>
      <c r="J1181" s="3" t="s">
        <v>60</v>
      </c>
      <c r="K1181" s="2" t="s">
        <v>14924</v>
      </c>
      <c r="L1181" s="2" t="s">
        <v>14925</v>
      </c>
      <c r="M1181" s="3" t="s">
        <v>538</v>
      </c>
      <c r="N1181" s="2" t="s">
        <v>1470</v>
      </c>
      <c r="O1181" s="3" t="s">
        <v>63</v>
      </c>
      <c r="P1181" s="3" t="s">
        <v>214</v>
      </c>
      <c r="R1181" s="3" t="s">
        <v>65</v>
      </c>
      <c r="S1181" s="4">
        <v>7</v>
      </c>
      <c r="T1181" s="4">
        <v>7</v>
      </c>
      <c r="U1181" s="5" t="s">
        <v>14926</v>
      </c>
      <c r="V1181" s="5" t="s">
        <v>14926</v>
      </c>
      <c r="W1181" s="5" t="s">
        <v>14927</v>
      </c>
      <c r="X1181" s="5" t="s">
        <v>14927</v>
      </c>
      <c r="Y1181" s="4">
        <v>712</v>
      </c>
      <c r="Z1181" s="4">
        <v>665</v>
      </c>
      <c r="AA1181" s="4">
        <v>692</v>
      </c>
      <c r="AB1181" s="4">
        <v>5</v>
      </c>
      <c r="AC1181" s="4">
        <v>5</v>
      </c>
      <c r="AD1181" s="4">
        <v>23</v>
      </c>
      <c r="AE1181" s="4">
        <v>25</v>
      </c>
      <c r="AF1181" s="4">
        <v>10</v>
      </c>
      <c r="AG1181" s="4">
        <v>12</v>
      </c>
      <c r="AH1181" s="4">
        <v>4</v>
      </c>
      <c r="AI1181" s="4">
        <v>4</v>
      </c>
      <c r="AJ1181" s="4">
        <v>9</v>
      </c>
      <c r="AK1181" s="4">
        <v>9</v>
      </c>
      <c r="AL1181" s="4">
        <v>4</v>
      </c>
      <c r="AM1181" s="4">
        <v>4</v>
      </c>
      <c r="AN1181" s="4">
        <v>1</v>
      </c>
      <c r="AO1181" s="4">
        <v>1</v>
      </c>
      <c r="AP1181" s="3" t="s">
        <v>58</v>
      </c>
      <c r="AQ1181" s="3" t="s">
        <v>68</v>
      </c>
      <c r="AR1181" s="6" t="str">
        <f>HYPERLINK("http://catalog.hathitrust.org/Record/001252683","HathiTrust Record")</f>
        <v>HathiTrust Record</v>
      </c>
      <c r="AS1181" s="6" t="str">
        <f>HYPERLINK("https://creighton-primo.hosted.exlibrisgroup.com/primo-explore/search?tab=default_tab&amp;search_scope=EVERYTHING&amp;vid=01CRU&amp;lang=en_US&amp;offset=0&amp;query=any,contains,991005434259702656","Catalog Record")</f>
        <v>Catalog Record</v>
      </c>
      <c r="AT1181" s="6" t="str">
        <f>HYPERLINK("http://www.worldcat.org/oclc/2360","WorldCat Record")</f>
        <v>WorldCat Record</v>
      </c>
      <c r="AU1181" s="3" t="s">
        <v>14928</v>
      </c>
      <c r="AV1181" s="3" t="s">
        <v>14929</v>
      </c>
      <c r="AW1181" s="3" t="s">
        <v>14930</v>
      </c>
      <c r="AX1181" s="3" t="s">
        <v>14930</v>
      </c>
      <c r="AY1181" s="3" t="s">
        <v>14931</v>
      </c>
      <c r="AZ1181" s="3" t="s">
        <v>73</v>
      </c>
      <c r="BC1181" s="3" t="s">
        <v>14932</v>
      </c>
      <c r="BD1181" s="3" t="s">
        <v>14933</v>
      </c>
    </row>
    <row r="1182" spans="1:56" ht="51" customHeight="1" x14ac:dyDescent="0.25">
      <c r="A1182" s="7" t="s">
        <v>58</v>
      </c>
      <c r="B1182" s="2" t="s">
        <v>14934</v>
      </c>
      <c r="C1182" s="2" t="s">
        <v>14935</v>
      </c>
      <c r="D1182" s="2" t="s">
        <v>14936</v>
      </c>
      <c r="F1182" s="3" t="s">
        <v>58</v>
      </c>
      <c r="G1182" s="3" t="s">
        <v>59</v>
      </c>
      <c r="H1182" s="3" t="s">
        <v>58</v>
      </c>
      <c r="I1182" s="3" t="s">
        <v>58</v>
      </c>
      <c r="J1182" s="3" t="s">
        <v>60</v>
      </c>
      <c r="K1182" s="2" t="s">
        <v>14937</v>
      </c>
      <c r="L1182" s="2" t="s">
        <v>14938</v>
      </c>
      <c r="M1182" s="3" t="s">
        <v>1720</v>
      </c>
      <c r="N1182" s="2" t="s">
        <v>14160</v>
      </c>
      <c r="O1182" s="3" t="s">
        <v>63</v>
      </c>
      <c r="P1182" s="3" t="s">
        <v>5757</v>
      </c>
      <c r="R1182" s="3" t="s">
        <v>65</v>
      </c>
      <c r="S1182" s="4">
        <v>21</v>
      </c>
      <c r="T1182" s="4">
        <v>21</v>
      </c>
      <c r="U1182" s="5" t="s">
        <v>14490</v>
      </c>
      <c r="V1182" s="5" t="s">
        <v>14490</v>
      </c>
      <c r="W1182" s="5" t="s">
        <v>14853</v>
      </c>
      <c r="X1182" s="5" t="s">
        <v>14853</v>
      </c>
      <c r="Y1182" s="4">
        <v>66</v>
      </c>
      <c r="Z1182" s="4">
        <v>54</v>
      </c>
      <c r="AA1182" s="4">
        <v>63</v>
      </c>
      <c r="AB1182" s="4">
        <v>1</v>
      </c>
      <c r="AC1182" s="4">
        <v>1</v>
      </c>
      <c r="AD1182" s="4">
        <v>0</v>
      </c>
      <c r="AE1182" s="4">
        <v>0</v>
      </c>
      <c r="AF1182" s="4">
        <v>0</v>
      </c>
      <c r="AG1182" s="4">
        <v>0</v>
      </c>
      <c r="AH1182" s="4">
        <v>0</v>
      </c>
      <c r="AI1182" s="4">
        <v>0</v>
      </c>
      <c r="AJ1182" s="4">
        <v>0</v>
      </c>
      <c r="AK1182" s="4">
        <v>0</v>
      </c>
      <c r="AL1182" s="4">
        <v>0</v>
      </c>
      <c r="AM1182" s="4">
        <v>0</v>
      </c>
      <c r="AN1182" s="4">
        <v>0</v>
      </c>
      <c r="AO1182" s="4">
        <v>0</v>
      </c>
      <c r="AP1182" s="3" t="s">
        <v>58</v>
      </c>
      <c r="AQ1182" s="3" t="s">
        <v>68</v>
      </c>
      <c r="AR1182" s="6" t="str">
        <f>HYPERLINK("http://catalog.hathitrust.org/Record/001252688","HathiTrust Record")</f>
        <v>HathiTrust Record</v>
      </c>
      <c r="AS1182" s="6" t="str">
        <f>HYPERLINK("https://creighton-primo.hosted.exlibrisgroup.com/primo-explore/search?tab=default_tab&amp;search_scope=EVERYTHING&amp;vid=01CRU&amp;lang=en_US&amp;offset=0&amp;query=any,contains,991003358509702656","Catalog Record")</f>
        <v>Catalog Record</v>
      </c>
      <c r="AT1182" s="6" t="str">
        <f>HYPERLINK("http://www.worldcat.org/oclc/893422","WorldCat Record")</f>
        <v>WorldCat Record</v>
      </c>
      <c r="AU1182" s="3" t="s">
        <v>14939</v>
      </c>
      <c r="AV1182" s="3" t="s">
        <v>14940</v>
      </c>
      <c r="AW1182" s="3" t="s">
        <v>14941</v>
      </c>
      <c r="AX1182" s="3" t="s">
        <v>14941</v>
      </c>
      <c r="AY1182" s="3" t="s">
        <v>14942</v>
      </c>
      <c r="AZ1182" s="3" t="s">
        <v>73</v>
      </c>
      <c r="BC1182" s="3" t="s">
        <v>14943</v>
      </c>
      <c r="BD1182" s="3" t="s">
        <v>14944</v>
      </c>
    </row>
    <row r="1183" spans="1:56" ht="51" customHeight="1" x14ac:dyDescent="0.25">
      <c r="A1183" s="7" t="s">
        <v>58</v>
      </c>
      <c r="B1183" s="2" t="s">
        <v>14945</v>
      </c>
      <c r="C1183" s="2" t="s">
        <v>14946</v>
      </c>
      <c r="D1183" s="2" t="s">
        <v>14947</v>
      </c>
      <c r="F1183" s="3" t="s">
        <v>58</v>
      </c>
      <c r="G1183" s="3" t="s">
        <v>59</v>
      </c>
      <c r="H1183" s="3" t="s">
        <v>58</v>
      </c>
      <c r="I1183" s="3" t="s">
        <v>58</v>
      </c>
      <c r="J1183" s="3" t="s">
        <v>60</v>
      </c>
      <c r="K1183" s="2" t="s">
        <v>14948</v>
      </c>
      <c r="L1183" s="2" t="s">
        <v>14949</v>
      </c>
      <c r="M1183" s="3" t="s">
        <v>4851</v>
      </c>
      <c r="O1183" s="3" t="s">
        <v>63</v>
      </c>
      <c r="P1183" s="3" t="s">
        <v>571</v>
      </c>
      <c r="R1183" s="3" t="s">
        <v>65</v>
      </c>
      <c r="S1183" s="4">
        <v>12</v>
      </c>
      <c r="T1183" s="4">
        <v>12</v>
      </c>
      <c r="U1183" s="5" t="s">
        <v>14490</v>
      </c>
      <c r="V1183" s="5" t="s">
        <v>14490</v>
      </c>
      <c r="W1183" s="5" t="s">
        <v>14927</v>
      </c>
      <c r="X1183" s="5" t="s">
        <v>14927</v>
      </c>
      <c r="Y1183" s="4">
        <v>73</v>
      </c>
      <c r="Z1183" s="4">
        <v>31</v>
      </c>
      <c r="AA1183" s="4">
        <v>373</v>
      </c>
      <c r="AB1183" s="4">
        <v>1</v>
      </c>
      <c r="AC1183" s="4">
        <v>4</v>
      </c>
      <c r="AD1183" s="4">
        <v>0</v>
      </c>
      <c r="AE1183" s="4">
        <v>15</v>
      </c>
      <c r="AF1183" s="4">
        <v>0</v>
      </c>
      <c r="AG1183" s="4">
        <v>5</v>
      </c>
      <c r="AH1183" s="4">
        <v>0</v>
      </c>
      <c r="AI1183" s="4">
        <v>4</v>
      </c>
      <c r="AJ1183" s="4">
        <v>0</v>
      </c>
      <c r="AK1183" s="4">
        <v>2</v>
      </c>
      <c r="AL1183" s="4">
        <v>0</v>
      </c>
      <c r="AM1183" s="4">
        <v>2</v>
      </c>
      <c r="AN1183" s="4">
        <v>0</v>
      </c>
      <c r="AO1183" s="4">
        <v>4</v>
      </c>
      <c r="AP1183" s="3" t="s">
        <v>58</v>
      </c>
      <c r="AQ1183" s="3" t="s">
        <v>68</v>
      </c>
      <c r="AR1183" s="6" t="str">
        <f>HYPERLINK("http://catalog.hathitrust.org/Record/006734181","HathiTrust Record")</f>
        <v>HathiTrust Record</v>
      </c>
      <c r="AS1183" s="6" t="str">
        <f>HYPERLINK("https://creighton-primo.hosted.exlibrisgroup.com/primo-explore/search?tab=default_tab&amp;search_scope=EVERYTHING&amp;vid=01CRU&amp;lang=en_US&amp;offset=0&amp;query=any,contains,991004634229702656","Catalog Record")</f>
        <v>Catalog Record</v>
      </c>
      <c r="AT1183" s="6" t="str">
        <f>HYPERLINK("http://www.worldcat.org/oclc/4396121","WorldCat Record")</f>
        <v>WorldCat Record</v>
      </c>
      <c r="AU1183" s="3" t="s">
        <v>14950</v>
      </c>
      <c r="AV1183" s="3" t="s">
        <v>14951</v>
      </c>
      <c r="AW1183" s="3" t="s">
        <v>14952</v>
      </c>
      <c r="AX1183" s="3" t="s">
        <v>14952</v>
      </c>
      <c r="AY1183" s="3" t="s">
        <v>14953</v>
      </c>
      <c r="AZ1183" s="3" t="s">
        <v>73</v>
      </c>
      <c r="BC1183" s="3" t="s">
        <v>14954</v>
      </c>
      <c r="BD1183" s="3" t="s">
        <v>14955</v>
      </c>
    </row>
    <row r="1184" spans="1:56" ht="51" customHeight="1" x14ac:dyDescent="0.25">
      <c r="A1184" s="7" t="s">
        <v>58</v>
      </c>
      <c r="B1184" s="2" t="s">
        <v>14956</v>
      </c>
      <c r="C1184" s="2" t="s">
        <v>14957</v>
      </c>
      <c r="D1184" s="2" t="s">
        <v>14958</v>
      </c>
      <c r="F1184" s="3" t="s">
        <v>58</v>
      </c>
      <c r="G1184" s="3" t="s">
        <v>59</v>
      </c>
      <c r="H1184" s="3" t="s">
        <v>58</v>
      </c>
      <c r="I1184" s="3" t="s">
        <v>58</v>
      </c>
      <c r="J1184" s="3" t="s">
        <v>60</v>
      </c>
      <c r="K1184" s="2" t="s">
        <v>14959</v>
      </c>
      <c r="L1184" s="2" t="s">
        <v>14960</v>
      </c>
      <c r="M1184" s="3" t="s">
        <v>62</v>
      </c>
      <c r="O1184" s="3" t="s">
        <v>63</v>
      </c>
      <c r="P1184" s="3" t="s">
        <v>510</v>
      </c>
      <c r="R1184" s="3" t="s">
        <v>65</v>
      </c>
      <c r="S1184" s="4">
        <v>7</v>
      </c>
      <c r="T1184" s="4">
        <v>7</v>
      </c>
      <c r="U1184" s="5" t="s">
        <v>14961</v>
      </c>
      <c r="V1184" s="5" t="s">
        <v>14961</v>
      </c>
      <c r="W1184" s="5" t="s">
        <v>9175</v>
      </c>
      <c r="X1184" s="5" t="s">
        <v>9175</v>
      </c>
      <c r="Y1184" s="4">
        <v>146</v>
      </c>
      <c r="Z1184" s="4">
        <v>129</v>
      </c>
      <c r="AA1184" s="4">
        <v>308</v>
      </c>
      <c r="AB1184" s="4">
        <v>2</v>
      </c>
      <c r="AC1184" s="4">
        <v>2</v>
      </c>
      <c r="AD1184" s="4">
        <v>11</v>
      </c>
      <c r="AE1184" s="4">
        <v>15</v>
      </c>
      <c r="AF1184" s="4">
        <v>5</v>
      </c>
      <c r="AG1184" s="4">
        <v>5</v>
      </c>
      <c r="AH1184" s="4">
        <v>3</v>
      </c>
      <c r="AI1184" s="4">
        <v>4</v>
      </c>
      <c r="AJ1184" s="4">
        <v>5</v>
      </c>
      <c r="AK1184" s="4">
        <v>8</v>
      </c>
      <c r="AL1184" s="4">
        <v>1</v>
      </c>
      <c r="AM1184" s="4">
        <v>1</v>
      </c>
      <c r="AN1184" s="4">
        <v>0</v>
      </c>
      <c r="AO1184" s="4">
        <v>0</v>
      </c>
      <c r="AP1184" s="3" t="s">
        <v>58</v>
      </c>
      <c r="AQ1184" s="3" t="s">
        <v>68</v>
      </c>
      <c r="AR1184" s="6" t="str">
        <f>HYPERLINK("http://catalog.hathitrust.org/Record/012281752","HathiTrust Record")</f>
        <v>HathiTrust Record</v>
      </c>
      <c r="AS1184" s="6" t="str">
        <f>HYPERLINK("https://creighton-primo.hosted.exlibrisgroup.com/primo-explore/search?tab=default_tab&amp;search_scope=EVERYTHING&amp;vid=01CRU&amp;lang=en_US&amp;offset=0&amp;query=any,contains,991000996939702656","Catalog Record")</f>
        <v>Catalog Record</v>
      </c>
      <c r="AT1184" s="6" t="str">
        <f>HYPERLINK("http://www.worldcat.org/oclc/171451","WorldCat Record")</f>
        <v>WorldCat Record</v>
      </c>
      <c r="AU1184" s="3" t="s">
        <v>14962</v>
      </c>
      <c r="AV1184" s="3" t="s">
        <v>14963</v>
      </c>
      <c r="AW1184" s="3" t="s">
        <v>14964</v>
      </c>
      <c r="AX1184" s="3" t="s">
        <v>14964</v>
      </c>
      <c r="AY1184" s="3" t="s">
        <v>14965</v>
      </c>
      <c r="AZ1184" s="3" t="s">
        <v>73</v>
      </c>
      <c r="BB1184" s="3" t="s">
        <v>14966</v>
      </c>
      <c r="BC1184" s="3" t="s">
        <v>14967</v>
      </c>
      <c r="BD1184" s="3" t="s">
        <v>14968</v>
      </c>
    </row>
    <row r="1185" spans="1:56" ht="51" customHeight="1" x14ac:dyDescent="0.25">
      <c r="A1185" s="7" t="s">
        <v>58</v>
      </c>
      <c r="B1185" s="2" t="s">
        <v>14969</v>
      </c>
      <c r="C1185" s="2" t="s">
        <v>14970</v>
      </c>
      <c r="D1185" s="2" t="s">
        <v>14971</v>
      </c>
      <c r="F1185" s="3" t="s">
        <v>58</v>
      </c>
      <c r="G1185" s="3" t="s">
        <v>59</v>
      </c>
      <c r="H1185" s="3" t="s">
        <v>58</v>
      </c>
      <c r="I1185" s="3" t="s">
        <v>58</v>
      </c>
      <c r="J1185" s="3" t="s">
        <v>60</v>
      </c>
      <c r="K1185" s="2" t="s">
        <v>14972</v>
      </c>
      <c r="L1185" s="2" t="s">
        <v>14973</v>
      </c>
      <c r="M1185" s="3" t="s">
        <v>996</v>
      </c>
      <c r="N1185" s="2" t="s">
        <v>1470</v>
      </c>
      <c r="O1185" s="3" t="s">
        <v>63</v>
      </c>
      <c r="P1185" s="3" t="s">
        <v>3323</v>
      </c>
      <c r="R1185" s="3" t="s">
        <v>65</v>
      </c>
      <c r="S1185" s="4">
        <v>6</v>
      </c>
      <c r="T1185" s="4">
        <v>6</v>
      </c>
      <c r="U1185" s="5" t="s">
        <v>9986</v>
      </c>
      <c r="V1185" s="5" t="s">
        <v>9986</v>
      </c>
      <c r="W1185" s="5" t="s">
        <v>13790</v>
      </c>
      <c r="X1185" s="5" t="s">
        <v>13790</v>
      </c>
      <c r="Y1185" s="4">
        <v>319</v>
      </c>
      <c r="Z1185" s="4">
        <v>292</v>
      </c>
      <c r="AA1185" s="4">
        <v>317</v>
      </c>
      <c r="AB1185" s="4">
        <v>3</v>
      </c>
      <c r="AC1185" s="4">
        <v>3</v>
      </c>
      <c r="AD1185" s="4">
        <v>13</v>
      </c>
      <c r="AE1185" s="4">
        <v>13</v>
      </c>
      <c r="AF1185" s="4">
        <v>2</v>
      </c>
      <c r="AG1185" s="4">
        <v>2</v>
      </c>
      <c r="AH1185" s="4">
        <v>4</v>
      </c>
      <c r="AI1185" s="4">
        <v>4</v>
      </c>
      <c r="AJ1185" s="4">
        <v>7</v>
      </c>
      <c r="AK1185" s="4">
        <v>7</v>
      </c>
      <c r="AL1185" s="4">
        <v>2</v>
      </c>
      <c r="AM1185" s="4">
        <v>2</v>
      </c>
      <c r="AN1185" s="4">
        <v>0</v>
      </c>
      <c r="AO1185" s="4">
        <v>0</v>
      </c>
      <c r="AP1185" s="3" t="s">
        <v>58</v>
      </c>
      <c r="AQ1185" s="3" t="s">
        <v>68</v>
      </c>
      <c r="AR1185" s="6" t="str">
        <f>HYPERLINK("http://catalog.hathitrust.org/Record/001252732","HathiTrust Record")</f>
        <v>HathiTrust Record</v>
      </c>
      <c r="AS1185" s="6" t="str">
        <f>HYPERLINK("https://creighton-primo.hosted.exlibrisgroup.com/primo-explore/search?tab=default_tab&amp;search_scope=EVERYTHING&amp;vid=01CRU&amp;lang=en_US&amp;offset=0&amp;query=any,contains,991003117829702656","Catalog Record")</f>
        <v>Catalog Record</v>
      </c>
      <c r="AT1185" s="6" t="str">
        <f>HYPERLINK("http://www.worldcat.org/oclc/663997","WorldCat Record")</f>
        <v>WorldCat Record</v>
      </c>
      <c r="AU1185" s="3" t="s">
        <v>14974</v>
      </c>
      <c r="AV1185" s="3" t="s">
        <v>14975</v>
      </c>
      <c r="AW1185" s="3" t="s">
        <v>14976</v>
      </c>
      <c r="AX1185" s="3" t="s">
        <v>14976</v>
      </c>
      <c r="AY1185" s="3" t="s">
        <v>14977</v>
      </c>
      <c r="AZ1185" s="3" t="s">
        <v>73</v>
      </c>
      <c r="BC1185" s="3" t="s">
        <v>14978</v>
      </c>
      <c r="BD1185" s="3" t="s">
        <v>14979</v>
      </c>
    </row>
    <row r="1186" spans="1:56" ht="51" customHeight="1" x14ac:dyDescent="0.25">
      <c r="A1186" s="7" t="s">
        <v>58</v>
      </c>
      <c r="B1186" s="2" t="s">
        <v>14980</v>
      </c>
      <c r="C1186" s="2" t="s">
        <v>14981</v>
      </c>
      <c r="D1186" s="2" t="s">
        <v>14982</v>
      </c>
      <c r="F1186" s="3" t="s">
        <v>58</v>
      </c>
      <c r="G1186" s="3" t="s">
        <v>59</v>
      </c>
      <c r="H1186" s="3" t="s">
        <v>58</v>
      </c>
      <c r="I1186" s="3" t="s">
        <v>58</v>
      </c>
      <c r="J1186" s="3" t="s">
        <v>60</v>
      </c>
      <c r="K1186" s="2" t="s">
        <v>14983</v>
      </c>
      <c r="L1186" s="2" t="s">
        <v>14984</v>
      </c>
      <c r="M1186" s="3" t="s">
        <v>83</v>
      </c>
      <c r="O1186" s="3" t="s">
        <v>63</v>
      </c>
      <c r="P1186" s="3" t="s">
        <v>1584</v>
      </c>
      <c r="R1186" s="3" t="s">
        <v>65</v>
      </c>
      <c r="S1186" s="4">
        <v>17</v>
      </c>
      <c r="T1186" s="4">
        <v>17</v>
      </c>
      <c r="U1186" s="5" t="s">
        <v>14985</v>
      </c>
      <c r="V1186" s="5" t="s">
        <v>14985</v>
      </c>
      <c r="W1186" s="5" t="s">
        <v>14853</v>
      </c>
      <c r="X1186" s="5" t="s">
        <v>14853</v>
      </c>
      <c r="Y1186" s="4">
        <v>181</v>
      </c>
      <c r="Z1186" s="4">
        <v>152</v>
      </c>
      <c r="AA1186" s="4">
        <v>195</v>
      </c>
      <c r="AB1186" s="4">
        <v>2</v>
      </c>
      <c r="AC1186" s="4">
        <v>2</v>
      </c>
      <c r="AD1186" s="4">
        <v>5</v>
      </c>
      <c r="AE1186" s="4">
        <v>5</v>
      </c>
      <c r="AF1186" s="4">
        <v>1</v>
      </c>
      <c r="AG1186" s="4">
        <v>1</v>
      </c>
      <c r="AH1186" s="4">
        <v>1</v>
      </c>
      <c r="AI1186" s="4">
        <v>1</v>
      </c>
      <c r="AJ1186" s="4">
        <v>2</v>
      </c>
      <c r="AK1186" s="4">
        <v>2</v>
      </c>
      <c r="AL1186" s="4">
        <v>1</v>
      </c>
      <c r="AM1186" s="4">
        <v>1</v>
      </c>
      <c r="AN1186" s="4">
        <v>0</v>
      </c>
      <c r="AO1186" s="4">
        <v>0</v>
      </c>
      <c r="AP1186" s="3" t="s">
        <v>58</v>
      </c>
      <c r="AQ1186" s="3" t="s">
        <v>68</v>
      </c>
      <c r="AR1186" s="6" t="str">
        <f>HYPERLINK("http://catalog.hathitrust.org/Record/006214285","HathiTrust Record")</f>
        <v>HathiTrust Record</v>
      </c>
      <c r="AS1186" s="6" t="str">
        <f>HYPERLINK("https://creighton-primo.hosted.exlibrisgroup.com/primo-explore/search?tab=default_tab&amp;search_scope=EVERYTHING&amp;vid=01CRU&amp;lang=en_US&amp;offset=0&amp;query=any,contains,991004568289702656","Catalog Record")</f>
        <v>Catalog Record</v>
      </c>
      <c r="AT1186" s="6" t="str">
        <f>HYPERLINK("http://www.worldcat.org/oclc/4005198","WorldCat Record")</f>
        <v>WorldCat Record</v>
      </c>
      <c r="AU1186" s="3" t="s">
        <v>14986</v>
      </c>
      <c r="AV1186" s="3" t="s">
        <v>14987</v>
      </c>
      <c r="AW1186" s="3" t="s">
        <v>14988</v>
      </c>
      <c r="AX1186" s="3" t="s">
        <v>14988</v>
      </c>
      <c r="AY1186" s="3" t="s">
        <v>14989</v>
      </c>
      <c r="AZ1186" s="3" t="s">
        <v>73</v>
      </c>
      <c r="BB1186" s="3" t="s">
        <v>14990</v>
      </c>
      <c r="BC1186" s="3" t="s">
        <v>14991</v>
      </c>
      <c r="BD1186" s="3" t="s">
        <v>14992</v>
      </c>
    </row>
    <row r="1187" spans="1:56" ht="51" customHeight="1" x14ac:dyDescent="0.25">
      <c r="A1187" s="7" t="s">
        <v>58</v>
      </c>
      <c r="B1187" s="2" t="s">
        <v>14993</v>
      </c>
      <c r="C1187" s="2" t="s">
        <v>14994</v>
      </c>
      <c r="D1187" s="2" t="s">
        <v>14995</v>
      </c>
      <c r="F1187" s="3" t="s">
        <v>58</v>
      </c>
      <c r="G1187" s="3" t="s">
        <v>59</v>
      </c>
      <c r="H1187" s="3" t="s">
        <v>58</v>
      </c>
      <c r="I1187" s="3" t="s">
        <v>58</v>
      </c>
      <c r="J1187" s="3" t="s">
        <v>60</v>
      </c>
      <c r="K1187" s="2" t="s">
        <v>14996</v>
      </c>
      <c r="L1187" s="2" t="s">
        <v>14997</v>
      </c>
      <c r="M1187" s="3" t="s">
        <v>4851</v>
      </c>
      <c r="O1187" s="3" t="s">
        <v>63</v>
      </c>
      <c r="P1187" s="3" t="s">
        <v>214</v>
      </c>
      <c r="R1187" s="3" t="s">
        <v>65</v>
      </c>
      <c r="S1187" s="4">
        <v>3</v>
      </c>
      <c r="T1187" s="4">
        <v>3</v>
      </c>
      <c r="U1187" s="5" t="s">
        <v>14840</v>
      </c>
      <c r="V1187" s="5" t="s">
        <v>14840</v>
      </c>
      <c r="W1187" s="5" t="s">
        <v>14998</v>
      </c>
      <c r="X1187" s="5" t="s">
        <v>14998</v>
      </c>
      <c r="Y1187" s="4">
        <v>398</v>
      </c>
      <c r="Z1187" s="4">
        <v>356</v>
      </c>
      <c r="AA1187" s="4">
        <v>359</v>
      </c>
      <c r="AB1187" s="4">
        <v>4</v>
      </c>
      <c r="AC1187" s="4">
        <v>4</v>
      </c>
      <c r="AD1187" s="4">
        <v>10</v>
      </c>
      <c r="AE1187" s="4">
        <v>10</v>
      </c>
      <c r="AF1187" s="4">
        <v>2</v>
      </c>
      <c r="AG1187" s="4">
        <v>2</v>
      </c>
      <c r="AH1187" s="4">
        <v>2</v>
      </c>
      <c r="AI1187" s="4">
        <v>2</v>
      </c>
      <c r="AJ1187" s="4">
        <v>5</v>
      </c>
      <c r="AK1187" s="4">
        <v>5</v>
      </c>
      <c r="AL1187" s="4">
        <v>2</v>
      </c>
      <c r="AM1187" s="4">
        <v>2</v>
      </c>
      <c r="AN1187" s="4">
        <v>0</v>
      </c>
      <c r="AO1187" s="4">
        <v>0</v>
      </c>
      <c r="AP1187" s="3" t="s">
        <v>58</v>
      </c>
      <c r="AQ1187" s="3" t="s">
        <v>68</v>
      </c>
      <c r="AR1187" s="6" t="str">
        <f>HYPERLINK("http://catalog.hathitrust.org/Record/001252739","HathiTrust Record")</f>
        <v>HathiTrust Record</v>
      </c>
      <c r="AS1187" s="6" t="str">
        <f>HYPERLINK("https://creighton-primo.hosted.exlibrisgroup.com/primo-explore/search?tab=default_tab&amp;search_scope=EVERYTHING&amp;vid=01CRU&amp;lang=en_US&amp;offset=0&amp;query=any,contains,991002711329702656","Catalog Record")</f>
        <v>Catalog Record</v>
      </c>
      <c r="AT1187" s="6" t="str">
        <f>HYPERLINK("http://www.worldcat.org/oclc/409379","WorldCat Record")</f>
        <v>WorldCat Record</v>
      </c>
      <c r="AU1187" s="3" t="s">
        <v>14999</v>
      </c>
      <c r="AV1187" s="3" t="s">
        <v>15000</v>
      </c>
      <c r="AW1187" s="3" t="s">
        <v>15001</v>
      </c>
      <c r="AX1187" s="3" t="s">
        <v>15001</v>
      </c>
      <c r="AY1187" s="3" t="s">
        <v>15002</v>
      </c>
      <c r="AZ1187" s="3" t="s">
        <v>73</v>
      </c>
      <c r="BC1187" s="3" t="s">
        <v>15003</v>
      </c>
      <c r="BD1187" s="3" t="s">
        <v>15004</v>
      </c>
    </row>
    <row r="1188" spans="1:56" ht="51" customHeight="1" x14ac:dyDescent="0.25">
      <c r="A1188" s="7" t="s">
        <v>58</v>
      </c>
      <c r="B1188" s="2" t="s">
        <v>15005</v>
      </c>
      <c r="C1188" s="2" t="s">
        <v>15006</v>
      </c>
      <c r="D1188" s="2" t="s">
        <v>15007</v>
      </c>
      <c r="F1188" s="3" t="s">
        <v>58</v>
      </c>
      <c r="G1188" s="3" t="s">
        <v>59</v>
      </c>
      <c r="H1188" s="3" t="s">
        <v>58</v>
      </c>
      <c r="I1188" s="3" t="s">
        <v>58</v>
      </c>
      <c r="J1188" s="3" t="s">
        <v>60</v>
      </c>
      <c r="K1188" s="2" t="s">
        <v>15008</v>
      </c>
      <c r="L1188" s="2" t="s">
        <v>15009</v>
      </c>
      <c r="M1188" s="3" t="s">
        <v>138</v>
      </c>
      <c r="O1188" s="3" t="s">
        <v>63</v>
      </c>
      <c r="P1188" s="3" t="s">
        <v>214</v>
      </c>
      <c r="R1188" s="3" t="s">
        <v>65</v>
      </c>
      <c r="S1188" s="4">
        <v>25</v>
      </c>
      <c r="T1188" s="4">
        <v>25</v>
      </c>
      <c r="U1188" s="5" t="s">
        <v>15010</v>
      </c>
      <c r="V1188" s="5" t="s">
        <v>15010</v>
      </c>
      <c r="W1188" s="5" t="s">
        <v>14853</v>
      </c>
      <c r="X1188" s="5" t="s">
        <v>14853</v>
      </c>
      <c r="Y1188" s="4">
        <v>194</v>
      </c>
      <c r="Z1188" s="4">
        <v>191</v>
      </c>
      <c r="AA1188" s="4">
        <v>1652</v>
      </c>
      <c r="AB1188" s="4">
        <v>2</v>
      </c>
      <c r="AC1188" s="4">
        <v>7</v>
      </c>
      <c r="AD1188" s="4">
        <v>2</v>
      </c>
      <c r="AE1188" s="4">
        <v>31</v>
      </c>
      <c r="AF1188" s="4">
        <v>2</v>
      </c>
      <c r="AG1188" s="4">
        <v>12</v>
      </c>
      <c r="AH1188" s="4">
        <v>0</v>
      </c>
      <c r="AI1188" s="4">
        <v>7</v>
      </c>
      <c r="AJ1188" s="4">
        <v>1</v>
      </c>
      <c r="AK1188" s="4">
        <v>16</v>
      </c>
      <c r="AL1188" s="4">
        <v>0</v>
      </c>
      <c r="AM1188" s="4">
        <v>3</v>
      </c>
      <c r="AN1188" s="4">
        <v>0</v>
      </c>
      <c r="AO1188" s="4">
        <v>1</v>
      </c>
      <c r="AP1188" s="3" t="s">
        <v>58</v>
      </c>
      <c r="AQ1188" s="3" t="s">
        <v>58</v>
      </c>
      <c r="AS1188" s="6" t="str">
        <f>HYPERLINK("https://creighton-primo.hosted.exlibrisgroup.com/primo-explore/search?tab=default_tab&amp;search_scope=EVERYTHING&amp;vid=01CRU&amp;lang=en_US&amp;offset=0&amp;query=any,contains,991000122009702656","Catalog Record")</f>
        <v>Catalog Record</v>
      </c>
      <c r="AT1188" s="6" t="str">
        <f>HYPERLINK("http://www.worldcat.org/oclc/9076023","WorldCat Record")</f>
        <v>WorldCat Record</v>
      </c>
      <c r="AU1188" s="3" t="s">
        <v>15011</v>
      </c>
      <c r="AV1188" s="3" t="s">
        <v>15012</v>
      </c>
      <c r="AW1188" s="3" t="s">
        <v>15013</v>
      </c>
      <c r="AX1188" s="3" t="s">
        <v>15013</v>
      </c>
      <c r="AY1188" s="3" t="s">
        <v>15014</v>
      </c>
      <c r="AZ1188" s="3" t="s">
        <v>73</v>
      </c>
      <c r="BB1188" s="3" t="s">
        <v>15015</v>
      </c>
      <c r="BC1188" s="3" t="s">
        <v>15016</v>
      </c>
      <c r="BD1188" s="3" t="s">
        <v>15017</v>
      </c>
    </row>
    <row r="1189" spans="1:56" ht="51" customHeight="1" x14ac:dyDescent="0.25">
      <c r="A1189" s="7" t="s">
        <v>58</v>
      </c>
      <c r="B1189" s="2" t="s">
        <v>15018</v>
      </c>
      <c r="C1189" s="2" t="s">
        <v>15019</v>
      </c>
      <c r="D1189" s="2" t="s">
        <v>14810</v>
      </c>
      <c r="F1189" s="3" t="s">
        <v>58</v>
      </c>
      <c r="G1189" s="3" t="s">
        <v>59</v>
      </c>
      <c r="H1189" s="3" t="s">
        <v>58</v>
      </c>
      <c r="I1189" s="3" t="s">
        <v>58</v>
      </c>
      <c r="J1189" s="3" t="s">
        <v>60</v>
      </c>
      <c r="K1189" s="2" t="s">
        <v>15020</v>
      </c>
      <c r="L1189" s="2" t="s">
        <v>15021</v>
      </c>
      <c r="M1189" s="3" t="s">
        <v>745</v>
      </c>
      <c r="O1189" s="3" t="s">
        <v>63</v>
      </c>
      <c r="P1189" s="3" t="s">
        <v>584</v>
      </c>
      <c r="Q1189" s="2" t="s">
        <v>15022</v>
      </c>
      <c r="R1189" s="3" t="s">
        <v>65</v>
      </c>
      <c r="S1189" s="4">
        <v>11</v>
      </c>
      <c r="T1189" s="4">
        <v>11</v>
      </c>
      <c r="U1189" s="5" t="s">
        <v>4155</v>
      </c>
      <c r="V1189" s="5" t="s">
        <v>4155</v>
      </c>
      <c r="W1189" s="5" t="s">
        <v>9175</v>
      </c>
      <c r="X1189" s="5" t="s">
        <v>9175</v>
      </c>
      <c r="Y1189" s="4">
        <v>273</v>
      </c>
      <c r="Z1189" s="4">
        <v>230</v>
      </c>
      <c r="AA1189" s="4">
        <v>232</v>
      </c>
      <c r="AB1189" s="4">
        <v>4</v>
      </c>
      <c r="AC1189" s="4">
        <v>4</v>
      </c>
      <c r="AD1189" s="4">
        <v>6</v>
      </c>
      <c r="AE1189" s="4">
        <v>6</v>
      </c>
      <c r="AF1189" s="4">
        <v>1</v>
      </c>
      <c r="AG1189" s="4">
        <v>1</v>
      </c>
      <c r="AH1189" s="4">
        <v>1</v>
      </c>
      <c r="AI1189" s="4">
        <v>1</v>
      </c>
      <c r="AJ1189" s="4">
        <v>3</v>
      </c>
      <c r="AK1189" s="4">
        <v>3</v>
      </c>
      <c r="AL1189" s="4">
        <v>1</v>
      </c>
      <c r="AM1189" s="4">
        <v>1</v>
      </c>
      <c r="AN1189" s="4">
        <v>0</v>
      </c>
      <c r="AO1189" s="4">
        <v>0</v>
      </c>
      <c r="AP1189" s="3" t="s">
        <v>58</v>
      </c>
      <c r="AQ1189" s="3" t="s">
        <v>68</v>
      </c>
      <c r="AR1189" s="6" t="str">
        <f>HYPERLINK("http://catalog.hathitrust.org/Record/001252766","HathiTrust Record")</f>
        <v>HathiTrust Record</v>
      </c>
      <c r="AS1189" s="6" t="str">
        <f>HYPERLINK("https://creighton-primo.hosted.exlibrisgroup.com/primo-explore/search?tab=default_tab&amp;search_scope=EVERYTHING&amp;vid=01CRU&amp;lang=en_US&amp;offset=0&amp;query=any,contains,991002816269702656","Catalog Record")</f>
        <v>Catalog Record</v>
      </c>
      <c r="AT1189" s="6" t="str">
        <f>HYPERLINK("http://www.worldcat.org/oclc/459932","WorldCat Record")</f>
        <v>WorldCat Record</v>
      </c>
      <c r="AU1189" s="3" t="s">
        <v>15023</v>
      </c>
      <c r="AV1189" s="3" t="s">
        <v>15024</v>
      </c>
      <c r="AW1189" s="3" t="s">
        <v>15025</v>
      </c>
      <c r="AX1189" s="3" t="s">
        <v>15025</v>
      </c>
      <c r="AY1189" s="3" t="s">
        <v>15026</v>
      </c>
      <c r="AZ1189" s="3" t="s">
        <v>73</v>
      </c>
      <c r="BC1189" s="3" t="s">
        <v>15027</v>
      </c>
      <c r="BD1189" s="3" t="s">
        <v>15028</v>
      </c>
    </row>
    <row r="1190" spans="1:56" ht="51" customHeight="1" x14ac:dyDescent="0.25">
      <c r="A1190" s="7" t="s">
        <v>58</v>
      </c>
      <c r="B1190" s="2" t="s">
        <v>15029</v>
      </c>
      <c r="C1190" s="2" t="s">
        <v>15030</v>
      </c>
      <c r="D1190" s="2" t="s">
        <v>15031</v>
      </c>
      <c r="F1190" s="3" t="s">
        <v>58</v>
      </c>
      <c r="G1190" s="3" t="s">
        <v>59</v>
      </c>
      <c r="H1190" s="3" t="s">
        <v>58</v>
      </c>
      <c r="I1190" s="3" t="s">
        <v>58</v>
      </c>
      <c r="J1190" s="3" t="s">
        <v>60</v>
      </c>
      <c r="K1190" s="2" t="s">
        <v>15032</v>
      </c>
      <c r="L1190" s="2" t="s">
        <v>15033</v>
      </c>
      <c r="M1190" s="3" t="s">
        <v>62</v>
      </c>
      <c r="O1190" s="3" t="s">
        <v>63</v>
      </c>
      <c r="P1190" s="3" t="s">
        <v>214</v>
      </c>
      <c r="Q1190" s="2" t="s">
        <v>15034</v>
      </c>
      <c r="R1190" s="3" t="s">
        <v>65</v>
      </c>
      <c r="S1190" s="4">
        <v>3</v>
      </c>
      <c r="T1190" s="4">
        <v>3</v>
      </c>
      <c r="U1190" s="5" t="s">
        <v>14236</v>
      </c>
      <c r="V1190" s="5" t="s">
        <v>14236</v>
      </c>
      <c r="W1190" s="5" t="s">
        <v>15035</v>
      </c>
      <c r="X1190" s="5" t="s">
        <v>15035</v>
      </c>
      <c r="Y1190" s="4">
        <v>588</v>
      </c>
      <c r="Z1190" s="4">
        <v>557</v>
      </c>
      <c r="AA1190" s="4">
        <v>586</v>
      </c>
      <c r="AB1190" s="4">
        <v>5</v>
      </c>
      <c r="AC1190" s="4">
        <v>5</v>
      </c>
      <c r="AD1190" s="4">
        <v>18</v>
      </c>
      <c r="AE1190" s="4">
        <v>20</v>
      </c>
      <c r="AF1190" s="4">
        <v>9</v>
      </c>
      <c r="AG1190" s="4">
        <v>10</v>
      </c>
      <c r="AH1190" s="4">
        <v>3</v>
      </c>
      <c r="AI1190" s="4">
        <v>4</v>
      </c>
      <c r="AJ1190" s="4">
        <v>10</v>
      </c>
      <c r="AK1190" s="4">
        <v>10</v>
      </c>
      <c r="AL1190" s="4">
        <v>1</v>
      </c>
      <c r="AM1190" s="4">
        <v>1</v>
      </c>
      <c r="AN1190" s="4">
        <v>0</v>
      </c>
      <c r="AO1190" s="4">
        <v>0</v>
      </c>
      <c r="AP1190" s="3" t="s">
        <v>58</v>
      </c>
      <c r="AQ1190" s="3" t="s">
        <v>68</v>
      </c>
      <c r="AR1190" s="6" t="str">
        <f>HYPERLINK("http://catalog.hathitrust.org/Record/001252770","HathiTrust Record")</f>
        <v>HathiTrust Record</v>
      </c>
      <c r="AS1190" s="6" t="str">
        <f>HYPERLINK("https://creighton-primo.hosted.exlibrisgroup.com/primo-explore/search?tab=default_tab&amp;search_scope=EVERYTHING&amp;vid=01CRU&amp;lang=en_US&amp;offset=0&amp;query=any,contains,991001057239702656","Catalog Record")</f>
        <v>Catalog Record</v>
      </c>
      <c r="AT1190" s="6" t="str">
        <f>HYPERLINK("http://www.worldcat.org/oclc/177513","WorldCat Record")</f>
        <v>WorldCat Record</v>
      </c>
      <c r="AU1190" s="3" t="s">
        <v>15036</v>
      </c>
      <c r="AV1190" s="3" t="s">
        <v>15037</v>
      </c>
      <c r="AW1190" s="3" t="s">
        <v>15038</v>
      </c>
      <c r="AX1190" s="3" t="s">
        <v>15038</v>
      </c>
      <c r="AY1190" s="3" t="s">
        <v>15039</v>
      </c>
      <c r="AZ1190" s="3" t="s">
        <v>73</v>
      </c>
      <c r="BB1190" s="3" t="s">
        <v>15040</v>
      </c>
      <c r="BC1190" s="3" t="s">
        <v>15041</v>
      </c>
      <c r="BD1190" s="3" t="s">
        <v>15042</v>
      </c>
    </row>
    <row r="1191" spans="1:56" ht="51" customHeight="1" x14ac:dyDescent="0.25">
      <c r="A1191" s="7" t="s">
        <v>58</v>
      </c>
      <c r="B1191" s="2" t="s">
        <v>15043</v>
      </c>
      <c r="C1191" s="2" t="s">
        <v>15044</v>
      </c>
      <c r="D1191" s="2" t="s">
        <v>15045</v>
      </c>
      <c r="F1191" s="3" t="s">
        <v>58</v>
      </c>
      <c r="G1191" s="3" t="s">
        <v>59</v>
      </c>
      <c r="H1191" s="3" t="s">
        <v>58</v>
      </c>
      <c r="I1191" s="3" t="s">
        <v>58</v>
      </c>
      <c r="J1191" s="3" t="s">
        <v>60</v>
      </c>
      <c r="K1191" s="2" t="s">
        <v>15046</v>
      </c>
      <c r="L1191" s="2" t="s">
        <v>15047</v>
      </c>
      <c r="M1191" s="3" t="s">
        <v>1544</v>
      </c>
      <c r="O1191" s="3" t="s">
        <v>63</v>
      </c>
      <c r="P1191" s="3" t="s">
        <v>3323</v>
      </c>
      <c r="R1191" s="3" t="s">
        <v>65</v>
      </c>
      <c r="S1191" s="4">
        <v>6</v>
      </c>
      <c r="T1191" s="4">
        <v>6</v>
      </c>
      <c r="U1191" s="5" t="s">
        <v>15048</v>
      </c>
      <c r="V1191" s="5" t="s">
        <v>15048</v>
      </c>
      <c r="W1191" s="5" t="s">
        <v>13510</v>
      </c>
      <c r="X1191" s="5" t="s">
        <v>13510</v>
      </c>
      <c r="Y1191" s="4">
        <v>35</v>
      </c>
      <c r="Z1191" s="4">
        <v>27</v>
      </c>
      <c r="AA1191" s="4">
        <v>29</v>
      </c>
      <c r="AB1191" s="4">
        <v>1</v>
      </c>
      <c r="AC1191" s="4">
        <v>1</v>
      </c>
      <c r="AD1191" s="4">
        <v>0</v>
      </c>
      <c r="AE1191" s="4">
        <v>0</v>
      </c>
      <c r="AF1191" s="4">
        <v>0</v>
      </c>
      <c r="AG1191" s="4">
        <v>0</v>
      </c>
      <c r="AH1191" s="4">
        <v>0</v>
      </c>
      <c r="AI1191" s="4">
        <v>0</v>
      </c>
      <c r="AJ1191" s="4">
        <v>0</v>
      </c>
      <c r="AK1191" s="4">
        <v>0</v>
      </c>
      <c r="AL1191" s="4">
        <v>0</v>
      </c>
      <c r="AM1191" s="4">
        <v>0</v>
      </c>
      <c r="AN1191" s="4">
        <v>0</v>
      </c>
      <c r="AO1191" s="4">
        <v>0</v>
      </c>
      <c r="AP1191" s="3" t="s">
        <v>58</v>
      </c>
      <c r="AQ1191" s="3" t="s">
        <v>68</v>
      </c>
      <c r="AR1191" s="6" t="str">
        <f>HYPERLINK("http://catalog.hathitrust.org/Record/002736629","HathiTrust Record")</f>
        <v>HathiTrust Record</v>
      </c>
      <c r="AS1191" s="6" t="str">
        <f>HYPERLINK("https://creighton-primo.hosted.exlibrisgroup.com/primo-explore/search?tab=default_tab&amp;search_scope=EVERYTHING&amp;vid=01CRU&amp;lang=en_US&amp;offset=0&amp;query=any,contains,991002136399702656","Catalog Record")</f>
        <v>Catalog Record</v>
      </c>
      <c r="AT1191" s="6" t="str">
        <f>HYPERLINK("http://www.worldcat.org/oclc/27403637","WorldCat Record")</f>
        <v>WorldCat Record</v>
      </c>
      <c r="AU1191" s="3" t="s">
        <v>15049</v>
      </c>
      <c r="AV1191" s="3" t="s">
        <v>15050</v>
      </c>
      <c r="AW1191" s="3" t="s">
        <v>15051</v>
      </c>
      <c r="AX1191" s="3" t="s">
        <v>15051</v>
      </c>
      <c r="AY1191" s="3" t="s">
        <v>15052</v>
      </c>
      <c r="AZ1191" s="3" t="s">
        <v>73</v>
      </c>
      <c r="BB1191" s="3" t="s">
        <v>15053</v>
      </c>
      <c r="BC1191" s="3" t="s">
        <v>15054</v>
      </c>
      <c r="BD1191" s="3" t="s">
        <v>15055</v>
      </c>
    </row>
    <row r="1192" spans="1:56" ht="51" customHeight="1" x14ac:dyDescent="0.25">
      <c r="A1192" s="7" t="s">
        <v>58</v>
      </c>
      <c r="B1192" s="2" t="s">
        <v>15056</v>
      </c>
      <c r="C1192" s="2" t="s">
        <v>15057</v>
      </c>
      <c r="D1192" s="2" t="s">
        <v>15058</v>
      </c>
      <c r="F1192" s="3" t="s">
        <v>58</v>
      </c>
      <c r="G1192" s="3" t="s">
        <v>59</v>
      </c>
      <c r="H1192" s="3" t="s">
        <v>58</v>
      </c>
      <c r="I1192" s="3" t="s">
        <v>58</v>
      </c>
      <c r="J1192" s="3" t="s">
        <v>60</v>
      </c>
      <c r="K1192" s="2" t="s">
        <v>15059</v>
      </c>
      <c r="L1192" s="2" t="s">
        <v>15060</v>
      </c>
      <c r="M1192" s="3" t="s">
        <v>249</v>
      </c>
      <c r="O1192" s="3" t="s">
        <v>63</v>
      </c>
      <c r="P1192" s="3" t="s">
        <v>214</v>
      </c>
      <c r="R1192" s="3" t="s">
        <v>65</v>
      </c>
      <c r="S1192" s="4">
        <v>3</v>
      </c>
      <c r="T1192" s="4">
        <v>3</v>
      </c>
      <c r="U1192" s="5" t="s">
        <v>14490</v>
      </c>
      <c r="V1192" s="5" t="s">
        <v>14490</v>
      </c>
      <c r="W1192" s="5" t="s">
        <v>11927</v>
      </c>
      <c r="X1192" s="5" t="s">
        <v>11927</v>
      </c>
      <c r="Y1192" s="4">
        <v>382</v>
      </c>
      <c r="Z1192" s="4">
        <v>355</v>
      </c>
      <c r="AA1192" s="4">
        <v>431</v>
      </c>
      <c r="AB1192" s="4">
        <v>2</v>
      </c>
      <c r="AC1192" s="4">
        <v>2</v>
      </c>
      <c r="AD1192" s="4">
        <v>11</v>
      </c>
      <c r="AE1192" s="4">
        <v>13</v>
      </c>
      <c r="AF1192" s="4">
        <v>1</v>
      </c>
      <c r="AG1192" s="4">
        <v>2</v>
      </c>
      <c r="AH1192" s="4">
        <v>4</v>
      </c>
      <c r="AI1192" s="4">
        <v>5</v>
      </c>
      <c r="AJ1192" s="4">
        <v>7</v>
      </c>
      <c r="AK1192" s="4">
        <v>8</v>
      </c>
      <c r="AL1192" s="4">
        <v>1</v>
      </c>
      <c r="AM1192" s="4">
        <v>1</v>
      </c>
      <c r="AN1192" s="4">
        <v>0</v>
      </c>
      <c r="AO1192" s="4">
        <v>0</v>
      </c>
      <c r="AP1192" s="3" t="s">
        <v>58</v>
      </c>
      <c r="AQ1192" s="3" t="s">
        <v>68</v>
      </c>
      <c r="AR1192" s="6" t="str">
        <f>HYPERLINK("http://catalog.hathitrust.org/Record/007880331","HathiTrust Record")</f>
        <v>HathiTrust Record</v>
      </c>
      <c r="AS1192" s="6" t="str">
        <f>HYPERLINK("https://creighton-primo.hosted.exlibrisgroup.com/primo-explore/search?tab=default_tab&amp;search_scope=EVERYTHING&amp;vid=01CRU&amp;lang=en_US&amp;offset=0&amp;query=any,contains,991002711389702656","Catalog Record")</f>
        <v>Catalog Record</v>
      </c>
      <c r="AT1192" s="6" t="str">
        <f>HYPERLINK("http://www.worldcat.org/oclc/409386","WorldCat Record")</f>
        <v>WorldCat Record</v>
      </c>
      <c r="AU1192" s="3" t="s">
        <v>15061</v>
      </c>
      <c r="AV1192" s="3" t="s">
        <v>15062</v>
      </c>
      <c r="AW1192" s="3" t="s">
        <v>15063</v>
      </c>
      <c r="AX1192" s="3" t="s">
        <v>15063</v>
      </c>
      <c r="AY1192" s="3" t="s">
        <v>15064</v>
      </c>
      <c r="AZ1192" s="3" t="s">
        <v>73</v>
      </c>
      <c r="BC1192" s="3" t="s">
        <v>15065</v>
      </c>
      <c r="BD1192" s="3" t="s">
        <v>15066</v>
      </c>
    </row>
    <row r="1193" spans="1:56" ht="51" customHeight="1" x14ac:dyDescent="0.25">
      <c r="A1193" s="7" t="s">
        <v>58</v>
      </c>
      <c r="B1193" s="2" t="s">
        <v>15067</v>
      </c>
      <c r="C1193" s="2" t="s">
        <v>15068</v>
      </c>
      <c r="D1193" s="2" t="s">
        <v>15069</v>
      </c>
      <c r="F1193" s="3" t="s">
        <v>58</v>
      </c>
      <c r="G1193" s="3" t="s">
        <v>59</v>
      </c>
      <c r="H1193" s="3" t="s">
        <v>58</v>
      </c>
      <c r="I1193" s="3" t="s">
        <v>58</v>
      </c>
      <c r="J1193" s="3" t="s">
        <v>60</v>
      </c>
      <c r="K1193" s="2" t="s">
        <v>15070</v>
      </c>
      <c r="L1193" s="2" t="s">
        <v>15071</v>
      </c>
      <c r="M1193" s="3" t="s">
        <v>83</v>
      </c>
      <c r="N1193" s="2" t="s">
        <v>15072</v>
      </c>
      <c r="O1193" s="3" t="s">
        <v>63</v>
      </c>
      <c r="P1193" s="3" t="s">
        <v>3323</v>
      </c>
      <c r="R1193" s="3" t="s">
        <v>65</v>
      </c>
      <c r="S1193" s="4">
        <v>1</v>
      </c>
      <c r="T1193" s="4">
        <v>1</v>
      </c>
      <c r="U1193" s="5" t="s">
        <v>15073</v>
      </c>
      <c r="V1193" s="5" t="s">
        <v>15073</v>
      </c>
      <c r="W1193" s="5" t="s">
        <v>14853</v>
      </c>
      <c r="X1193" s="5" t="s">
        <v>14853</v>
      </c>
      <c r="Y1193" s="4">
        <v>84</v>
      </c>
      <c r="Z1193" s="4">
        <v>72</v>
      </c>
      <c r="AA1193" s="4">
        <v>156</v>
      </c>
      <c r="AB1193" s="4">
        <v>1</v>
      </c>
      <c r="AC1193" s="4">
        <v>1</v>
      </c>
      <c r="AD1193" s="4">
        <v>1</v>
      </c>
      <c r="AE1193" s="4">
        <v>1</v>
      </c>
      <c r="AF1193" s="4">
        <v>0</v>
      </c>
      <c r="AG1193" s="4">
        <v>0</v>
      </c>
      <c r="AH1193" s="4">
        <v>0</v>
      </c>
      <c r="AI1193" s="4">
        <v>0</v>
      </c>
      <c r="AJ1193" s="4">
        <v>1</v>
      </c>
      <c r="AK1193" s="4">
        <v>1</v>
      </c>
      <c r="AL1193" s="4">
        <v>0</v>
      </c>
      <c r="AM1193" s="4">
        <v>0</v>
      </c>
      <c r="AN1193" s="4">
        <v>0</v>
      </c>
      <c r="AO1193" s="4">
        <v>0</v>
      </c>
      <c r="AP1193" s="3" t="s">
        <v>58</v>
      </c>
      <c r="AQ1193" s="3" t="s">
        <v>68</v>
      </c>
      <c r="AR1193" s="6" t="str">
        <f>HYPERLINK("http://catalog.hathitrust.org/Record/000100999","HathiTrust Record")</f>
        <v>HathiTrust Record</v>
      </c>
      <c r="AS1193" s="6" t="str">
        <f>HYPERLINK("https://creighton-primo.hosted.exlibrisgroup.com/primo-explore/search?tab=default_tab&amp;search_scope=EVERYTHING&amp;vid=01CRU&amp;lang=en_US&amp;offset=0&amp;query=any,contains,991004477929702656","Catalog Record")</f>
        <v>Catalog Record</v>
      </c>
      <c r="AT1193" s="6" t="str">
        <f>HYPERLINK("http://www.worldcat.org/oclc/3614650","WorldCat Record")</f>
        <v>WorldCat Record</v>
      </c>
      <c r="AU1193" s="3" t="s">
        <v>15074</v>
      </c>
      <c r="AV1193" s="3" t="s">
        <v>15075</v>
      </c>
      <c r="AW1193" s="3" t="s">
        <v>15076</v>
      </c>
      <c r="AX1193" s="3" t="s">
        <v>15076</v>
      </c>
      <c r="AY1193" s="3" t="s">
        <v>15077</v>
      </c>
      <c r="AZ1193" s="3" t="s">
        <v>73</v>
      </c>
      <c r="BC1193" s="3" t="s">
        <v>15078</v>
      </c>
      <c r="BD1193" s="3" t="s">
        <v>15079</v>
      </c>
    </row>
    <row r="1194" spans="1:56" ht="51" customHeight="1" x14ac:dyDescent="0.25">
      <c r="A1194" s="7" t="s">
        <v>58</v>
      </c>
      <c r="B1194" s="2" t="s">
        <v>15080</v>
      </c>
      <c r="C1194" s="2" t="s">
        <v>15081</v>
      </c>
      <c r="D1194" s="2" t="s">
        <v>15082</v>
      </c>
      <c r="F1194" s="3" t="s">
        <v>58</v>
      </c>
      <c r="G1194" s="3" t="s">
        <v>59</v>
      </c>
      <c r="H1194" s="3" t="s">
        <v>58</v>
      </c>
      <c r="I1194" s="3" t="s">
        <v>58</v>
      </c>
      <c r="J1194" s="3" t="s">
        <v>60</v>
      </c>
      <c r="K1194" s="2" t="s">
        <v>15083</v>
      </c>
      <c r="L1194" s="2" t="s">
        <v>15084</v>
      </c>
      <c r="M1194" s="3" t="s">
        <v>15085</v>
      </c>
      <c r="O1194" s="3" t="s">
        <v>63</v>
      </c>
      <c r="P1194" s="3" t="s">
        <v>214</v>
      </c>
      <c r="R1194" s="3" t="s">
        <v>65</v>
      </c>
      <c r="S1194" s="4">
        <v>5</v>
      </c>
      <c r="T1194" s="4">
        <v>5</v>
      </c>
      <c r="U1194" s="5" t="s">
        <v>14490</v>
      </c>
      <c r="V1194" s="5" t="s">
        <v>14490</v>
      </c>
      <c r="W1194" s="5" t="s">
        <v>6170</v>
      </c>
      <c r="X1194" s="5" t="s">
        <v>6170</v>
      </c>
      <c r="Y1194" s="4">
        <v>754</v>
      </c>
      <c r="Z1194" s="4">
        <v>724</v>
      </c>
      <c r="AA1194" s="4">
        <v>1361</v>
      </c>
      <c r="AB1194" s="4">
        <v>6</v>
      </c>
      <c r="AC1194" s="4">
        <v>12</v>
      </c>
      <c r="AD1194" s="4">
        <v>24</v>
      </c>
      <c r="AE1194" s="4">
        <v>53</v>
      </c>
      <c r="AF1194" s="4">
        <v>7</v>
      </c>
      <c r="AG1194" s="4">
        <v>22</v>
      </c>
      <c r="AH1194" s="4">
        <v>5</v>
      </c>
      <c r="AI1194" s="4">
        <v>9</v>
      </c>
      <c r="AJ1194" s="4">
        <v>10</v>
      </c>
      <c r="AK1194" s="4">
        <v>22</v>
      </c>
      <c r="AL1194" s="4">
        <v>5</v>
      </c>
      <c r="AM1194" s="4">
        <v>11</v>
      </c>
      <c r="AN1194" s="4">
        <v>0</v>
      </c>
      <c r="AO1194" s="4">
        <v>0</v>
      </c>
      <c r="AP1194" s="3" t="s">
        <v>58</v>
      </c>
      <c r="AQ1194" s="3" t="s">
        <v>58</v>
      </c>
      <c r="AS1194" s="6" t="str">
        <f>HYPERLINK("https://creighton-primo.hosted.exlibrisgroup.com/primo-explore/search?tab=default_tab&amp;search_scope=EVERYTHING&amp;vid=01CRU&amp;lang=en_US&amp;offset=0&amp;query=any,contains,991003132049702656","Catalog Record")</f>
        <v>Catalog Record</v>
      </c>
      <c r="AT1194" s="6" t="str">
        <f>HYPERLINK("http://www.worldcat.org/oclc/675071","WorldCat Record")</f>
        <v>WorldCat Record</v>
      </c>
      <c r="AU1194" s="3" t="s">
        <v>15086</v>
      </c>
      <c r="AV1194" s="3" t="s">
        <v>15087</v>
      </c>
      <c r="AW1194" s="3" t="s">
        <v>15088</v>
      </c>
      <c r="AX1194" s="3" t="s">
        <v>15088</v>
      </c>
      <c r="AY1194" s="3" t="s">
        <v>15089</v>
      </c>
      <c r="AZ1194" s="3" t="s">
        <v>73</v>
      </c>
      <c r="BC1194" s="3" t="s">
        <v>15090</v>
      </c>
      <c r="BD1194" s="3" t="s">
        <v>15091</v>
      </c>
    </row>
    <row r="1195" spans="1:56" ht="51" customHeight="1" x14ac:dyDescent="0.25">
      <c r="A1195" s="7" t="s">
        <v>58</v>
      </c>
      <c r="B1195" s="2" t="s">
        <v>15092</v>
      </c>
      <c r="C1195" s="2" t="s">
        <v>15093</v>
      </c>
      <c r="D1195" s="2" t="s">
        <v>15094</v>
      </c>
      <c r="F1195" s="3" t="s">
        <v>58</v>
      </c>
      <c r="G1195" s="3" t="s">
        <v>59</v>
      </c>
      <c r="H1195" s="3" t="s">
        <v>58</v>
      </c>
      <c r="I1195" s="3" t="s">
        <v>58</v>
      </c>
      <c r="J1195" s="3" t="s">
        <v>60</v>
      </c>
      <c r="K1195" s="2" t="s">
        <v>15095</v>
      </c>
      <c r="L1195" s="2" t="s">
        <v>15096</v>
      </c>
      <c r="M1195" s="3" t="s">
        <v>538</v>
      </c>
      <c r="O1195" s="3" t="s">
        <v>63</v>
      </c>
      <c r="P1195" s="3" t="s">
        <v>2061</v>
      </c>
      <c r="R1195" s="3" t="s">
        <v>65</v>
      </c>
      <c r="S1195" s="4">
        <v>1</v>
      </c>
      <c r="T1195" s="4">
        <v>1</v>
      </c>
      <c r="U1195" s="5" t="s">
        <v>15097</v>
      </c>
      <c r="V1195" s="5" t="s">
        <v>15097</v>
      </c>
      <c r="W1195" s="5" t="s">
        <v>11927</v>
      </c>
      <c r="X1195" s="5" t="s">
        <v>11927</v>
      </c>
      <c r="Y1195" s="4">
        <v>582</v>
      </c>
      <c r="Z1195" s="4">
        <v>482</v>
      </c>
      <c r="AA1195" s="4">
        <v>492</v>
      </c>
      <c r="AB1195" s="4">
        <v>3</v>
      </c>
      <c r="AC1195" s="4">
        <v>3</v>
      </c>
      <c r="AD1195" s="4">
        <v>28</v>
      </c>
      <c r="AE1195" s="4">
        <v>28</v>
      </c>
      <c r="AF1195" s="4">
        <v>12</v>
      </c>
      <c r="AG1195" s="4">
        <v>12</v>
      </c>
      <c r="AH1195" s="4">
        <v>9</v>
      </c>
      <c r="AI1195" s="4">
        <v>9</v>
      </c>
      <c r="AJ1195" s="4">
        <v>12</v>
      </c>
      <c r="AK1195" s="4">
        <v>12</v>
      </c>
      <c r="AL1195" s="4">
        <v>2</v>
      </c>
      <c r="AM1195" s="4">
        <v>2</v>
      </c>
      <c r="AN1195" s="4">
        <v>0</v>
      </c>
      <c r="AO1195" s="4">
        <v>0</v>
      </c>
      <c r="AP1195" s="3" t="s">
        <v>58</v>
      </c>
      <c r="AQ1195" s="3" t="s">
        <v>68</v>
      </c>
      <c r="AR1195" s="6" t="str">
        <f>HYPERLINK("http://catalog.hathitrust.org/Record/001253180","HathiTrust Record")</f>
        <v>HathiTrust Record</v>
      </c>
      <c r="AS1195" s="6" t="str">
        <f>HYPERLINK("https://creighton-primo.hosted.exlibrisgroup.com/primo-explore/search?tab=default_tab&amp;search_scope=EVERYTHING&amp;vid=01CRU&amp;lang=en_US&amp;offset=0&amp;query=any,contains,991005433899702656","Catalog Record")</f>
        <v>Catalog Record</v>
      </c>
      <c r="AT1195" s="6" t="str">
        <f>HYPERLINK("http://www.worldcat.org/oclc/2174","WorldCat Record")</f>
        <v>WorldCat Record</v>
      </c>
      <c r="AU1195" s="3" t="s">
        <v>15098</v>
      </c>
      <c r="AV1195" s="3" t="s">
        <v>15099</v>
      </c>
      <c r="AW1195" s="3" t="s">
        <v>15100</v>
      </c>
      <c r="AX1195" s="3" t="s">
        <v>15100</v>
      </c>
      <c r="AY1195" s="3" t="s">
        <v>15101</v>
      </c>
      <c r="AZ1195" s="3" t="s">
        <v>73</v>
      </c>
      <c r="BC1195" s="3" t="s">
        <v>15102</v>
      </c>
      <c r="BD1195" s="3" t="s">
        <v>15103</v>
      </c>
    </row>
    <row r="1196" spans="1:56" ht="51" customHeight="1" x14ac:dyDescent="0.25">
      <c r="A1196" s="7" t="s">
        <v>58</v>
      </c>
      <c r="B1196" s="2" t="s">
        <v>15104</v>
      </c>
      <c r="C1196" s="2" t="s">
        <v>15105</v>
      </c>
      <c r="D1196" s="2" t="s">
        <v>15106</v>
      </c>
      <c r="F1196" s="3" t="s">
        <v>58</v>
      </c>
      <c r="G1196" s="3" t="s">
        <v>59</v>
      </c>
      <c r="H1196" s="3" t="s">
        <v>58</v>
      </c>
      <c r="I1196" s="3" t="s">
        <v>58</v>
      </c>
      <c r="J1196" s="3" t="s">
        <v>60</v>
      </c>
      <c r="K1196" s="2" t="s">
        <v>15107</v>
      </c>
      <c r="L1196" s="2" t="s">
        <v>15108</v>
      </c>
      <c r="M1196" s="3" t="s">
        <v>1784</v>
      </c>
      <c r="O1196" s="3" t="s">
        <v>63</v>
      </c>
      <c r="P1196" s="3" t="s">
        <v>354</v>
      </c>
      <c r="R1196" s="3" t="s">
        <v>65</v>
      </c>
      <c r="S1196" s="4">
        <v>3</v>
      </c>
      <c r="T1196" s="4">
        <v>3</v>
      </c>
      <c r="U1196" s="5" t="s">
        <v>2256</v>
      </c>
      <c r="V1196" s="5" t="s">
        <v>2256</v>
      </c>
      <c r="W1196" s="5" t="s">
        <v>15109</v>
      </c>
      <c r="X1196" s="5" t="s">
        <v>15109</v>
      </c>
      <c r="Y1196" s="4">
        <v>552</v>
      </c>
      <c r="Z1196" s="4">
        <v>420</v>
      </c>
      <c r="AA1196" s="4">
        <v>641</v>
      </c>
      <c r="AB1196" s="4">
        <v>4</v>
      </c>
      <c r="AC1196" s="4">
        <v>6</v>
      </c>
      <c r="AD1196" s="4">
        <v>19</v>
      </c>
      <c r="AE1196" s="4">
        <v>29</v>
      </c>
      <c r="AF1196" s="4">
        <v>6</v>
      </c>
      <c r="AG1196" s="4">
        <v>12</v>
      </c>
      <c r="AH1196" s="4">
        <v>4</v>
      </c>
      <c r="AI1196" s="4">
        <v>7</v>
      </c>
      <c r="AJ1196" s="4">
        <v>11</v>
      </c>
      <c r="AK1196" s="4">
        <v>14</v>
      </c>
      <c r="AL1196" s="4">
        <v>3</v>
      </c>
      <c r="AM1196" s="4">
        <v>4</v>
      </c>
      <c r="AN1196" s="4">
        <v>0</v>
      </c>
      <c r="AO1196" s="4">
        <v>0</v>
      </c>
      <c r="AP1196" s="3" t="s">
        <v>58</v>
      </c>
      <c r="AQ1196" s="3" t="s">
        <v>58</v>
      </c>
      <c r="AS1196" s="6" t="str">
        <f>HYPERLINK("https://creighton-primo.hosted.exlibrisgroup.com/primo-explore/search?tab=default_tab&amp;search_scope=EVERYTHING&amp;vid=01CRU&amp;lang=en_US&amp;offset=0&amp;query=any,contains,991004594909702656","Catalog Record")</f>
        <v>Catalog Record</v>
      </c>
      <c r="AT1196" s="6" t="str">
        <f>HYPERLINK("http://www.worldcat.org/oclc/4136320","WorldCat Record")</f>
        <v>WorldCat Record</v>
      </c>
      <c r="AU1196" s="3" t="s">
        <v>15110</v>
      </c>
      <c r="AV1196" s="3" t="s">
        <v>15111</v>
      </c>
      <c r="AW1196" s="3" t="s">
        <v>15112</v>
      </c>
      <c r="AX1196" s="3" t="s">
        <v>15112</v>
      </c>
      <c r="AY1196" s="3" t="s">
        <v>15113</v>
      </c>
      <c r="AZ1196" s="3" t="s">
        <v>73</v>
      </c>
      <c r="BB1196" s="3" t="s">
        <v>15114</v>
      </c>
      <c r="BC1196" s="3" t="s">
        <v>15115</v>
      </c>
      <c r="BD1196" s="3" t="s">
        <v>15116</v>
      </c>
    </row>
    <row r="1197" spans="1:56" ht="51" customHeight="1" x14ac:dyDescent="0.25">
      <c r="A1197" s="7" t="s">
        <v>58</v>
      </c>
      <c r="B1197" s="2" t="s">
        <v>15117</v>
      </c>
      <c r="C1197" s="2" t="s">
        <v>15118</v>
      </c>
      <c r="D1197" s="2" t="s">
        <v>15119</v>
      </c>
      <c r="F1197" s="3" t="s">
        <v>58</v>
      </c>
      <c r="G1197" s="3" t="s">
        <v>59</v>
      </c>
      <c r="H1197" s="3" t="s">
        <v>58</v>
      </c>
      <c r="I1197" s="3" t="s">
        <v>58</v>
      </c>
      <c r="J1197" s="3" t="s">
        <v>60</v>
      </c>
      <c r="K1197" s="2" t="s">
        <v>15120</v>
      </c>
      <c r="L1197" s="2" t="s">
        <v>15121</v>
      </c>
      <c r="M1197" s="3" t="s">
        <v>2757</v>
      </c>
      <c r="N1197" s="2" t="s">
        <v>232</v>
      </c>
      <c r="O1197" s="3" t="s">
        <v>63</v>
      </c>
      <c r="P1197" s="3" t="s">
        <v>3323</v>
      </c>
      <c r="R1197" s="3" t="s">
        <v>65</v>
      </c>
      <c r="S1197" s="4">
        <v>2</v>
      </c>
      <c r="T1197" s="4">
        <v>2</v>
      </c>
      <c r="U1197" s="5" t="s">
        <v>15122</v>
      </c>
      <c r="V1197" s="5" t="s">
        <v>15122</v>
      </c>
      <c r="W1197" s="5" t="s">
        <v>2034</v>
      </c>
      <c r="X1197" s="5" t="s">
        <v>2034</v>
      </c>
      <c r="Y1197" s="4">
        <v>312</v>
      </c>
      <c r="Z1197" s="4">
        <v>279</v>
      </c>
      <c r="AA1197" s="4">
        <v>452</v>
      </c>
      <c r="AB1197" s="4">
        <v>2</v>
      </c>
      <c r="AC1197" s="4">
        <v>2</v>
      </c>
      <c r="AD1197" s="4">
        <v>12</v>
      </c>
      <c r="AE1197" s="4">
        <v>16</v>
      </c>
      <c r="AF1197" s="4">
        <v>5</v>
      </c>
      <c r="AG1197" s="4">
        <v>6</v>
      </c>
      <c r="AH1197" s="4">
        <v>2</v>
      </c>
      <c r="AI1197" s="4">
        <v>4</v>
      </c>
      <c r="AJ1197" s="4">
        <v>7</v>
      </c>
      <c r="AK1197" s="4">
        <v>9</v>
      </c>
      <c r="AL1197" s="4">
        <v>1</v>
      </c>
      <c r="AM1197" s="4">
        <v>1</v>
      </c>
      <c r="AN1197" s="4">
        <v>0</v>
      </c>
      <c r="AO1197" s="4">
        <v>0</v>
      </c>
      <c r="AP1197" s="3" t="s">
        <v>58</v>
      </c>
      <c r="AQ1197" s="3" t="s">
        <v>68</v>
      </c>
      <c r="AR1197" s="6" t="str">
        <f>HYPERLINK("http://catalog.hathitrust.org/Record/001869189","HathiTrust Record")</f>
        <v>HathiTrust Record</v>
      </c>
      <c r="AS1197" s="6" t="str">
        <f>HYPERLINK("https://creighton-primo.hosted.exlibrisgroup.com/primo-explore/search?tab=default_tab&amp;search_scope=EVERYTHING&amp;vid=01CRU&amp;lang=en_US&amp;offset=0&amp;query=any,contains,991003102679702656","Catalog Record")</f>
        <v>Catalog Record</v>
      </c>
      <c r="AT1197" s="6" t="str">
        <f>HYPERLINK("http://www.worldcat.org/oclc/652038","WorldCat Record")</f>
        <v>WorldCat Record</v>
      </c>
      <c r="AU1197" s="3" t="s">
        <v>15123</v>
      </c>
      <c r="AV1197" s="3" t="s">
        <v>15124</v>
      </c>
      <c r="AW1197" s="3" t="s">
        <v>15125</v>
      </c>
      <c r="AX1197" s="3" t="s">
        <v>15125</v>
      </c>
      <c r="AY1197" s="3" t="s">
        <v>15126</v>
      </c>
      <c r="AZ1197" s="3" t="s">
        <v>73</v>
      </c>
      <c r="BC1197" s="3" t="s">
        <v>15127</v>
      </c>
      <c r="BD1197" s="3" t="s">
        <v>15128</v>
      </c>
    </row>
    <row r="1198" spans="1:56" ht="51" customHeight="1" x14ac:dyDescent="0.25">
      <c r="A1198" s="7" t="s">
        <v>58</v>
      </c>
      <c r="B1198" s="2" t="s">
        <v>15129</v>
      </c>
      <c r="C1198" s="2" t="s">
        <v>15130</v>
      </c>
      <c r="D1198" s="2" t="s">
        <v>15131</v>
      </c>
      <c r="F1198" s="3" t="s">
        <v>58</v>
      </c>
      <c r="G1198" s="3" t="s">
        <v>59</v>
      </c>
      <c r="H1198" s="3" t="s">
        <v>58</v>
      </c>
      <c r="I1198" s="3" t="s">
        <v>58</v>
      </c>
      <c r="J1198" s="3" t="s">
        <v>60</v>
      </c>
      <c r="L1198" s="2" t="s">
        <v>15132</v>
      </c>
      <c r="M1198" s="3" t="s">
        <v>1385</v>
      </c>
      <c r="O1198" s="3" t="s">
        <v>63</v>
      </c>
      <c r="P1198" s="3" t="s">
        <v>495</v>
      </c>
      <c r="Q1198" s="2" t="s">
        <v>15133</v>
      </c>
      <c r="R1198" s="3" t="s">
        <v>65</v>
      </c>
      <c r="S1198" s="4">
        <v>1</v>
      </c>
      <c r="T1198" s="4">
        <v>1</v>
      </c>
      <c r="U1198" s="5" t="s">
        <v>15097</v>
      </c>
      <c r="V1198" s="5" t="s">
        <v>15097</v>
      </c>
      <c r="W1198" s="5" t="s">
        <v>14853</v>
      </c>
      <c r="X1198" s="5" t="s">
        <v>14853</v>
      </c>
      <c r="Y1198" s="4">
        <v>219</v>
      </c>
      <c r="Z1198" s="4">
        <v>190</v>
      </c>
      <c r="AA1198" s="4">
        <v>193</v>
      </c>
      <c r="AB1198" s="4">
        <v>1</v>
      </c>
      <c r="AC1198" s="4">
        <v>1</v>
      </c>
      <c r="AD1198" s="4">
        <v>7</v>
      </c>
      <c r="AE1198" s="4">
        <v>7</v>
      </c>
      <c r="AF1198" s="4">
        <v>2</v>
      </c>
      <c r="AG1198" s="4">
        <v>2</v>
      </c>
      <c r="AH1198" s="4">
        <v>3</v>
      </c>
      <c r="AI1198" s="4">
        <v>3</v>
      </c>
      <c r="AJ1198" s="4">
        <v>5</v>
      </c>
      <c r="AK1198" s="4">
        <v>5</v>
      </c>
      <c r="AL1198" s="4">
        <v>0</v>
      </c>
      <c r="AM1198" s="4">
        <v>0</v>
      </c>
      <c r="AN1198" s="4">
        <v>0</v>
      </c>
      <c r="AO1198" s="4">
        <v>0</v>
      </c>
      <c r="AP1198" s="3" t="s">
        <v>58</v>
      </c>
      <c r="AQ1198" s="3" t="s">
        <v>68</v>
      </c>
      <c r="AR1198" s="6" t="str">
        <f>HYPERLINK("http://catalog.hathitrust.org/Record/000146871","HathiTrust Record")</f>
        <v>HathiTrust Record</v>
      </c>
      <c r="AS1198" s="6" t="str">
        <f>HYPERLINK("https://creighton-primo.hosted.exlibrisgroup.com/primo-explore/search?tab=default_tab&amp;search_scope=EVERYTHING&amp;vid=01CRU&amp;lang=en_US&amp;offset=0&amp;query=any,contains,991003650389702656","Catalog Record")</f>
        <v>Catalog Record</v>
      </c>
      <c r="AT1198" s="6" t="str">
        <f>HYPERLINK("http://www.worldcat.org/oclc/1254011","WorldCat Record")</f>
        <v>WorldCat Record</v>
      </c>
      <c r="AU1198" s="3" t="s">
        <v>15134</v>
      </c>
      <c r="AV1198" s="3" t="s">
        <v>15135</v>
      </c>
      <c r="AW1198" s="3" t="s">
        <v>15136</v>
      </c>
      <c r="AX1198" s="3" t="s">
        <v>15136</v>
      </c>
      <c r="AY1198" s="3" t="s">
        <v>15137</v>
      </c>
      <c r="AZ1198" s="3" t="s">
        <v>73</v>
      </c>
      <c r="BB1198" s="3" t="s">
        <v>15138</v>
      </c>
      <c r="BC1198" s="3" t="s">
        <v>15139</v>
      </c>
      <c r="BD1198" s="3" t="s">
        <v>15140</v>
      </c>
    </row>
    <row r="1199" spans="1:56" ht="51" customHeight="1" x14ac:dyDescent="0.25">
      <c r="A1199" s="7" t="s">
        <v>58</v>
      </c>
      <c r="B1199" s="2" t="s">
        <v>15141</v>
      </c>
      <c r="C1199" s="2" t="s">
        <v>15142</v>
      </c>
      <c r="D1199" s="2" t="s">
        <v>15143</v>
      </c>
      <c r="F1199" s="3" t="s">
        <v>58</v>
      </c>
      <c r="G1199" s="3" t="s">
        <v>59</v>
      </c>
      <c r="H1199" s="3" t="s">
        <v>58</v>
      </c>
      <c r="I1199" s="3" t="s">
        <v>58</v>
      </c>
      <c r="J1199" s="3" t="s">
        <v>60</v>
      </c>
      <c r="K1199" s="2" t="s">
        <v>15144</v>
      </c>
      <c r="L1199" s="2" t="s">
        <v>2117</v>
      </c>
      <c r="M1199" s="3" t="s">
        <v>154</v>
      </c>
      <c r="O1199" s="3" t="s">
        <v>63</v>
      </c>
      <c r="P1199" s="3" t="s">
        <v>584</v>
      </c>
      <c r="Q1199" s="2" t="s">
        <v>15145</v>
      </c>
      <c r="R1199" s="3" t="s">
        <v>65</v>
      </c>
      <c r="S1199" s="4">
        <v>2</v>
      </c>
      <c r="T1199" s="4">
        <v>2</v>
      </c>
      <c r="U1199" s="5" t="s">
        <v>15146</v>
      </c>
      <c r="V1199" s="5" t="s">
        <v>15146</v>
      </c>
      <c r="W1199" s="5" t="s">
        <v>15147</v>
      </c>
      <c r="X1199" s="5" t="s">
        <v>15147</v>
      </c>
      <c r="Y1199" s="4">
        <v>494</v>
      </c>
      <c r="Z1199" s="4">
        <v>360</v>
      </c>
      <c r="AA1199" s="4">
        <v>532</v>
      </c>
      <c r="AB1199" s="4">
        <v>2</v>
      </c>
      <c r="AC1199" s="4">
        <v>4</v>
      </c>
      <c r="AD1199" s="4">
        <v>18</v>
      </c>
      <c r="AE1199" s="4">
        <v>32</v>
      </c>
      <c r="AF1199" s="4">
        <v>5</v>
      </c>
      <c r="AG1199" s="4">
        <v>11</v>
      </c>
      <c r="AH1199" s="4">
        <v>4</v>
      </c>
      <c r="AI1199" s="4">
        <v>9</v>
      </c>
      <c r="AJ1199" s="4">
        <v>12</v>
      </c>
      <c r="AK1199" s="4">
        <v>17</v>
      </c>
      <c r="AL1199" s="4">
        <v>1</v>
      </c>
      <c r="AM1199" s="4">
        <v>3</v>
      </c>
      <c r="AN1199" s="4">
        <v>0</v>
      </c>
      <c r="AO1199" s="4">
        <v>0</v>
      </c>
      <c r="AP1199" s="3" t="s">
        <v>58</v>
      </c>
      <c r="AQ1199" s="3" t="s">
        <v>58</v>
      </c>
      <c r="AS1199" s="6" t="str">
        <f>HYPERLINK("https://creighton-primo.hosted.exlibrisgroup.com/primo-explore/search?tab=default_tab&amp;search_scope=EVERYTHING&amp;vid=01CRU&amp;lang=en_US&amp;offset=0&amp;query=any,contains,991005410479702656","Catalog Record")</f>
        <v>Catalog Record</v>
      </c>
      <c r="AT1199" s="6" t="str">
        <f>HYPERLINK("http://www.worldcat.org/oclc/19126584","WorldCat Record")</f>
        <v>WorldCat Record</v>
      </c>
      <c r="AU1199" s="3" t="s">
        <v>15148</v>
      </c>
      <c r="AV1199" s="3" t="s">
        <v>15149</v>
      </c>
      <c r="AW1199" s="3" t="s">
        <v>15150</v>
      </c>
      <c r="AX1199" s="3" t="s">
        <v>15150</v>
      </c>
      <c r="AY1199" s="3" t="s">
        <v>15151</v>
      </c>
      <c r="AZ1199" s="3" t="s">
        <v>73</v>
      </c>
      <c r="BB1199" s="3" t="s">
        <v>15152</v>
      </c>
      <c r="BC1199" s="3" t="s">
        <v>15153</v>
      </c>
      <c r="BD1199" s="3" t="s">
        <v>15154</v>
      </c>
    </row>
    <row r="1200" spans="1:56" ht="51" customHeight="1" x14ac:dyDescent="0.25">
      <c r="A1200" s="7" t="s">
        <v>58</v>
      </c>
      <c r="B1200" s="2" t="s">
        <v>15155</v>
      </c>
      <c r="C1200" s="2" t="s">
        <v>15156</v>
      </c>
      <c r="D1200" s="2" t="s">
        <v>15157</v>
      </c>
      <c r="F1200" s="3" t="s">
        <v>58</v>
      </c>
      <c r="G1200" s="3" t="s">
        <v>59</v>
      </c>
      <c r="H1200" s="3" t="s">
        <v>58</v>
      </c>
      <c r="I1200" s="3" t="s">
        <v>58</v>
      </c>
      <c r="J1200" s="3" t="s">
        <v>60</v>
      </c>
      <c r="L1200" s="2" t="s">
        <v>15158</v>
      </c>
      <c r="M1200" s="3" t="s">
        <v>183</v>
      </c>
      <c r="O1200" s="3" t="s">
        <v>63</v>
      </c>
      <c r="P1200" s="3" t="s">
        <v>2061</v>
      </c>
      <c r="R1200" s="3" t="s">
        <v>65</v>
      </c>
      <c r="S1200" s="4">
        <v>2</v>
      </c>
      <c r="T1200" s="4">
        <v>2</v>
      </c>
      <c r="U1200" s="5" t="s">
        <v>15159</v>
      </c>
      <c r="V1200" s="5" t="s">
        <v>15159</v>
      </c>
      <c r="W1200" s="5" t="s">
        <v>14853</v>
      </c>
      <c r="X1200" s="5" t="s">
        <v>14853</v>
      </c>
      <c r="Y1200" s="4">
        <v>151</v>
      </c>
      <c r="Z1200" s="4">
        <v>130</v>
      </c>
      <c r="AA1200" s="4">
        <v>508</v>
      </c>
      <c r="AB1200" s="4">
        <v>3</v>
      </c>
      <c r="AC1200" s="4">
        <v>4</v>
      </c>
      <c r="AD1200" s="4">
        <v>5</v>
      </c>
      <c r="AE1200" s="4">
        <v>25</v>
      </c>
      <c r="AF1200" s="4">
        <v>0</v>
      </c>
      <c r="AG1200" s="4">
        <v>9</v>
      </c>
      <c r="AH1200" s="4">
        <v>2</v>
      </c>
      <c r="AI1200" s="4">
        <v>7</v>
      </c>
      <c r="AJ1200" s="4">
        <v>2</v>
      </c>
      <c r="AK1200" s="4">
        <v>15</v>
      </c>
      <c r="AL1200" s="4">
        <v>2</v>
      </c>
      <c r="AM1200" s="4">
        <v>3</v>
      </c>
      <c r="AN1200" s="4">
        <v>0</v>
      </c>
      <c r="AO1200" s="4">
        <v>0</v>
      </c>
      <c r="AP1200" s="3" t="s">
        <v>58</v>
      </c>
      <c r="AQ1200" s="3" t="s">
        <v>58</v>
      </c>
      <c r="AS1200" s="6" t="str">
        <f>HYPERLINK("https://creighton-primo.hosted.exlibrisgroup.com/primo-explore/search?tab=default_tab&amp;search_scope=EVERYTHING&amp;vid=01CRU&amp;lang=en_US&amp;offset=0&amp;query=any,contains,991004372099702656","Catalog Record")</f>
        <v>Catalog Record</v>
      </c>
      <c r="AT1200" s="6" t="str">
        <f>HYPERLINK("http://www.worldcat.org/oclc/3197152","WorldCat Record")</f>
        <v>WorldCat Record</v>
      </c>
      <c r="AU1200" s="3" t="s">
        <v>15160</v>
      </c>
      <c r="AV1200" s="3" t="s">
        <v>15161</v>
      </c>
      <c r="AW1200" s="3" t="s">
        <v>15162</v>
      </c>
      <c r="AX1200" s="3" t="s">
        <v>15162</v>
      </c>
      <c r="AY1200" s="3" t="s">
        <v>15163</v>
      </c>
      <c r="AZ1200" s="3" t="s">
        <v>73</v>
      </c>
      <c r="BB1200" s="3" t="s">
        <v>15164</v>
      </c>
      <c r="BC1200" s="3" t="s">
        <v>15165</v>
      </c>
      <c r="BD1200" s="3" t="s">
        <v>15166</v>
      </c>
    </row>
    <row r="1201" spans="1:56" ht="51" customHeight="1" x14ac:dyDescent="0.25">
      <c r="A1201" s="7" t="s">
        <v>58</v>
      </c>
      <c r="B1201" s="2" t="s">
        <v>15167</v>
      </c>
      <c r="C1201" s="2" t="s">
        <v>15168</v>
      </c>
      <c r="D1201" s="2" t="s">
        <v>15169</v>
      </c>
      <c r="F1201" s="3" t="s">
        <v>58</v>
      </c>
      <c r="G1201" s="3" t="s">
        <v>59</v>
      </c>
      <c r="H1201" s="3" t="s">
        <v>58</v>
      </c>
      <c r="I1201" s="3" t="s">
        <v>58</v>
      </c>
      <c r="J1201" s="3" t="s">
        <v>60</v>
      </c>
      <c r="K1201" s="2" t="s">
        <v>15170</v>
      </c>
      <c r="L1201" s="2" t="s">
        <v>15171</v>
      </c>
      <c r="M1201" s="3" t="s">
        <v>538</v>
      </c>
      <c r="N1201" s="2" t="s">
        <v>15172</v>
      </c>
      <c r="O1201" s="3" t="s">
        <v>63</v>
      </c>
      <c r="P1201" s="3" t="s">
        <v>15173</v>
      </c>
      <c r="R1201" s="3" t="s">
        <v>65</v>
      </c>
      <c r="S1201" s="4">
        <v>1</v>
      </c>
      <c r="T1201" s="4">
        <v>1</v>
      </c>
      <c r="U1201" s="5" t="s">
        <v>15174</v>
      </c>
      <c r="V1201" s="5" t="s">
        <v>15174</v>
      </c>
      <c r="W1201" s="5" t="s">
        <v>11927</v>
      </c>
      <c r="X1201" s="5" t="s">
        <v>11927</v>
      </c>
      <c r="Y1201" s="4">
        <v>170</v>
      </c>
      <c r="Z1201" s="4">
        <v>170</v>
      </c>
      <c r="AA1201" s="4">
        <v>172</v>
      </c>
      <c r="AB1201" s="4">
        <v>3</v>
      </c>
      <c r="AC1201" s="4">
        <v>3</v>
      </c>
      <c r="AD1201" s="4">
        <v>8</v>
      </c>
      <c r="AE1201" s="4">
        <v>8</v>
      </c>
      <c r="AF1201" s="4">
        <v>0</v>
      </c>
      <c r="AG1201" s="4">
        <v>0</v>
      </c>
      <c r="AH1201" s="4">
        <v>3</v>
      </c>
      <c r="AI1201" s="4">
        <v>3</v>
      </c>
      <c r="AJ1201" s="4">
        <v>4</v>
      </c>
      <c r="AK1201" s="4">
        <v>4</v>
      </c>
      <c r="AL1201" s="4">
        <v>2</v>
      </c>
      <c r="AM1201" s="4">
        <v>2</v>
      </c>
      <c r="AN1201" s="4">
        <v>0</v>
      </c>
      <c r="AO1201" s="4">
        <v>0</v>
      </c>
      <c r="AP1201" s="3" t="s">
        <v>58</v>
      </c>
      <c r="AQ1201" s="3" t="s">
        <v>68</v>
      </c>
      <c r="AR1201" s="6" t="str">
        <f>HYPERLINK("http://catalog.hathitrust.org/Record/000001647","HathiTrust Record")</f>
        <v>HathiTrust Record</v>
      </c>
      <c r="AS1201" s="6" t="str">
        <f>HYPERLINK("https://creighton-primo.hosted.exlibrisgroup.com/primo-explore/search?tab=default_tab&amp;search_scope=EVERYTHING&amp;vid=01CRU&amp;lang=en_US&amp;offset=0&amp;query=any,contains,991000660929702656","Catalog Record")</f>
        <v>Catalog Record</v>
      </c>
      <c r="AT1201" s="6" t="str">
        <f>HYPERLINK("http://www.worldcat.org/oclc/117395","WorldCat Record")</f>
        <v>WorldCat Record</v>
      </c>
      <c r="AU1201" s="3" t="s">
        <v>15175</v>
      </c>
      <c r="AV1201" s="3" t="s">
        <v>15176</v>
      </c>
      <c r="AW1201" s="3" t="s">
        <v>15177</v>
      </c>
      <c r="AX1201" s="3" t="s">
        <v>15177</v>
      </c>
      <c r="AY1201" s="3" t="s">
        <v>15178</v>
      </c>
      <c r="AZ1201" s="3" t="s">
        <v>73</v>
      </c>
      <c r="BC1201" s="3" t="s">
        <v>15179</v>
      </c>
      <c r="BD1201" s="3" t="s">
        <v>15180</v>
      </c>
    </row>
    <row r="1202" spans="1:56" ht="51" customHeight="1" x14ac:dyDescent="0.25">
      <c r="A1202" s="7" t="s">
        <v>58</v>
      </c>
      <c r="B1202" s="2" t="s">
        <v>15181</v>
      </c>
      <c r="C1202" s="2" t="s">
        <v>15182</v>
      </c>
      <c r="D1202" s="2" t="s">
        <v>15183</v>
      </c>
      <c r="F1202" s="3" t="s">
        <v>58</v>
      </c>
      <c r="G1202" s="3" t="s">
        <v>59</v>
      </c>
      <c r="H1202" s="3" t="s">
        <v>58</v>
      </c>
      <c r="I1202" s="3" t="s">
        <v>58</v>
      </c>
      <c r="J1202" s="3" t="s">
        <v>60</v>
      </c>
      <c r="K1202" s="2" t="s">
        <v>15184</v>
      </c>
      <c r="L1202" s="2" t="s">
        <v>3471</v>
      </c>
      <c r="M1202" s="3" t="s">
        <v>368</v>
      </c>
      <c r="O1202" s="3" t="s">
        <v>63</v>
      </c>
      <c r="P1202" s="3" t="s">
        <v>2061</v>
      </c>
      <c r="R1202" s="3" t="s">
        <v>65</v>
      </c>
      <c r="S1202" s="4">
        <v>19</v>
      </c>
      <c r="T1202" s="4">
        <v>19</v>
      </c>
      <c r="U1202" s="5" t="s">
        <v>15185</v>
      </c>
      <c r="V1202" s="5" t="s">
        <v>15185</v>
      </c>
      <c r="W1202" s="5" t="s">
        <v>11927</v>
      </c>
      <c r="X1202" s="5" t="s">
        <v>11927</v>
      </c>
      <c r="Y1202" s="4">
        <v>387</v>
      </c>
      <c r="Z1202" s="4">
        <v>304</v>
      </c>
      <c r="AA1202" s="4">
        <v>315</v>
      </c>
      <c r="AB1202" s="4">
        <v>3</v>
      </c>
      <c r="AC1202" s="4">
        <v>3</v>
      </c>
      <c r="AD1202" s="4">
        <v>14</v>
      </c>
      <c r="AE1202" s="4">
        <v>14</v>
      </c>
      <c r="AF1202" s="4">
        <v>3</v>
      </c>
      <c r="AG1202" s="4">
        <v>3</v>
      </c>
      <c r="AH1202" s="4">
        <v>3</v>
      </c>
      <c r="AI1202" s="4">
        <v>3</v>
      </c>
      <c r="AJ1202" s="4">
        <v>9</v>
      </c>
      <c r="AK1202" s="4">
        <v>9</v>
      </c>
      <c r="AL1202" s="4">
        <v>2</v>
      </c>
      <c r="AM1202" s="4">
        <v>2</v>
      </c>
      <c r="AN1202" s="4">
        <v>0</v>
      </c>
      <c r="AO1202" s="4">
        <v>0</v>
      </c>
      <c r="AP1202" s="3" t="s">
        <v>58</v>
      </c>
      <c r="AQ1202" s="3" t="s">
        <v>58</v>
      </c>
      <c r="AS1202" s="6" t="str">
        <f>HYPERLINK("https://creighton-primo.hosted.exlibrisgroup.com/primo-explore/search?tab=default_tab&amp;search_scope=EVERYTHING&amp;vid=01CRU&amp;lang=en_US&amp;offset=0&amp;query=any,contains,991003973629702656","Catalog Record")</f>
        <v>Catalog Record</v>
      </c>
      <c r="AT1202" s="6" t="str">
        <f>HYPERLINK("http://www.worldcat.org/oclc/1995061","WorldCat Record")</f>
        <v>WorldCat Record</v>
      </c>
      <c r="AU1202" s="3" t="s">
        <v>15186</v>
      </c>
      <c r="AV1202" s="3" t="s">
        <v>15187</v>
      </c>
      <c r="AW1202" s="3" t="s">
        <v>15188</v>
      </c>
      <c r="AX1202" s="3" t="s">
        <v>15188</v>
      </c>
      <c r="AY1202" s="3" t="s">
        <v>15189</v>
      </c>
      <c r="AZ1202" s="3" t="s">
        <v>73</v>
      </c>
      <c r="BB1202" s="3" t="s">
        <v>15190</v>
      </c>
      <c r="BC1202" s="3" t="s">
        <v>15191</v>
      </c>
      <c r="BD1202" s="3" t="s">
        <v>15192</v>
      </c>
    </row>
    <row r="1203" spans="1:56" ht="51" customHeight="1" x14ac:dyDescent="0.25">
      <c r="A1203" s="7" t="s">
        <v>58</v>
      </c>
      <c r="B1203" s="2" t="s">
        <v>15193</v>
      </c>
      <c r="C1203" s="2" t="s">
        <v>15194</v>
      </c>
      <c r="D1203" s="2" t="s">
        <v>15195</v>
      </c>
      <c r="F1203" s="3" t="s">
        <v>58</v>
      </c>
      <c r="G1203" s="3" t="s">
        <v>59</v>
      </c>
      <c r="H1203" s="3" t="s">
        <v>58</v>
      </c>
      <c r="I1203" s="3" t="s">
        <v>58</v>
      </c>
      <c r="J1203" s="3" t="s">
        <v>60</v>
      </c>
      <c r="L1203" s="2" t="s">
        <v>15196</v>
      </c>
      <c r="M1203" s="3" t="s">
        <v>1091</v>
      </c>
      <c r="O1203" s="3" t="s">
        <v>63</v>
      </c>
      <c r="P1203" s="3" t="s">
        <v>3323</v>
      </c>
      <c r="R1203" s="3" t="s">
        <v>65</v>
      </c>
      <c r="S1203" s="4">
        <v>4</v>
      </c>
      <c r="T1203" s="4">
        <v>4</v>
      </c>
      <c r="U1203" s="5" t="s">
        <v>15197</v>
      </c>
      <c r="V1203" s="5" t="s">
        <v>15197</v>
      </c>
      <c r="W1203" s="5" t="s">
        <v>15198</v>
      </c>
      <c r="X1203" s="5" t="s">
        <v>15198</v>
      </c>
      <c r="Y1203" s="4">
        <v>178</v>
      </c>
      <c r="Z1203" s="4">
        <v>134</v>
      </c>
      <c r="AA1203" s="4">
        <v>136</v>
      </c>
      <c r="AB1203" s="4">
        <v>2</v>
      </c>
      <c r="AC1203" s="4">
        <v>2</v>
      </c>
      <c r="AD1203" s="4">
        <v>8</v>
      </c>
      <c r="AE1203" s="4">
        <v>8</v>
      </c>
      <c r="AF1203" s="4">
        <v>1</v>
      </c>
      <c r="AG1203" s="4">
        <v>1</v>
      </c>
      <c r="AH1203" s="4">
        <v>3</v>
      </c>
      <c r="AI1203" s="4">
        <v>3</v>
      </c>
      <c r="AJ1203" s="4">
        <v>4</v>
      </c>
      <c r="AK1203" s="4">
        <v>4</v>
      </c>
      <c r="AL1203" s="4">
        <v>1</v>
      </c>
      <c r="AM1203" s="4">
        <v>1</v>
      </c>
      <c r="AN1203" s="4">
        <v>0</v>
      </c>
      <c r="AO1203" s="4">
        <v>0</v>
      </c>
      <c r="AP1203" s="3" t="s">
        <v>58</v>
      </c>
      <c r="AQ1203" s="3" t="s">
        <v>68</v>
      </c>
      <c r="AR1203" s="6" t="str">
        <f>HYPERLINK("http://catalog.hathitrust.org/Record/003589229","HathiTrust Record")</f>
        <v>HathiTrust Record</v>
      </c>
      <c r="AS1203" s="6" t="str">
        <f>HYPERLINK("https://creighton-primo.hosted.exlibrisgroup.com/primo-explore/search?tab=default_tab&amp;search_scope=EVERYTHING&amp;vid=01CRU&amp;lang=en_US&amp;offset=0&amp;query=any,contains,991003865479702656","Catalog Record")</f>
        <v>Catalog Record</v>
      </c>
      <c r="AT1203" s="6" t="str">
        <f>HYPERLINK("http://www.worldcat.org/oclc/46601394","WorldCat Record")</f>
        <v>WorldCat Record</v>
      </c>
      <c r="AU1203" s="3" t="s">
        <v>15199</v>
      </c>
      <c r="AV1203" s="3" t="s">
        <v>15200</v>
      </c>
      <c r="AW1203" s="3" t="s">
        <v>15201</v>
      </c>
      <c r="AX1203" s="3" t="s">
        <v>15201</v>
      </c>
      <c r="AY1203" s="3" t="s">
        <v>15202</v>
      </c>
      <c r="AZ1203" s="3" t="s">
        <v>73</v>
      </c>
      <c r="BB1203" s="3" t="s">
        <v>15203</v>
      </c>
      <c r="BC1203" s="3" t="s">
        <v>15204</v>
      </c>
      <c r="BD1203" s="3" t="s">
        <v>15205</v>
      </c>
    </row>
    <row r="1204" spans="1:56" ht="51" customHeight="1" x14ac:dyDescent="0.25">
      <c r="A1204" s="7" t="s">
        <v>58</v>
      </c>
      <c r="B1204" s="2" t="s">
        <v>15206</v>
      </c>
      <c r="C1204" s="2" t="s">
        <v>15207</v>
      </c>
      <c r="D1204" s="2" t="s">
        <v>15208</v>
      </c>
      <c r="F1204" s="3" t="s">
        <v>58</v>
      </c>
      <c r="G1204" s="3" t="s">
        <v>59</v>
      </c>
      <c r="H1204" s="3" t="s">
        <v>58</v>
      </c>
      <c r="I1204" s="3" t="s">
        <v>58</v>
      </c>
      <c r="J1204" s="3" t="s">
        <v>60</v>
      </c>
      <c r="K1204" s="2" t="s">
        <v>15209</v>
      </c>
      <c r="L1204" s="2" t="s">
        <v>15210</v>
      </c>
      <c r="M1204" s="3" t="s">
        <v>538</v>
      </c>
      <c r="O1204" s="3" t="s">
        <v>63</v>
      </c>
      <c r="P1204" s="3" t="s">
        <v>584</v>
      </c>
      <c r="Q1204" s="2" t="s">
        <v>15211</v>
      </c>
      <c r="R1204" s="3" t="s">
        <v>65</v>
      </c>
      <c r="S1204" s="4">
        <v>1</v>
      </c>
      <c r="T1204" s="4">
        <v>1</v>
      </c>
      <c r="U1204" s="5" t="s">
        <v>14090</v>
      </c>
      <c r="V1204" s="5" t="s">
        <v>14090</v>
      </c>
      <c r="W1204" s="5" t="s">
        <v>2034</v>
      </c>
      <c r="X1204" s="5" t="s">
        <v>2034</v>
      </c>
      <c r="Y1204" s="4">
        <v>325</v>
      </c>
      <c r="Z1204" s="4">
        <v>235</v>
      </c>
      <c r="AA1204" s="4">
        <v>244</v>
      </c>
      <c r="AB1204" s="4">
        <v>3</v>
      </c>
      <c r="AC1204" s="4">
        <v>3</v>
      </c>
      <c r="AD1204" s="4">
        <v>13</v>
      </c>
      <c r="AE1204" s="4">
        <v>13</v>
      </c>
      <c r="AF1204" s="4">
        <v>3</v>
      </c>
      <c r="AG1204" s="4">
        <v>3</v>
      </c>
      <c r="AH1204" s="4">
        <v>3</v>
      </c>
      <c r="AI1204" s="4">
        <v>3</v>
      </c>
      <c r="AJ1204" s="4">
        <v>7</v>
      </c>
      <c r="AK1204" s="4">
        <v>7</v>
      </c>
      <c r="AL1204" s="4">
        <v>2</v>
      </c>
      <c r="AM1204" s="4">
        <v>2</v>
      </c>
      <c r="AN1204" s="4">
        <v>0</v>
      </c>
      <c r="AO1204" s="4">
        <v>0</v>
      </c>
      <c r="AP1204" s="3" t="s">
        <v>58</v>
      </c>
      <c r="AQ1204" s="3" t="s">
        <v>58</v>
      </c>
      <c r="AS1204" s="6" t="str">
        <f>HYPERLINK("https://creighton-primo.hosted.exlibrisgroup.com/primo-explore/search?tab=default_tab&amp;search_scope=EVERYTHING&amp;vid=01CRU&amp;lang=en_US&amp;offset=0&amp;query=any,contains,991002884629702656","Catalog Record")</f>
        <v>Catalog Record</v>
      </c>
      <c r="AT1204" s="6" t="str">
        <f>HYPERLINK("http://www.worldcat.org/oclc/507817","WorldCat Record")</f>
        <v>WorldCat Record</v>
      </c>
      <c r="AU1204" s="3" t="s">
        <v>15212</v>
      </c>
      <c r="AV1204" s="3" t="s">
        <v>15213</v>
      </c>
      <c r="AW1204" s="3" t="s">
        <v>15214</v>
      </c>
      <c r="AX1204" s="3" t="s">
        <v>15214</v>
      </c>
      <c r="AY1204" s="3" t="s">
        <v>15215</v>
      </c>
      <c r="AZ1204" s="3" t="s">
        <v>73</v>
      </c>
      <c r="BB1204" s="3" t="s">
        <v>15216</v>
      </c>
      <c r="BC1204" s="3" t="s">
        <v>15217</v>
      </c>
      <c r="BD1204" s="3" t="s">
        <v>15218</v>
      </c>
    </row>
    <row r="1205" spans="1:56" ht="51" customHeight="1" x14ac:dyDescent="0.25">
      <c r="A1205" s="7" t="s">
        <v>58</v>
      </c>
      <c r="B1205" s="2" t="s">
        <v>15219</v>
      </c>
      <c r="C1205" s="2" t="s">
        <v>15220</v>
      </c>
      <c r="D1205" s="2" t="s">
        <v>15221</v>
      </c>
      <c r="F1205" s="3" t="s">
        <v>58</v>
      </c>
      <c r="G1205" s="3" t="s">
        <v>59</v>
      </c>
      <c r="H1205" s="3" t="s">
        <v>58</v>
      </c>
      <c r="I1205" s="3" t="s">
        <v>58</v>
      </c>
      <c r="J1205" s="3" t="s">
        <v>60</v>
      </c>
      <c r="K1205" s="2" t="s">
        <v>15222</v>
      </c>
      <c r="L1205" s="2" t="s">
        <v>15223</v>
      </c>
      <c r="M1205" s="3" t="s">
        <v>15224</v>
      </c>
      <c r="O1205" s="3" t="s">
        <v>63</v>
      </c>
      <c r="P1205" s="3" t="s">
        <v>2061</v>
      </c>
      <c r="R1205" s="3" t="s">
        <v>65</v>
      </c>
      <c r="S1205" s="4">
        <v>1</v>
      </c>
      <c r="T1205" s="4">
        <v>1</v>
      </c>
      <c r="U1205" s="5" t="s">
        <v>15225</v>
      </c>
      <c r="V1205" s="5" t="s">
        <v>15225</v>
      </c>
      <c r="W1205" s="5" t="s">
        <v>11927</v>
      </c>
      <c r="X1205" s="5" t="s">
        <v>11927</v>
      </c>
      <c r="Y1205" s="4">
        <v>447</v>
      </c>
      <c r="Z1205" s="4">
        <v>367</v>
      </c>
      <c r="AA1205" s="4">
        <v>388</v>
      </c>
      <c r="AB1205" s="4">
        <v>5</v>
      </c>
      <c r="AC1205" s="4">
        <v>5</v>
      </c>
      <c r="AD1205" s="4">
        <v>16</v>
      </c>
      <c r="AE1205" s="4">
        <v>16</v>
      </c>
      <c r="AF1205" s="4">
        <v>2</v>
      </c>
      <c r="AG1205" s="4">
        <v>2</v>
      </c>
      <c r="AH1205" s="4">
        <v>3</v>
      </c>
      <c r="AI1205" s="4">
        <v>3</v>
      </c>
      <c r="AJ1205" s="4">
        <v>9</v>
      </c>
      <c r="AK1205" s="4">
        <v>9</v>
      </c>
      <c r="AL1205" s="4">
        <v>4</v>
      </c>
      <c r="AM1205" s="4">
        <v>4</v>
      </c>
      <c r="AN1205" s="4">
        <v>0</v>
      </c>
      <c r="AO1205" s="4">
        <v>0</v>
      </c>
      <c r="AP1205" s="3" t="s">
        <v>58</v>
      </c>
      <c r="AQ1205" s="3" t="s">
        <v>68</v>
      </c>
      <c r="AR1205" s="6" t="str">
        <f>HYPERLINK("http://catalog.hathitrust.org/Record/001266780","HathiTrust Record")</f>
        <v>HathiTrust Record</v>
      </c>
      <c r="AS1205" s="6" t="str">
        <f>HYPERLINK("https://creighton-primo.hosted.exlibrisgroup.com/primo-explore/search?tab=default_tab&amp;search_scope=EVERYTHING&amp;vid=01CRU&amp;lang=en_US&amp;offset=0&amp;query=any,contains,991003728209702656","Catalog Record")</f>
        <v>Catalog Record</v>
      </c>
      <c r="AT1205" s="6" t="str">
        <f>HYPERLINK("http://www.worldcat.org/oclc/1377656","WorldCat Record")</f>
        <v>WorldCat Record</v>
      </c>
      <c r="AU1205" s="3" t="s">
        <v>15226</v>
      </c>
      <c r="AV1205" s="3" t="s">
        <v>15227</v>
      </c>
      <c r="AW1205" s="3" t="s">
        <v>15228</v>
      </c>
      <c r="AX1205" s="3" t="s">
        <v>15228</v>
      </c>
      <c r="AY1205" s="3" t="s">
        <v>15229</v>
      </c>
      <c r="AZ1205" s="3" t="s">
        <v>73</v>
      </c>
      <c r="BC1205" s="3" t="s">
        <v>15230</v>
      </c>
      <c r="BD1205" s="3" t="s">
        <v>15231</v>
      </c>
    </row>
    <row r="1206" spans="1:56" ht="51" customHeight="1" x14ac:dyDescent="0.25">
      <c r="A1206" s="7" t="s">
        <v>58</v>
      </c>
      <c r="B1206" s="2" t="s">
        <v>15232</v>
      </c>
      <c r="C1206" s="2" t="s">
        <v>15233</v>
      </c>
      <c r="D1206" s="2" t="s">
        <v>15234</v>
      </c>
      <c r="F1206" s="3" t="s">
        <v>58</v>
      </c>
      <c r="G1206" s="3" t="s">
        <v>59</v>
      </c>
      <c r="H1206" s="3" t="s">
        <v>58</v>
      </c>
      <c r="I1206" s="3" t="s">
        <v>58</v>
      </c>
      <c r="J1206" s="3" t="s">
        <v>60</v>
      </c>
      <c r="K1206" s="2" t="s">
        <v>15235</v>
      </c>
      <c r="L1206" s="2" t="s">
        <v>15236</v>
      </c>
      <c r="M1206" s="3" t="s">
        <v>509</v>
      </c>
      <c r="O1206" s="3" t="s">
        <v>63</v>
      </c>
      <c r="P1206" s="3" t="s">
        <v>584</v>
      </c>
      <c r="Q1206" s="2" t="s">
        <v>15237</v>
      </c>
      <c r="R1206" s="3" t="s">
        <v>65</v>
      </c>
      <c r="S1206" s="4">
        <v>3</v>
      </c>
      <c r="T1206" s="4">
        <v>3</v>
      </c>
      <c r="U1206" s="5" t="s">
        <v>15238</v>
      </c>
      <c r="V1206" s="5" t="s">
        <v>15238</v>
      </c>
      <c r="W1206" s="5" t="s">
        <v>11927</v>
      </c>
      <c r="X1206" s="5" t="s">
        <v>11927</v>
      </c>
      <c r="Y1206" s="4">
        <v>278</v>
      </c>
      <c r="Z1206" s="4">
        <v>206</v>
      </c>
      <c r="AA1206" s="4">
        <v>389</v>
      </c>
      <c r="AB1206" s="4">
        <v>2</v>
      </c>
      <c r="AC1206" s="4">
        <v>2</v>
      </c>
      <c r="AD1206" s="4">
        <v>12</v>
      </c>
      <c r="AE1206" s="4">
        <v>18</v>
      </c>
      <c r="AF1206" s="4">
        <v>3</v>
      </c>
      <c r="AG1206" s="4">
        <v>5</v>
      </c>
      <c r="AH1206" s="4">
        <v>5</v>
      </c>
      <c r="AI1206" s="4">
        <v>6</v>
      </c>
      <c r="AJ1206" s="4">
        <v>6</v>
      </c>
      <c r="AK1206" s="4">
        <v>12</v>
      </c>
      <c r="AL1206" s="4">
        <v>1</v>
      </c>
      <c r="AM1206" s="4">
        <v>1</v>
      </c>
      <c r="AN1206" s="4">
        <v>0</v>
      </c>
      <c r="AO1206" s="4">
        <v>0</v>
      </c>
      <c r="AP1206" s="3" t="s">
        <v>58</v>
      </c>
      <c r="AQ1206" s="3" t="s">
        <v>58</v>
      </c>
      <c r="AS1206" s="6" t="str">
        <f>HYPERLINK("https://creighton-primo.hosted.exlibrisgroup.com/primo-explore/search?tab=default_tab&amp;search_scope=EVERYTHING&amp;vid=01CRU&amp;lang=en_US&amp;offset=0&amp;query=any,contains,991002894359702656","Catalog Record")</f>
        <v>Catalog Record</v>
      </c>
      <c r="AT1206" s="6" t="str">
        <f>HYPERLINK("http://www.worldcat.org/oclc/513262","WorldCat Record")</f>
        <v>WorldCat Record</v>
      </c>
      <c r="AU1206" s="3" t="s">
        <v>15239</v>
      </c>
      <c r="AV1206" s="3" t="s">
        <v>15240</v>
      </c>
      <c r="AW1206" s="3" t="s">
        <v>15241</v>
      </c>
      <c r="AX1206" s="3" t="s">
        <v>15241</v>
      </c>
      <c r="AY1206" s="3" t="s">
        <v>15242</v>
      </c>
      <c r="AZ1206" s="3" t="s">
        <v>73</v>
      </c>
      <c r="BC1206" s="3" t="s">
        <v>15243</v>
      </c>
      <c r="BD1206" s="3" t="s">
        <v>15244</v>
      </c>
    </row>
    <row r="1207" spans="1:56" ht="51" customHeight="1" x14ac:dyDescent="0.25">
      <c r="A1207" s="7" t="s">
        <v>58</v>
      </c>
      <c r="B1207" s="2" t="s">
        <v>15245</v>
      </c>
      <c r="C1207" s="2" t="s">
        <v>15246</v>
      </c>
      <c r="D1207" s="2" t="s">
        <v>15247</v>
      </c>
      <c r="F1207" s="3" t="s">
        <v>58</v>
      </c>
      <c r="G1207" s="3" t="s">
        <v>59</v>
      </c>
      <c r="H1207" s="3" t="s">
        <v>58</v>
      </c>
      <c r="I1207" s="3" t="s">
        <v>58</v>
      </c>
      <c r="J1207" s="3" t="s">
        <v>60</v>
      </c>
      <c r="K1207" s="2" t="s">
        <v>15248</v>
      </c>
      <c r="L1207" s="2" t="s">
        <v>15249</v>
      </c>
      <c r="M1207" s="3" t="s">
        <v>745</v>
      </c>
      <c r="O1207" s="3" t="s">
        <v>63</v>
      </c>
      <c r="P1207" s="3" t="s">
        <v>214</v>
      </c>
      <c r="R1207" s="3" t="s">
        <v>65</v>
      </c>
      <c r="S1207" s="4">
        <v>4</v>
      </c>
      <c r="T1207" s="4">
        <v>4</v>
      </c>
      <c r="U1207" s="5" t="s">
        <v>15238</v>
      </c>
      <c r="V1207" s="5" t="s">
        <v>15238</v>
      </c>
      <c r="W1207" s="5" t="s">
        <v>11927</v>
      </c>
      <c r="X1207" s="5" t="s">
        <v>11927</v>
      </c>
      <c r="Y1207" s="4">
        <v>877</v>
      </c>
      <c r="Z1207" s="4">
        <v>754</v>
      </c>
      <c r="AA1207" s="4">
        <v>775</v>
      </c>
      <c r="AB1207" s="4">
        <v>5</v>
      </c>
      <c r="AC1207" s="4">
        <v>5</v>
      </c>
      <c r="AD1207" s="4">
        <v>32</v>
      </c>
      <c r="AE1207" s="4">
        <v>32</v>
      </c>
      <c r="AF1207" s="4">
        <v>13</v>
      </c>
      <c r="AG1207" s="4">
        <v>13</v>
      </c>
      <c r="AH1207" s="4">
        <v>7</v>
      </c>
      <c r="AI1207" s="4">
        <v>7</v>
      </c>
      <c r="AJ1207" s="4">
        <v>14</v>
      </c>
      <c r="AK1207" s="4">
        <v>14</v>
      </c>
      <c r="AL1207" s="4">
        <v>4</v>
      </c>
      <c r="AM1207" s="4">
        <v>4</v>
      </c>
      <c r="AN1207" s="4">
        <v>0</v>
      </c>
      <c r="AO1207" s="4">
        <v>0</v>
      </c>
      <c r="AP1207" s="3" t="s">
        <v>58</v>
      </c>
      <c r="AQ1207" s="3" t="s">
        <v>58</v>
      </c>
      <c r="AS1207" s="6" t="str">
        <f>HYPERLINK("https://creighton-primo.hosted.exlibrisgroup.com/primo-explore/search?tab=default_tab&amp;search_scope=EVERYTHING&amp;vid=01CRU&amp;lang=en_US&amp;offset=0&amp;query=any,contains,991003197749702656","Catalog Record")</f>
        <v>Catalog Record</v>
      </c>
      <c r="AT1207" s="6" t="str">
        <f>HYPERLINK("http://www.worldcat.org/oclc/722761","WorldCat Record")</f>
        <v>WorldCat Record</v>
      </c>
      <c r="AU1207" s="3" t="s">
        <v>15250</v>
      </c>
      <c r="AV1207" s="3" t="s">
        <v>15251</v>
      </c>
      <c r="AW1207" s="3" t="s">
        <v>15252</v>
      </c>
      <c r="AX1207" s="3" t="s">
        <v>15252</v>
      </c>
      <c r="AY1207" s="3" t="s">
        <v>15253</v>
      </c>
      <c r="AZ1207" s="3" t="s">
        <v>73</v>
      </c>
      <c r="BC1207" s="3" t="s">
        <v>15254</v>
      </c>
      <c r="BD1207" s="3" t="s">
        <v>15255</v>
      </c>
    </row>
    <row r="1208" spans="1:56" ht="51" customHeight="1" x14ac:dyDescent="0.25">
      <c r="A1208" s="7" t="s">
        <v>58</v>
      </c>
      <c r="B1208" s="2" t="s">
        <v>15256</v>
      </c>
      <c r="C1208" s="2" t="s">
        <v>15257</v>
      </c>
      <c r="D1208" s="2" t="s">
        <v>15258</v>
      </c>
      <c r="F1208" s="3" t="s">
        <v>58</v>
      </c>
      <c r="G1208" s="3" t="s">
        <v>59</v>
      </c>
      <c r="H1208" s="3" t="s">
        <v>58</v>
      </c>
      <c r="I1208" s="3" t="s">
        <v>58</v>
      </c>
      <c r="J1208" s="3" t="s">
        <v>60</v>
      </c>
      <c r="K1208" s="2" t="s">
        <v>15259</v>
      </c>
      <c r="L1208" s="2" t="s">
        <v>15260</v>
      </c>
      <c r="M1208" s="3" t="s">
        <v>2757</v>
      </c>
      <c r="O1208" s="3" t="s">
        <v>63</v>
      </c>
      <c r="P1208" s="3" t="s">
        <v>214</v>
      </c>
      <c r="R1208" s="3" t="s">
        <v>65</v>
      </c>
      <c r="S1208" s="4">
        <v>4</v>
      </c>
      <c r="T1208" s="4">
        <v>4</v>
      </c>
      <c r="U1208" s="5" t="s">
        <v>15261</v>
      </c>
      <c r="V1208" s="5" t="s">
        <v>15261</v>
      </c>
      <c r="W1208" s="5" t="s">
        <v>15262</v>
      </c>
      <c r="X1208" s="5" t="s">
        <v>15262</v>
      </c>
      <c r="Y1208" s="4">
        <v>612</v>
      </c>
      <c r="Z1208" s="4">
        <v>557</v>
      </c>
      <c r="AA1208" s="4">
        <v>620</v>
      </c>
      <c r="AB1208" s="4">
        <v>4</v>
      </c>
      <c r="AC1208" s="4">
        <v>4</v>
      </c>
      <c r="AD1208" s="4">
        <v>20</v>
      </c>
      <c r="AE1208" s="4">
        <v>24</v>
      </c>
      <c r="AF1208" s="4">
        <v>7</v>
      </c>
      <c r="AG1208" s="4">
        <v>7</v>
      </c>
      <c r="AH1208" s="4">
        <v>4</v>
      </c>
      <c r="AI1208" s="4">
        <v>6</v>
      </c>
      <c r="AJ1208" s="4">
        <v>11</v>
      </c>
      <c r="AK1208" s="4">
        <v>13</v>
      </c>
      <c r="AL1208" s="4">
        <v>3</v>
      </c>
      <c r="AM1208" s="4">
        <v>3</v>
      </c>
      <c r="AN1208" s="4">
        <v>1</v>
      </c>
      <c r="AO1208" s="4">
        <v>1</v>
      </c>
      <c r="AP1208" s="3" t="s">
        <v>58</v>
      </c>
      <c r="AQ1208" s="3" t="s">
        <v>68</v>
      </c>
      <c r="AR1208" s="6" t="str">
        <f>HYPERLINK("http://catalog.hathitrust.org/Record/001253494","HathiTrust Record")</f>
        <v>HathiTrust Record</v>
      </c>
      <c r="AS1208" s="6" t="str">
        <f>HYPERLINK("https://creighton-primo.hosted.exlibrisgroup.com/primo-explore/search?tab=default_tab&amp;search_scope=EVERYTHING&amp;vid=01CRU&amp;lang=en_US&amp;offset=0&amp;query=any,contains,991002385319702656","Catalog Record")</f>
        <v>Catalog Record</v>
      </c>
      <c r="AT1208" s="6" t="str">
        <f>HYPERLINK("http://www.worldcat.org/oclc/329720","WorldCat Record")</f>
        <v>WorldCat Record</v>
      </c>
      <c r="AU1208" s="3" t="s">
        <v>15263</v>
      </c>
      <c r="AV1208" s="3" t="s">
        <v>15264</v>
      </c>
      <c r="AW1208" s="3" t="s">
        <v>15265</v>
      </c>
      <c r="AX1208" s="3" t="s">
        <v>15265</v>
      </c>
      <c r="AY1208" s="3" t="s">
        <v>15266</v>
      </c>
      <c r="AZ1208" s="3" t="s">
        <v>73</v>
      </c>
      <c r="BC1208" s="3" t="s">
        <v>15267</v>
      </c>
      <c r="BD1208" s="3" t="s">
        <v>15268</v>
      </c>
    </row>
    <row r="1209" spans="1:56" ht="51" customHeight="1" x14ac:dyDescent="0.25">
      <c r="A1209" s="7" t="s">
        <v>58</v>
      </c>
      <c r="B1209" s="2" t="s">
        <v>15269</v>
      </c>
      <c r="C1209" s="2" t="s">
        <v>15270</v>
      </c>
      <c r="D1209" s="2" t="s">
        <v>15271</v>
      </c>
      <c r="F1209" s="3" t="s">
        <v>58</v>
      </c>
      <c r="G1209" s="3" t="s">
        <v>59</v>
      </c>
      <c r="H1209" s="3" t="s">
        <v>58</v>
      </c>
      <c r="I1209" s="3" t="s">
        <v>58</v>
      </c>
      <c r="J1209" s="3" t="s">
        <v>60</v>
      </c>
      <c r="K1209" s="2" t="s">
        <v>15272</v>
      </c>
      <c r="L1209" s="2" t="s">
        <v>15273</v>
      </c>
      <c r="M1209" s="3" t="s">
        <v>1499</v>
      </c>
      <c r="O1209" s="3" t="s">
        <v>63</v>
      </c>
      <c r="P1209" s="3" t="s">
        <v>510</v>
      </c>
      <c r="R1209" s="3" t="s">
        <v>65</v>
      </c>
      <c r="S1209" s="4">
        <v>1</v>
      </c>
      <c r="T1209" s="4">
        <v>1</v>
      </c>
      <c r="U1209" s="5" t="s">
        <v>15274</v>
      </c>
      <c r="V1209" s="5" t="s">
        <v>15274</v>
      </c>
      <c r="W1209" s="5" t="s">
        <v>11927</v>
      </c>
      <c r="X1209" s="5" t="s">
        <v>11927</v>
      </c>
      <c r="Y1209" s="4">
        <v>675</v>
      </c>
      <c r="Z1209" s="4">
        <v>563</v>
      </c>
      <c r="AA1209" s="4">
        <v>572</v>
      </c>
      <c r="AB1209" s="4">
        <v>4</v>
      </c>
      <c r="AC1209" s="4">
        <v>4</v>
      </c>
      <c r="AD1209" s="4">
        <v>25</v>
      </c>
      <c r="AE1209" s="4">
        <v>25</v>
      </c>
      <c r="AF1209" s="4">
        <v>10</v>
      </c>
      <c r="AG1209" s="4">
        <v>10</v>
      </c>
      <c r="AH1209" s="4">
        <v>6</v>
      </c>
      <c r="AI1209" s="4">
        <v>6</v>
      </c>
      <c r="AJ1209" s="4">
        <v>12</v>
      </c>
      <c r="AK1209" s="4">
        <v>12</v>
      </c>
      <c r="AL1209" s="4">
        <v>3</v>
      </c>
      <c r="AM1209" s="4">
        <v>3</v>
      </c>
      <c r="AN1209" s="4">
        <v>0</v>
      </c>
      <c r="AO1209" s="4">
        <v>0</v>
      </c>
      <c r="AP1209" s="3" t="s">
        <v>58</v>
      </c>
      <c r="AQ1209" s="3" t="s">
        <v>68</v>
      </c>
      <c r="AR1209" s="6" t="str">
        <f>HYPERLINK("http://catalog.hathitrust.org/Record/001253501","HathiTrust Record")</f>
        <v>HathiTrust Record</v>
      </c>
      <c r="AS1209" s="6" t="str">
        <f>HYPERLINK("https://creighton-primo.hosted.exlibrisgroup.com/primo-explore/search?tab=default_tab&amp;search_scope=EVERYTHING&amp;vid=01CRU&amp;lang=en_US&amp;offset=0&amp;query=any,contains,991002710689702656","Catalog Record")</f>
        <v>Catalog Record</v>
      </c>
      <c r="AT1209" s="6" t="str">
        <f>HYPERLINK("http://www.worldcat.org/oclc/409133","WorldCat Record")</f>
        <v>WorldCat Record</v>
      </c>
      <c r="AU1209" s="3" t="s">
        <v>15275</v>
      </c>
      <c r="AV1209" s="3" t="s">
        <v>15276</v>
      </c>
      <c r="AW1209" s="3" t="s">
        <v>15277</v>
      </c>
      <c r="AX1209" s="3" t="s">
        <v>15277</v>
      </c>
      <c r="AY1209" s="3" t="s">
        <v>15278</v>
      </c>
      <c r="AZ1209" s="3" t="s">
        <v>73</v>
      </c>
      <c r="BC1209" s="3" t="s">
        <v>15279</v>
      </c>
      <c r="BD1209" s="3" t="s">
        <v>15280</v>
      </c>
    </row>
    <row r="1210" spans="1:56" ht="51" customHeight="1" x14ac:dyDescent="0.25">
      <c r="A1210" s="7" t="s">
        <v>58</v>
      </c>
      <c r="B1210" s="2" t="s">
        <v>15281</v>
      </c>
      <c r="C1210" s="2" t="s">
        <v>15282</v>
      </c>
      <c r="D1210" s="2" t="s">
        <v>15283</v>
      </c>
      <c r="F1210" s="3" t="s">
        <v>58</v>
      </c>
      <c r="G1210" s="3" t="s">
        <v>59</v>
      </c>
      <c r="H1210" s="3" t="s">
        <v>58</v>
      </c>
      <c r="I1210" s="3" t="s">
        <v>58</v>
      </c>
      <c r="J1210" s="3" t="s">
        <v>60</v>
      </c>
      <c r="K1210" s="2" t="s">
        <v>15284</v>
      </c>
      <c r="L1210" s="2" t="s">
        <v>15285</v>
      </c>
      <c r="M1210" s="3" t="s">
        <v>1720</v>
      </c>
      <c r="O1210" s="3" t="s">
        <v>63</v>
      </c>
      <c r="P1210" s="3" t="s">
        <v>816</v>
      </c>
      <c r="R1210" s="3" t="s">
        <v>65</v>
      </c>
      <c r="S1210" s="4">
        <v>1</v>
      </c>
      <c r="T1210" s="4">
        <v>1</v>
      </c>
      <c r="U1210" s="5" t="s">
        <v>15225</v>
      </c>
      <c r="V1210" s="5" t="s">
        <v>15225</v>
      </c>
      <c r="W1210" s="5" t="s">
        <v>11927</v>
      </c>
      <c r="X1210" s="5" t="s">
        <v>11927</v>
      </c>
      <c r="Y1210" s="4">
        <v>590</v>
      </c>
      <c r="Z1210" s="4">
        <v>483</v>
      </c>
      <c r="AA1210" s="4">
        <v>499</v>
      </c>
      <c r="AB1210" s="4">
        <v>4</v>
      </c>
      <c r="AC1210" s="4">
        <v>4</v>
      </c>
      <c r="AD1210" s="4">
        <v>22</v>
      </c>
      <c r="AE1210" s="4">
        <v>23</v>
      </c>
      <c r="AF1210" s="4">
        <v>6</v>
      </c>
      <c r="AG1210" s="4">
        <v>7</v>
      </c>
      <c r="AH1210" s="4">
        <v>5</v>
      </c>
      <c r="AI1210" s="4">
        <v>5</v>
      </c>
      <c r="AJ1210" s="4">
        <v>14</v>
      </c>
      <c r="AK1210" s="4">
        <v>15</v>
      </c>
      <c r="AL1210" s="4">
        <v>3</v>
      </c>
      <c r="AM1210" s="4">
        <v>3</v>
      </c>
      <c r="AN1210" s="4">
        <v>0</v>
      </c>
      <c r="AO1210" s="4">
        <v>0</v>
      </c>
      <c r="AP1210" s="3" t="s">
        <v>68</v>
      </c>
      <c r="AQ1210" s="3" t="s">
        <v>58</v>
      </c>
      <c r="AR1210" s="6" t="str">
        <f>HYPERLINK("http://catalog.hathitrust.org/Record/002594710","HathiTrust Record")</f>
        <v>HathiTrust Record</v>
      </c>
      <c r="AS1210" s="6" t="str">
        <f>HYPERLINK("https://creighton-primo.hosted.exlibrisgroup.com/primo-explore/search?tab=default_tab&amp;search_scope=EVERYTHING&amp;vid=01CRU&amp;lang=en_US&amp;offset=0&amp;query=any,contains,991002711479702656","Catalog Record")</f>
        <v>Catalog Record</v>
      </c>
      <c r="AT1210" s="6" t="str">
        <f>HYPERLINK("http://www.worldcat.org/oclc/409415","WorldCat Record")</f>
        <v>WorldCat Record</v>
      </c>
      <c r="AU1210" s="3" t="s">
        <v>15286</v>
      </c>
      <c r="AV1210" s="3" t="s">
        <v>15287</v>
      </c>
      <c r="AW1210" s="3" t="s">
        <v>15288</v>
      </c>
      <c r="AX1210" s="3" t="s">
        <v>15288</v>
      </c>
      <c r="AY1210" s="3" t="s">
        <v>15289</v>
      </c>
      <c r="AZ1210" s="3" t="s">
        <v>73</v>
      </c>
      <c r="BC1210" s="3" t="s">
        <v>15290</v>
      </c>
      <c r="BD1210" s="3" t="s">
        <v>15291</v>
      </c>
    </row>
    <row r="1211" spans="1:56" ht="51" customHeight="1" x14ac:dyDescent="0.25">
      <c r="A1211" s="7" t="s">
        <v>58</v>
      </c>
      <c r="B1211" s="2" t="s">
        <v>15292</v>
      </c>
      <c r="C1211" s="2" t="s">
        <v>15293</v>
      </c>
      <c r="D1211" s="2" t="s">
        <v>15294</v>
      </c>
      <c r="F1211" s="3" t="s">
        <v>58</v>
      </c>
      <c r="G1211" s="3" t="s">
        <v>59</v>
      </c>
      <c r="H1211" s="3" t="s">
        <v>58</v>
      </c>
      <c r="I1211" s="3" t="s">
        <v>58</v>
      </c>
      <c r="J1211" s="3" t="s">
        <v>60</v>
      </c>
      <c r="K1211" s="2" t="s">
        <v>15295</v>
      </c>
      <c r="L1211" s="2" t="s">
        <v>15296</v>
      </c>
      <c r="M1211" s="3" t="s">
        <v>538</v>
      </c>
      <c r="O1211" s="3" t="s">
        <v>63</v>
      </c>
      <c r="P1211" s="3" t="s">
        <v>3109</v>
      </c>
      <c r="R1211" s="3" t="s">
        <v>65</v>
      </c>
      <c r="S1211" s="4">
        <v>1</v>
      </c>
      <c r="T1211" s="4">
        <v>1</v>
      </c>
      <c r="U1211" s="5" t="s">
        <v>15297</v>
      </c>
      <c r="V1211" s="5" t="s">
        <v>15297</v>
      </c>
      <c r="W1211" s="5" t="s">
        <v>14853</v>
      </c>
      <c r="X1211" s="5" t="s">
        <v>14853</v>
      </c>
      <c r="Y1211" s="4">
        <v>377</v>
      </c>
      <c r="Z1211" s="4">
        <v>339</v>
      </c>
      <c r="AA1211" s="4">
        <v>346</v>
      </c>
      <c r="AB1211" s="4">
        <v>2</v>
      </c>
      <c r="AC1211" s="4">
        <v>2</v>
      </c>
      <c r="AD1211" s="4">
        <v>32</v>
      </c>
      <c r="AE1211" s="4">
        <v>32</v>
      </c>
      <c r="AF1211" s="4">
        <v>12</v>
      </c>
      <c r="AG1211" s="4">
        <v>12</v>
      </c>
      <c r="AH1211" s="4">
        <v>7</v>
      </c>
      <c r="AI1211" s="4">
        <v>7</v>
      </c>
      <c r="AJ1211" s="4">
        <v>22</v>
      </c>
      <c r="AK1211" s="4">
        <v>22</v>
      </c>
      <c r="AL1211" s="4">
        <v>1</v>
      </c>
      <c r="AM1211" s="4">
        <v>1</v>
      </c>
      <c r="AN1211" s="4">
        <v>0</v>
      </c>
      <c r="AO1211" s="4">
        <v>0</v>
      </c>
      <c r="AP1211" s="3" t="s">
        <v>58</v>
      </c>
      <c r="AQ1211" s="3" t="s">
        <v>68</v>
      </c>
      <c r="AR1211" s="6" t="str">
        <f>HYPERLINK("http://catalog.hathitrust.org/Record/001253516","HathiTrust Record")</f>
        <v>HathiTrust Record</v>
      </c>
      <c r="AS1211" s="6" t="str">
        <f>HYPERLINK("https://creighton-primo.hosted.exlibrisgroup.com/primo-explore/search?tab=default_tab&amp;search_scope=EVERYTHING&amp;vid=01CRU&amp;lang=en_US&amp;offset=0&amp;query=any,contains,991003039119702656","Catalog Record")</f>
        <v>Catalog Record</v>
      </c>
      <c r="AT1211" s="6" t="str">
        <f>HYPERLINK("http://www.worldcat.org/oclc/600696","WorldCat Record")</f>
        <v>WorldCat Record</v>
      </c>
      <c r="AU1211" s="3" t="s">
        <v>15298</v>
      </c>
      <c r="AV1211" s="3" t="s">
        <v>15299</v>
      </c>
      <c r="AW1211" s="3" t="s">
        <v>15300</v>
      </c>
      <c r="AX1211" s="3" t="s">
        <v>15300</v>
      </c>
      <c r="AY1211" s="3" t="s">
        <v>15301</v>
      </c>
      <c r="AZ1211" s="3" t="s">
        <v>73</v>
      </c>
      <c r="BC1211" s="3" t="s">
        <v>15302</v>
      </c>
      <c r="BD1211" s="3" t="s">
        <v>15303</v>
      </c>
    </row>
    <row r="1212" spans="1:56" ht="51" customHeight="1" x14ac:dyDescent="0.25">
      <c r="A1212" s="7" t="s">
        <v>58</v>
      </c>
      <c r="B1212" s="2" t="s">
        <v>15304</v>
      </c>
      <c r="C1212" s="2" t="s">
        <v>15305</v>
      </c>
      <c r="D1212" s="2" t="s">
        <v>15306</v>
      </c>
      <c r="F1212" s="3" t="s">
        <v>58</v>
      </c>
      <c r="G1212" s="3" t="s">
        <v>59</v>
      </c>
      <c r="H1212" s="3" t="s">
        <v>58</v>
      </c>
      <c r="I1212" s="3" t="s">
        <v>58</v>
      </c>
      <c r="J1212" s="3" t="s">
        <v>60</v>
      </c>
      <c r="K1212" s="2" t="s">
        <v>15307</v>
      </c>
      <c r="L1212" s="2" t="s">
        <v>15308</v>
      </c>
      <c r="M1212" s="3" t="s">
        <v>382</v>
      </c>
      <c r="O1212" s="3" t="s">
        <v>63</v>
      </c>
      <c r="P1212" s="3" t="s">
        <v>3323</v>
      </c>
      <c r="R1212" s="3" t="s">
        <v>65</v>
      </c>
      <c r="S1212" s="4">
        <v>3</v>
      </c>
      <c r="T1212" s="4">
        <v>3</v>
      </c>
      <c r="U1212" s="5" t="s">
        <v>15309</v>
      </c>
      <c r="V1212" s="5" t="s">
        <v>15309</v>
      </c>
      <c r="W1212" s="5" t="s">
        <v>15310</v>
      </c>
      <c r="X1212" s="5" t="s">
        <v>15310</v>
      </c>
      <c r="Y1212" s="4">
        <v>76</v>
      </c>
      <c r="Z1212" s="4">
        <v>65</v>
      </c>
      <c r="AA1212" s="4">
        <v>68</v>
      </c>
      <c r="AB1212" s="4">
        <v>1</v>
      </c>
      <c r="AC1212" s="4">
        <v>1</v>
      </c>
      <c r="AD1212" s="4">
        <v>4</v>
      </c>
      <c r="AE1212" s="4">
        <v>4</v>
      </c>
      <c r="AF1212" s="4">
        <v>0</v>
      </c>
      <c r="AG1212" s="4">
        <v>0</v>
      </c>
      <c r="AH1212" s="4">
        <v>2</v>
      </c>
      <c r="AI1212" s="4">
        <v>2</v>
      </c>
      <c r="AJ1212" s="4">
        <v>3</v>
      </c>
      <c r="AK1212" s="4">
        <v>3</v>
      </c>
      <c r="AL1212" s="4">
        <v>0</v>
      </c>
      <c r="AM1212" s="4">
        <v>0</v>
      </c>
      <c r="AN1212" s="4">
        <v>0</v>
      </c>
      <c r="AO1212" s="4">
        <v>0</v>
      </c>
      <c r="AP1212" s="3" t="s">
        <v>58</v>
      </c>
      <c r="AQ1212" s="3" t="s">
        <v>68</v>
      </c>
      <c r="AR1212" s="6" t="str">
        <f>HYPERLINK("http://catalog.hathitrust.org/Record/003508468","HathiTrust Record")</f>
        <v>HathiTrust Record</v>
      </c>
      <c r="AS1212" s="6" t="str">
        <f>HYPERLINK("https://creighton-primo.hosted.exlibrisgroup.com/primo-explore/search?tab=default_tab&amp;search_scope=EVERYTHING&amp;vid=01CRU&amp;lang=en_US&amp;offset=0&amp;query=any,contains,991003731459702656","Catalog Record")</f>
        <v>Catalog Record</v>
      </c>
      <c r="AT1212" s="6" t="str">
        <f>HYPERLINK("http://www.worldcat.org/oclc/43852358","WorldCat Record")</f>
        <v>WorldCat Record</v>
      </c>
      <c r="AU1212" s="3" t="s">
        <v>15311</v>
      </c>
      <c r="AV1212" s="3" t="s">
        <v>15312</v>
      </c>
      <c r="AW1212" s="3" t="s">
        <v>15313</v>
      </c>
      <c r="AX1212" s="3" t="s">
        <v>15313</v>
      </c>
      <c r="AY1212" s="3" t="s">
        <v>15314</v>
      </c>
      <c r="AZ1212" s="3" t="s">
        <v>73</v>
      </c>
      <c r="BB1212" s="3" t="s">
        <v>15315</v>
      </c>
      <c r="BC1212" s="3" t="s">
        <v>15316</v>
      </c>
      <c r="BD1212" s="3" t="s">
        <v>15317</v>
      </c>
    </row>
    <row r="1213" spans="1:56" ht="51" customHeight="1" x14ac:dyDescent="0.25">
      <c r="A1213" s="7" t="s">
        <v>58</v>
      </c>
      <c r="B1213" s="2" t="s">
        <v>15318</v>
      </c>
      <c r="C1213" s="2" t="s">
        <v>15319</v>
      </c>
      <c r="D1213" s="2" t="s">
        <v>15320</v>
      </c>
      <c r="F1213" s="3" t="s">
        <v>58</v>
      </c>
      <c r="G1213" s="3" t="s">
        <v>59</v>
      </c>
      <c r="H1213" s="3" t="s">
        <v>58</v>
      </c>
      <c r="I1213" s="3" t="s">
        <v>58</v>
      </c>
      <c r="J1213" s="3" t="s">
        <v>60</v>
      </c>
      <c r="K1213" s="2" t="s">
        <v>15321</v>
      </c>
      <c r="L1213" s="2" t="s">
        <v>15322</v>
      </c>
      <c r="M1213" s="3" t="s">
        <v>397</v>
      </c>
      <c r="O1213" s="3" t="s">
        <v>63</v>
      </c>
      <c r="P1213" s="3" t="s">
        <v>2061</v>
      </c>
      <c r="R1213" s="3" t="s">
        <v>65</v>
      </c>
      <c r="S1213" s="4">
        <v>3</v>
      </c>
      <c r="T1213" s="4">
        <v>3</v>
      </c>
      <c r="U1213" s="5" t="s">
        <v>15323</v>
      </c>
      <c r="V1213" s="5" t="s">
        <v>15323</v>
      </c>
      <c r="W1213" s="5" t="s">
        <v>14853</v>
      </c>
      <c r="X1213" s="5" t="s">
        <v>14853</v>
      </c>
      <c r="Y1213" s="4">
        <v>74</v>
      </c>
      <c r="Z1213" s="4">
        <v>66</v>
      </c>
      <c r="AA1213" s="4">
        <v>723</v>
      </c>
      <c r="AB1213" s="4">
        <v>2</v>
      </c>
      <c r="AC1213" s="4">
        <v>6</v>
      </c>
      <c r="AD1213" s="4">
        <v>1</v>
      </c>
      <c r="AE1213" s="4">
        <v>30</v>
      </c>
      <c r="AF1213" s="4">
        <v>0</v>
      </c>
      <c r="AG1213" s="4">
        <v>12</v>
      </c>
      <c r="AH1213" s="4">
        <v>0</v>
      </c>
      <c r="AI1213" s="4">
        <v>7</v>
      </c>
      <c r="AJ1213" s="4">
        <v>0</v>
      </c>
      <c r="AK1213" s="4">
        <v>13</v>
      </c>
      <c r="AL1213" s="4">
        <v>1</v>
      </c>
      <c r="AM1213" s="4">
        <v>5</v>
      </c>
      <c r="AN1213" s="4">
        <v>0</v>
      </c>
      <c r="AO1213" s="4">
        <v>0</v>
      </c>
      <c r="AP1213" s="3" t="s">
        <v>58</v>
      </c>
      <c r="AQ1213" s="3" t="s">
        <v>58</v>
      </c>
      <c r="AS1213" s="6" t="str">
        <f>HYPERLINK("https://creighton-primo.hosted.exlibrisgroup.com/primo-explore/search?tab=default_tab&amp;search_scope=EVERYTHING&amp;vid=01CRU&amp;lang=en_US&amp;offset=0&amp;query=any,contains,991000620479702656","Catalog Record")</f>
        <v>Catalog Record</v>
      </c>
      <c r="AT1213" s="6" t="str">
        <f>HYPERLINK("http://www.worldcat.org/oclc/11971356","WorldCat Record")</f>
        <v>WorldCat Record</v>
      </c>
      <c r="AU1213" s="3" t="s">
        <v>15324</v>
      </c>
      <c r="AV1213" s="3" t="s">
        <v>15325</v>
      </c>
      <c r="AW1213" s="3" t="s">
        <v>15326</v>
      </c>
      <c r="AX1213" s="3" t="s">
        <v>15326</v>
      </c>
      <c r="AY1213" s="3" t="s">
        <v>15327</v>
      </c>
      <c r="AZ1213" s="3" t="s">
        <v>73</v>
      </c>
      <c r="BB1213" s="3" t="s">
        <v>15328</v>
      </c>
      <c r="BC1213" s="3" t="s">
        <v>15329</v>
      </c>
      <c r="BD1213" s="3" t="s">
        <v>15330</v>
      </c>
    </row>
    <row r="1214" spans="1:56" ht="51" customHeight="1" x14ac:dyDescent="0.25">
      <c r="A1214" s="7" t="s">
        <v>58</v>
      </c>
      <c r="B1214" s="2" t="s">
        <v>15331</v>
      </c>
      <c r="C1214" s="2" t="s">
        <v>15332</v>
      </c>
      <c r="D1214" s="2" t="s">
        <v>15333</v>
      </c>
      <c r="F1214" s="3" t="s">
        <v>58</v>
      </c>
      <c r="G1214" s="3" t="s">
        <v>59</v>
      </c>
      <c r="H1214" s="3" t="s">
        <v>58</v>
      </c>
      <c r="I1214" s="3" t="s">
        <v>58</v>
      </c>
      <c r="J1214" s="3" t="s">
        <v>60</v>
      </c>
      <c r="K1214" s="2" t="s">
        <v>15334</v>
      </c>
      <c r="L1214" s="2" t="s">
        <v>3471</v>
      </c>
      <c r="M1214" s="3" t="s">
        <v>368</v>
      </c>
      <c r="O1214" s="3" t="s">
        <v>63</v>
      </c>
      <c r="P1214" s="3" t="s">
        <v>2061</v>
      </c>
      <c r="R1214" s="3" t="s">
        <v>65</v>
      </c>
      <c r="S1214" s="4">
        <v>2</v>
      </c>
      <c r="T1214" s="4">
        <v>2</v>
      </c>
      <c r="U1214" s="5" t="s">
        <v>15297</v>
      </c>
      <c r="V1214" s="5" t="s">
        <v>15297</v>
      </c>
      <c r="W1214" s="5" t="s">
        <v>11927</v>
      </c>
      <c r="X1214" s="5" t="s">
        <v>11927</v>
      </c>
      <c r="Y1214" s="4">
        <v>378</v>
      </c>
      <c r="Z1214" s="4">
        <v>273</v>
      </c>
      <c r="AA1214" s="4">
        <v>291</v>
      </c>
      <c r="AB1214" s="4">
        <v>2</v>
      </c>
      <c r="AC1214" s="4">
        <v>2</v>
      </c>
      <c r="AD1214" s="4">
        <v>11</v>
      </c>
      <c r="AE1214" s="4">
        <v>11</v>
      </c>
      <c r="AF1214" s="4">
        <v>2</v>
      </c>
      <c r="AG1214" s="4">
        <v>2</v>
      </c>
      <c r="AH1214" s="4">
        <v>4</v>
      </c>
      <c r="AI1214" s="4">
        <v>4</v>
      </c>
      <c r="AJ1214" s="4">
        <v>6</v>
      </c>
      <c r="AK1214" s="4">
        <v>6</v>
      </c>
      <c r="AL1214" s="4">
        <v>1</v>
      </c>
      <c r="AM1214" s="4">
        <v>1</v>
      </c>
      <c r="AN1214" s="4">
        <v>0</v>
      </c>
      <c r="AO1214" s="4">
        <v>0</v>
      </c>
      <c r="AP1214" s="3" t="s">
        <v>58</v>
      </c>
      <c r="AQ1214" s="3" t="s">
        <v>58</v>
      </c>
      <c r="AS1214" s="6" t="str">
        <f>HYPERLINK("https://creighton-primo.hosted.exlibrisgroup.com/primo-explore/search?tab=default_tab&amp;search_scope=EVERYTHING&amp;vid=01CRU&amp;lang=en_US&amp;offset=0&amp;query=any,contains,991004018129702656","Catalog Record")</f>
        <v>Catalog Record</v>
      </c>
      <c r="AT1214" s="6" t="str">
        <f>HYPERLINK("http://www.worldcat.org/oclc/2118473","WorldCat Record")</f>
        <v>WorldCat Record</v>
      </c>
      <c r="AU1214" s="3" t="s">
        <v>15335</v>
      </c>
      <c r="AV1214" s="3" t="s">
        <v>15336</v>
      </c>
      <c r="AW1214" s="3" t="s">
        <v>15337</v>
      </c>
      <c r="AX1214" s="3" t="s">
        <v>15337</v>
      </c>
      <c r="AY1214" s="3" t="s">
        <v>15338</v>
      </c>
      <c r="AZ1214" s="3" t="s">
        <v>73</v>
      </c>
      <c r="BB1214" s="3" t="s">
        <v>15339</v>
      </c>
      <c r="BC1214" s="3" t="s">
        <v>15340</v>
      </c>
      <c r="BD1214" s="3" t="s">
        <v>15341</v>
      </c>
    </row>
    <row r="1215" spans="1:56" ht="51" customHeight="1" x14ac:dyDescent="0.25">
      <c r="A1215" s="7" t="s">
        <v>58</v>
      </c>
      <c r="B1215" s="2" t="s">
        <v>15342</v>
      </c>
      <c r="C1215" s="2" t="s">
        <v>15343</v>
      </c>
      <c r="D1215" s="2" t="s">
        <v>15344</v>
      </c>
      <c r="F1215" s="3" t="s">
        <v>58</v>
      </c>
      <c r="G1215" s="3" t="s">
        <v>59</v>
      </c>
      <c r="H1215" s="3" t="s">
        <v>58</v>
      </c>
      <c r="I1215" s="3" t="s">
        <v>58</v>
      </c>
      <c r="J1215" s="3" t="s">
        <v>60</v>
      </c>
      <c r="K1215" s="2" t="s">
        <v>15345</v>
      </c>
      <c r="L1215" s="2" t="s">
        <v>15346</v>
      </c>
      <c r="M1215" s="3" t="s">
        <v>10013</v>
      </c>
      <c r="N1215" s="2" t="s">
        <v>1470</v>
      </c>
      <c r="O1215" s="3" t="s">
        <v>63</v>
      </c>
      <c r="P1215" s="3" t="s">
        <v>214</v>
      </c>
      <c r="R1215" s="3" t="s">
        <v>65</v>
      </c>
      <c r="S1215" s="4">
        <v>3</v>
      </c>
      <c r="T1215" s="4">
        <v>3</v>
      </c>
      <c r="U1215" s="5" t="s">
        <v>15347</v>
      </c>
      <c r="V1215" s="5" t="s">
        <v>15347</v>
      </c>
      <c r="W1215" s="5" t="s">
        <v>14853</v>
      </c>
      <c r="X1215" s="5" t="s">
        <v>14853</v>
      </c>
      <c r="Y1215" s="4">
        <v>1002</v>
      </c>
      <c r="Z1215" s="4">
        <v>953</v>
      </c>
      <c r="AA1215" s="4">
        <v>976</v>
      </c>
      <c r="AB1215" s="4">
        <v>11</v>
      </c>
      <c r="AC1215" s="4">
        <v>11</v>
      </c>
      <c r="AD1215" s="4">
        <v>30</v>
      </c>
      <c r="AE1215" s="4">
        <v>30</v>
      </c>
      <c r="AF1215" s="4">
        <v>9</v>
      </c>
      <c r="AG1215" s="4">
        <v>9</v>
      </c>
      <c r="AH1215" s="4">
        <v>7</v>
      </c>
      <c r="AI1215" s="4">
        <v>7</v>
      </c>
      <c r="AJ1215" s="4">
        <v>9</v>
      </c>
      <c r="AK1215" s="4">
        <v>9</v>
      </c>
      <c r="AL1215" s="4">
        <v>7</v>
      </c>
      <c r="AM1215" s="4">
        <v>7</v>
      </c>
      <c r="AN1215" s="4">
        <v>3</v>
      </c>
      <c r="AO1215" s="4">
        <v>3</v>
      </c>
      <c r="AP1215" s="3" t="s">
        <v>58</v>
      </c>
      <c r="AQ1215" s="3" t="s">
        <v>58</v>
      </c>
      <c r="AR1215" s="6" t="str">
        <f>HYPERLINK("http://catalog.hathitrust.org/Record/001253642","HathiTrust Record")</f>
        <v>HathiTrust Record</v>
      </c>
      <c r="AS1215" s="6" t="str">
        <f>HYPERLINK("https://creighton-primo.hosted.exlibrisgroup.com/primo-explore/search?tab=default_tab&amp;search_scope=EVERYTHING&amp;vid=01CRU&amp;lang=en_US&amp;offset=0&amp;query=any,contains,991002711509702656","Catalog Record")</f>
        <v>Catalog Record</v>
      </c>
      <c r="AT1215" s="6" t="str">
        <f>HYPERLINK("http://www.worldcat.org/oclc/409419","WorldCat Record")</f>
        <v>WorldCat Record</v>
      </c>
      <c r="AU1215" s="3" t="s">
        <v>15348</v>
      </c>
      <c r="AV1215" s="3" t="s">
        <v>15349</v>
      </c>
      <c r="AW1215" s="3" t="s">
        <v>15350</v>
      </c>
      <c r="AX1215" s="3" t="s">
        <v>15350</v>
      </c>
      <c r="AY1215" s="3" t="s">
        <v>15351</v>
      </c>
      <c r="AZ1215" s="3" t="s">
        <v>73</v>
      </c>
      <c r="BC1215" s="3" t="s">
        <v>15352</v>
      </c>
      <c r="BD1215" s="3" t="s">
        <v>15353</v>
      </c>
    </row>
    <row r="1216" spans="1:56" ht="51" customHeight="1" x14ac:dyDescent="0.25">
      <c r="A1216" s="7" t="s">
        <v>58</v>
      </c>
      <c r="B1216" s="2" t="s">
        <v>15354</v>
      </c>
      <c r="C1216" s="2" t="s">
        <v>15355</v>
      </c>
      <c r="D1216" s="2" t="s">
        <v>15356</v>
      </c>
      <c r="F1216" s="3" t="s">
        <v>58</v>
      </c>
      <c r="G1216" s="3" t="s">
        <v>59</v>
      </c>
      <c r="H1216" s="3" t="s">
        <v>58</v>
      </c>
      <c r="I1216" s="3" t="s">
        <v>58</v>
      </c>
      <c r="J1216" s="3" t="s">
        <v>60</v>
      </c>
      <c r="K1216" s="2" t="s">
        <v>15357</v>
      </c>
      <c r="L1216" s="2" t="s">
        <v>15358</v>
      </c>
      <c r="M1216" s="3" t="s">
        <v>1091</v>
      </c>
      <c r="O1216" s="3" t="s">
        <v>63</v>
      </c>
      <c r="P1216" s="3" t="s">
        <v>584</v>
      </c>
      <c r="R1216" s="3" t="s">
        <v>65</v>
      </c>
      <c r="S1216" s="4">
        <v>6</v>
      </c>
      <c r="T1216" s="4">
        <v>6</v>
      </c>
      <c r="U1216" s="5" t="s">
        <v>11493</v>
      </c>
      <c r="V1216" s="5" t="s">
        <v>11493</v>
      </c>
      <c r="W1216" s="5" t="s">
        <v>4325</v>
      </c>
      <c r="X1216" s="5" t="s">
        <v>4325</v>
      </c>
      <c r="Y1216" s="4">
        <v>254</v>
      </c>
      <c r="Z1216" s="4">
        <v>179</v>
      </c>
      <c r="AA1216" s="4">
        <v>193</v>
      </c>
      <c r="AB1216" s="4">
        <v>2</v>
      </c>
      <c r="AC1216" s="4">
        <v>2</v>
      </c>
      <c r="AD1216" s="4">
        <v>7</v>
      </c>
      <c r="AE1216" s="4">
        <v>7</v>
      </c>
      <c r="AF1216" s="4">
        <v>2</v>
      </c>
      <c r="AG1216" s="4">
        <v>2</v>
      </c>
      <c r="AH1216" s="4">
        <v>3</v>
      </c>
      <c r="AI1216" s="4">
        <v>3</v>
      </c>
      <c r="AJ1216" s="4">
        <v>2</v>
      </c>
      <c r="AK1216" s="4">
        <v>2</v>
      </c>
      <c r="AL1216" s="4">
        <v>1</v>
      </c>
      <c r="AM1216" s="4">
        <v>1</v>
      </c>
      <c r="AN1216" s="4">
        <v>0</v>
      </c>
      <c r="AO1216" s="4">
        <v>0</v>
      </c>
      <c r="AP1216" s="3" t="s">
        <v>58</v>
      </c>
      <c r="AQ1216" s="3" t="s">
        <v>68</v>
      </c>
      <c r="AR1216" s="6" t="str">
        <f>HYPERLINK("http://catalog.hathitrust.org/Record/004202652","HathiTrust Record")</f>
        <v>HathiTrust Record</v>
      </c>
      <c r="AS1216" s="6" t="str">
        <f>HYPERLINK("https://creighton-primo.hosted.exlibrisgroup.com/primo-explore/search?tab=default_tab&amp;search_scope=EVERYTHING&amp;vid=01CRU&amp;lang=en_US&amp;offset=0&amp;query=any,contains,991004018589702656","Catalog Record")</f>
        <v>Catalog Record</v>
      </c>
      <c r="AT1216" s="6" t="str">
        <f>HYPERLINK("http://www.worldcat.org/oclc/49001699","WorldCat Record")</f>
        <v>WorldCat Record</v>
      </c>
      <c r="AU1216" s="3" t="s">
        <v>15359</v>
      </c>
      <c r="AV1216" s="3" t="s">
        <v>15360</v>
      </c>
      <c r="AW1216" s="3" t="s">
        <v>15361</v>
      </c>
      <c r="AX1216" s="3" t="s">
        <v>15361</v>
      </c>
      <c r="AY1216" s="3" t="s">
        <v>15362</v>
      </c>
      <c r="AZ1216" s="3" t="s">
        <v>73</v>
      </c>
      <c r="BB1216" s="3" t="s">
        <v>15363</v>
      </c>
      <c r="BC1216" s="3" t="s">
        <v>15364</v>
      </c>
      <c r="BD1216" s="3" t="s">
        <v>15365</v>
      </c>
    </row>
    <row r="1217" spans="1:56" ht="51" customHeight="1" x14ac:dyDescent="0.25">
      <c r="A1217" s="7" t="s">
        <v>58</v>
      </c>
      <c r="B1217" s="2" t="s">
        <v>15366</v>
      </c>
      <c r="C1217" s="2" t="s">
        <v>15367</v>
      </c>
      <c r="D1217" s="2" t="s">
        <v>15368</v>
      </c>
      <c r="F1217" s="3" t="s">
        <v>58</v>
      </c>
      <c r="G1217" s="3" t="s">
        <v>59</v>
      </c>
      <c r="H1217" s="3" t="s">
        <v>58</v>
      </c>
      <c r="I1217" s="3" t="s">
        <v>58</v>
      </c>
      <c r="J1217" s="3" t="s">
        <v>60</v>
      </c>
      <c r="K1217" s="2" t="s">
        <v>15369</v>
      </c>
      <c r="L1217" s="2" t="s">
        <v>15370</v>
      </c>
      <c r="M1217" s="3" t="s">
        <v>1091</v>
      </c>
      <c r="O1217" s="3" t="s">
        <v>63</v>
      </c>
      <c r="P1217" s="3" t="s">
        <v>584</v>
      </c>
      <c r="Q1217" s="2" t="s">
        <v>15371</v>
      </c>
      <c r="R1217" s="3" t="s">
        <v>65</v>
      </c>
      <c r="S1217" s="4">
        <v>4</v>
      </c>
      <c r="T1217" s="4">
        <v>4</v>
      </c>
      <c r="U1217" s="5" t="s">
        <v>15372</v>
      </c>
      <c r="V1217" s="5" t="s">
        <v>15372</v>
      </c>
      <c r="W1217" s="5" t="s">
        <v>9162</v>
      </c>
      <c r="X1217" s="5" t="s">
        <v>9162</v>
      </c>
      <c r="Y1217" s="4">
        <v>174</v>
      </c>
      <c r="Z1217" s="4">
        <v>131</v>
      </c>
      <c r="AA1217" s="4">
        <v>153</v>
      </c>
      <c r="AB1217" s="4">
        <v>1</v>
      </c>
      <c r="AC1217" s="4">
        <v>1</v>
      </c>
      <c r="AD1217" s="4">
        <v>11</v>
      </c>
      <c r="AE1217" s="4">
        <v>11</v>
      </c>
      <c r="AF1217" s="4">
        <v>3</v>
      </c>
      <c r="AG1217" s="4">
        <v>3</v>
      </c>
      <c r="AH1217" s="4">
        <v>4</v>
      </c>
      <c r="AI1217" s="4">
        <v>4</v>
      </c>
      <c r="AJ1217" s="4">
        <v>7</v>
      </c>
      <c r="AK1217" s="4">
        <v>7</v>
      </c>
      <c r="AL1217" s="4">
        <v>0</v>
      </c>
      <c r="AM1217" s="4">
        <v>0</v>
      </c>
      <c r="AN1217" s="4">
        <v>0</v>
      </c>
      <c r="AO1217" s="4">
        <v>0</v>
      </c>
      <c r="AP1217" s="3" t="s">
        <v>58</v>
      </c>
      <c r="AQ1217" s="3" t="s">
        <v>58</v>
      </c>
      <c r="AS1217" s="6" t="str">
        <f>HYPERLINK("https://creighton-primo.hosted.exlibrisgroup.com/primo-explore/search?tab=default_tab&amp;search_scope=EVERYTHING&amp;vid=01CRU&amp;lang=en_US&amp;offset=0&amp;query=any,contains,991004018639702656","Catalog Record")</f>
        <v>Catalog Record</v>
      </c>
      <c r="AT1217" s="6" t="str">
        <f>HYPERLINK("http://www.worldcat.org/oclc/49542566","WorldCat Record")</f>
        <v>WorldCat Record</v>
      </c>
      <c r="AU1217" s="3" t="s">
        <v>15373</v>
      </c>
      <c r="AV1217" s="3" t="s">
        <v>15374</v>
      </c>
      <c r="AW1217" s="3" t="s">
        <v>15375</v>
      </c>
      <c r="AX1217" s="3" t="s">
        <v>15375</v>
      </c>
      <c r="AY1217" s="3" t="s">
        <v>15376</v>
      </c>
      <c r="AZ1217" s="3" t="s">
        <v>73</v>
      </c>
      <c r="BB1217" s="3" t="s">
        <v>15377</v>
      </c>
      <c r="BC1217" s="3" t="s">
        <v>15378</v>
      </c>
      <c r="BD1217" s="3" t="s">
        <v>15379</v>
      </c>
    </row>
    <row r="1218" spans="1:56" ht="51" customHeight="1" x14ac:dyDescent="0.25">
      <c r="A1218" s="7" t="s">
        <v>58</v>
      </c>
      <c r="B1218" s="2" t="s">
        <v>15380</v>
      </c>
      <c r="C1218" s="2" t="s">
        <v>15381</v>
      </c>
      <c r="D1218" s="2" t="s">
        <v>15382</v>
      </c>
      <c r="F1218" s="3" t="s">
        <v>58</v>
      </c>
      <c r="G1218" s="3" t="s">
        <v>59</v>
      </c>
      <c r="H1218" s="3" t="s">
        <v>58</v>
      </c>
      <c r="I1218" s="3" t="s">
        <v>58</v>
      </c>
      <c r="J1218" s="3" t="s">
        <v>60</v>
      </c>
      <c r="K1218" s="2" t="s">
        <v>13877</v>
      </c>
      <c r="L1218" s="2" t="s">
        <v>15383</v>
      </c>
      <c r="M1218" s="3" t="s">
        <v>1061</v>
      </c>
      <c r="O1218" s="3" t="s">
        <v>63</v>
      </c>
      <c r="P1218" s="3" t="s">
        <v>1837</v>
      </c>
      <c r="Q1218" s="2" t="s">
        <v>14589</v>
      </c>
      <c r="R1218" s="3" t="s">
        <v>65</v>
      </c>
      <c r="S1218" s="4">
        <v>10</v>
      </c>
      <c r="T1218" s="4">
        <v>10</v>
      </c>
      <c r="U1218" s="5" t="s">
        <v>11493</v>
      </c>
      <c r="V1218" s="5" t="s">
        <v>11493</v>
      </c>
      <c r="W1218" s="5" t="s">
        <v>66</v>
      </c>
      <c r="X1218" s="5" t="s">
        <v>66</v>
      </c>
      <c r="Y1218" s="4">
        <v>389</v>
      </c>
      <c r="Z1218" s="4">
        <v>289</v>
      </c>
      <c r="AA1218" s="4">
        <v>339</v>
      </c>
      <c r="AB1218" s="4">
        <v>3</v>
      </c>
      <c r="AC1218" s="4">
        <v>3</v>
      </c>
      <c r="AD1218" s="4">
        <v>16</v>
      </c>
      <c r="AE1218" s="4">
        <v>17</v>
      </c>
      <c r="AF1218" s="4">
        <v>5</v>
      </c>
      <c r="AG1218" s="4">
        <v>5</v>
      </c>
      <c r="AH1218" s="4">
        <v>5</v>
      </c>
      <c r="AI1218" s="4">
        <v>5</v>
      </c>
      <c r="AJ1218" s="4">
        <v>9</v>
      </c>
      <c r="AK1218" s="4">
        <v>10</v>
      </c>
      <c r="AL1218" s="4">
        <v>2</v>
      </c>
      <c r="AM1218" s="4">
        <v>2</v>
      </c>
      <c r="AN1218" s="4">
        <v>0</v>
      </c>
      <c r="AO1218" s="4">
        <v>0</v>
      </c>
      <c r="AP1218" s="3" t="s">
        <v>58</v>
      </c>
      <c r="AQ1218" s="3" t="s">
        <v>58</v>
      </c>
      <c r="AS1218" s="6" t="str">
        <f>HYPERLINK("https://creighton-primo.hosted.exlibrisgroup.com/primo-explore/search?tab=default_tab&amp;search_scope=EVERYTHING&amp;vid=01CRU&amp;lang=en_US&amp;offset=0&amp;query=any,contains,991002730529702656","Catalog Record")</f>
        <v>Catalog Record</v>
      </c>
      <c r="AT1218" s="6" t="str">
        <f>HYPERLINK("http://www.worldcat.org/oclc/35814799","WorldCat Record")</f>
        <v>WorldCat Record</v>
      </c>
      <c r="AU1218" s="3" t="s">
        <v>15384</v>
      </c>
      <c r="AV1218" s="3" t="s">
        <v>15385</v>
      </c>
      <c r="AW1218" s="3" t="s">
        <v>15386</v>
      </c>
      <c r="AX1218" s="3" t="s">
        <v>15386</v>
      </c>
      <c r="AY1218" s="3" t="s">
        <v>15387</v>
      </c>
      <c r="AZ1218" s="3" t="s">
        <v>73</v>
      </c>
      <c r="BB1218" s="3" t="s">
        <v>15388</v>
      </c>
      <c r="BC1218" s="3" t="s">
        <v>15389</v>
      </c>
      <c r="BD1218" s="3" t="s">
        <v>15390</v>
      </c>
    </row>
    <row r="1219" spans="1:56" ht="51" customHeight="1" x14ac:dyDescent="0.25">
      <c r="A1219" s="7" t="s">
        <v>58</v>
      </c>
      <c r="B1219" s="2" t="s">
        <v>15391</v>
      </c>
      <c r="C1219" s="2" t="s">
        <v>15392</v>
      </c>
      <c r="D1219" s="2" t="s">
        <v>15393</v>
      </c>
      <c r="F1219" s="3" t="s">
        <v>58</v>
      </c>
      <c r="G1219" s="3" t="s">
        <v>59</v>
      </c>
      <c r="H1219" s="3" t="s">
        <v>58</v>
      </c>
      <c r="I1219" s="3" t="s">
        <v>58</v>
      </c>
      <c r="J1219" s="3" t="s">
        <v>60</v>
      </c>
      <c r="K1219" s="2" t="s">
        <v>15394</v>
      </c>
      <c r="L1219" s="2" t="s">
        <v>15395</v>
      </c>
      <c r="M1219" s="3" t="s">
        <v>479</v>
      </c>
      <c r="O1219" s="3" t="s">
        <v>63</v>
      </c>
      <c r="P1219" s="3" t="s">
        <v>3323</v>
      </c>
      <c r="R1219" s="3" t="s">
        <v>65</v>
      </c>
      <c r="S1219" s="4">
        <v>7</v>
      </c>
      <c r="T1219" s="4">
        <v>7</v>
      </c>
      <c r="U1219" s="5" t="s">
        <v>15372</v>
      </c>
      <c r="V1219" s="5" t="s">
        <v>15372</v>
      </c>
      <c r="W1219" s="5" t="s">
        <v>14552</v>
      </c>
      <c r="X1219" s="5" t="s">
        <v>14552</v>
      </c>
      <c r="Y1219" s="4">
        <v>49</v>
      </c>
      <c r="Z1219" s="4">
        <v>31</v>
      </c>
      <c r="AA1219" s="4">
        <v>32</v>
      </c>
      <c r="AB1219" s="4">
        <v>1</v>
      </c>
      <c r="AC1219" s="4">
        <v>1</v>
      </c>
      <c r="AD1219" s="4">
        <v>0</v>
      </c>
      <c r="AE1219" s="4">
        <v>0</v>
      </c>
      <c r="AF1219" s="4">
        <v>0</v>
      </c>
      <c r="AG1219" s="4">
        <v>0</v>
      </c>
      <c r="AH1219" s="4">
        <v>0</v>
      </c>
      <c r="AI1219" s="4">
        <v>0</v>
      </c>
      <c r="AJ1219" s="4">
        <v>0</v>
      </c>
      <c r="AK1219" s="4">
        <v>0</v>
      </c>
      <c r="AL1219" s="4">
        <v>0</v>
      </c>
      <c r="AM1219" s="4">
        <v>0</v>
      </c>
      <c r="AN1219" s="4">
        <v>0</v>
      </c>
      <c r="AO1219" s="4">
        <v>0</v>
      </c>
      <c r="AP1219" s="3" t="s">
        <v>58</v>
      </c>
      <c r="AQ1219" s="3" t="s">
        <v>68</v>
      </c>
      <c r="AR1219" s="6" t="str">
        <f>HYPERLINK("http://catalog.hathitrust.org/Record/003022492","HathiTrust Record")</f>
        <v>HathiTrust Record</v>
      </c>
      <c r="AS1219" s="6" t="str">
        <f>HYPERLINK("https://creighton-primo.hosted.exlibrisgroup.com/primo-explore/search?tab=default_tab&amp;search_scope=EVERYTHING&amp;vid=01CRU&amp;lang=en_US&amp;offset=0&amp;query=any,contains,991002458219702656","Catalog Record")</f>
        <v>Catalog Record</v>
      </c>
      <c r="AT1219" s="6" t="str">
        <f>HYPERLINK("http://www.worldcat.org/oclc/32048167","WorldCat Record")</f>
        <v>WorldCat Record</v>
      </c>
      <c r="AU1219" s="3" t="s">
        <v>15396</v>
      </c>
      <c r="AV1219" s="3" t="s">
        <v>15397</v>
      </c>
      <c r="AW1219" s="3" t="s">
        <v>15398</v>
      </c>
      <c r="AX1219" s="3" t="s">
        <v>15398</v>
      </c>
      <c r="AY1219" s="3" t="s">
        <v>15399</v>
      </c>
      <c r="AZ1219" s="3" t="s">
        <v>73</v>
      </c>
      <c r="BB1219" s="3" t="s">
        <v>15400</v>
      </c>
      <c r="BC1219" s="3" t="s">
        <v>15401</v>
      </c>
      <c r="BD1219" s="3" t="s">
        <v>15402</v>
      </c>
    </row>
    <row r="1220" spans="1:56" ht="51" customHeight="1" x14ac:dyDescent="0.25">
      <c r="A1220" s="7" t="s">
        <v>58</v>
      </c>
      <c r="B1220" s="2" t="s">
        <v>15403</v>
      </c>
      <c r="C1220" s="2" t="s">
        <v>15404</v>
      </c>
      <c r="D1220" s="2" t="s">
        <v>15405</v>
      </c>
      <c r="F1220" s="3" t="s">
        <v>58</v>
      </c>
      <c r="G1220" s="3" t="s">
        <v>59</v>
      </c>
      <c r="H1220" s="3" t="s">
        <v>58</v>
      </c>
      <c r="I1220" s="3" t="s">
        <v>58</v>
      </c>
      <c r="J1220" s="3" t="s">
        <v>60</v>
      </c>
      <c r="K1220" s="2" t="s">
        <v>15406</v>
      </c>
      <c r="L1220" s="2" t="s">
        <v>12468</v>
      </c>
      <c r="M1220" s="3" t="s">
        <v>423</v>
      </c>
      <c r="N1220" s="2" t="s">
        <v>15407</v>
      </c>
      <c r="O1220" s="3" t="s">
        <v>63</v>
      </c>
      <c r="P1220" s="3" t="s">
        <v>214</v>
      </c>
      <c r="R1220" s="3" t="s">
        <v>65</v>
      </c>
      <c r="S1220" s="4">
        <v>22</v>
      </c>
      <c r="T1220" s="4">
        <v>22</v>
      </c>
      <c r="U1220" s="5" t="s">
        <v>11493</v>
      </c>
      <c r="V1220" s="5" t="s">
        <v>11493</v>
      </c>
      <c r="W1220" s="5" t="s">
        <v>15408</v>
      </c>
      <c r="X1220" s="5" t="s">
        <v>15408</v>
      </c>
      <c r="Y1220" s="4">
        <v>78</v>
      </c>
      <c r="Z1220" s="4">
        <v>69</v>
      </c>
      <c r="AA1220" s="4">
        <v>419</v>
      </c>
      <c r="AB1220" s="4">
        <v>1</v>
      </c>
      <c r="AC1220" s="4">
        <v>4</v>
      </c>
      <c r="AD1220" s="4">
        <v>5</v>
      </c>
      <c r="AE1220" s="4">
        <v>20</v>
      </c>
      <c r="AF1220" s="4">
        <v>4</v>
      </c>
      <c r="AG1220" s="4">
        <v>8</v>
      </c>
      <c r="AH1220" s="4">
        <v>2</v>
      </c>
      <c r="AI1220" s="4">
        <v>5</v>
      </c>
      <c r="AJ1220" s="4">
        <v>1</v>
      </c>
      <c r="AK1220" s="4">
        <v>9</v>
      </c>
      <c r="AL1220" s="4">
        <v>0</v>
      </c>
      <c r="AM1220" s="4">
        <v>3</v>
      </c>
      <c r="AN1220" s="4">
        <v>0</v>
      </c>
      <c r="AO1220" s="4">
        <v>0</v>
      </c>
      <c r="AP1220" s="3" t="s">
        <v>58</v>
      </c>
      <c r="AQ1220" s="3" t="s">
        <v>58</v>
      </c>
      <c r="AS1220" s="6" t="str">
        <f>HYPERLINK("https://creighton-primo.hosted.exlibrisgroup.com/primo-explore/search?tab=default_tab&amp;search_scope=EVERYTHING&amp;vid=01CRU&amp;lang=en_US&amp;offset=0&amp;query=any,contains,991002923499702656","Catalog Record")</f>
        <v>Catalog Record</v>
      </c>
      <c r="AT1220" s="6" t="str">
        <f>HYPERLINK("http://www.worldcat.org/oclc/38855406","WorldCat Record")</f>
        <v>WorldCat Record</v>
      </c>
      <c r="AU1220" s="3" t="s">
        <v>15409</v>
      </c>
      <c r="AV1220" s="3" t="s">
        <v>15410</v>
      </c>
      <c r="AW1220" s="3" t="s">
        <v>15411</v>
      </c>
      <c r="AX1220" s="3" t="s">
        <v>15411</v>
      </c>
      <c r="AY1220" s="3" t="s">
        <v>15412</v>
      </c>
      <c r="AZ1220" s="3" t="s">
        <v>73</v>
      </c>
      <c r="BB1220" s="3" t="s">
        <v>15413</v>
      </c>
      <c r="BC1220" s="3" t="s">
        <v>15414</v>
      </c>
      <c r="BD1220" s="3" t="s">
        <v>15415</v>
      </c>
    </row>
    <row r="1221" spans="1:56" ht="51" customHeight="1" x14ac:dyDescent="0.25">
      <c r="A1221" s="7" t="s">
        <v>58</v>
      </c>
      <c r="B1221" s="2" t="s">
        <v>15416</v>
      </c>
      <c r="C1221" s="2" t="s">
        <v>15417</v>
      </c>
      <c r="D1221" s="2" t="s">
        <v>15418</v>
      </c>
      <c r="F1221" s="3" t="s">
        <v>58</v>
      </c>
      <c r="G1221" s="3" t="s">
        <v>59</v>
      </c>
      <c r="H1221" s="3" t="s">
        <v>58</v>
      </c>
      <c r="I1221" s="3" t="s">
        <v>58</v>
      </c>
      <c r="J1221" s="3" t="s">
        <v>60</v>
      </c>
      <c r="K1221" s="2" t="s">
        <v>15419</v>
      </c>
      <c r="L1221" s="2" t="s">
        <v>15420</v>
      </c>
      <c r="M1221" s="3" t="s">
        <v>2295</v>
      </c>
      <c r="N1221" s="2" t="s">
        <v>338</v>
      </c>
      <c r="O1221" s="3" t="s">
        <v>63</v>
      </c>
      <c r="P1221" s="3" t="s">
        <v>214</v>
      </c>
      <c r="Q1221" s="2" t="s">
        <v>15421</v>
      </c>
      <c r="R1221" s="3" t="s">
        <v>65</v>
      </c>
      <c r="S1221" s="4">
        <v>2</v>
      </c>
      <c r="T1221" s="4">
        <v>2</v>
      </c>
      <c r="U1221" s="5" t="s">
        <v>11123</v>
      </c>
      <c r="V1221" s="5" t="s">
        <v>11123</v>
      </c>
      <c r="W1221" s="5" t="s">
        <v>140</v>
      </c>
      <c r="X1221" s="5" t="s">
        <v>140</v>
      </c>
      <c r="Y1221" s="4">
        <v>219</v>
      </c>
      <c r="Z1221" s="4">
        <v>169</v>
      </c>
      <c r="AA1221" s="4">
        <v>210</v>
      </c>
      <c r="AB1221" s="4">
        <v>2</v>
      </c>
      <c r="AC1221" s="4">
        <v>2</v>
      </c>
      <c r="AD1221" s="4">
        <v>11</v>
      </c>
      <c r="AE1221" s="4">
        <v>13</v>
      </c>
      <c r="AF1221" s="4">
        <v>3</v>
      </c>
      <c r="AG1221" s="4">
        <v>4</v>
      </c>
      <c r="AH1221" s="4">
        <v>4</v>
      </c>
      <c r="AI1221" s="4">
        <v>5</v>
      </c>
      <c r="AJ1221" s="4">
        <v>6</v>
      </c>
      <c r="AK1221" s="4">
        <v>6</v>
      </c>
      <c r="AL1221" s="4">
        <v>1</v>
      </c>
      <c r="AM1221" s="4">
        <v>1</v>
      </c>
      <c r="AN1221" s="4">
        <v>0</v>
      </c>
      <c r="AO1221" s="4">
        <v>0</v>
      </c>
      <c r="AP1221" s="3" t="s">
        <v>58</v>
      </c>
      <c r="AQ1221" s="3" t="s">
        <v>58</v>
      </c>
      <c r="AS1221" s="6" t="str">
        <f>HYPERLINK("https://creighton-primo.hosted.exlibrisgroup.com/primo-explore/search?tab=default_tab&amp;search_scope=EVERYTHING&amp;vid=01CRU&amp;lang=en_US&amp;offset=0&amp;query=any,contains,991004268239702656","Catalog Record")</f>
        <v>Catalog Record</v>
      </c>
      <c r="AT1221" s="6" t="str">
        <f>HYPERLINK("http://www.worldcat.org/oclc/51879680","WorldCat Record")</f>
        <v>WorldCat Record</v>
      </c>
      <c r="AU1221" s="3" t="s">
        <v>15422</v>
      </c>
      <c r="AV1221" s="3" t="s">
        <v>15423</v>
      </c>
      <c r="AW1221" s="3" t="s">
        <v>15424</v>
      </c>
      <c r="AX1221" s="3" t="s">
        <v>15424</v>
      </c>
      <c r="AY1221" s="3" t="s">
        <v>15425</v>
      </c>
      <c r="AZ1221" s="3" t="s">
        <v>73</v>
      </c>
      <c r="BB1221" s="3" t="s">
        <v>15426</v>
      </c>
      <c r="BC1221" s="3" t="s">
        <v>15427</v>
      </c>
      <c r="BD1221" s="3" t="s">
        <v>15428</v>
      </c>
    </row>
    <row r="1222" spans="1:56" ht="51" customHeight="1" x14ac:dyDescent="0.25">
      <c r="A1222" s="7" t="s">
        <v>58</v>
      </c>
      <c r="B1222" s="2" t="s">
        <v>15429</v>
      </c>
      <c r="C1222" s="2" t="s">
        <v>15430</v>
      </c>
      <c r="D1222" s="2" t="s">
        <v>15431</v>
      </c>
      <c r="F1222" s="3" t="s">
        <v>58</v>
      </c>
      <c r="G1222" s="3" t="s">
        <v>59</v>
      </c>
      <c r="H1222" s="3" t="s">
        <v>58</v>
      </c>
      <c r="I1222" s="3" t="s">
        <v>58</v>
      </c>
      <c r="J1222" s="3" t="s">
        <v>60</v>
      </c>
      <c r="K1222" s="2" t="s">
        <v>15432</v>
      </c>
      <c r="L1222" s="2" t="s">
        <v>15433</v>
      </c>
      <c r="M1222" s="3" t="s">
        <v>423</v>
      </c>
      <c r="O1222" s="3" t="s">
        <v>63</v>
      </c>
      <c r="P1222" s="3" t="s">
        <v>3323</v>
      </c>
      <c r="Q1222" s="2" t="s">
        <v>13546</v>
      </c>
      <c r="R1222" s="3" t="s">
        <v>65</v>
      </c>
      <c r="S1222" s="4">
        <v>3</v>
      </c>
      <c r="T1222" s="4">
        <v>3</v>
      </c>
      <c r="U1222" s="5" t="s">
        <v>14076</v>
      </c>
      <c r="V1222" s="5" t="s">
        <v>14076</v>
      </c>
      <c r="W1222" s="5" t="s">
        <v>15434</v>
      </c>
      <c r="X1222" s="5" t="s">
        <v>15434</v>
      </c>
      <c r="Y1222" s="4">
        <v>37</v>
      </c>
      <c r="Z1222" s="4">
        <v>18</v>
      </c>
      <c r="AA1222" s="4">
        <v>150</v>
      </c>
      <c r="AB1222" s="4">
        <v>1</v>
      </c>
      <c r="AC1222" s="4">
        <v>2</v>
      </c>
      <c r="AD1222" s="4">
        <v>2</v>
      </c>
      <c r="AE1222" s="4">
        <v>9</v>
      </c>
      <c r="AF1222" s="4">
        <v>0</v>
      </c>
      <c r="AG1222" s="4">
        <v>1</v>
      </c>
      <c r="AH1222" s="4">
        <v>0</v>
      </c>
      <c r="AI1222" s="4">
        <v>3</v>
      </c>
      <c r="AJ1222" s="4">
        <v>2</v>
      </c>
      <c r="AK1222" s="4">
        <v>7</v>
      </c>
      <c r="AL1222" s="4">
        <v>0</v>
      </c>
      <c r="AM1222" s="4">
        <v>1</v>
      </c>
      <c r="AN1222" s="4">
        <v>0</v>
      </c>
      <c r="AO1222" s="4">
        <v>0</v>
      </c>
      <c r="AP1222" s="3" t="s">
        <v>58</v>
      </c>
      <c r="AQ1222" s="3" t="s">
        <v>58</v>
      </c>
      <c r="AS1222" s="6" t="str">
        <f>HYPERLINK("https://creighton-primo.hosted.exlibrisgroup.com/primo-explore/search?tab=default_tab&amp;search_scope=EVERYTHING&amp;vid=01CRU&amp;lang=en_US&amp;offset=0&amp;query=any,contains,991003866369702656","Catalog Record")</f>
        <v>Catalog Record</v>
      </c>
      <c r="AT1222" s="6" t="str">
        <f>HYPERLINK("http://www.worldcat.org/oclc/41019541","WorldCat Record")</f>
        <v>WorldCat Record</v>
      </c>
      <c r="AU1222" s="3" t="s">
        <v>15435</v>
      </c>
      <c r="AV1222" s="3" t="s">
        <v>15436</v>
      </c>
      <c r="AW1222" s="3" t="s">
        <v>15437</v>
      </c>
      <c r="AX1222" s="3" t="s">
        <v>15437</v>
      </c>
      <c r="AY1222" s="3" t="s">
        <v>15438</v>
      </c>
      <c r="AZ1222" s="3" t="s">
        <v>73</v>
      </c>
      <c r="BB1222" s="3" t="s">
        <v>15439</v>
      </c>
      <c r="BC1222" s="3" t="s">
        <v>15440</v>
      </c>
      <c r="BD1222" s="3" t="s">
        <v>15441</v>
      </c>
    </row>
    <row r="1223" spans="1:56" ht="51" customHeight="1" x14ac:dyDescent="0.25">
      <c r="A1223" s="7" t="s">
        <v>58</v>
      </c>
      <c r="B1223" s="2" t="s">
        <v>15442</v>
      </c>
      <c r="C1223" s="2" t="s">
        <v>15443</v>
      </c>
      <c r="D1223" s="2" t="s">
        <v>15444</v>
      </c>
      <c r="F1223" s="3" t="s">
        <v>58</v>
      </c>
      <c r="G1223" s="3" t="s">
        <v>59</v>
      </c>
      <c r="H1223" s="3" t="s">
        <v>58</v>
      </c>
      <c r="I1223" s="3" t="s">
        <v>58</v>
      </c>
      <c r="J1223" s="3" t="s">
        <v>60</v>
      </c>
      <c r="K1223" s="2" t="s">
        <v>15445</v>
      </c>
      <c r="L1223" s="2" t="s">
        <v>15446</v>
      </c>
      <c r="M1223" s="3" t="s">
        <v>62</v>
      </c>
      <c r="O1223" s="3" t="s">
        <v>63</v>
      </c>
      <c r="P1223" s="3" t="s">
        <v>3323</v>
      </c>
      <c r="Q1223" s="2" t="s">
        <v>15447</v>
      </c>
      <c r="R1223" s="3" t="s">
        <v>65</v>
      </c>
      <c r="S1223" s="4">
        <v>1</v>
      </c>
      <c r="T1223" s="4">
        <v>1</v>
      </c>
      <c r="U1223" s="5" t="s">
        <v>15448</v>
      </c>
      <c r="V1223" s="5" t="s">
        <v>15448</v>
      </c>
      <c r="W1223" s="5" t="s">
        <v>2034</v>
      </c>
      <c r="X1223" s="5" t="s">
        <v>2034</v>
      </c>
      <c r="Y1223" s="4">
        <v>302</v>
      </c>
      <c r="Z1223" s="4">
        <v>275</v>
      </c>
      <c r="AA1223" s="4">
        <v>351</v>
      </c>
      <c r="AB1223" s="4">
        <v>2</v>
      </c>
      <c r="AC1223" s="4">
        <v>3</v>
      </c>
      <c r="AD1223" s="4">
        <v>11</v>
      </c>
      <c r="AE1223" s="4">
        <v>13</v>
      </c>
      <c r="AF1223" s="4">
        <v>2</v>
      </c>
      <c r="AG1223" s="4">
        <v>2</v>
      </c>
      <c r="AH1223" s="4">
        <v>3</v>
      </c>
      <c r="AI1223" s="4">
        <v>4</v>
      </c>
      <c r="AJ1223" s="4">
        <v>7</v>
      </c>
      <c r="AK1223" s="4">
        <v>7</v>
      </c>
      <c r="AL1223" s="4">
        <v>1</v>
      </c>
      <c r="AM1223" s="4">
        <v>2</v>
      </c>
      <c r="AN1223" s="4">
        <v>0</v>
      </c>
      <c r="AO1223" s="4">
        <v>0</v>
      </c>
      <c r="AP1223" s="3" t="s">
        <v>58</v>
      </c>
      <c r="AQ1223" s="3" t="s">
        <v>68</v>
      </c>
      <c r="AR1223" s="6" t="str">
        <f>HYPERLINK("http://catalog.hathitrust.org/Record/000007367","HathiTrust Record")</f>
        <v>HathiTrust Record</v>
      </c>
      <c r="AS1223" s="6" t="str">
        <f>HYPERLINK("https://creighton-primo.hosted.exlibrisgroup.com/primo-explore/search?tab=default_tab&amp;search_scope=EVERYTHING&amp;vid=01CRU&amp;lang=en_US&amp;offset=0&amp;query=any,contains,991002814009702656","Catalog Record")</f>
        <v>Catalog Record</v>
      </c>
      <c r="AT1223" s="6" t="str">
        <f>HYPERLINK("http://www.worldcat.org/oclc/457093","WorldCat Record")</f>
        <v>WorldCat Record</v>
      </c>
      <c r="AU1223" s="3" t="s">
        <v>15449</v>
      </c>
      <c r="AV1223" s="3" t="s">
        <v>15450</v>
      </c>
      <c r="AW1223" s="3" t="s">
        <v>15451</v>
      </c>
      <c r="AX1223" s="3" t="s">
        <v>15451</v>
      </c>
      <c r="AY1223" s="3" t="s">
        <v>15452</v>
      </c>
      <c r="AZ1223" s="3" t="s">
        <v>73</v>
      </c>
      <c r="BC1223" s="3" t="s">
        <v>15453</v>
      </c>
      <c r="BD1223" s="3" t="s">
        <v>15454</v>
      </c>
    </row>
    <row r="1224" spans="1:56" ht="51" customHeight="1" x14ac:dyDescent="0.25">
      <c r="A1224" s="7" t="s">
        <v>58</v>
      </c>
      <c r="B1224" s="2" t="s">
        <v>15455</v>
      </c>
      <c r="C1224" s="2" t="s">
        <v>15456</v>
      </c>
      <c r="D1224" s="2" t="s">
        <v>15457</v>
      </c>
      <c r="F1224" s="3" t="s">
        <v>58</v>
      </c>
      <c r="G1224" s="3" t="s">
        <v>59</v>
      </c>
      <c r="H1224" s="3" t="s">
        <v>58</v>
      </c>
      <c r="I1224" s="3" t="s">
        <v>58</v>
      </c>
      <c r="J1224" s="3" t="s">
        <v>60</v>
      </c>
      <c r="K1224" s="2" t="s">
        <v>15458</v>
      </c>
      <c r="L1224" s="2" t="s">
        <v>15459</v>
      </c>
      <c r="M1224" s="3" t="s">
        <v>2757</v>
      </c>
      <c r="O1224" s="3" t="s">
        <v>63</v>
      </c>
      <c r="P1224" s="3" t="s">
        <v>214</v>
      </c>
      <c r="Q1224" s="2" t="s">
        <v>15460</v>
      </c>
      <c r="R1224" s="3" t="s">
        <v>65</v>
      </c>
      <c r="S1224" s="4">
        <v>2</v>
      </c>
      <c r="T1224" s="4">
        <v>2</v>
      </c>
      <c r="U1224" s="5" t="s">
        <v>15461</v>
      </c>
      <c r="V1224" s="5" t="s">
        <v>15461</v>
      </c>
      <c r="W1224" s="5" t="s">
        <v>11927</v>
      </c>
      <c r="X1224" s="5" t="s">
        <v>11927</v>
      </c>
      <c r="Y1224" s="4">
        <v>837</v>
      </c>
      <c r="Z1224" s="4">
        <v>709</v>
      </c>
      <c r="AA1224" s="4">
        <v>717</v>
      </c>
      <c r="AB1224" s="4">
        <v>5</v>
      </c>
      <c r="AC1224" s="4">
        <v>5</v>
      </c>
      <c r="AD1224" s="4">
        <v>28</v>
      </c>
      <c r="AE1224" s="4">
        <v>28</v>
      </c>
      <c r="AF1224" s="4">
        <v>10</v>
      </c>
      <c r="AG1224" s="4">
        <v>10</v>
      </c>
      <c r="AH1224" s="4">
        <v>8</v>
      </c>
      <c r="AI1224" s="4">
        <v>8</v>
      </c>
      <c r="AJ1224" s="4">
        <v>13</v>
      </c>
      <c r="AK1224" s="4">
        <v>13</v>
      </c>
      <c r="AL1224" s="4">
        <v>4</v>
      </c>
      <c r="AM1224" s="4">
        <v>4</v>
      </c>
      <c r="AN1224" s="4">
        <v>0</v>
      </c>
      <c r="AO1224" s="4">
        <v>0</v>
      </c>
      <c r="AP1224" s="3" t="s">
        <v>58</v>
      </c>
      <c r="AQ1224" s="3" t="s">
        <v>68</v>
      </c>
      <c r="AR1224" s="6" t="str">
        <f>HYPERLINK("http://catalog.hathitrust.org/Record/001254054","HathiTrust Record")</f>
        <v>HathiTrust Record</v>
      </c>
      <c r="AS1224" s="6" t="str">
        <f>HYPERLINK("https://creighton-primo.hosted.exlibrisgroup.com/primo-explore/search?tab=default_tab&amp;search_scope=EVERYTHING&amp;vid=01CRU&amp;lang=en_US&amp;offset=0&amp;query=any,contains,991002711449702656","Catalog Record")</f>
        <v>Catalog Record</v>
      </c>
      <c r="AT1224" s="6" t="str">
        <f>HYPERLINK("http://www.worldcat.org/oclc/409408","WorldCat Record")</f>
        <v>WorldCat Record</v>
      </c>
      <c r="AU1224" s="3" t="s">
        <v>15462</v>
      </c>
      <c r="AV1224" s="3" t="s">
        <v>15463</v>
      </c>
      <c r="AW1224" s="3" t="s">
        <v>15464</v>
      </c>
      <c r="AX1224" s="3" t="s">
        <v>15464</v>
      </c>
      <c r="AY1224" s="3" t="s">
        <v>15465</v>
      </c>
      <c r="AZ1224" s="3" t="s">
        <v>73</v>
      </c>
      <c r="BC1224" s="3" t="s">
        <v>15466</v>
      </c>
      <c r="BD1224" s="3" t="s">
        <v>15467</v>
      </c>
    </row>
    <row r="1225" spans="1:56" ht="51" customHeight="1" x14ac:dyDescent="0.25">
      <c r="A1225" s="7" t="s">
        <v>58</v>
      </c>
      <c r="B1225" s="2" t="s">
        <v>15468</v>
      </c>
      <c r="C1225" s="2" t="s">
        <v>15469</v>
      </c>
      <c r="D1225" s="2" t="s">
        <v>15470</v>
      </c>
      <c r="F1225" s="3" t="s">
        <v>58</v>
      </c>
      <c r="G1225" s="3" t="s">
        <v>59</v>
      </c>
      <c r="H1225" s="3" t="s">
        <v>58</v>
      </c>
      <c r="I1225" s="3" t="s">
        <v>58</v>
      </c>
      <c r="J1225" s="3" t="s">
        <v>60</v>
      </c>
      <c r="K1225" s="2" t="s">
        <v>15471</v>
      </c>
      <c r="L1225" s="2" t="s">
        <v>15472</v>
      </c>
      <c r="M1225" s="3" t="s">
        <v>2757</v>
      </c>
      <c r="O1225" s="3" t="s">
        <v>63</v>
      </c>
      <c r="P1225" s="3" t="s">
        <v>571</v>
      </c>
      <c r="R1225" s="3" t="s">
        <v>65</v>
      </c>
      <c r="S1225" s="4">
        <v>4</v>
      </c>
      <c r="T1225" s="4">
        <v>4</v>
      </c>
      <c r="U1225" s="5" t="s">
        <v>15473</v>
      </c>
      <c r="V1225" s="5" t="s">
        <v>15473</v>
      </c>
      <c r="W1225" s="5" t="s">
        <v>11927</v>
      </c>
      <c r="X1225" s="5" t="s">
        <v>11927</v>
      </c>
      <c r="Y1225" s="4">
        <v>177</v>
      </c>
      <c r="Z1225" s="4">
        <v>161</v>
      </c>
      <c r="AA1225" s="4">
        <v>205</v>
      </c>
      <c r="AB1225" s="4">
        <v>1</v>
      </c>
      <c r="AC1225" s="4">
        <v>2</v>
      </c>
      <c r="AD1225" s="4">
        <v>4</v>
      </c>
      <c r="AE1225" s="4">
        <v>6</v>
      </c>
      <c r="AF1225" s="4">
        <v>1</v>
      </c>
      <c r="AG1225" s="4">
        <v>1</v>
      </c>
      <c r="AH1225" s="4">
        <v>2</v>
      </c>
      <c r="AI1225" s="4">
        <v>3</v>
      </c>
      <c r="AJ1225" s="4">
        <v>3</v>
      </c>
      <c r="AK1225" s="4">
        <v>3</v>
      </c>
      <c r="AL1225" s="4">
        <v>0</v>
      </c>
      <c r="AM1225" s="4">
        <v>1</v>
      </c>
      <c r="AN1225" s="4">
        <v>0</v>
      </c>
      <c r="AO1225" s="4">
        <v>0</v>
      </c>
      <c r="AP1225" s="3" t="s">
        <v>58</v>
      </c>
      <c r="AQ1225" s="3" t="s">
        <v>58</v>
      </c>
      <c r="AS1225" s="6" t="str">
        <f>HYPERLINK("https://creighton-primo.hosted.exlibrisgroup.com/primo-explore/search?tab=default_tab&amp;search_scope=EVERYTHING&amp;vid=01CRU&amp;lang=en_US&amp;offset=0&amp;query=any,contains,991003760499702656","Catalog Record")</f>
        <v>Catalog Record</v>
      </c>
      <c r="AT1225" s="6" t="str">
        <f>HYPERLINK("http://www.worldcat.org/oclc/1447250","WorldCat Record")</f>
        <v>WorldCat Record</v>
      </c>
      <c r="AU1225" s="3" t="s">
        <v>15474</v>
      </c>
      <c r="AV1225" s="3" t="s">
        <v>15475</v>
      </c>
      <c r="AW1225" s="3" t="s">
        <v>15476</v>
      </c>
      <c r="AX1225" s="3" t="s">
        <v>15476</v>
      </c>
      <c r="AY1225" s="3" t="s">
        <v>15477</v>
      </c>
      <c r="AZ1225" s="3" t="s">
        <v>73</v>
      </c>
      <c r="BC1225" s="3" t="s">
        <v>15478</v>
      </c>
      <c r="BD1225" s="3" t="s">
        <v>15479</v>
      </c>
    </row>
    <row r="1226" spans="1:56" ht="51" customHeight="1" x14ac:dyDescent="0.25">
      <c r="A1226" s="7" t="s">
        <v>58</v>
      </c>
      <c r="B1226" s="2" t="s">
        <v>15480</v>
      </c>
      <c r="C1226" s="2" t="s">
        <v>15481</v>
      </c>
      <c r="D1226" s="2" t="s">
        <v>15482</v>
      </c>
      <c r="F1226" s="3" t="s">
        <v>58</v>
      </c>
      <c r="G1226" s="3" t="s">
        <v>59</v>
      </c>
      <c r="H1226" s="3" t="s">
        <v>58</v>
      </c>
      <c r="I1226" s="3" t="s">
        <v>58</v>
      </c>
      <c r="J1226" s="3" t="s">
        <v>60</v>
      </c>
      <c r="K1226" s="2" t="s">
        <v>15483</v>
      </c>
      <c r="L1226" s="2" t="s">
        <v>15484</v>
      </c>
      <c r="M1226" s="3" t="s">
        <v>62</v>
      </c>
      <c r="O1226" s="3" t="s">
        <v>63</v>
      </c>
      <c r="P1226" s="3" t="s">
        <v>2061</v>
      </c>
      <c r="R1226" s="3" t="s">
        <v>65</v>
      </c>
      <c r="S1226" s="4">
        <v>6</v>
      </c>
      <c r="T1226" s="4">
        <v>6</v>
      </c>
      <c r="U1226" s="5" t="s">
        <v>15485</v>
      </c>
      <c r="V1226" s="5" t="s">
        <v>15485</v>
      </c>
      <c r="W1226" s="5" t="s">
        <v>11927</v>
      </c>
      <c r="X1226" s="5" t="s">
        <v>11927</v>
      </c>
      <c r="Y1226" s="4">
        <v>649</v>
      </c>
      <c r="Z1226" s="4">
        <v>556</v>
      </c>
      <c r="AA1226" s="4">
        <v>575</v>
      </c>
      <c r="AB1226" s="4">
        <v>4</v>
      </c>
      <c r="AC1226" s="4">
        <v>4</v>
      </c>
      <c r="AD1226" s="4">
        <v>25</v>
      </c>
      <c r="AE1226" s="4">
        <v>25</v>
      </c>
      <c r="AF1226" s="4">
        <v>11</v>
      </c>
      <c r="AG1226" s="4">
        <v>11</v>
      </c>
      <c r="AH1226" s="4">
        <v>6</v>
      </c>
      <c r="AI1226" s="4">
        <v>6</v>
      </c>
      <c r="AJ1226" s="4">
        <v>10</v>
      </c>
      <c r="AK1226" s="4">
        <v>10</v>
      </c>
      <c r="AL1226" s="4">
        <v>3</v>
      </c>
      <c r="AM1226" s="4">
        <v>3</v>
      </c>
      <c r="AN1226" s="4">
        <v>0</v>
      </c>
      <c r="AO1226" s="4">
        <v>0</v>
      </c>
      <c r="AP1226" s="3" t="s">
        <v>58</v>
      </c>
      <c r="AQ1226" s="3" t="s">
        <v>68</v>
      </c>
      <c r="AR1226" s="6" t="str">
        <f>HYPERLINK("http://catalog.hathitrust.org/Record/001869751","HathiTrust Record")</f>
        <v>HathiTrust Record</v>
      </c>
      <c r="AS1226" s="6" t="str">
        <f>HYPERLINK("https://creighton-primo.hosted.exlibrisgroup.com/primo-explore/search?tab=default_tab&amp;search_scope=EVERYTHING&amp;vid=01CRU&amp;lang=en_US&amp;offset=0&amp;query=any,contains,991005358139702656","Catalog Record")</f>
        <v>Catalog Record</v>
      </c>
      <c r="AT1226" s="6" t="str">
        <f>HYPERLINK("http://www.worldcat.org/oclc/1275342","WorldCat Record")</f>
        <v>WorldCat Record</v>
      </c>
      <c r="AU1226" s="3" t="s">
        <v>15486</v>
      </c>
      <c r="AV1226" s="3" t="s">
        <v>15487</v>
      </c>
      <c r="AW1226" s="3" t="s">
        <v>15488</v>
      </c>
      <c r="AX1226" s="3" t="s">
        <v>15488</v>
      </c>
      <c r="AY1226" s="3" t="s">
        <v>15489</v>
      </c>
      <c r="AZ1226" s="3" t="s">
        <v>73</v>
      </c>
      <c r="BB1226" s="3" t="s">
        <v>15490</v>
      </c>
      <c r="BC1226" s="3" t="s">
        <v>15491</v>
      </c>
      <c r="BD1226" s="3" t="s">
        <v>15492</v>
      </c>
    </row>
    <row r="1227" spans="1:56" ht="51" customHeight="1" x14ac:dyDescent="0.25">
      <c r="A1227" s="7" t="s">
        <v>58</v>
      </c>
      <c r="B1227" s="2" t="s">
        <v>15493</v>
      </c>
      <c r="C1227" s="2" t="s">
        <v>15494</v>
      </c>
      <c r="D1227" s="2" t="s">
        <v>15495</v>
      </c>
      <c r="F1227" s="3" t="s">
        <v>58</v>
      </c>
      <c r="G1227" s="3" t="s">
        <v>59</v>
      </c>
      <c r="H1227" s="3" t="s">
        <v>58</v>
      </c>
      <c r="I1227" s="3" t="s">
        <v>58</v>
      </c>
      <c r="J1227" s="3" t="s">
        <v>60</v>
      </c>
      <c r="K1227" s="2" t="s">
        <v>15496</v>
      </c>
      <c r="L1227" s="2" t="s">
        <v>13939</v>
      </c>
      <c r="M1227" s="3" t="s">
        <v>1385</v>
      </c>
      <c r="O1227" s="3" t="s">
        <v>63</v>
      </c>
      <c r="P1227" s="3" t="s">
        <v>411</v>
      </c>
      <c r="R1227" s="3" t="s">
        <v>65</v>
      </c>
      <c r="S1227" s="4">
        <v>4</v>
      </c>
      <c r="T1227" s="4">
        <v>4</v>
      </c>
      <c r="U1227" s="5" t="s">
        <v>15497</v>
      </c>
      <c r="V1227" s="5" t="s">
        <v>15497</v>
      </c>
      <c r="W1227" s="5" t="s">
        <v>14853</v>
      </c>
      <c r="X1227" s="5" t="s">
        <v>14853</v>
      </c>
      <c r="Y1227" s="4">
        <v>131</v>
      </c>
      <c r="Z1227" s="4">
        <v>105</v>
      </c>
      <c r="AA1227" s="4">
        <v>309</v>
      </c>
      <c r="AB1227" s="4">
        <v>2</v>
      </c>
      <c r="AC1227" s="4">
        <v>3</v>
      </c>
      <c r="AD1227" s="4">
        <v>7</v>
      </c>
      <c r="AE1227" s="4">
        <v>13</v>
      </c>
      <c r="AF1227" s="4">
        <v>2</v>
      </c>
      <c r="AG1227" s="4">
        <v>3</v>
      </c>
      <c r="AH1227" s="4">
        <v>2</v>
      </c>
      <c r="AI1227" s="4">
        <v>4</v>
      </c>
      <c r="AJ1227" s="4">
        <v>6</v>
      </c>
      <c r="AK1227" s="4">
        <v>8</v>
      </c>
      <c r="AL1227" s="4">
        <v>1</v>
      </c>
      <c r="AM1227" s="4">
        <v>2</v>
      </c>
      <c r="AN1227" s="4">
        <v>0</v>
      </c>
      <c r="AO1227" s="4">
        <v>0</v>
      </c>
      <c r="AP1227" s="3" t="s">
        <v>58</v>
      </c>
      <c r="AQ1227" s="3" t="s">
        <v>68</v>
      </c>
      <c r="AR1227" s="6" t="str">
        <f>HYPERLINK("http://catalog.hathitrust.org/Record/000165080","HathiTrust Record")</f>
        <v>HathiTrust Record</v>
      </c>
      <c r="AS1227" s="6" t="str">
        <f>HYPERLINK("https://creighton-primo.hosted.exlibrisgroup.com/primo-explore/search?tab=default_tab&amp;search_scope=EVERYTHING&amp;vid=01CRU&amp;lang=en_US&amp;offset=0&amp;query=any,contains,991003557409702656","Catalog Record")</f>
        <v>Catalog Record</v>
      </c>
      <c r="AT1227" s="6" t="str">
        <f>HYPERLINK("http://www.worldcat.org/oclc/1126526","WorldCat Record")</f>
        <v>WorldCat Record</v>
      </c>
      <c r="AU1227" s="3" t="s">
        <v>15498</v>
      </c>
      <c r="AV1227" s="3" t="s">
        <v>15499</v>
      </c>
      <c r="AW1227" s="3" t="s">
        <v>15500</v>
      </c>
      <c r="AX1227" s="3" t="s">
        <v>15500</v>
      </c>
      <c r="AY1227" s="3" t="s">
        <v>15501</v>
      </c>
      <c r="AZ1227" s="3" t="s">
        <v>73</v>
      </c>
      <c r="BB1227" s="3" t="s">
        <v>15502</v>
      </c>
      <c r="BC1227" s="3" t="s">
        <v>15503</v>
      </c>
      <c r="BD1227" s="3" t="s">
        <v>15504</v>
      </c>
    </row>
    <row r="1228" spans="1:56" ht="51" customHeight="1" x14ac:dyDescent="0.25">
      <c r="A1228" s="7" t="s">
        <v>58</v>
      </c>
      <c r="B1228" s="2" t="s">
        <v>15505</v>
      </c>
      <c r="C1228" s="2" t="s">
        <v>15506</v>
      </c>
      <c r="D1228" s="2" t="s">
        <v>15507</v>
      </c>
      <c r="F1228" s="3" t="s">
        <v>58</v>
      </c>
      <c r="G1228" s="3" t="s">
        <v>59</v>
      </c>
      <c r="H1228" s="3" t="s">
        <v>58</v>
      </c>
      <c r="I1228" s="3" t="s">
        <v>58</v>
      </c>
      <c r="J1228" s="3" t="s">
        <v>60</v>
      </c>
      <c r="K1228" s="2" t="s">
        <v>15508</v>
      </c>
      <c r="L1228" s="2" t="s">
        <v>15509</v>
      </c>
      <c r="M1228" s="3" t="s">
        <v>2132</v>
      </c>
      <c r="O1228" s="3" t="s">
        <v>63</v>
      </c>
      <c r="P1228" s="3" t="s">
        <v>571</v>
      </c>
      <c r="R1228" s="3" t="s">
        <v>65</v>
      </c>
      <c r="S1228" s="4">
        <v>3</v>
      </c>
      <c r="T1228" s="4">
        <v>3</v>
      </c>
      <c r="U1228" s="5" t="s">
        <v>15510</v>
      </c>
      <c r="V1228" s="5" t="s">
        <v>15510</v>
      </c>
      <c r="W1228" s="5" t="s">
        <v>2034</v>
      </c>
      <c r="X1228" s="5" t="s">
        <v>2034</v>
      </c>
      <c r="Y1228" s="4">
        <v>120</v>
      </c>
      <c r="Z1228" s="4">
        <v>94</v>
      </c>
      <c r="AA1228" s="4">
        <v>116</v>
      </c>
      <c r="AB1228" s="4">
        <v>1</v>
      </c>
      <c r="AC1228" s="4">
        <v>2</v>
      </c>
      <c r="AD1228" s="4">
        <v>1</v>
      </c>
      <c r="AE1228" s="4">
        <v>2</v>
      </c>
      <c r="AF1228" s="4">
        <v>0</v>
      </c>
      <c r="AG1228" s="4">
        <v>0</v>
      </c>
      <c r="AH1228" s="4">
        <v>0</v>
      </c>
      <c r="AI1228" s="4">
        <v>0</v>
      </c>
      <c r="AJ1228" s="4">
        <v>1</v>
      </c>
      <c r="AK1228" s="4">
        <v>1</v>
      </c>
      <c r="AL1228" s="4">
        <v>0</v>
      </c>
      <c r="AM1228" s="4">
        <v>1</v>
      </c>
      <c r="AN1228" s="4">
        <v>0</v>
      </c>
      <c r="AO1228" s="4">
        <v>0</v>
      </c>
      <c r="AP1228" s="3" t="s">
        <v>58</v>
      </c>
      <c r="AQ1228" s="3" t="s">
        <v>68</v>
      </c>
      <c r="AR1228" s="6" t="str">
        <f>HYPERLINK("http://catalog.hathitrust.org/Record/001254181","HathiTrust Record")</f>
        <v>HathiTrust Record</v>
      </c>
      <c r="AS1228" s="6" t="str">
        <f>HYPERLINK("https://creighton-primo.hosted.exlibrisgroup.com/primo-explore/search?tab=default_tab&amp;search_scope=EVERYTHING&amp;vid=01CRU&amp;lang=en_US&amp;offset=0&amp;query=any,contains,991003397459702656","Catalog Record")</f>
        <v>Catalog Record</v>
      </c>
      <c r="AT1228" s="6" t="str">
        <f>HYPERLINK("http://www.worldcat.org/oclc/936342","WorldCat Record")</f>
        <v>WorldCat Record</v>
      </c>
      <c r="AU1228" s="3" t="s">
        <v>15511</v>
      </c>
      <c r="AV1228" s="3" t="s">
        <v>15512</v>
      </c>
      <c r="AW1228" s="3" t="s">
        <v>15513</v>
      </c>
      <c r="AX1228" s="3" t="s">
        <v>15513</v>
      </c>
      <c r="AY1228" s="3" t="s">
        <v>15514</v>
      </c>
      <c r="AZ1228" s="3" t="s">
        <v>73</v>
      </c>
      <c r="BC1228" s="3" t="s">
        <v>15515</v>
      </c>
      <c r="BD1228" s="3" t="s">
        <v>15516</v>
      </c>
    </row>
    <row r="1229" spans="1:56" ht="51" customHeight="1" x14ac:dyDescent="0.25">
      <c r="A1229" s="7" t="s">
        <v>58</v>
      </c>
      <c r="B1229" s="2" t="s">
        <v>15517</v>
      </c>
      <c r="C1229" s="2" t="s">
        <v>15518</v>
      </c>
      <c r="D1229" s="2" t="s">
        <v>15519</v>
      </c>
      <c r="F1229" s="3" t="s">
        <v>58</v>
      </c>
      <c r="G1229" s="3" t="s">
        <v>59</v>
      </c>
      <c r="H1229" s="3" t="s">
        <v>58</v>
      </c>
      <c r="I1229" s="3" t="s">
        <v>58</v>
      </c>
      <c r="J1229" s="3" t="s">
        <v>60</v>
      </c>
      <c r="K1229" s="2" t="s">
        <v>15520</v>
      </c>
      <c r="L1229" s="2" t="s">
        <v>15521</v>
      </c>
      <c r="M1229" s="3" t="s">
        <v>524</v>
      </c>
      <c r="O1229" s="3" t="s">
        <v>63</v>
      </c>
      <c r="P1229" s="3" t="s">
        <v>584</v>
      </c>
      <c r="R1229" s="3" t="s">
        <v>65</v>
      </c>
      <c r="S1229" s="4">
        <v>17</v>
      </c>
      <c r="T1229" s="4">
        <v>17</v>
      </c>
      <c r="U1229" s="5" t="s">
        <v>15522</v>
      </c>
      <c r="V1229" s="5" t="s">
        <v>15522</v>
      </c>
      <c r="W1229" s="5" t="s">
        <v>14853</v>
      </c>
      <c r="X1229" s="5" t="s">
        <v>14853</v>
      </c>
      <c r="Y1229" s="4">
        <v>376</v>
      </c>
      <c r="Z1229" s="4">
        <v>279</v>
      </c>
      <c r="AA1229" s="4">
        <v>281</v>
      </c>
      <c r="AB1229" s="4">
        <v>4</v>
      </c>
      <c r="AC1229" s="4">
        <v>4</v>
      </c>
      <c r="AD1229" s="4">
        <v>14</v>
      </c>
      <c r="AE1229" s="4">
        <v>14</v>
      </c>
      <c r="AF1229" s="4">
        <v>4</v>
      </c>
      <c r="AG1229" s="4">
        <v>4</v>
      </c>
      <c r="AH1229" s="4">
        <v>4</v>
      </c>
      <c r="AI1229" s="4">
        <v>4</v>
      </c>
      <c r="AJ1229" s="4">
        <v>7</v>
      </c>
      <c r="AK1229" s="4">
        <v>7</v>
      </c>
      <c r="AL1229" s="4">
        <v>3</v>
      </c>
      <c r="AM1229" s="4">
        <v>3</v>
      </c>
      <c r="AN1229" s="4">
        <v>0</v>
      </c>
      <c r="AO1229" s="4">
        <v>0</v>
      </c>
      <c r="AP1229" s="3" t="s">
        <v>58</v>
      </c>
      <c r="AQ1229" s="3" t="s">
        <v>58</v>
      </c>
      <c r="AS1229" s="6" t="str">
        <f>HYPERLINK("https://creighton-primo.hosted.exlibrisgroup.com/primo-explore/search?tab=default_tab&amp;search_scope=EVERYTHING&amp;vid=01CRU&amp;lang=en_US&amp;offset=0&amp;query=any,contains,991000722019702656","Catalog Record")</f>
        <v>Catalog Record</v>
      </c>
      <c r="AT1229" s="6" t="str">
        <f>HYPERLINK("http://www.worldcat.org/oclc/12667402","WorldCat Record")</f>
        <v>WorldCat Record</v>
      </c>
      <c r="AU1229" s="3" t="s">
        <v>15523</v>
      </c>
      <c r="AV1229" s="3" t="s">
        <v>15524</v>
      </c>
      <c r="AW1229" s="3" t="s">
        <v>15525</v>
      </c>
      <c r="AX1229" s="3" t="s">
        <v>15525</v>
      </c>
      <c r="AY1229" s="3" t="s">
        <v>15526</v>
      </c>
      <c r="AZ1229" s="3" t="s">
        <v>73</v>
      </c>
      <c r="BB1229" s="3" t="s">
        <v>15527</v>
      </c>
      <c r="BC1229" s="3" t="s">
        <v>15528</v>
      </c>
      <c r="BD1229" s="3" t="s">
        <v>15529</v>
      </c>
    </row>
    <row r="1230" spans="1:56" ht="51" customHeight="1" x14ac:dyDescent="0.25">
      <c r="A1230" s="7" t="s">
        <v>58</v>
      </c>
      <c r="B1230" s="2" t="s">
        <v>15530</v>
      </c>
      <c r="C1230" s="2" t="s">
        <v>15531</v>
      </c>
      <c r="D1230" s="2" t="s">
        <v>15532</v>
      </c>
      <c r="E1230" s="3" t="s">
        <v>210</v>
      </c>
      <c r="F1230" s="3" t="s">
        <v>68</v>
      </c>
      <c r="G1230" s="3" t="s">
        <v>59</v>
      </c>
      <c r="H1230" s="3" t="s">
        <v>58</v>
      </c>
      <c r="I1230" s="3" t="s">
        <v>58</v>
      </c>
      <c r="J1230" s="3" t="s">
        <v>60</v>
      </c>
      <c r="K1230" s="2" t="s">
        <v>15533</v>
      </c>
      <c r="L1230" s="2" t="s">
        <v>15534</v>
      </c>
      <c r="M1230" s="3" t="s">
        <v>101</v>
      </c>
      <c r="O1230" s="3" t="s">
        <v>63</v>
      </c>
      <c r="P1230" s="3" t="s">
        <v>354</v>
      </c>
      <c r="R1230" s="3" t="s">
        <v>65</v>
      </c>
      <c r="S1230" s="4">
        <v>8</v>
      </c>
      <c r="T1230" s="4">
        <v>10</v>
      </c>
      <c r="U1230" s="5" t="s">
        <v>15535</v>
      </c>
      <c r="V1230" s="5" t="s">
        <v>15535</v>
      </c>
      <c r="W1230" s="5" t="s">
        <v>14853</v>
      </c>
      <c r="X1230" s="5" t="s">
        <v>14853</v>
      </c>
      <c r="Y1230" s="4">
        <v>144</v>
      </c>
      <c r="Z1230" s="4">
        <v>128</v>
      </c>
      <c r="AA1230" s="4">
        <v>896</v>
      </c>
      <c r="AB1230" s="4">
        <v>1</v>
      </c>
      <c r="AC1230" s="4">
        <v>3</v>
      </c>
      <c r="AD1230" s="4">
        <v>3</v>
      </c>
      <c r="AE1230" s="4">
        <v>36</v>
      </c>
      <c r="AF1230" s="4">
        <v>2</v>
      </c>
      <c r="AG1230" s="4">
        <v>17</v>
      </c>
      <c r="AH1230" s="4">
        <v>0</v>
      </c>
      <c r="AI1230" s="4">
        <v>7</v>
      </c>
      <c r="AJ1230" s="4">
        <v>2</v>
      </c>
      <c r="AK1230" s="4">
        <v>18</v>
      </c>
      <c r="AL1230" s="4">
        <v>0</v>
      </c>
      <c r="AM1230" s="4">
        <v>2</v>
      </c>
      <c r="AN1230" s="4">
        <v>0</v>
      </c>
      <c r="AO1230" s="4">
        <v>0</v>
      </c>
      <c r="AP1230" s="3" t="s">
        <v>58</v>
      </c>
      <c r="AQ1230" s="3" t="s">
        <v>68</v>
      </c>
      <c r="AR1230" s="6" t="str">
        <f>HYPERLINK("http://catalog.hathitrust.org/Record/001254237","HathiTrust Record")</f>
        <v>HathiTrust Record</v>
      </c>
      <c r="AS1230" s="6" t="str">
        <f>HYPERLINK("https://creighton-primo.hosted.exlibrisgroup.com/primo-explore/search?tab=default_tab&amp;search_scope=EVERYTHING&amp;vid=01CRU&amp;lang=en_US&amp;offset=0&amp;query=any,contains,991000598839702656","Catalog Record")</f>
        <v>Catalog Record</v>
      </c>
      <c r="AT1230" s="6" t="str">
        <f>HYPERLINK("http://www.worldcat.org/oclc/11819068","WorldCat Record")</f>
        <v>WorldCat Record</v>
      </c>
      <c r="AU1230" s="3" t="s">
        <v>15536</v>
      </c>
      <c r="AV1230" s="3" t="s">
        <v>15537</v>
      </c>
      <c r="AW1230" s="3" t="s">
        <v>15538</v>
      </c>
      <c r="AX1230" s="3" t="s">
        <v>15538</v>
      </c>
      <c r="AY1230" s="3" t="s">
        <v>15539</v>
      </c>
      <c r="AZ1230" s="3" t="s">
        <v>73</v>
      </c>
      <c r="BB1230" s="3" t="s">
        <v>15540</v>
      </c>
      <c r="BC1230" s="3" t="s">
        <v>15541</v>
      </c>
      <c r="BD1230" s="3" t="s">
        <v>15542</v>
      </c>
    </row>
    <row r="1231" spans="1:56" ht="51" customHeight="1" x14ac:dyDescent="0.25">
      <c r="A1231" s="7" t="s">
        <v>58</v>
      </c>
      <c r="B1231" s="2" t="s">
        <v>15530</v>
      </c>
      <c r="C1231" s="2" t="s">
        <v>15531</v>
      </c>
      <c r="D1231" s="2" t="s">
        <v>15532</v>
      </c>
      <c r="E1231" s="3" t="s">
        <v>223</v>
      </c>
      <c r="F1231" s="3" t="s">
        <v>68</v>
      </c>
      <c r="G1231" s="3" t="s">
        <v>59</v>
      </c>
      <c r="H1231" s="3" t="s">
        <v>58</v>
      </c>
      <c r="I1231" s="3" t="s">
        <v>58</v>
      </c>
      <c r="J1231" s="3" t="s">
        <v>60</v>
      </c>
      <c r="K1231" s="2" t="s">
        <v>15533</v>
      </c>
      <c r="L1231" s="2" t="s">
        <v>15534</v>
      </c>
      <c r="M1231" s="3" t="s">
        <v>101</v>
      </c>
      <c r="O1231" s="3" t="s">
        <v>63</v>
      </c>
      <c r="P1231" s="3" t="s">
        <v>354</v>
      </c>
      <c r="R1231" s="3" t="s">
        <v>65</v>
      </c>
      <c r="S1231" s="4">
        <v>2</v>
      </c>
      <c r="T1231" s="4">
        <v>10</v>
      </c>
      <c r="U1231" s="5" t="s">
        <v>15543</v>
      </c>
      <c r="V1231" s="5" t="s">
        <v>15535</v>
      </c>
      <c r="W1231" s="5" t="s">
        <v>14853</v>
      </c>
      <c r="X1231" s="5" t="s">
        <v>14853</v>
      </c>
      <c r="Y1231" s="4">
        <v>144</v>
      </c>
      <c r="Z1231" s="4">
        <v>128</v>
      </c>
      <c r="AA1231" s="4">
        <v>896</v>
      </c>
      <c r="AB1231" s="4">
        <v>1</v>
      </c>
      <c r="AC1231" s="4">
        <v>3</v>
      </c>
      <c r="AD1231" s="4">
        <v>3</v>
      </c>
      <c r="AE1231" s="4">
        <v>36</v>
      </c>
      <c r="AF1231" s="4">
        <v>2</v>
      </c>
      <c r="AG1231" s="4">
        <v>17</v>
      </c>
      <c r="AH1231" s="4">
        <v>0</v>
      </c>
      <c r="AI1231" s="4">
        <v>7</v>
      </c>
      <c r="AJ1231" s="4">
        <v>2</v>
      </c>
      <c r="AK1231" s="4">
        <v>18</v>
      </c>
      <c r="AL1231" s="4">
        <v>0</v>
      </c>
      <c r="AM1231" s="4">
        <v>2</v>
      </c>
      <c r="AN1231" s="4">
        <v>0</v>
      </c>
      <c r="AO1231" s="4">
        <v>0</v>
      </c>
      <c r="AP1231" s="3" t="s">
        <v>58</v>
      </c>
      <c r="AQ1231" s="3" t="s">
        <v>68</v>
      </c>
      <c r="AR1231" s="6" t="str">
        <f>HYPERLINK("http://catalog.hathitrust.org/Record/001254237","HathiTrust Record")</f>
        <v>HathiTrust Record</v>
      </c>
      <c r="AS1231" s="6" t="str">
        <f>HYPERLINK("https://creighton-primo.hosted.exlibrisgroup.com/primo-explore/search?tab=default_tab&amp;search_scope=EVERYTHING&amp;vid=01CRU&amp;lang=en_US&amp;offset=0&amp;query=any,contains,991000598839702656","Catalog Record")</f>
        <v>Catalog Record</v>
      </c>
      <c r="AT1231" s="6" t="str">
        <f>HYPERLINK("http://www.worldcat.org/oclc/11819068","WorldCat Record")</f>
        <v>WorldCat Record</v>
      </c>
      <c r="AU1231" s="3" t="s">
        <v>15536</v>
      </c>
      <c r="AV1231" s="3" t="s">
        <v>15537</v>
      </c>
      <c r="AW1231" s="3" t="s">
        <v>15538</v>
      </c>
      <c r="AX1231" s="3" t="s">
        <v>15538</v>
      </c>
      <c r="AY1231" s="3" t="s">
        <v>15539</v>
      </c>
      <c r="AZ1231" s="3" t="s">
        <v>73</v>
      </c>
      <c r="BB1231" s="3" t="s">
        <v>15540</v>
      </c>
      <c r="BC1231" s="3" t="s">
        <v>15544</v>
      </c>
      <c r="BD1231" s="3" t="s">
        <v>15545</v>
      </c>
    </row>
    <row r="1232" spans="1:56" ht="51" customHeight="1" x14ac:dyDescent="0.25">
      <c r="A1232" s="7" t="s">
        <v>58</v>
      </c>
      <c r="B1232" s="2" t="s">
        <v>15546</v>
      </c>
      <c r="C1232" s="2" t="s">
        <v>15547</v>
      </c>
      <c r="D1232" s="2" t="s">
        <v>15548</v>
      </c>
      <c r="F1232" s="3" t="s">
        <v>58</v>
      </c>
      <c r="G1232" s="3" t="s">
        <v>59</v>
      </c>
      <c r="H1232" s="3" t="s">
        <v>58</v>
      </c>
      <c r="I1232" s="3" t="s">
        <v>58</v>
      </c>
      <c r="J1232" s="3" t="s">
        <v>60</v>
      </c>
      <c r="K1232" s="2" t="s">
        <v>15549</v>
      </c>
      <c r="L1232" s="2" t="s">
        <v>15550</v>
      </c>
      <c r="M1232" s="3" t="s">
        <v>353</v>
      </c>
      <c r="O1232" s="3" t="s">
        <v>63</v>
      </c>
      <c r="P1232" s="3" t="s">
        <v>584</v>
      </c>
      <c r="Q1232" s="2" t="s">
        <v>15551</v>
      </c>
      <c r="R1232" s="3" t="s">
        <v>65</v>
      </c>
      <c r="S1232" s="4">
        <v>1</v>
      </c>
      <c r="T1232" s="4">
        <v>1</v>
      </c>
      <c r="U1232" s="5" t="s">
        <v>15552</v>
      </c>
      <c r="V1232" s="5" t="s">
        <v>15552</v>
      </c>
      <c r="W1232" s="5" t="s">
        <v>14853</v>
      </c>
      <c r="X1232" s="5" t="s">
        <v>14853</v>
      </c>
      <c r="Y1232" s="4">
        <v>311</v>
      </c>
      <c r="Z1232" s="4">
        <v>199</v>
      </c>
      <c r="AA1232" s="4">
        <v>275</v>
      </c>
      <c r="AB1232" s="4">
        <v>1</v>
      </c>
      <c r="AC1232" s="4">
        <v>3</v>
      </c>
      <c r="AD1232" s="4">
        <v>10</v>
      </c>
      <c r="AE1232" s="4">
        <v>16</v>
      </c>
      <c r="AF1232" s="4">
        <v>2</v>
      </c>
      <c r="AG1232" s="4">
        <v>5</v>
      </c>
      <c r="AH1232" s="4">
        <v>4</v>
      </c>
      <c r="AI1232" s="4">
        <v>4</v>
      </c>
      <c r="AJ1232" s="4">
        <v>7</v>
      </c>
      <c r="AK1232" s="4">
        <v>10</v>
      </c>
      <c r="AL1232" s="4">
        <v>0</v>
      </c>
      <c r="AM1232" s="4">
        <v>2</v>
      </c>
      <c r="AN1232" s="4">
        <v>0</v>
      </c>
      <c r="AO1232" s="4">
        <v>0</v>
      </c>
      <c r="AP1232" s="3" t="s">
        <v>58</v>
      </c>
      <c r="AQ1232" s="3" t="s">
        <v>58</v>
      </c>
      <c r="AS1232" s="6" t="str">
        <f>HYPERLINK("https://creighton-primo.hosted.exlibrisgroup.com/primo-explore/search?tab=default_tab&amp;search_scope=EVERYTHING&amp;vid=01CRU&amp;lang=en_US&amp;offset=0&amp;query=any,contains,991000928689702656","Catalog Record")</f>
        <v>Catalog Record</v>
      </c>
      <c r="AT1232" s="6" t="str">
        <f>HYPERLINK("http://www.worldcat.org/oclc/14242883","WorldCat Record")</f>
        <v>WorldCat Record</v>
      </c>
      <c r="AU1232" s="3" t="s">
        <v>15553</v>
      </c>
      <c r="AV1232" s="3" t="s">
        <v>15554</v>
      </c>
      <c r="AW1232" s="3" t="s">
        <v>15555</v>
      </c>
      <c r="AX1232" s="3" t="s">
        <v>15555</v>
      </c>
      <c r="AY1232" s="3" t="s">
        <v>15556</v>
      </c>
      <c r="AZ1232" s="3" t="s">
        <v>73</v>
      </c>
      <c r="BB1232" s="3" t="s">
        <v>15557</v>
      </c>
      <c r="BC1232" s="3" t="s">
        <v>15558</v>
      </c>
      <c r="BD1232" s="3" t="s">
        <v>15559</v>
      </c>
    </row>
    <row r="1233" spans="1:56" ht="51" customHeight="1" x14ac:dyDescent="0.25">
      <c r="A1233" s="7" t="s">
        <v>58</v>
      </c>
      <c r="B1233" s="2" t="s">
        <v>15560</v>
      </c>
      <c r="C1233" s="2" t="s">
        <v>15561</v>
      </c>
      <c r="D1233" s="2" t="s">
        <v>15562</v>
      </c>
      <c r="F1233" s="3" t="s">
        <v>58</v>
      </c>
      <c r="G1233" s="3" t="s">
        <v>59</v>
      </c>
      <c r="H1233" s="3" t="s">
        <v>58</v>
      </c>
      <c r="I1233" s="3" t="s">
        <v>58</v>
      </c>
      <c r="J1233" s="3" t="s">
        <v>60</v>
      </c>
      <c r="K1233" s="2" t="s">
        <v>15563</v>
      </c>
      <c r="L1233" s="2" t="s">
        <v>15564</v>
      </c>
      <c r="M1233" s="3" t="s">
        <v>842</v>
      </c>
      <c r="O1233" s="3" t="s">
        <v>63</v>
      </c>
      <c r="P1233" s="3" t="s">
        <v>214</v>
      </c>
      <c r="R1233" s="3" t="s">
        <v>65</v>
      </c>
      <c r="S1233" s="4">
        <v>6</v>
      </c>
      <c r="T1233" s="4">
        <v>6</v>
      </c>
      <c r="U1233" s="5" t="s">
        <v>14998</v>
      </c>
      <c r="V1233" s="5" t="s">
        <v>14998</v>
      </c>
      <c r="W1233" s="5" t="s">
        <v>14853</v>
      </c>
      <c r="X1233" s="5" t="s">
        <v>14853</v>
      </c>
      <c r="Y1233" s="4">
        <v>228</v>
      </c>
      <c r="Z1233" s="4">
        <v>193</v>
      </c>
      <c r="AA1233" s="4">
        <v>226</v>
      </c>
      <c r="AB1233" s="4">
        <v>1</v>
      </c>
      <c r="AC1233" s="4">
        <v>1</v>
      </c>
      <c r="AD1233" s="4">
        <v>4</v>
      </c>
      <c r="AE1233" s="4">
        <v>4</v>
      </c>
      <c r="AF1233" s="4">
        <v>1</v>
      </c>
      <c r="AG1233" s="4">
        <v>1</v>
      </c>
      <c r="AH1233" s="4">
        <v>2</v>
      </c>
      <c r="AI1233" s="4">
        <v>2</v>
      </c>
      <c r="AJ1233" s="4">
        <v>3</v>
      </c>
      <c r="AK1233" s="4">
        <v>3</v>
      </c>
      <c r="AL1233" s="4">
        <v>0</v>
      </c>
      <c r="AM1233" s="4">
        <v>0</v>
      </c>
      <c r="AN1233" s="4">
        <v>0</v>
      </c>
      <c r="AO1233" s="4">
        <v>0</v>
      </c>
      <c r="AP1233" s="3" t="s">
        <v>58</v>
      </c>
      <c r="AQ1233" s="3" t="s">
        <v>58</v>
      </c>
      <c r="AS1233" s="6" t="str">
        <f>HYPERLINK("https://creighton-primo.hosted.exlibrisgroup.com/primo-explore/search?tab=default_tab&amp;search_scope=EVERYTHING&amp;vid=01CRU&amp;lang=en_US&amp;offset=0&amp;query=any,contains,991005225029702656","Catalog Record")</f>
        <v>Catalog Record</v>
      </c>
      <c r="AT1233" s="6" t="str">
        <f>HYPERLINK("http://www.worldcat.org/oclc/8280481","WorldCat Record")</f>
        <v>WorldCat Record</v>
      </c>
      <c r="AU1233" s="3" t="s">
        <v>15565</v>
      </c>
      <c r="AV1233" s="3" t="s">
        <v>15566</v>
      </c>
      <c r="AW1233" s="3" t="s">
        <v>15567</v>
      </c>
      <c r="AX1233" s="3" t="s">
        <v>15567</v>
      </c>
      <c r="AY1233" s="3" t="s">
        <v>15568</v>
      </c>
      <c r="AZ1233" s="3" t="s">
        <v>73</v>
      </c>
      <c r="BB1233" s="3" t="s">
        <v>15569</v>
      </c>
      <c r="BC1233" s="3" t="s">
        <v>15570</v>
      </c>
      <c r="BD1233" s="3" t="s">
        <v>15571</v>
      </c>
    </row>
    <row r="1234" spans="1:56" ht="51" customHeight="1" x14ac:dyDescent="0.25">
      <c r="A1234" s="7" t="s">
        <v>58</v>
      </c>
      <c r="B1234" s="2" t="s">
        <v>15572</v>
      </c>
      <c r="C1234" s="2" t="s">
        <v>15573</v>
      </c>
      <c r="D1234" s="2" t="s">
        <v>15574</v>
      </c>
      <c r="F1234" s="3" t="s">
        <v>58</v>
      </c>
      <c r="G1234" s="3" t="s">
        <v>59</v>
      </c>
      <c r="H1234" s="3" t="s">
        <v>58</v>
      </c>
      <c r="I1234" s="3" t="s">
        <v>58</v>
      </c>
      <c r="J1234" s="3" t="s">
        <v>60</v>
      </c>
      <c r="K1234" s="2" t="s">
        <v>15575</v>
      </c>
      <c r="L1234" s="2" t="s">
        <v>15576</v>
      </c>
      <c r="M1234" s="3" t="s">
        <v>15577</v>
      </c>
      <c r="O1234" s="3" t="s">
        <v>63</v>
      </c>
      <c r="P1234" s="3" t="s">
        <v>816</v>
      </c>
      <c r="R1234" s="3" t="s">
        <v>65</v>
      </c>
      <c r="S1234" s="4">
        <v>6</v>
      </c>
      <c r="T1234" s="4">
        <v>6</v>
      </c>
      <c r="U1234" s="5" t="s">
        <v>15578</v>
      </c>
      <c r="V1234" s="5" t="s">
        <v>15578</v>
      </c>
      <c r="W1234" s="5" t="s">
        <v>11927</v>
      </c>
      <c r="X1234" s="5" t="s">
        <v>11927</v>
      </c>
      <c r="Y1234" s="4">
        <v>57</v>
      </c>
      <c r="Z1234" s="4">
        <v>52</v>
      </c>
      <c r="AA1234" s="4">
        <v>131</v>
      </c>
      <c r="AB1234" s="4">
        <v>1</v>
      </c>
      <c r="AC1234" s="4">
        <v>1</v>
      </c>
      <c r="AD1234" s="4">
        <v>2</v>
      </c>
      <c r="AE1234" s="4">
        <v>3</v>
      </c>
      <c r="AF1234" s="4">
        <v>1</v>
      </c>
      <c r="AG1234" s="4">
        <v>1</v>
      </c>
      <c r="AH1234" s="4">
        <v>1</v>
      </c>
      <c r="AI1234" s="4">
        <v>2</v>
      </c>
      <c r="AJ1234" s="4">
        <v>1</v>
      </c>
      <c r="AK1234" s="4">
        <v>1</v>
      </c>
      <c r="AL1234" s="4">
        <v>0</v>
      </c>
      <c r="AM1234" s="4">
        <v>0</v>
      </c>
      <c r="AN1234" s="4">
        <v>0</v>
      </c>
      <c r="AO1234" s="4">
        <v>0</v>
      </c>
      <c r="AP1234" s="3" t="s">
        <v>68</v>
      </c>
      <c r="AQ1234" s="3" t="s">
        <v>58</v>
      </c>
      <c r="AR1234" s="6" t="str">
        <f>HYPERLINK("http://catalog.hathitrust.org/Record/009979096","HathiTrust Record")</f>
        <v>HathiTrust Record</v>
      </c>
      <c r="AS1234" s="6" t="str">
        <f>HYPERLINK("https://creighton-primo.hosted.exlibrisgroup.com/primo-explore/search?tab=default_tab&amp;search_scope=EVERYTHING&amp;vid=01CRU&amp;lang=en_US&amp;offset=0&amp;query=any,contains,991002944109702656","Catalog Record")</f>
        <v>Catalog Record</v>
      </c>
      <c r="AT1234" s="6" t="str">
        <f>HYPERLINK("http://www.worldcat.org/oclc/536260","WorldCat Record")</f>
        <v>WorldCat Record</v>
      </c>
      <c r="AU1234" s="3" t="s">
        <v>15579</v>
      </c>
      <c r="AV1234" s="3" t="s">
        <v>15580</v>
      </c>
      <c r="AW1234" s="3" t="s">
        <v>15581</v>
      </c>
      <c r="AX1234" s="3" t="s">
        <v>15581</v>
      </c>
      <c r="AY1234" s="3" t="s">
        <v>15582</v>
      </c>
      <c r="AZ1234" s="3" t="s">
        <v>73</v>
      </c>
      <c r="BC1234" s="3" t="s">
        <v>15583</v>
      </c>
      <c r="BD1234" s="3" t="s">
        <v>15584</v>
      </c>
    </row>
    <row r="1235" spans="1:56" ht="51" customHeight="1" x14ac:dyDescent="0.25">
      <c r="A1235" s="7" t="s">
        <v>58</v>
      </c>
      <c r="B1235" s="2" t="s">
        <v>15585</v>
      </c>
      <c r="C1235" s="2" t="s">
        <v>15586</v>
      </c>
      <c r="D1235" s="2" t="s">
        <v>15587</v>
      </c>
      <c r="F1235" s="3" t="s">
        <v>58</v>
      </c>
      <c r="G1235" s="3" t="s">
        <v>59</v>
      </c>
      <c r="H1235" s="3" t="s">
        <v>58</v>
      </c>
      <c r="I1235" s="3" t="s">
        <v>58</v>
      </c>
      <c r="J1235" s="3" t="s">
        <v>60</v>
      </c>
      <c r="K1235" s="2" t="s">
        <v>15588</v>
      </c>
      <c r="L1235" s="2" t="s">
        <v>15589</v>
      </c>
      <c r="M1235" s="3" t="s">
        <v>1385</v>
      </c>
      <c r="O1235" s="3" t="s">
        <v>63</v>
      </c>
      <c r="P1235" s="3" t="s">
        <v>584</v>
      </c>
      <c r="Q1235" s="2" t="s">
        <v>15590</v>
      </c>
      <c r="R1235" s="3" t="s">
        <v>65</v>
      </c>
      <c r="S1235" s="4">
        <v>1</v>
      </c>
      <c r="T1235" s="4">
        <v>1</v>
      </c>
      <c r="U1235" s="5" t="s">
        <v>15010</v>
      </c>
      <c r="V1235" s="5" t="s">
        <v>15010</v>
      </c>
      <c r="W1235" s="5" t="s">
        <v>11927</v>
      </c>
      <c r="X1235" s="5" t="s">
        <v>11927</v>
      </c>
      <c r="Y1235" s="4">
        <v>296</v>
      </c>
      <c r="Z1235" s="4">
        <v>214</v>
      </c>
      <c r="AA1235" s="4">
        <v>270</v>
      </c>
      <c r="AB1235" s="4">
        <v>2</v>
      </c>
      <c r="AC1235" s="4">
        <v>2</v>
      </c>
      <c r="AD1235" s="4">
        <v>12</v>
      </c>
      <c r="AE1235" s="4">
        <v>13</v>
      </c>
      <c r="AF1235" s="4">
        <v>3</v>
      </c>
      <c r="AG1235" s="4">
        <v>4</v>
      </c>
      <c r="AH1235" s="4">
        <v>5</v>
      </c>
      <c r="AI1235" s="4">
        <v>5</v>
      </c>
      <c r="AJ1235" s="4">
        <v>5</v>
      </c>
      <c r="AK1235" s="4">
        <v>6</v>
      </c>
      <c r="AL1235" s="4">
        <v>1</v>
      </c>
      <c r="AM1235" s="4">
        <v>1</v>
      </c>
      <c r="AN1235" s="4">
        <v>0</v>
      </c>
      <c r="AO1235" s="4">
        <v>0</v>
      </c>
      <c r="AP1235" s="3" t="s">
        <v>58</v>
      </c>
      <c r="AQ1235" s="3" t="s">
        <v>58</v>
      </c>
      <c r="AS1235" s="6" t="str">
        <f>HYPERLINK("https://creighton-primo.hosted.exlibrisgroup.com/primo-explore/search?tab=default_tab&amp;search_scope=EVERYTHING&amp;vid=01CRU&amp;lang=en_US&amp;offset=0&amp;query=any,contains,991003623029702656","Catalog Record")</f>
        <v>Catalog Record</v>
      </c>
      <c r="AT1235" s="6" t="str">
        <f>HYPERLINK("http://www.worldcat.org/oclc/1211762","WorldCat Record")</f>
        <v>WorldCat Record</v>
      </c>
      <c r="AU1235" s="3" t="s">
        <v>15591</v>
      </c>
      <c r="AV1235" s="3" t="s">
        <v>15592</v>
      </c>
      <c r="AW1235" s="3" t="s">
        <v>15593</v>
      </c>
      <c r="AX1235" s="3" t="s">
        <v>15593</v>
      </c>
      <c r="AY1235" s="3" t="s">
        <v>15594</v>
      </c>
      <c r="AZ1235" s="3" t="s">
        <v>73</v>
      </c>
      <c r="BB1235" s="3" t="s">
        <v>15595</v>
      </c>
      <c r="BC1235" s="3" t="s">
        <v>15596</v>
      </c>
      <c r="BD1235" s="3" t="s">
        <v>15597</v>
      </c>
    </row>
    <row r="1236" spans="1:56" ht="51" customHeight="1" x14ac:dyDescent="0.25">
      <c r="A1236" s="7" t="s">
        <v>58</v>
      </c>
      <c r="B1236" s="2" t="s">
        <v>15598</v>
      </c>
      <c r="C1236" s="2" t="s">
        <v>15599</v>
      </c>
      <c r="D1236" s="2" t="s">
        <v>15600</v>
      </c>
      <c r="F1236" s="3" t="s">
        <v>58</v>
      </c>
      <c r="G1236" s="3" t="s">
        <v>59</v>
      </c>
      <c r="H1236" s="3" t="s">
        <v>58</v>
      </c>
      <c r="I1236" s="3" t="s">
        <v>58</v>
      </c>
      <c r="J1236" s="3" t="s">
        <v>60</v>
      </c>
      <c r="K1236" s="2" t="s">
        <v>15601</v>
      </c>
      <c r="L1236" s="2" t="s">
        <v>15602</v>
      </c>
      <c r="M1236" s="3" t="s">
        <v>249</v>
      </c>
      <c r="O1236" s="3" t="s">
        <v>63</v>
      </c>
      <c r="P1236" s="3" t="s">
        <v>584</v>
      </c>
      <c r="R1236" s="3" t="s">
        <v>65</v>
      </c>
      <c r="S1236" s="4">
        <v>1</v>
      </c>
      <c r="T1236" s="4">
        <v>1</v>
      </c>
      <c r="U1236" s="5" t="s">
        <v>15603</v>
      </c>
      <c r="V1236" s="5" t="s">
        <v>15603</v>
      </c>
      <c r="W1236" s="5" t="s">
        <v>14853</v>
      </c>
      <c r="X1236" s="5" t="s">
        <v>14853</v>
      </c>
      <c r="Y1236" s="4">
        <v>68</v>
      </c>
      <c r="Z1236" s="4">
        <v>26</v>
      </c>
      <c r="AA1236" s="4">
        <v>162</v>
      </c>
      <c r="AB1236" s="4">
        <v>1</v>
      </c>
      <c r="AC1236" s="4">
        <v>1</v>
      </c>
      <c r="AD1236" s="4">
        <v>0</v>
      </c>
      <c r="AE1236" s="4">
        <v>3</v>
      </c>
      <c r="AF1236" s="4">
        <v>0</v>
      </c>
      <c r="AG1236" s="4">
        <v>2</v>
      </c>
      <c r="AH1236" s="4">
        <v>0</v>
      </c>
      <c r="AI1236" s="4">
        <v>0</v>
      </c>
      <c r="AJ1236" s="4">
        <v>0</v>
      </c>
      <c r="AK1236" s="4">
        <v>1</v>
      </c>
      <c r="AL1236" s="4">
        <v>0</v>
      </c>
      <c r="AM1236" s="4">
        <v>0</v>
      </c>
      <c r="AN1236" s="4">
        <v>0</v>
      </c>
      <c r="AO1236" s="4">
        <v>0</v>
      </c>
      <c r="AP1236" s="3" t="s">
        <v>58</v>
      </c>
      <c r="AQ1236" s="3" t="s">
        <v>58</v>
      </c>
      <c r="AS1236" s="6" t="str">
        <f>HYPERLINK("https://creighton-primo.hosted.exlibrisgroup.com/primo-explore/search?tab=default_tab&amp;search_scope=EVERYTHING&amp;vid=01CRU&amp;lang=en_US&amp;offset=0&amp;query=any,contains,991005091889702656","Catalog Record")</f>
        <v>Catalog Record</v>
      </c>
      <c r="AT1236" s="6" t="str">
        <f>HYPERLINK("http://www.worldcat.org/oclc/7231521","WorldCat Record")</f>
        <v>WorldCat Record</v>
      </c>
      <c r="AU1236" s="3" t="s">
        <v>15604</v>
      </c>
      <c r="AV1236" s="3" t="s">
        <v>15605</v>
      </c>
      <c r="AW1236" s="3" t="s">
        <v>15606</v>
      </c>
      <c r="AX1236" s="3" t="s">
        <v>15606</v>
      </c>
      <c r="AY1236" s="3" t="s">
        <v>15607</v>
      </c>
      <c r="AZ1236" s="3" t="s">
        <v>73</v>
      </c>
      <c r="BC1236" s="3" t="s">
        <v>15608</v>
      </c>
      <c r="BD1236" s="3" t="s">
        <v>15609</v>
      </c>
    </row>
    <row r="1237" spans="1:56" ht="51" customHeight="1" x14ac:dyDescent="0.25">
      <c r="A1237" s="7" t="s">
        <v>58</v>
      </c>
      <c r="B1237" s="2" t="s">
        <v>15610</v>
      </c>
      <c r="C1237" s="2" t="s">
        <v>15611</v>
      </c>
      <c r="D1237" s="2" t="s">
        <v>15612</v>
      </c>
      <c r="F1237" s="3" t="s">
        <v>58</v>
      </c>
      <c r="G1237" s="3" t="s">
        <v>59</v>
      </c>
      <c r="H1237" s="3" t="s">
        <v>58</v>
      </c>
      <c r="I1237" s="3" t="s">
        <v>58</v>
      </c>
      <c r="J1237" s="3" t="s">
        <v>60</v>
      </c>
      <c r="K1237" s="2" t="s">
        <v>15613</v>
      </c>
      <c r="L1237" s="2" t="s">
        <v>15614</v>
      </c>
      <c r="M1237" s="3" t="s">
        <v>382</v>
      </c>
      <c r="O1237" s="3" t="s">
        <v>63</v>
      </c>
      <c r="P1237" s="3" t="s">
        <v>3323</v>
      </c>
      <c r="R1237" s="3" t="s">
        <v>65</v>
      </c>
      <c r="S1237" s="4">
        <v>3</v>
      </c>
      <c r="T1237" s="4">
        <v>3</v>
      </c>
      <c r="U1237" s="5" t="s">
        <v>15535</v>
      </c>
      <c r="V1237" s="5" t="s">
        <v>15535</v>
      </c>
      <c r="W1237" s="5" t="s">
        <v>15615</v>
      </c>
      <c r="X1237" s="5" t="s">
        <v>15615</v>
      </c>
      <c r="Y1237" s="4">
        <v>174</v>
      </c>
      <c r="Z1237" s="4">
        <v>134</v>
      </c>
      <c r="AA1237" s="4">
        <v>137</v>
      </c>
      <c r="AB1237" s="4">
        <v>2</v>
      </c>
      <c r="AC1237" s="4">
        <v>2</v>
      </c>
      <c r="AD1237" s="4">
        <v>7</v>
      </c>
      <c r="AE1237" s="4">
        <v>7</v>
      </c>
      <c r="AF1237" s="4">
        <v>2</v>
      </c>
      <c r="AG1237" s="4">
        <v>2</v>
      </c>
      <c r="AH1237" s="4">
        <v>2</v>
      </c>
      <c r="AI1237" s="4">
        <v>2</v>
      </c>
      <c r="AJ1237" s="4">
        <v>5</v>
      </c>
      <c r="AK1237" s="4">
        <v>5</v>
      </c>
      <c r="AL1237" s="4">
        <v>1</v>
      </c>
      <c r="AM1237" s="4">
        <v>1</v>
      </c>
      <c r="AN1237" s="4">
        <v>0</v>
      </c>
      <c r="AO1237" s="4">
        <v>0</v>
      </c>
      <c r="AP1237" s="3" t="s">
        <v>58</v>
      </c>
      <c r="AQ1237" s="3" t="s">
        <v>68</v>
      </c>
      <c r="AR1237" s="6" t="str">
        <f>HYPERLINK("http://catalog.hathitrust.org/Record/004092226","HathiTrust Record")</f>
        <v>HathiTrust Record</v>
      </c>
      <c r="AS1237" s="6" t="str">
        <f>HYPERLINK("https://creighton-primo.hosted.exlibrisgroup.com/primo-explore/search?tab=default_tab&amp;search_scope=EVERYTHING&amp;vid=01CRU&amp;lang=en_US&amp;offset=0&amp;query=any,contains,991003687929702656","Catalog Record")</f>
        <v>Catalog Record</v>
      </c>
      <c r="AT1237" s="6" t="str">
        <f>HYPERLINK("http://www.worldcat.org/oclc/44068157","WorldCat Record")</f>
        <v>WorldCat Record</v>
      </c>
      <c r="AU1237" s="3" t="s">
        <v>15616</v>
      </c>
      <c r="AV1237" s="3" t="s">
        <v>15617</v>
      </c>
      <c r="AW1237" s="3" t="s">
        <v>15618</v>
      </c>
      <c r="AX1237" s="3" t="s">
        <v>15618</v>
      </c>
      <c r="AY1237" s="3" t="s">
        <v>15619</v>
      </c>
      <c r="AZ1237" s="3" t="s">
        <v>73</v>
      </c>
      <c r="BB1237" s="3" t="s">
        <v>15620</v>
      </c>
      <c r="BC1237" s="3" t="s">
        <v>15621</v>
      </c>
      <c r="BD1237" s="3" t="s">
        <v>15622</v>
      </c>
    </row>
    <row r="1238" spans="1:56" ht="51" customHeight="1" x14ac:dyDescent="0.25">
      <c r="A1238" s="7" t="s">
        <v>58</v>
      </c>
      <c r="B1238" s="2" t="s">
        <v>15623</v>
      </c>
      <c r="C1238" s="2" t="s">
        <v>15624</v>
      </c>
      <c r="D1238" s="2" t="s">
        <v>15625</v>
      </c>
      <c r="F1238" s="3" t="s">
        <v>58</v>
      </c>
      <c r="G1238" s="3" t="s">
        <v>59</v>
      </c>
      <c r="H1238" s="3" t="s">
        <v>58</v>
      </c>
      <c r="I1238" s="3" t="s">
        <v>58</v>
      </c>
      <c r="J1238" s="3" t="s">
        <v>60</v>
      </c>
      <c r="K1238" s="2" t="s">
        <v>15626</v>
      </c>
      <c r="L1238" s="2" t="s">
        <v>15627</v>
      </c>
      <c r="M1238" s="3" t="s">
        <v>4483</v>
      </c>
      <c r="O1238" s="3" t="s">
        <v>63</v>
      </c>
      <c r="P1238" s="3" t="s">
        <v>214</v>
      </c>
      <c r="R1238" s="3" t="s">
        <v>65</v>
      </c>
      <c r="S1238" s="4">
        <v>3</v>
      </c>
      <c r="T1238" s="4">
        <v>3</v>
      </c>
      <c r="U1238" s="5" t="s">
        <v>13829</v>
      </c>
      <c r="V1238" s="5" t="s">
        <v>13829</v>
      </c>
      <c r="W1238" s="5" t="s">
        <v>11927</v>
      </c>
      <c r="X1238" s="5" t="s">
        <v>11927</v>
      </c>
      <c r="Y1238" s="4">
        <v>116</v>
      </c>
      <c r="Z1238" s="4">
        <v>109</v>
      </c>
      <c r="AA1238" s="4">
        <v>161</v>
      </c>
      <c r="AB1238" s="4">
        <v>1</v>
      </c>
      <c r="AC1238" s="4">
        <v>2</v>
      </c>
      <c r="AD1238" s="4">
        <v>2</v>
      </c>
      <c r="AE1238" s="4">
        <v>4</v>
      </c>
      <c r="AF1238" s="4">
        <v>0</v>
      </c>
      <c r="AG1238" s="4">
        <v>1</v>
      </c>
      <c r="AH1238" s="4">
        <v>1</v>
      </c>
      <c r="AI1238" s="4">
        <v>2</v>
      </c>
      <c r="AJ1238" s="4">
        <v>1</v>
      </c>
      <c r="AK1238" s="4">
        <v>1</v>
      </c>
      <c r="AL1238" s="4">
        <v>0</v>
      </c>
      <c r="AM1238" s="4">
        <v>1</v>
      </c>
      <c r="AN1238" s="4">
        <v>0</v>
      </c>
      <c r="AO1238" s="4">
        <v>0</v>
      </c>
      <c r="AP1238" s="3" t="s">
        <v>58</v>
      </c>
      <c r="AQ1238" s="3" t="s">
        <v>68</v>
      </c>
      <c r="AR1238" s="6" t="str">
        <f>HYPERLINK("http://catalog.hathitrust.org/Record/100820821","HathiTrust Record")</f>
        <v>HathiTrust Record</v>
      </c>
      <c r="AS1238" s="6" t="str">
        <f>HYPERLINK("https://creighton-primo.hosted.exlibrisgroup.com/primo-explore/search?tab=default_tab&amp;search_scope=EVERYTHING&amp;vid=01CRU&amp;lang=en_US&amp;offset=0&amp;query=any,contains,991003863249702656","Catalog Record")</f>
        <v>Catalog Record</v>
      </c>
      <c r="AT1238" s="6" t="str">
        <f>HYPERLINK("http://www.worldcat.org/oclc/1672094","WorldCat Record")</f>
        <v>WorldCat Record</v>
      </c>
      <c r="AU1238" s="3" t="s">
        <v>15628</v>
      </c>
      <c r="AV1238" s="3" t="s">
        <v>15629</v>
      </c>
      <c r="AW1238" s="3" t="s">
        <v>15630</v>
      </c>
      <c r="AX1238" s="3" t="s">
        <v>15630</v>
      </c>
      <c r="AY1238" s="3" t="s">
        <v>15631</v>
      </c>
      <c r="AZ1238" s="3" t="s">
        <v>73</v>
      </c>
      <c r="BC1238" s="3" t="s">
        <v>15632</v>
      </c>
      <c r="BD1238" s="3" t="s">
        <v>15633</v>
      </c>
    </row>
    <row r="1239" spans="1:56" ht="51" customHeight="1" x14ac:dyDescent="0.25">
      <c r="A1239" s="7" t="s">
        <v>58</v>
      </c>
      <c r="B1239" s="2" t="s">
        <v>15634</v>
      </c>
      <c r="C1239" s="2" t="s">
        <v>15635</v>
      </c>
      <c r="D1239" s="2" t="s">
        <v>15636</v>
      </c>
      <c r="F1239" s="3" t="s">
        <v>58</v>
      </c>
      <c r="G1239" s="3" t="s">
        <v>59</v>
      </c>
      <c r="H1239" s="3" t="s">
        <v>58</v>
      </c>
      <c r="I1239" s="3" t="s">
        <v>58</v>
      </c>
      <c r="J1239" s="3" t="s">
        <v>60</v>
      </c>
      <c r="K1239" s="2" t="s">
        <v>15637</v>
      </c>
      <c r="L1239" s="2" t="s">
        <v>15638</v>
      </c>
      <c r="M1239" s="3" t="s">
        <v>15639</v>
      </c>
      <c r="O1239" s="3" t="s">
        <v>63</v>
      </c>
      <c r="P1239" s="3" t="s">
        <v>5757</v>
      </c>
      <c r="R1239" s="3" t="s">
        <v>65</v>
      </c>
      <c r="S1239" s="4">
        <v>5</v>
      </c>
      <c r="T1239" s="4">
        <v>5</v>
      </c>
      <c r="U1239" s="5" t="s">
        <v>13829</v>
      </c>
      <c r="V1239" s="5" t="s">
        <v>13829</v>
      </c>
      <c r="W1239" s="5" t="s">
        <v>14853</v>
      </c>
      <c r="X1239" s="5" t="s">
        <v>14853</v>
      </c>
      <c r="Y1239" s="4">
        <v>66</v>
      </c>
      <c r="Z1239" s="4">
        <v>60</v>
      </c>
      <c r="AA1239" s="4">
        <v>226</v>
      </c>
      <c r="AB1239" s="4">
        <v>1</v>
      </c>
      <c r="AC1239" s="4">
        <v>3</v>
      </c>
      <c r="AD1239" s="4">
        <v>1</v>
      </c>
      <c r="AE1239" s="4">
        <v>10</v>
      </c>
      <c r="AF1239" s="4">
        <v>1</v>
      </c>
      <c r="AG1239" s="4">
        <v>3</v>
      </c>
      <c r="AH1239" s="4">
        <v>0</v>
      </c>
      <c r="AI1239" s="4">
        <v>3</v>
      </c>
      <c r="AJ1239" s="4">
        <v>0</v>
      </c>
      <c r="AK1239" s="4">
        <v>3</v>
      </c>
      <c r="AL1239" s="4">
        <v>0</v>
      </c>
      <c r="AM1239" s="4">
        <v>2</v>
      </c>
      <c r="AN1239" s="4">
        <v>0</v>
      </c>
      <c r="AO1239" s="4">
        <v>0</v>
      </c>
      <c r="AP1239" s="3" t="s">
        <v>58</v>
      </c>
      <c r="AQ1239" s="3" t="s">
        <v>58</v>
      </c>
      <c r="AR1239" s="6" t="str">
        <f>HYPERLINK("http://catalog.hathitrust.org/Record/001869620","HathiTrust Record")</f>
        <v>HathiTrust Record</v>
      </c>
      <c r="AS1239" s="6" t="str">
        <f>HYPERLINK("https://creighton-primo.hosted.exlibrisgroup.com/primo-explore/search?tab=default_tab&amp;search_scope=EVERYTHING&amp;vid=01CRU&amp;lang=en_US&amp;offset=0&amp;query=any,contains,991003099869702656","Catalog Record")</f>
        <v>Catalog Record</v>
      </c>
      <c r="AT1239" s="6" t="str">
        <f>HYPERLINK("http://www.worldcat.org/oclc/649119","WorldCat Record")</f>
        <v>WorldCat Record</v>
      </c>
      <c r="AU1239" s="3" t="s">
        <v>15640</v>
      </c>
      <c r="AV1239" s="3" t="s">
        <v>15641</v>
      </c>
      <c r="AW1239" s="3" t="s">
        <v>15642</v>
      </c>
      <c r="AX1239" s="3" t="s">
        <v>15642</v>
      </c>
      <c r="AY1239" s="3" t="s">
        <v>15643</v>
      </c>
      <c r="AZ1239" s="3" t="s">
        <v>73</v>
      </c>
      <c r="BC1239" s="3" t="s">
        <v>15644</v>
      </c>
      <c r="BD1239" s="3" t="s">
        <v>15645</v>
      </c>
    </row>
    <row r="1240" spans="1:56" ht="51" customHeight="1" x14ac:dyDescent="0.25">
      <c r="A1240" s="7" t="s">
        <v>58</v>
      </c>
      <c r="B1240" s="2" t="s">
        <v>15646</v>
      </c>
      <c r="C1240" s="2" t="s">
        <v>15647</v>
      </c>
      <c r="D1240" s="2" t="s">
        <v>15648</v>
      </c>
      <c r="F1240" s="3" t="s">
        <v>58</v>
      </c>
      <c r="G1240" s="3" t="s">
        <v>59</v>
      </c>
      <c r="H1240" s="3" t="s">
        <v>58</v>
      </c>
      <c r="I1240" s="3" t="s">
        <v>58</v>
      </c>
      <c r="J1240" s="3" t="s">
        <v>60</v>
      </c>
      <c r="K1240" s="2" t="s">
        <v>15649</v>
      </c>
      <c r="L1240" s="2" t="s">
        <v>15650</v>
      </c>
      <c r="M1240" s="3" t="s">
        <v>2004</v>
      </c>
      <c r="O1240" s="3" t="s">
        <v>63</v>
      </c>
      <c r="P1240" s="3" t="s">
        <v>214</v>
      </c>
      <c r="Q1240" s="2" t="s">
        <v>15460</v>
      </c>
      <c r="R1240" s="3" t="s">
        <v>65</v>
      </c>
      <c r="S1240" s="4">
        <v>4</v>
      </c>
      <c r="T1240" s="4">
        <v>4</v>
      </c>
      <c r="U1240" s="5" t="s">
        <v>15651</v>
      </c>
      <c r="V1240" s="5" t="s">
        <v>15651</v>
      </c>
      <c r="W1240" s="5" t="s">
        <v>11927</v>
      </c>
      <c r="X1240" s="5" t="s">
        <v>11927</v>
      </c>
      <c r="Y1240" s="4">
        <v>1059</v>
      </c>
      <c r="Z1240" s="4">
        <v>906</v>
      </c>
      <c r="AA1240" s="4">
        <v>1038</v>
      </c>
      <c r="AB1240" s="4">
        <v>7</v>
      </c>
      <c r="AC1240" s="4">
        <v>9</v>
      </c>
      <c r="AD1240" s="4">
        <v>40</v>
      </c>
      <c r="AE1240" s="4">
        <v>47</v>
      </c>
      <c r="AF1240" s="4">
        <v>18</v>
      </c>
      <c r="AG1240" s="4">
        <v>22</v>
      </c>
      <c r="AH1240" s="4">
        <v>6</v>
      </c>
      <c r="AI1240" s="4">
        <v>6</v>
      </c>
      <c r="AJ1240" s="4">
        <v>19</v>
      </c>
      <c r="AK1240" s="4">
        <v>21</v>
      </c>
      <c r="AL1240" s="4">
        <v>6</v>
      </c>
      <c r="AM1240" s="4">
        <v>8</v>
      </c>
      <c r="AN1240" s="4">
        <v>0</v>
      </c>
      <c r="AO1240" s="4">
        <v>0</v>
      </c>
      <c r="AP1240" s="3" t="s">
        <v>58</v>
      </c>
      <c r="AQ1240" s="3" t="s">
        <v>68</v>
      </c>
      <c r="AR1240" s="6" t="str">
        <f>HYPERLINK("http://catalog.hathitrust.org/Record/001254453","HathiTrust Record")</f>
        <v>HathiTrust Record</v>
      </c>
      <c r="AS1240" s="6" t="str">
        <f>HYPERLINK("https://creighton-primo.hosted.exlibrisgroup.com/primo-explore/search?tab=default_tab&amp;search_scope=EVERYTHING&amp;vid=01CRU&amp;lang=en_US&amp;offset=0&amp;query=any,contains,991001021389702656","Catalog Record")</f>
        <v>Catalog Record</v>
      </c>
      <c r="AT1240" s="6" t="str">
        <f>HYPERLINK("http://www.worldcat.org/oclc/173759","WorldCat Record")</f>
        <v>WorldCat Record</v>
      </c>
      <c r="AU1240" s="3" t="s">
        <v>15652</v>
      </c>
      <c r="AV1240" s="3" t="s">
        <v>15653</v>
      </c>
      <c r="AW1240" s="3" t="s">
        <v>15654</v>
      </c>
      <c r="AX1240" s="3" t="s">
        <v>15654</v>
      </c>
      <c r="AY1240" s="3" t="s">
        <v>15655</v>
      </c>
      <c r="AZ1240" s="3" t="s">
        <v>73</v>
      </c>
      <c r="BC1240" s="3" t="s">
        <v>15656</v>
      </c>
      <c r="BD1240" s="3" t="s">
        <v>15657</v>
      </c>
    </row>
    <row r="1241" spans="1:56" ht="51" customHeight="1" x14ac:dyDescent="0.25">
      <c r="A1241" s="7" t="s">
        <v>58</v>
      </c>
      <c r="B1241" s="2" t="s">
        <v>15658</v>
      </c>
      <c r="C1241" s="2" t="s">
        <v>15659</v>
      </c>
      <c r="D1241" s="2" t="s">
        <v>15660</v>
      </c>
      <c r="F1241" s="3" t="s">
        <v>58</v>
      </c>
      <c r="G1241" s="3" t="s">
        <v>59</v>
      </c>
      <c r="H1241" s="3" t="s">
        <v>58</v>
      </c>
      <c r="I1241" s="3" t="s">
        <v>58</v>
      </c>
      <c r="J1241" s="3" t="s">
        <v>60</v>
      </c>
      <c r="K1241" s="2" t="s">
        <v>15661</v>
      </c>
      <c r="L1241" s="2" t="s">
        <v>15662</v>
      </c>
      <c r="M1241" s="3" t="s">
        <v>1544</v>
      </c>
      <c r="O1241" s="3" t="s">
        <v>63</v>
      </c>
      <c r="P1241" s="3" t="s">
        <v>3323</v>
      </c>
      <c r="R1241" s="3" t="s">
        <v>65</v>
      </c>
      <c r="S1241" s="4">
        <v>2</v>
      </c>
      <c r="T1241" s="4">
        <v>2</v>
      </c>
      <c r="U1241" s="5" t="s">
        <v>15663</v>
      </c>
      <c r="V1241" s="5" t="s">
        <v>15663</v>
      </c>
      <c r="W1241" s="5" t="s">
        <v>3537</v>
      </c>
      <c r="X1241" s="5" t="s">
        <v>3537</v>
      </c>
      <c r="Y1241" s="4">
        <v>32</v>
      </c>
      <c r="Z1241" s="4">
        <v>28</v>
      </c>
      <c r="AA1241" s="4">
        <v>30</v>
      </c>
      <c r="AB1241" s="4">
        <v>1</v>
      </c>
      <c r="AC1241" s="4">
        <v>1</v>
      </c>
      <c r="AD1241" s="4">
        <v>0</v>
      </c>
      <c r="AE1241" s="4">
        <v>0</v>
      </c>
      <c r="AF1241" s="4">
        <v>0</v>
      </c>
      <c r="AG1241" s="4">
        <v>0</v>
      </c>
      <c r="AH1241" s="4">
        <v>0</v>
      </c>
      <c r="AI1241" s="4">
        <v>0</v>
      </c>
      <c r="AJ1241" s="4">
        <v>0</v>
      </c>
      <c r="AK1241" s="4">
        <v>0</v>
      </c>
      <c r="AL1241" s="4">
        <v>0</v>
      </c>
      <c r="AM1241" s="4">
        <v>0</v>
      </c>
      <c r="AN1241" s="4">
        <v>0</v>
      </c>
      <c r="AO1241" s="4">
        <v>0</v>
      </c>
      <c r="AP1241" s="3" t="s">
        <v>58</v>
      </c>
      <c r="AQ1241" s="3" t="s">
        <v>68</v>
      </c>
      <c r="AR1241" s="6" t="str">
        <f>HYPERLINK("http://catalog.hathitrust.org/Record/002886094","HathiTrust Record")</f>
        <v>HathiTrust Record</v>
      </c>
      <c r="AS1241" s="6" t="str">
        <f>HYPERLINK("https://creighton-primo.hosted.exlibrisgroup.com/primo-explore/search?tab=default_tab&amp;search_scope=EVERYTHING&amp;vid=01CRU&amp;lang=en_US&amp;offset=0&amp;query=any,contains,991002163159702656","Catalog Record")</f>
        <v>Catalog Record</v>
      </c>
      <c r="AT1241" s="6" t="str">
        <f>HYPERLINK("http://www.worldcat.org/oclc/27820667","WorldCat Record")</f>
        <v>WorldCat Record</v>
      </c>
      <c r="AU1241" s="3" t="s">
        <v>15664</v>
      </c>
      <c r="AV1241" s="3" t="s">
        <v>15665</v>
      </c>
      <c r="AW1241" s="3" t="s">
        <v>15666</v>
      </c>
      <c r="AX1241" s="3" t="s">
        <v>15666</v>
      </c>
      <c r="AY1241" s="3" t="s">
        <v>15667</v>
      </c>
      <c r="AZ1241" s="3" t="s">
        <v>73</v>
      </c>
      <c r="BB1241" s="3" t="s">
        <v>15668</v>
      </c>
      <c r="BC1241" s="3" t="s">
        <v>15669</v>
      </c>
      <c r="BD1241" s="3" t="s">
        <v>15670</v>
      </c>
    </row>
    <row r="1242" spans="1:56" ht="51" customHeight="1" x14ac:dyDescent="0.25">
      <c r="A1242" s="7" t="s">
        <v>58</v>
      </c>
      <c r="B1242" s="2" t="s">
        <v>15671</v>
      </c>
      <c r="C1242" s="2" t="s">
        <v>15672</v>
      </c>
      <c r="D1242" s="2" t="s">
        <v>15673</v>
      </c>
      <c r="F1242" s="3" t="s">
        <v>58</v>
      </c>
      <c r="G1242" s="3" t="s">
        <v>59</v>
      </c>
      <c r="H1242" s="3" t="s">
        <v>58</v>
      </c>
      <c r="I1242" s="3" t="s">
        <v>58</v>
      </c>
      <c r="J1242" s="3" t="s">
        <v>60</v>
      </c>
      <c r="K1242" s="2" t="s">
        <v>15674</v>
      </c>
      <c r="L1242" s="2" t="s">
        <v>15675</v>
      </c>
      <c r="M1242" s="3" t="s">
        <v>2757</v>
      </c>
      <c r="O1242" s="3" t="s">
        <v>63</v>
      </c>
      <c r="P1242" s="3" t="s">
        <v>214</v>
      </c>
      <c r="Q1242" s="2" t="s">
        <v>15676</v>
      </c>
      <c r="R1242" s="3" t="s">
        <v>65</v>
      </c>
      <c r="S1242" s="4">
        <v>1</v>
      </c>
      <c r="T1242" s="4">
        <v>1</v>
      </c>
      <c r="U1242" s="5" t="s">
        <v>15677</v>
      </c>
      <c r="V1242" s="5" t="s">
        <v>15677</v>
      </c>
      <c r="W1242" s="5" t="s">
        <v>11927</v>
      </c>
      <c r="X1242" s="5" t="s">
        <v>11927</v>
      </c>
      <c r="Y1242" s="4">
        <v>545</v>
      </c>
      <c r="Z1242" s="4">
        <v>515</v>
      </c>
      <c r="AA1242" s="4">
        <v>568</v>
      </c>
      <c r="AB1242" s="4">
        <v>4</v>
      </c>
      <c r="AC1242" s="4">
        <v>4</v>
      </c>
      <c r="AD1242" s="4">
        <v>18</v>
      </c>
      <c r="AE1242" s="4">
        <v>20</v>
      </c>
      <c r="AF1242" s="4">
        <v>7</v>
      </c>
      <c r="AG1242" s="4">
        <v>7</v>
      </c>
      <c r="AH1242" s="4">
        <v>3</v>
      </c>
      <c r="AI1242" s="4">
        <v>3</v>
      </c>
      <c r="AJ1242" s="4">
        <v>8</v>
      </c>
      <c r="AK1242" s="4">
        <v>10</v>
      </c>
      <c r="AL1242" s="4">
        <v>3</v>
      </c>
      <c r="AM1242" s="4">
        <v>3</v>
      </c>
      <c r="AN1242" s="4">
        <v>0</v>
      </c>
      <c r="AO1242" s="4">
        <v>0</v>
      </c>
      <c r="AP1242" s="3" t="s">
        <v>58</v>
      </c>
      <c r="AQ1242" s="3" t="s">
        <v>58</v>
      </c>
      <c r="AS1242" s="6" t="str">
        <f>HYPERLINK("https://creighton-primo.hosted.exlibrisgroup.com/primo-explore/search?tab=default_tab&amp;search_scope=EVERYTHING&amp;vid=01CRU&amp;lang=en_US&amp;offset=0&amp;query=any,contains,991001041479702656","Catalog Record")</f>
        <v>Catalog Record</v>
      </c>
      <c r="AT1242" s="6" t="str">
        <f>HYPERLINK("http://www.worldcat.org/oclc/175777","WorldCat Record")</f>
        <v>WorldCat Record</v>
      </c>
      <c r="AU1242" s="3" t="s">
        <v>15678</v>
      </c>
      <c r="AV1242" s="3" t="s">
        <v>15679</v>
      </c>
      <c r="AW1242" s="3" t="s">
        <v>15680</v>
      </c>
      <c r="AX1242" s="3" t="s">
        <v>15680</v>
      </c>
      <c r="AY1242" s="3" t="s">
        <v>15681</v>
      </c>
      <c r="AZ1242" s="3" t="s">
        <v>73</v>
      </c>
      <c r="BC1242" s="3" t="s">
        <v>15682</v>
      </c>
      <c r="BD1242" s="3" t="s">
        <v>15683</v>
      </c>
    </row>
    <row r="1243" spans="1:56" ht="51" customHeight="1" x14ac:dyDescent="0.25">
      <c r="A1243" s="7" t="s">
        <v>58</v>
      </c>
      <c r="B1243" s="2" t="s">
        <v>15684</v>
      </c>
      <c r="C1243" s="2" t="s">
        <v>15685</v>
      </c>
      <c r="D1243" s="2" t="s">
        <v>15686</v>
      </c>
      <c r="F1243" s="3" t="s">
        <v>58</v>
      </c>
      <c r="G1243" s="3" t="s">
        <v>59</v>
      </c>
      <c r="H1243" s="3" t="s">
        <v>58</v>
      </c>
      <c r="I1243" s="3" t="s">
        <v>58</v>
      </c>
      <c r="J1243" s="3" t="s">
        <v>60</v>
      </c>
      <c r="K1243" s="2" t="s">
        <v>15687</v>
      </c>
      <c r="L1243" s="2" t="s">
        <v>2280</v>
      </c>
      <c r="M1243" s="3" t="s">
        <v>759</v>
      </c>
      <c r="O1243" s="3" t="s">
        <v>63</v>
      </c>
      <c r="P1243" s="3" t="s">
        <v>354</v>
      </c>
      <c r="R1243" s="3" t="s">
        <v>65</v>
      </c>
      <c r="S1243" s="4">
        <v>3</v>
      </c>
      <c r="T1243" s="4">
        <v>3</v>
      </c>
      <c r="U1243" s="5" t="s">
        <v>15688</v>
      </c>
      <c r="V1243" s="5" t="s">
        <v>15688</v>
      </c>
      <c r="W1243" s="5" t="s">
        <v>3096</v>
      </c>
      <c r="X1243" s="5" t="s">
        <v>3096</v>
      </c>
      <c r="Y1243" s="4">
        <v>401</v>
      </c>
      <c r="Z1243" s="4">
        <v>296</v>
      </c>
      <c r="AA1243" s="4">
        <v>543</v>
      </c>
      <c r="AB1243" s="4">
        <v>4</v>
      </c>
      <c r="AC1243" s="4">
        <v>6</v>
      </c>
      <c r="AD1243" s="4">
        <v>10</v>
      </c>
      <c r="AE1243" s="4">
        <v>23</v>
      </c>
      <c r="AF1243" s="4">
        <v>0</v>
      </c>
      <c r="AG1243" s="4">
        <v>8</v>
      </c>
      <c r="AH1243" s="4">
        <v>3</v>
      </c>
      <c r="AI1243" s="4">
        <v>7</v>
      </c>
      <c r="AJ1243" s="4">
        <v>6</v>
      </c>
      <c r="AK1243" s="4">
        <v>10</v>
      </c>
      <c r="AL1243" s="4">
        <v>3</v>
      </c>
      <c r="AM1243" s="4">
        <v>4</v>
      </c>
      <c r="AN1243" s="4">
        <v>0</v>
      </c>
      <c r="AO1243" s="4">
        <v>0</v>
      </c>
      <c r="AP1243" s="3" t="s">
        <v>58</v>
      </c>
      <c r="AQ1243" s="3" t="s">
        <v>58</v>
      </c>
      <c r="AS1243" s="6" t="str">
        <f>HYPERLINK("https://creighton-primo.hosted.exlibrisgroup.com/primo-explore/search?tab=default_tab&amp;search_scope=EVERYTHING&amp;vid=01CRU&amp;lang=en_US&amp;offset=0&amp;query=any,contains,991004985939702656","Catalog Record")</f>
        <v>Catalog Record</v>
      </c>
      <c r="AT1243" s="6" t="str">
        <f>HYPERLINK("http://www.worldcat.org/oclc/6448310","WorldCat Record")</f>
        <v>WorldCat Record</v>
      </c>
      <c r="AU1243" s="3" t="s">
        <v>15689</v>
      </c>
      <c r="AV1243" s="3" t="s">
        <v>15690</v>
      </c>
      <c r="AW1243" s="3" t="s">
        <v>15691</v>
      </c>
      <c r="AX1243" s="3" t="s">
        <v>15691</v>
      </c>
      <c r="AY1243" s="3" t="s">
        <v>15692</v>
      </c>
      <c r="AZ1243" s="3" t="s">
        <v>73</v>
      </c>
      <c r="BB1243" s="3" t="s">
        <v>15693</v>
      </c>
      <c r="BC1243" s="3" t="s">
        <v>15694</v>
      </c>
      <c r="BD1243" s="3" t="s">
        <v>15695</v>
      </c>
    </row>
    <row r="1244" spans="1:56" ht="51" customHeight="1" x14ac:dyDescent="0.25">
      <c r="A1244" s="7" t="s">
        <v>58</v>
      </c>
      <c r="B1244" s="2" t="s">
        <v>15696</v>
      </c>
      <c r="C1244" s="2" t="s">
        <v>15697</v>
      </c>
      <c r="D1244" s="2" t="s">
        <v>15698</v>
      </c>
      <c r="F1244" s="3" t="s">
        <v>58</v>
      </c>
      <c r="G1244" s="3" t="s">
        <v>59</v>
      </c>
      <c r="H1244" s="3" t="s">
        <v>58</v>
      </c>
      <c r="I1244" s="3" t="s">
        <v>58</v>
      </c>
      <c r="J1244" s="3" t="s">
        <v>60</v>
      </c>
      <c r="K1244" s="2" t="s">
        <v>15699</v>
      </c>
      <c r="L1244" s="2" t="s">
        <v>15700</v>
      </c>
      <c r="M1244" s="3" t="s">
        <v>653</v>
      </c>
      <c r="N1244" s="2" t="s">
        <v>15701</v>
      </c>
      <c r="O1244" s="3" t="s">
        <v>63</v>
      </c>
      <c r="P1244" s="3" t="s">
        <v>411</v>
      </c>
      <c r="R1244" s="3" t="s">
        <v>65</v>
      </c>
      <c r="S1244" s="4">
        <v>14</v>
      </c>
      <c r="T1244" s="4">
        <v>14</v>
      </c>
      <c r="U1244" s="5" t="s">
        <v>13211</v>
      </c>
      <c r="V1244" s="5" t="s">
        <v>13211</v>
      </c>
      <c r="W1244" s="5" t="s">
        <v>15702</v>
      </c>
      <c r="X1244" s="5" t="s">
        <v>15702</v>
      </c>
      <c r="Y1244" s="4">
        <v>508</v>
      </c>
      <c r="Z1244" s="4">
        <v>383</v>
      </c>
      <c r="AA1244" s="4">
        <v>396</v>
      </c>
      <c r="AB1244" s="4">
        <v>2</v>
      </c>
      <c r="AC1244" s="4">
        <v>2</v>
      </c>
      <c r="AD1244" s="4">
        <v>13</v>
      </c>
      <c r="AE1244" s="4">
        <v>13</v>
      </c>
      <c r="AF1244" s="4">
        <v>1</v>
      </c>
      <c r="AG1244" s="4">
        <v>1</v>
      </c>
      <c r="AH1244" s="4">
        <v>5</v>
      </c>
      <c r="AI1244" s="4">
        <v>5</v>
      </c>
      <c r="AJ1244" s="4">
        <v>9</v>
      </c>
      <c r="AK1244" s="4">
        <v>9</v>
      </c>
      <c r="AL1244" s="4">
        <v>1</v>
      </c>
      <c r="AM1244" s="4">
        <v>1</v>
      </c>
      <c r="AN1244" s="4">
        <v>0</v>
      </c>
      <c r="AO1244" s="4">
        <v>0</v>
      </c>
      <c r="AP1244" s="3" t="s">
        <v>58</v>
      </c>
      <c r="AQ1244" s="3" t="s">
        <v>58</v>
      </c>
      <c r="AS1244" s="6" t="str">
        <f>HYPERLINK("https://creighton-primo.hosted.exlibrisgroup.com/primo-explore/search?tab=default_tab&amp;search_scope=EVERYTHING&amp;vid=01CRU&amp;lang=en_US&amp;offset=0&amp;query=any,contains,991000741169702656","Catalog Record")</f>
        <v>Catalog Record</v>
      </c>
      <c r="AT1244" s="6" t="str">
        <f>HYPERLINK("http://www.worldcat.org/oclc/12808514","WorldCat Record")</f>
        <v>WorldCat Record</v>
      </c>
      <c r="AU1244" s="3" t="s">
        <v>15703</v>
      </c>
      <c r="AV1244" s="3" t="s">
        <v>15704</v>
      </c>
      <c r="AW1244" s="3" t="s">
        <v>15705</v>
      </c>
      <c r="AX1244" s="3" t="s">
        <v>15705</v>
      </c>
      <c r="AY1244" s="3" t="s">
        <v>15706</v>
      </c>
      <c r="AZ1244" s="3" t="s">
        <v>73</v>
      </c>
      <c r="BB1244" s="3" t="s">
        <v>15707</v>
      </c>
      <c r="BC1244" s="3" t="s">
        <v>15708</v>
      </c>
      <c r="BD1244" s="3" t="s">
        <v>15709</v>
      </c>
    </row>
    <row r="1245" spans="1:56" ht="51" customHeight="1" x14ac:dyDescent="0.25">
      <c r="A1245" s="7" t="s">
        <v>58</v>
      </c>
      <c r="B1245" s="2" t="s">
        <v>15710</v>
      </c>
      <c r="C1245" s="2" t="s">
        <v>15711</v>
      </c>
      <c r="D1245" s="2" t="s">
        <v>15712</v>
      </c>
      <c r="F1245" s="3" t="s">
        <v>58</v>
      </c>
      <c r="G1245" s="3" t="s">
        <v>59</v>
      </c>
      <c r="H1245" s="3" t="s">
        <v>58</v>
      </c>
      <c r="I1245" s="3" t="s">
        <v>58</v>
      </c>
      <c r="J1245" s="3" t="s">
        <v>60</v>
      </c>
      <c r="L1245" s="2" t="s">
        <v>15713</v>
      </c>
      <c r="M1245" s="3" t="s">
        <v>382</v>
      </c>
      <c r="O1245" s="3" t="s">
        <v>63</v>
      </c>
      <c r="P1245" s="3" t="s">
        <v>816</v>
      </c>
      <c r="R1245" s="3" t="s">
        <v>65</v>
      </c>
      <c r="S1245" s="4">
        <v>8</v>
      </c>
      <c r="T1245" s="4">
        <v>8</v>
      </c>
      <c r="U1245" s="5" t="s">
        <v>15714</v>
      </c>
      <c r="V1245" s="5" t="s">
        <v>15714</v>
      </c>
      <c r="W1245" s="5" t="s">
        <v>2880</v>
      </c>
      <c r="X1245" s="5" t="s">
        <v>2880</v>
      </c>
      <c r="Y1245" s="4">
        <v>433</v>
      </c>
      <c r="Z1245" s="4">
        <v>357</v>
      </c>
      <c r="AA1245" s="4">
        <v>357</v>
      </c>
      <c r="AB1245" s="4">
        <v>3</v>
      </c>
      <c r="AC1245" s="4">
        <v>3</v>
      </c>
      <c r="AD1245" s="4">
        <v>21</v>
      </c>
      <c r="AE1245" s="4">
        <v>21</v>
      </c>
      <c r="AF1245" s="4">
        <v>7</v>
      </c>
      <c r="AG1245" s="4">
        <v>7</v>
      </c>
      <c r="AH1245" s="4">
        <v>5</v>
      </c>
      <c r="AI1245" s="4">
        <v>5</v>
      </c>
      <c r="AJ1245" s="4">
        <v>13</v>
      </c>
      <c r="AK1245" s="4">
        <v>13</v>
      </c>
      <c r="AL1245" s="4">
        <v>2</v>
      </c>
      <c r="AM1245" s="4">
        <v>2</v>
      </c>
      <c r="AN1245" s="4">
        <v>1</v>
      </c>
      <c r="AO1245" s="4">
        <v>1</v>
      </c>
      <c r="AP1245" s="3" t="s">
        <v>58</v>
      </c>
      <c r="AQ1245" s="3" t="s">
        <v>58</v>
      </c>
      <c r="AS1245" s="6" t="str">
        <f>HYPERLINK("https://creighton-primo.hosted.exlibrisgroup.com/primo-explore/search?tab=default_tab&amp;search_scope=EVERYTHING&amp;vid=01CRU&amp;lang=en_US&amp;offset=0&amp;query=any,contains,991003030729702656","Catalog Record")</f>
        <v>Catalog Record</v>
      </c>
      <c r="AT1245" s="6" t="str">
        <f>HYPERLINK("http://www.worldcat.org/oclc/41516383","WorldCat Record")</f>
        <v>WorldCat Record</v>
      </c>
      <c r="AU1245" s="3" t="s">
        <v>15715</v>
      </c>
      <c r="AV1245" s="3" t="s">
        <v>15716</v>
      </c>
      <c r="AW1245" s="3" t="s">
        <v>15717</v>
      </c>
      <c r="AX1245" s="3" t="s">
        <v>15717</v>
      </c>
      <c r="AY1245" s="3" t="s">
        <v>15718</v>
      </c>
      <c r="AZ1245" s="3" t="s">
        <v>73</v>
      </c>
      <c r="BB1245" s="3" t="s">
        <v>15719</v>
      </c>
      <c r="BC1245" s="3" t="s">
        <v>15720</v>
      </c>
      <c r="BD1245" s="3" t="s">
        <v>15721</v>
      </c>
    </row>
    <row r="1246" spans="1:56" ht="51" customHeight="1" x14ac:dyDescent="0.25">
      <c r="A1246" s="7" t="s">
        <v>58</v>
      </c>
      <c r="B1246" s="2" t="s">
        <v>15722</v>
      </c>
      <c r="C1246" s="2" t="s">
        <v>15723</v>
      </c>
      <c r="D1246" s="2" t="s">
        <v>15724</v>
      </c>
      <c r="F1246" s="3" t="s">
        <v>58</v>
      </c>
      <c r="G1246" s="3" t="s">
        <v>59</v>
      </c>
      <c r="H1246" s="3" t="s">
        <v>58</v>
      </c>
      <c r="I1246" s="3" t="s">
        <v>58</v>
      </c>
      <c r="J1246" s="3" t="s">
        <v>60</v>
      </c>
      <c r="K1246" s="2" t="s">
        <v>15725</v>
      </c>
      <c r="L1246" s="2" t="s">
        <v>15726</v>
      </c>
      <c r="M1246" s="3" t="s">
        <v>4023</v>
      </c>
      <c r="O1246" s="3" t="s">
        <v>63</v>
      </c>
      <c r="P1246" s="3" t="s">
        <v>2061</v>
      </c>
      <c r="Q1246" s="2" t="s">
        <v>15727</v>
      </c>
      <c r="R1246" s="3" t="s">
        <v>65</v>
      </c>
      <c r="S1246" s="4">
        <v>3</v>
      </c>
      <c r="T1246" s="4">
        <v>3</v>
      </c>
      <c r="U1246" s="5" t="s">
        <v>13211</v>
      </c>
      <c r="V1246" s="5" t="s">
        <v>13211</v>
      </c>
      <c r="W1246" s="5" t="s">
        <v>15728</v>
      </c>
      <c r="X1246" s="5" t="s">
        <v>15728</v>
      </c>
      <c r="Y1246" s="4">
        <v>258</v>
      </c>
      <c r="Z1246" s="4">
        <v>195</v>
      </c>
      <c r="AA1246" s="4">
        <v>197</v>
      </c>
      <c r="AB1246" s="4">
        <v>2</v>
      </c>
      <c r="AC1246" s="4">
        <v>2</v>
      </c>
      <c r="AD1246" s="4">
        <v>14</v>
      </c>
      <c r="AE1246" s="4">
        <v>14</v>
      </c>
      <c r="AF1246" s="4">
        <v>5</v>
      </c>
      <c r="AG1246" s="4">
        <v>5</v>
      </c>
      <c r="AH1246" s="4">
        <v>5</v>
      </c>
      <c r="AI1246" s="4">
        <v>5</v>
      </c>
      <c r="AJ1246" s="4">
        <v>8</v>
      </c>
      <c r="AK1246" s="4">
        <v>8</v>
      </c>
      <c r="AL1246" s="4">
        <v>1</v>
      </c>
      <c r="AM1246" s="4">
        <v>1</v>
      </c>
      <c r="AN1246" s="4">
        <v>0</v>
      </c>
      <c r="AO1246" s="4">
        <v>0</v>
      </c>
      <c r="AP1246" s="3" t="s">
        <v>58</v>
      </c>
      <c r="AQ1246" s="3" t="s">
        <v>68</v>
      </c>
      <c r="AR1246" s="6" t="str">
        <f>HYPERLINK("http://catalog.hathitrust.org/Record/004719437","HathiTrust Record")</f>
        <v>HathiTrust Record</v>
      </c>
      <c r="AS1246" s="6" t="str">
        <f>HYPERLINK("https://creighton-primo.hosted.exlibrisgroup.com/primo-explore/search?tab=default_tab&amp;search_scope=EVERYTHING&amp;vid=01CRU&amp;lang=en_US&amp;offset=0&amp;query=any,contains,991004642709702656","Catalog Record")</f>
        <v>Catalog Record</v>
      </c>
      <c r="AT1246" s="6" t="str">
        <f>HYPERLINK("http://www.worldcat.org/oclc/53900982","WorldCat Record")</f>
        <v>WorldCat Record</v>
      </c>
      <c r="AU1246" s="3" t="s">
        <v>15729</v>
      </c>
      <c r="AV1246" s="3" t="s">
        <v>15730</v>
      </c>
      <c r="AW1246" s="3" t="s">
        <v>15731</v>
      </c>
      <c r="AX1246" s="3" t="s">
        <v>15731</v>
      </c>
      <c r="AY1246" s="3" t="s">
        <v>15732</v>
      </c>
      <c r="AZ1246" s="3" t="s">
        <v>73</v>
      </c>
      <c r="BB1246" s="3" t="s">
        <v>15733</v>
      </c>
      <c r="BC1246" s="3" t="s">
        <v>15734</v>
      </c>
      <c r="BD1246" s="3" t="s">
        <v>15735</v>
      </c>
    </row>
    <row r="1247" spans="1:56" ht="51" customHeight="1" x14ac:dyDescent="0.25">
      <c r="A1247" s="7" t="s">
        <v>58</v>
      </c>
      <c r="B1247" s="2" t="s">
        <v>15736</v>
      </c>
      <c r="C1247" s="2" t="s">
        <v>15737</v>
      </c>
      <c r="D1247" s="2" t="s">
        <v>15738</v>
      </c>
      <c r="F1247" s="3" t="s">
        <v>58</v>
      </c>
      <c r="G1247" s="3" t="s">
        <v>59</v>
      </c>
      <c r="H1247" s="3" t="s">
        <v>58</v>
      </c>
      <c r="I1247" s="3" t="s">
        <v>58</v>
      </c>
      <c r="J1247" s="3" t="s">
        <v>60</v>
      </c>
      <c r="K1247" s="2" t="s">
        <v>15739</v>
      </c>
      <c r="L1247" s="2" t="s">
        <v>15740</v>
      </c>
      <c r="M1247" s="3" t="s">
        <v>2706</v>
      </c>
      <c r="O1247" s="3" t="s">
        <v>63</v>
      </c>
      <c r="P1247" s="3" t="s">
        <v>411</v>
      </c>
      <c r="R1247" s="3" t="s">
        <v>65</v>
      </c>
      <c r="S1247" s="4">
        <v>4</v>
      </c>
      <c r="T1247" s="4">
        <v>4</v>
      </c>
      <c r="U1247" s="5" t="s">
        <v>13678</v>
      </c>
      <c r="V1247" s="5" t="s">
        <v>13678</v>
      </c>
      <c r="W1247" s="5" t="s">
        <v>733</v>
      </c>
      <c r="X1247" s="5" t="s">
        <v>733</v>
      </c>
      <c r="Y1247" s="4">
        <v>735</v>
      </c>
      <c r="Z1247" s="4">
        <v>688</v>
      </c>
      <c r="AA1247" s="4">
        <v>701</v>
      </c>
      <c r="AB1247" s="4">
        <v>8</v>
      </c>
      <c r="AC1247" s="4">
        <v>8</v>
      </c>
      <c r="AD1247" s="4">
        <v>35</v>
      </c>
      <c r="AE1247" s="4">
        <v>35</v>
      </c>
      <c r="AF1247" s="4">
        <v>12</v>
      </c>
      <c r="AG1247" s="4">
        <v>12</v>
      </c>
      <c r="AH1247" s="4">
        <v>7</v>
      </c>
      <c r="AI1247" s="4">
        <v>7</v>
      </c>
      <c r="AJ1247" s="4">
        <v>15</v>
      </c>
      <c r="AK1247" s="4">
        <v>15</v>
      </c>
      <c r="AL1247" s="4">
        <v>7</v>
      </c>
      <c r="AM1247" s="4">
        <v>7</v>
      </c>
      <c r="AN1247" s="4">
        <v>0</v>
      </c>
      <c r="AO1247" s="4">
        <v>0</v>
      </c>
      <c r="AP1247" s="3" t="s">
        <v>68</v>
      </c>
      <c r="AQ1247" s="3" t="s">
        <v>58</v>
      </c>
      <c r="AR1247" s="6" t="str">
        <f>HYPERLINK("http://catalog.hathitrust.org/Record/001862637","HathiTrust Record")</f>
        <v>HathiTrust Record</v>
      </c>
      <c r="AS1247" s="6" t="str">
        <f>HYPERLINK("https://creighton-primo.hosted.exlibrisgroup.com/primo-explore/search?tab=default_tab&amp;search_scope=EVERYTHING&amp;vid=01CRU&amp;lang=en_US&amp;offset=0&amp;query=any,contains,991001477019702656","Catalog Record")</f>
        <v>Catalog Record</v>
      </c>
      <c r="AT1247" s="6" t="str">
        <f>HYPERLINK("http://www.worldcat.org/oclc/19588607","WorldCat Record")</f>
        <v>WorldCat Record</v>
      </c>
      <c r="AU1247" s="3" t="s">
        <v>15741</v>
      </c>
      <c r="AV1247" s="3" t="s">
        <v>15742</v>
      </c>
      <c r="AW1247" s="3" t="s">
        <v>15743</v>
      </c>
      <c r="AX1247" s="3" t="s">
        <v>15743</v>
      </c>
      <c r="AY1247" s="3" t="s">
        <v>15744</v>
      </c>
      <c r="AZ1247" s="3" t="s">
        <v>73</v>
      </c>
      <c r="BC1247" s="3" t="s">
        <v>15745</v>
      </c>
      <c r="BD1247" s="3" t="s">
        <v>15746</v>
      </c>
    </row>
    <row r="1248" spans="1:56" ht="51" customHeight="1" x14ac:dyDescent="0.25">
      <c r="A1248" s="7" t="s">
        <v>58</v>
      </c>
      <c r="B1248" s="2" t="s">
        <v>15747</v>
      </c>
      <c r="C1248" s="2" t="s">
        <v>15748</v>
      </c>
      <c r="D1248" s="2" t="s">
        <v>15749</v>
      </c>
      <c r="F1248" s="3" t="s">
        <v>58</v>
      </c>
      <c r="G1248" s="3" t="s">
        <v>59</v>
      </c>
      <c r="H1248" s="3" t="s">
        <v>58</v>
      </c>
      <c r="I1248" s="3" t="s">
        <v>58</v>
      </c>
      <c r="J1248" s="3" t="s">
        <v>60</v>
      </c>
      <c r="K1248" s="2" t="s">
        <v>15750</v>
      </c>
      <c r="L1248" s="2" t="s">
        <v>15751</v>
      </c>
      <c r="M1248" s="3" t="s">
        <v>15752</v>
      </c>
      <c r="O1248" s="3" t="s">
        <v>63</v>
      </c>
      <c r="P1248" s="3" t="s">
        <v>214</v>
      </c>
      <c r="R1248" s="3" t="s">
        <v>65</v>
      </c>
      <c r="S1248" s="4">
        <v>3</v>
      </c>
      <c r="T1248" s="4">
        <v>3</v>
      </c>
      <c r="U1248" s="5" t="s">
        <v>15753</v>
      </c>
      <c r="V1248" s="5" t="s">
        <v>15753</v>
      </c>
      <c r="W1248" s="5" t="s">
        <v>11664</v>
      </c>
      <c r="X1248" s="5" t="s">
        <v>11664</v>
      </c>
      <c r="Y1248" s="4">
        <v>702</v>
      </c>
      <c r="Z1248" s="4">
        <v>686</v>
      </c>
      <c r="AA1248" s="4">
        <v>985</v>
      </c>
      <c r="AB1248" s="4">
        <v>6</v>
      </c>
      <c r="AC1248" s="4">
        <v>9</v>
      </c>
      <c r="AD1248" s="4">
        <v>34</v>
      </c>
      <c r="AE1248" s="4">
        <v>41</v>
      </c>
      <c r="AF1248" s="4">
        <v>12</v>
      </c>
      <c r="AG1248" s="4">
        <v>15</v>
      </c>
      <c r="AH1248" s="4">
        <v>6</v>
      </c>
      <c r="AI1248" s="4">
        <v>8</v>
      </c>
      <c r="AJ1248" s="4">
        <v>18</v>
      </c>
      <c r="AK1248" s="4">
        <v>22</v>
      </c>
      <c r="AL1248" s="4">
        <v>4</v>
      </c>
      <c r="AM1248" s="4">
        <v>5</v>
      </c>
      <c r="AN1248" s="4">
        <v>0</v>
      </c>
      <c r="AO1248" s="4">
        <v>0</v>
      </c>
      <c r="AP1248" s="3" t="s">
        <v>58</v>
      </c>
      <c r="AQ1248" s="3" t="s">
        <v>68</v>
      </c>
      <c r="AR1248" s="6" t="str">
        <f>HYPERLINK("http://catalog.hathitrust.org/Record/001240754","HathiTrust Record")</f>
        <v>HathiTrust Record</v>
      </c>
      <c r="AS1248" s="6" t="str">
        <f>HYPERLINK("https://creighton-primo.hosted.exlibrisgroup.com/primo-explore/search?tab=default_tab&amp;search_scope=EVERYTHING&amp;vid=01CRU&amp;lang=en_US&amp;offset=0&amp;query=any,contains,991002681759702656","Catalog Record")</f>
        <v>Catalog Record</v>
      </c>
      <c r="AT1248" s="6" t="str">
        <f>HYPERLINK("http://www.worldcat.org/oclc/398621","WorldCat Record")</f>
        <v>WorldCat Record</v>
      </c>
      <c r="AU1248" s="3" t="s">
        <v>15754</v>
      </c>
      <c r="AV1248" s="3" t="s">
        <v>15755</v>
      </c>
      <c r="AW1248" s="3" t="s">
        <v>15756</v>
      </c>
      <c r="AX1248" s="3" t="s">
        <v>15756</v>
      </c>
      <c r="AY1248" s="3" t="s">
        <v>15757</v>
      </c>
      <c r="AZ1248" s="3" t="s">
        <v>73</v>
      </c>
      <c r="BC1248" s="3" t="s">
        <v>15758</v>
      </c>
      <c r="BD1248" s="3" t="s">
        <v>15759</v>
      </c>
    </row>
    <row r="1249" spans="1:56" ht="51" customHeight="1" x14ac:dyDescent="0.25">
      <c r="A1249" s="7" t="s">
        <v>58</v>
      </c>
      <c r="B1249" s="2" t="s">
        <v>15760</v>
      </c>
      <c r="C1249" s="2" t="s">
        <v>15761</v>
      </c>
      <c r="D1249" s="2" t="s">
        <v>15762</v>
      </c>
      <c r="F1249" s="3" t="s">
        <v>58</v>
      </c>
      <c r="G1249" s="3" t="s">
        <v>59</v>
      </c>
      <c r="H1249" s="3" t="s">
        <v>58</v>
      </c>
      <c r="I1249" s="3" t="s">
        <v>58</v>
      </c>
      <c r="J1249" s="3" t="s">
        <v>60</v>
      </c>
      <c r="K1249" s="2" t="s">
        <v>15763</v>
      </c>
      <c r="L1249" s="2" t="s">
        <v>15764</v>
      </c>
      <c r="M1249" s="3" t="s">
        <v>653</v>
      </c>
      <c r="O1249" s="3" t="s">
        <v>63</v>
      </c>
      <c r="P1249" s="3" t="s">
        <v>214</v>
      </c>
      <c r="R1249" s="3" t="s">
        <v>65</v>
      </c>
      <c r="S1249" s="4">
        <v>5</v>
      </c>
      <c r="T1249" s="4">
        <v>5</v>
      </c>
      <c r="U1249" s="5" t="s">
        <v>15765</v>
      </c>
      <c r="V1249" s="5" t="s">
        <v>15765</v>
      </c>
      <c r="W1249" s="5" t="s">
        <v>15766</v>
      </c>
      <c r="X1249" s="5" t="s">
        <v>15766</v>
      </c>
      <c r="Y1249" s="4">
        <v>1000</v>
      </c>
      <c r="Z1249" s="4">
        <v>953</v>
      </c>
      <c r="AA1249" s="4">
        <v>1175</v>
      </c>
      <c r="AB1249" s="4">
        <v>3</v>
      </c>
      <c r="AC1249" s="4">
        <v>5</v>
      </c>
      <c r="AD1249" s="4">
        <v>11</v>
      </c>
      <c r="AE1249" s="4">
        <v>22</v>
      </c>
      <c r="AF1249" s="4">
        <v>2</v>
      </c>
      <c r="AG1249" s="4">
        <v>7</v>
      </c>
      <c r="AH1249" s="4">
        <v>3</v>
      </c>
      <c r="AI1249" s="4">
        <v>4</v>
      </c>
      <c r="AJ1249" s="4">
        <v>7</v>
      </c>
      <c r="AK1249" s="4">
        <v>11</v>
      </c>
      <c r="AL1249" s="4">
        <v>1</v>
      </c>
      <c r="AM1249" s="4">
        <v>3</v>
      </c>
      <c r="AN1249" s="4">
        <v>0</v>
      </c>
      <c r="AO1249" s="4">
        <v>0</v>
      </c>
      <c r="AP1249" s="3" t="s">
        <v>58</v>
      </c>
      <c r="AQ1249" s="3" t="s">
        <v>68</v>
      </c>
      <c r="AR1249" s="6" t="str">
        <f>HYPERLINK("http://catalog.hathitrust.org/Record/002431188","HathiTrust Record")</f>
        <v>HathiTrust Record</v>
      </c>
      <c r="AS1249" s="6" t="str">
        <f>HYPERLINK("https://creighton-primo.hosted.exlibrisgroup.com/primo-explore/search?tab=default_tab&amp;search_scope=EVERYTHING&amp;vid=01CRU&amp;lang=en_US&amp;offset=0&amp;query=any,contains,991001772869702656","Catalog Record")</f>
        <v>Catalog Record</v>
      </c>
      <c r="AT1249" s="6" t="str">
        <f>HYPERLINK("http://www.worldcat.org/oclc/22386662","WorldCat Record")</f>
        <v>WorldCat Record</v>
      </c>
      <c r="AU1249" s="3" t="s">
        <v>15767</v>
      </c>
      <c r="AV1249" s="3" t="s">
        <v>15768</v>
      </c>
      <c r="AW1249" s="3" t="s">
        <v>15769</v>
      </c>
      <c r="AX1249" s="3" t="s">
        <v>15769</v>
      </c>
      <c r="AY1249" s="3" t="s">
        <v>15770</v>
      </c>
      <c r="AZ1249" s="3" t="s">
        <v>73</v>
      </c>
      <c r="BC1249" s="3" t="s">
        <v>15771</v>
      </c>
      <c r="BD1249" s="3" t="s">
        <v>15772</v>
      </c>
    </row>
    <row r="1250" spans="1:56" ht="51" customHeight="1" x14ac:dyDescent="0.25">
      <c r="A1250" s="7" t="s">
        <v>58</v>
      </c>
      <c r="B1250" s="2" t="s">
        <v>15773</v>
      </c>
      <c r="C1250" s="2" t="s">
        <v>15774</v>
      </c>
      <c r="D1250" s="2" t="s">
        <v>15775</v>
      </c>
      <c r="F1250" s="3" t="s">
        <v>58</v>
      </c>
      <c r="G1250" s="3" t="s">
        <v>59</v>
      </c>
      <c r="H1250" s="3" t="s">
        <v>58</v>
      </c>
      <c r="I1250" s="3" t="s">
        <v>58</v>
      </c>
      <c r="J1250" s="3" t="s">
        <v>60</v>
      </c>
      <c r="K1250" s="2" t="s">
        <v>15776</v>
      </c>
      <c r="L1250" s="2" t="s">
        <v>15777</v>
      </c>
      <c r="M1250" s="3" t="s">
        <v>479</v>
      </c>
      <c r="N1250" s="2" t="s">
        <v>338</v>
      </c>
      <c r="O1250" s="3" t="s">
        <v>63</v>
      </c>
      <c r="P1250" s="3" t="s">
        <v>214</v>
      </c>
      <c r="R1250" s="3" t="s">
        <v>65</v>
      </c>
      <c r="S1250" s="4">
        <v>3</v>
      </c>
      <c r="T1250" s="4">
        <v>3</v>
      </c>
      <c r="U1250" s="5" t="s">
        <v>7632</v>
      </c>
      <c r="V1250" s="5" t="s">
        <v>7632</v>
      </c>
      <c r="W1250" s="5" t="s">
        <v>15778</v>
      </c>
      <c r="X1250" s="5" t="s">
        <v>15778</v>
      </c>
      <c r="Y1250" s="4">
        <v>817</v>
      </c>
      <c r="Z1250" s="4">
        <v>752</v>
      </c>
      <c r="AA1250" s="4">
        <v>790</v>
      </c>
      <c r="AB1250" s="4">
        <v>6</v>
      </c>
      <c r="AC1250" s="4">
        <v>6</v>
      </c>
      <c r="AD1250" s="4">
        <v>28</v>
      </c>
      <c r="AE1250" s="4">
        <v>30</v>
      </c>
      <c r="AF1250" s="4">
        <v>10</v>
      </c>
      <c r="AG1250" s="4">
        <v>11</v>
      </c>
      <c r="AH1250" s="4">
        <v>5</v>
      </c>
      <c r="AI1250" s="4">
        <v>6</v>
      </c>
      <c r="AJ1250" s="4">
        <v>17</v>
      </c>
      <c r="AK1250" s="4">
        <v>17</v>
      </c>
      <c r="AL1250" s="4">
        <v>4</v>
      </c>
      <c r="AM1250" s="4">
        <v>4</v>
      </c>
      <c r="AN1250" s="4">
        <v>0</v>
      </c>
      <c r="AO1250" s="4">
        <v>0</v>
      </c>
      <c r="AP1250" s="3" t="s">
        <v>58</v>
      </c>
      <c r="AQ1250" s="3" t="s">
        <v>68</v>
      </c>
      <c r="AR1250" s="6" t="str">
        <f>HYPERLINK("http://catalog.hathitrust.org/Record/002792052","HathiTrust Record")</f>
        <v>HathiTrust Record</v>
      </c>
      <c r="AS1250" s="6" t="str">
        <f>HYPERLINK("https://creighton-primo.hosted.exlibrisgroup.com/primo-explore/search?tab=default_tab&amp;search_scope=EVERYTHING&amp;vid=01CRU&amp;lang=en_US&amp;offset=0&amp;query=any,contains,991002199549702656","Catalog Record")</f>
        <v>Catalog Record</v>
      </c>
      <c r="AT1250" s="6" t="str">
        <f>HYPERLINK("http://www.worldcat.org/oclc/28292653","WorldCat Record")</f>
        <v>WorldCat Record</v>
      </c>
      <c r="AU1250" s="3" t="s">
        <v>15779</v>
      </c>
      <c r="AV1250" s="3" t="s">
        <v>15780</v>
      </c>
      <c r="AW1250" s="3" t="s">
        <v>15781</v>
      </c>
      <c r="AX1250" s="3" t="s">
        <v>15781</v>
      </c>
      <c r="AY1250" s="3" t="s">
        <v>15782</v>
      </c>
      <c r="AZ1250" s="3" t="s">
        <v>73</v>
      </c>
      <c r="BB1250" s="3" t="s">
        <v>15783</v>
      </c>
      <c r="BC1250" s="3" t="s">
        <v>15784</v>
      </c>
      <c r="BD1250" s="3" t="s">
        <v>15785</v>
      </c>
    </row>
    <row r="1251" spans="1:56" ht="51" customHeight="1" x14ac:dyDescent="0.25">
      <c r="A1251" s="7" t="s">
        <v>58</v>
      </c>
      <c r="B1251" s="2" t="s">
        <v>15786</v>
      </c>
      <c r="C1251" s="2" t="s">
        <v>15787</v>
      </c>
      <c r="D1251" s="2" t="s">
        <v>15788</v>
      </c>
      <c r="F1251" s="3" t="s">
        <v>58</v>
      </c>
      <c r="G1251" s="3" t="s">
        <v>59</v>
      </c>
      <c r="H1251" s="3" t="s">
        <v>58</v>
      </c>
      <c r="I1251" s="3" t="s">
        <v>58</v>
      </c>
      <c r="J1251" s="3" t="s">
        <v>60</v>
      </c>
      <c r="K1251" s="2" t="s">
        <v>15789</v>
      </c>
      <c r="L1251" s="2" t="s">
        <v>15790</v>
      </c>
      <c r="M1251" s="3" t="s">
        <v>1499</v>
      </c>
      <c r="O1251" s="3" t="s">
        <v>63</v>
      </c>
      <c r="P1251" s="3" t="s">
        <v>816</v>
      </c>
      <c r="Q1251" s="2" t="s">
        <v>15791</v>
      </c>
      <c r="R1251" s="3" t="s">
        <v>65</v>
      </c>
      <c r="S1251" s="4">
        <v>1</v>
      </c>
      <c r="T1251" s="4">
        <v>1</v>
      </c>
      <c r="U1251" s="5" t="s">
        <v>15792</v>
      </c>
      <c r="V1251" s="5" t="s">
        <v>15792</v>
      </c>
      <c r="W1251" s="5" t="s">
        <v>11664</v>
      </c>
      <c r="X1251" s="5" t="s">
        <v>11664</v>
      </c>
      <c r="Y1251" s="4">
        <v>78</v>
      </c>
      <c r="Z1251" s="4">
        <v>69</v>
      </c>
      <c r="AA1251" s="4">
        <v>718</v>
      </c>
      <c r="AB1251" s="4">
        <v>2</v>
      </c>
      <c r="AC1251" s="4">
        <v>4</v>
      </c>
      <c r="AD1251" s="4">
        <v>3</v>
      </c>
      <c r="AE1251" s="4">
        <v>26</v>
      </c>
      <c r="AF1251" s="4">
        <v>1</v>
      </c>
      <c r="AG1251" s="4">
        <v>9</v>
      </c>
      <c r="AH1251" s="4">
        <v>2</v>
      </c>
      <c r="AI1251" s="4">
        <v>9</v>
      </c>
      <c r="AJ1251" s="4">
        <v>0</v>
      </c>
      <c r="AK1251" s="4">
        <v>13</v>
      </c>
      <c r="AL1251" s="4">
        <v>1</v>
      </c>
      <c r="AM1251" s="4">
        <v>2</v>
      </c>
      <c r="AN1251" s="4">
        <v>0</v>
      </c>
      <c r="AO1251" s="4">
        <v>0</v>
      </c>
      <c r="AP1251" s="3" t="s">
        <v>58</v>
      </c>
      <c r="AQ1251" s="3" t="s">
        <v>58</v>
      </c>
      <c r="AS1251" s="6" t="str">
        <f>HYPERLINK("https://creighton-primo.hosted.exlibrisgroup.com/primo-explore/search?tab=default_tab&amp;search_scope=EVERYTHING&amp;vid=01CRU&amp;lang=en_US&amp;offset=0&amp;query=any,contains,991004069139702656","Catalog Record")</f>
        <v>Catalog Record</v>
      </c>
      <c r="AT1251" s="6" t="str">
        <f>HYPERLINK("http://www.worldcat.org/oclc/2293887","WorldCat Record")</f>
        <v>WorldCat Record</v>
      </c>
      <c r="AU1251" s="3" t="s">
        <v>15793</v>
      </c>
      <c r="AV1251" s="3" t="s">
        <v>15794</v>
      </c>
      <c r="AW1251" s="3" t="s">
        <v>15795</v>
      </c>
      <c r="AX1251" s="3" t="s">
        <v>15795</v>
      </c>
      <c r="AY1251" s="3" t="s">
        <v>15796</v>
      </c>
      <c r="AZ1251" s="3" t="s">
        <v>73</v>
      </c>
      <c r="BC1251" s="3" t="s">
        <v>15797</v>
      </c>
      <c r="BD1251" s="3" t="s">
        <v>15798</v>
      </c>
    </row>
    <row r="1252" spans="1:56" ht="51" customHeight="1" x14ac:dyDescent="0.25">
      <c r="A1252" s="7" t="s">
        <v>58</v>
      </c>
      <c r="B1252" s="2" t="s">
        <v>15799</v>
      </c>
      <c r="C1252" s="2" t="s">
        <v>15800</v>
      </c>
      <c r="D1252" s="2" t="s">
        <v>15801</v>
      </c>
      <c r="F1252" s="3" t="s">
        <v>58</v>
      </c>
      <c r="G1252" s="3" t="s">
        <v>59</v>
      </c>
      <c r="H1252" s="3" t="s">
        <v>58</v>
      </c>
      <c r="I1252" s="3" t="s">
        <v>58</v>
      </c>
      <c r="J1252" s="3" t="s">
        <v>60</v>
      </c>
      <c r="K1252" s="2" t="s">
        <v>15483</v>
      </c>
      <c r="L1252" s="2" t="s">
        <v>15802</v>
      </c>
      <c r="M1252" s="3" t="s">
        <v>759</v>
      </c>
      <c r="O1252" s="3" t="s">
        <v>63</v>
      </c>
      <c r="P1252" s="3" t="s">
        <v>2630</v>
      </c>
      <c r="Q1252" s="2" t="s">
        <v>15803</v>
      </c>
      <c r="R1252" s="3" t="s">
        <v>65</v>
      </c>
      <c r="S1252" s="4">
        <v>14</v>
      </c>
      <c r="T1252" s="4">
        <v>14</v>
      </c>
      <c r="U1252" s="5" t="s">
        <v>15804</v>
      </c>
      <c r="V1252" s="5" t="s">
        <v>15804</v>
      </c>
      <c r="W1252" s="5" t="s">
        <v>14853</v>
      </c>
      <c r="X1252" s="5" t="s">
        <v>14853</v>
      </c>
      <c r="Y1252" s="4">
        <v>502</v>
      </c>
      <c r="Z1252" s="4">
        <v>418</v>
      </c>
      <c r="AA1252" s="4">
        <v>425</v>
      </c>
      <c r="AB1252" s="4">
        <v>4</v>
      </c>
      <c r="AC1252" s="4">
        <v>4</v>
      </c>
      <c r="AD1252" s="4">
        <v>11</v>
      </c>
      <c r="AE1252" s="4">
        <v>11</v>
      </c>
      <c r="AF1252" s="4">
        <v>1</v>
      </c>
      <c r="AG1252" s="4">
        <v>1</v>
      </c>
      <c r="AH1252" s="4">
        <v>2</v>
      </c>
      <c r="AI1252" s="4">
        <v>2</v>
      </c>
      <c r="AJ1252" s="4">
        <v>7</v>
      </c>
      <c r="AK1252" s="4">
        <v>7</v>
      </c>
      <c r="AL1252" s="4">
        <v>3</v>
      </c>
      <c r="AM1252" s="4">
        <v>3</v>
      </c>
      <c r="AN1252" s="4">
        <v>0</v>
      </c>
      <c r="AO1252" s="4">
        <v>0</v>
      </c>
      <c r="AP1252" s="3" t="s">
        <v>58</v>
      </c>
      <c r="AQ1252" s="3" t="s">
        <v>68</v>
      </c>
      <c r="AR1252" s="6" t="str">
        <f>HYPERLINK("http://catalog.hathitrust.org/Record/000724811","HathiTrust Record")</f>
        <v>HathiTrust Record</v>
      </c>
      <c r="AS1252" s="6" t="str">
        <f>HYPERLINK("https://creighton-primo.hosted.exlibrisgroup.com/primo-explore/search?tab=default_tab&amp;search_scope=EVERYTHING&amp;vid=01CRU&amp;lang=en_US&amp;offset=0&amp;query=any,contains,991004804959702656","Catalog Record")</f>
        <v>Catalog Record</v>
      </c>
      <c r="AT1252" s="6" t="str">
        <f>HYPERLINK("http://www.worldcat.org/oclc/5239762","WorldCat Record")</f>
        <v>WorldCat Record</v>
      </c>
      <c r="AU1252" s="3" t="s">
        <v>15805</v>
      </c>
      <c r="AV1252" s="3" t="s">
        <v>15806</v>
      </c>
      <c r="AW1252" s="3" t="s">
        <v>15807</v>
      </c>
      <c r="AX1252" s="3" t="s">
        <v>15807</v>
      </c>
      <c r="AY1252" s="3" t="s">
        <v>15808</v>
      </c>
      <c r="AZ1252" s="3" t="s">
        <v>73</v>
      </c>
      <c r="BB1252" s="3" t="s">
        <v>15809</v>
      </c>
      <c r="BC1252" s="3" t="s">
        <v>15810</v>
      </c>
      <c r="BD1252" s="3" t="s">
        <v>15811</v>
      </c>
    </row>
    <row r="1253" spans="1:56" ht="51" customHeight="1" x14ac:dyDescent="0.25">
      <c r="A1253" s="7" t="s">
        <v>58</v>
      </c>
      <c r="B1253" s="2" t="s">
        <v>15812</v>
      </c>
      <c r="C1253" s="2" t="s">
        <v>15813</v>
      </c>
      <c r="D1253" s="2" t="s">
        <v>15814</v>
      </c>
      <c r="F1253" s="3" t="s">
        <v>58</v>
      </c>
      <c r="G1253" s="3" t="s">
        <v>59</v>
      </c>
      <c r="H1253" s="3" t="s">
        <v>58</v>
      </c>
      <c r="I1253" s="3" t="s">
        <v>58</v>
      </c>
      <c r="J1253" s="3" t="s">
        <v>60</v>
      </c>
      <c r="K1253" s="2" t="s">
        <v>15815</v>
      </c>
      <c r="L1253" s="2" t="s">
        <v>15816</v>
      </c>
      <c r="M1253" s="3" t="s">
        <v>479</v>
      </c>
      <c r="O1253" s="3" t="s">
        <v>63</v>
      </c>
      <c r="P1253" s="3" t="s">
        <v>411</v>
      </c>
      <c r="R1253" s="3" t="s">
        <v>65</v>
      </c>
      <c r="S1253" s="4">
        <v>1</v>
      </c>
      <c r="T1253" s="4">
        <v>1</v>
      </c>
      <c r="U1253" s="5" t="s">
        <v>140</v>
      </c>
      <c r="V1253" s="5" t="s">
        <v>140</v>
      </c>
      <c r="W1253" s="5" t="s">
        <v>15817</v>
      </c>
      <c r="X1253" s="5" t="s">
        <v>15817</v>
      </c>
      <c r="Y1253" s="4">
        <v>129</v>
      </c>
      <c r="Z1253" s="4">
        <v>113</v>
      </c>
      <c r="AA1253" s="4">
        <v>115</v>
      </c>
      <c r="AB1253" s="4">
        <v>1</v>
      </c>
      <c r="AC1253" s="4">
        <v>1</v>
      </c>
      <c r="AD1253" s="4">
        <v>3</v>
      </c>
      <c r="AE1253" s="4">
        <v>3</v>
      </c>
      <c r="AF1253" s="4">
        <v>3</v>
      </c>
      <c r="AG1253" s="4">
        <v>3</v>
      </c>
      <c r="AH1253" s="4">
        <v>1</v>
      </c>
      <c r="AI1253" s="4">
        <v>1</v>
      </c>
      <c r="AJ1253" s="4">
        <v>0</v>
      </c>
      <c r="AK1253" s="4">
        <v>0</v>
      </c>
      <c r="AL1253" s="4">
        <v>0</v>
      </c>
      <c r="AM1253" s="4">
        <v>0</v>
      </c>
      <c r="AN1253" s="4">
        <v>0</v>
      </c>
      <c r="AO1253" s="4">
        <v>0</v>
      </c>
      <c r="AP1253" s="3" t="s">
        <v>58</v>
      </c>
      <c r="AQ1253" s="3" t="s">
        <v>68</v>
      </c>
      <c r="AR1253" s="6" t="str">
        <f>HYPERLINK("http://catalog.hathitrust.org/Record/009922810","HathiTrust Record")</f>
        <v>HathiTrust Record</v>
      </c>
      <c r="AS1253" s="6" t="str">
        <f>HYPERLINK("https://creighton-primo.hosted.exlibrisgroup.com/primo-explore/search?tab=default_tab&amp;search_scope=EVERYTHING&amp;vid=01CRU&amp;lang=en_US&amp;offset=0&amp;query=any,contains,991002326699702656","Catalog Record")</f>
        <v>Catalog Record</v>
      </c>
      <c r="AT1253" s="6" t="str">
        <f>HYPERLINK("http://www.worldcat.org/oclc/30305044","WorldCat Record")</f>
        <v>WorldCat Record</v>
      </c>
      <c r="AU1253" s="3" t="s">
        <v>15818</v>
      </c>
      <c r="AV1253" s="3" t="s">
        <v>15819</v>
      </c>
      <c r="AW1253" s="3" t="s">
        <v>15820</v>
      </c>
      <c r="AX1253" s="3" t="s">
        <v>15820</v>
      </c>
      <c r="AY1253" s="3" t="s">
        <v>15821</v>
      </c>
      <c r="AZ1253" s="3" t="s">
        <v>73</v>
      </c>
      <c r="BB1253" s="3" t="s">
        <v>15822</v>
      </c>
      <c r="BC1253" s="3" t="s">
        <v>15823</v>
      </c>
      <c r="BD1253" s="3" t="s">
        <v>15824</v>
      </c>
    </row>
    <row r="1254" spans="1:56" ht="51" customHeight="1" x14ac:dyDescent="0.25">
      <c r="A1254" s="7" t="s">
        <v>58</v>
      </c>
      <c r="B1254" s="2" t="s">
        <v>15825</v>
      </c>
      <c r="C1254" s="2" t="s">
        <v>15826</v>
      </c>
      <c r="D1254" s="2" t="s">
        <v>15827</v>
      </c>
      <c r="F1254" s="3" t="s">
        <v>58</v>
      </c>
      <c r="G1254" s="3" t="s">
        <v>59</v>
      </c>
      <c r="H1254" s="3" t="s">
        <v>58</v>
      </c>
      <c r="I1254" s="3" t="s">
        <v>58</v>
      </c>
      <c r="J1254" s="3" t="s">
        <v>60</v>
      </c>
      <c r="K1254" s="2" t="s">
        <v>15828</v>
      </c>
      <c r="L1254" s="2" t="s">
        <v>15829</v>
      </c>
      <c r="M1254" s="3" t="s">
        <v>261</v>
      </c>
      <c r="O1254" s="3" t="s">
        <v>63</v>
      </c>
      <c r="P1254" s="3" t="s">
        <v>3323</v>
      </c>
      <c r="R1254" s="3" t="s">
        <v>65</v>
      </c>
      <c r="S1254" s="4">
        <v>4</v>
      </c>
      <c r="T1254" s="4">
        <v>4</v>
      </c>
      <c r="U1254" s="5" t="s">
        <v>15804</v>
      </c>
      <c r="V1254" s="5" t="s">
        <v>15804</v>
      </c>
      <c r="W1254" s="5" t="s">
        <v>15830</v>
      </c>
      <c r="X1254" s="5" t="s">
        <v>15830</v>
      </c>
      <c r="Y1254" s="4">
        <v>92</v>
      </c>
      <c r="Z1254" s="4">
        <v>80</v>
      </c>
      <c r="AA1254" s="4">
        <v>306</v>
      </c>
      <c r="AB1254" s="4">
        <v>2</v>
      </c>
      <c r="AC1254" s="4">
        <v>2</v>
      </c>
      <c r="AD1254" s="4">
        <v>2</v>
      </c>
      <c r="AE1254" s="4">
        <v>9</v>
      </c>
      <c r="AF1254" s="4">
        <v>0</v>
      </c>
      <c r="AG1254" s="4">
        <v>1</v>
      </c>
      <c r="AH1254" s="4">
        <v>0</v>
      </c>
      <c r="AI1254" s="4">
        <v>3</v>
      </c>
      <c r="AJ1254" s="4">
        <v>1</v>
      </c>
      <c r="AK1254" s="4">
        <v>5</v>
      </c>
      <c r="AL1254" s="4">
        <v>1</v>
      </c>
      <c r="AM1254" s="4">
        <v>1</v>
      </c>
      <c r="AN1254" s="4">
        <v>0</v>
      </c>
      <c r="AO1254" s="4">
        <v>0</v>
      </c>
      <c r="AP1254" s="3" t="s">
        <v>58</v>
      </c>
      <c r="AQ1254" s="3" t="s">
        <v>68</v>
      </c>
      <c r="AR1254" s="6" t="str">
        <f>HYPERLINK("http://catalog.hathitrust.org/Record/000687367","HathiTrust Record")</f>
        <v>HathiTrust Record</v>
      </c>
      <c r="AS1254" s="6" t="str">
        <f>HYPERLINK("https://creighton-primo.hosted.exlibrisgroup.com/primo-explore/search?tab=default_tab&amp;search_scope=EVERYTHING&amp;vid=01CRU&amp;lang=en_US&amp;offset=0&amp;query=any,contains,991003964169702656","Catalog Record")</f>
        <v>Catalog Record</v>
      </c>
      <c r="AT1254" s="6" t="str">
        <f>HYPERLINK("http://www.worldcat.org/oclc/1977013","WorldCat Record")</f>
        <v>WorldCat Record</v>
      </c>
      <c r="AU1254" s="3" t="s">
        <v>15831</v>
      </c>
      <c r="AV1254" s="3" t="s">
        <v>15832</v>
      </c>
      <c r="AW1254" s="3" t="s">
        <v>15833</v>
      </c>
      <c r="AX1254" s="3" t="s">
        <v>15833</v>
      </c>
      <c r="AY1254" s="3" t="s">
        <v>15834</v>
      </c>
      <c r="AZ1254" s="3" t="s">
        <v>73</v>
      </c>
      <c r="BB1254" s="3" t="s">
        <v>15835</v>
      </c>
      <c r="BC1254" s="3" t="s">
        <v>15836</v>
      </c>
      <c r="BD1254" s="3" t="s">
        <v>15837</v>
      </c>
    </row>
    <row r="1255" spans="1:56" ht="51" customHeight="1" x14ac:dyDescent="0.25">
      <c r="A1255" s="7" t="s">
        <v>58</v>
      </c>
      <c r="B1255" s="2" t="s">
        <v>15838</v>
      </c>
      <c r="C1255" s="2" t="s">
        <v>15839</v>
      </c>
      <c r="D1255" s="2" t="s">
        <v>15840</v>
      </c>
      <c r="F1255" s="3" t="s">
        <v>58</v>
      </c>
      <c r="G1255" s="3" t="s">
        <v>59</v>
      </c>
      <c r="H1255" s="3" t="s">
        <v>58</v>
      </c>
      <c r="I1255" s="3" t="s">
        <v>58</v>
      </c>
      <c r="J1255" s="3" t="s">
        <v>60</v>
      </c>
      <c r="K1255" s="2" t="s">
        <v>15841</v>
      </c>
      <c r="L1255" s="2" t="s">
        <v>15842</v>
      </c>
      <c r="M1255" s="3" t="s">
        <v>261</v>
      </c>
      <c r="O1255" s="3" t="s">
        <v>63</v>
      </c>
      <c r="P1255" s="3" t="s">
        <v>2061</v>
      </c>
      <c r="R1255" s="3" t="s">
        <v>65</v>
      </c>
      <c r="S1255" s="4">
        <v>7</v>
      </c>
      <c r="T1255" s="4">
        <v>7</v>
      </c>
      <c r="U1255" s="5" t="s">
        <v>15843</v>
      </c>
      <c r="V1255" s="5" t="s">
        <v>15843</v>
      </c>
      <c r="W1255" s="5" t="s">
        <v>15844</v>
      </c>
      <c r="X1255" s="5" t="s">
        <v>15844</v>
      </c>
      <c r="Y1255" s="4">
        <v>397</v>
      </c>
      <c r="Z1255" s="4">
        <v>315</v>
      </c>
      <c r="AA1255" s="4">
        <v>318</v>
      </c>
      <c r="AB1255" s="4">
        <v>3</v>
      </c>
      <c r="AC1255" s="4">
        <v>3</v>
      </c>
      <c r="AD1255" s="4">
        <v>14</v>
      </c>
      <c r="AE1255" s="4">
        <v>14</v>
      </c>
      <c r="AF1255" s="4">
        <v>4</v>
      </c>
      <c r="AG1255" s="4">
        <v>4</v>
      </c>
      <c r="AH1255" s="4">
        <v>2</v>
      </c>
      <c r="AI1255" s="4">
        <v>2</v>
      </c>
      <c r="AJ1255" s="4">
        <v>9</v>
      </c>
      <c r="AK1255" s="4">
        <v>9</v>
      </c>
      <c r="AL1255" s="4">
        <v>2</v>
      </c>
      <c r="AM1255" s="4">
        <v>2</v>
      </c>
      <c r="AN1255" s="4">
        <v>0</v>
      </c>
      <c r="AO1255" s="4">
        <v>0</v>
      </c>
      <c r="AP1255" s="3" t="s">
        <v>58</v>
      </c>
      <c r="AQ1255" s="3" t="s">
        <v>68</v>
      </c>
      <c r="AR1255" s="6" t="str">
        <f>HYPERLINK("http://catalog.hathitrust.org/Record/000691047","HathiTrust Record")</f>
        <v>HathiTrust Record</v>
      </c>
      <c r="AS1255" s="6" t="str">
        <f>HYPERLINK("https://creighton-primo.hosted.exlibrisgroup.com/primo-explore/search?tab=default_tab&amp;search_scope=EVERYTHING&amp;vid=01CRU&amp;lang=en_US&amp;offset=0&amp;query=any,contains,991003912529702656","Catalog Record")</f>
        <v>Catalog Record</v>
      </c>
      <c r="AT1255" s="6" t="str">
        <f>HYPERLINK("http://www.worldcat.org/oclc/1854481","WorldCat Record")</f>
        <v>WorldCat Record</v>
      </c>
      <c r="AU1255" s="3" t="s">
        <v>15845</v>
      </c>
      <c r="AV1255" s="3" t="s">
        <v>15846</v>
      </c>
      <c r="AW1255" s="3" t="s">
        <v>15847</v>
      </c>
      <c r="AX1255" s="3" t="s">
        <v>15847</v>
      </c>
      <c r="AY1255" s="3" t="s">
        <v>15848</v>
      </c>
      <c r="AZ1255" s="3" t="s">
        <v>73</v>
      </c>
      <c r="BB1255" s="3" t="s">
        <v>15849</v>
      </c>
      <c r="BC1255" s="3" t="s">
        <v>15850</v>
      </c>
      <c r="BD1255" s="3" t="s">
        <v>15851</v>
      </c>
    </row>
    <row r="1256" spans="1:56" ht="51" customHeight="1" x14ac:dyDescent="0.25">
      <c r="A1256" s="7" t="s">
        <v>58</v>
      </c>
      <c r="B1256" s="2" t="s">
        <v>15852</v>
      </c>
      <c r="C1256" s="2" t="s">
        <v>15853</v>
      </c>
      <c r="D1256" s="2" t="s">
        <v>15854</v>
      </c>
      <c r="E1256" s="3" t="s">
        <v>210</v>
      </c>
      <c r="F1256" s="3" t="s">
        <v>68</v>
      </c>
      <c r="G1256" s="3" t="s">
        <v>59</v>
      </c>
      <c r="H1256" s="3" t="s">
        <v>58</v>
      </c>
      <c r="I1256" s="3" t="s">
        <v>58</v>
      </c>
      <c r="J1256" s="3" t="s">
        <v>60</v>
      </c>
      <c r="K1256" s="2" t="s">
        <v>15855</v>
      </c>
      <c r="L1256" s="2" t="s">
        <v>15856</v>
      </c>
      <c r="M1256" s="3" t="s">
        <v>2757</v>
      </c>
      <c r="O1256" s="3" t="s">
        <v>63</v>
      </c>
      <c r="P1256" s="3" t="s">
        <v>214</v>
      </c>
      <c r="R1256" s="3" t="s">
        <v>65</v>
      </c>
      <c r="S1256" s="4">
        <v>2</v>
      </c>
      <c r="T1256" s="4">
        <v>3</v>
      </c>
      <c r="U1256" s="5" t="s">
        <v>15857</v>
      </c>
      <c r="V1256" s="5" t="s">
        <v>15857</v>
      </c>
      <c r="W1256" s="5" t="s">
        <v>11927</v>
      </c>
      <c r="X1256" s="5" t="s">
        <v>11927</v>
      </c>
      <c r="Y1256" s="4">
        <v>247</v>
      </c>
      <c r="Z1256" s="4">
        <v>227</v>
      </c>
      <c r="AA1256" s="4">
        <v>230</v>
      </c>
      <c r="AB1256" s="4">
        <v>3</v>
      </c>
      <c r="AC1256" s="4">
        <v>3</v>
      </c>
      <c r="AD1256" s="4">
        <v>13</v>
      </c>
      <c r="AE1256" s="4">
        <v>13</v>
      </c>
      <c r="AF1256" s="4">
        <v>5</v>
      </c>
      <c r="AG1256" s="4">
        <v>5</v>
      </c>
      <c r="AH1256" s="4">
        <v>4</v>
      </c>
      <c r="AI1256" s="4">
        <v>4</v>
      </c>
      <c r="AJ1256" s="4">
        <v>6</v>
      </c>
      <c r="AK1256" s="4">
        <v>6</v>
      </c>
      <c r="AL1256" s="4">
        <v>2</v>
      </c>
      <c r="AM1256" s="4">
        <v>2</v>
      </c>
      <c r="AN1256" s="4">
        <v>0</v>
      </c>
      <c r="AO1256" s="4">
        <v>0</v>
      </c>
      <c r="AP1256" s="3" t="s">
        <v>58</v>
      </c>
      <c r="AQ1256" s="3" t="s">
        <v>58</v>
      </c>
      <c r="AS1256" s="6" t="str">
        <f>HYPERLINK("https://creighton-primo.hosted.exlibrisgroup.com/primo-explore/search?tab=default_tab&amp;search_scope=EVERYTHING&amp;vid=01CRU&amp;lang=en_US&amp;offset=0&amp;query=any,contains,991002711609702656","Catalog Record")</f>
        <v>Catalog Record</v>
      </c>
      <c r="AT1256" s="6" t="str">
        <f>HYPERLINK("http://www.worldcat.org/oclc/409438","WorldCat Record")</f>
        <v>WorldCat Record</v>
      </c>
      <c r="AU1256" s="3" t="s">
        <v>15858</v>
      </c>
      <c r="AV1256" s="3" t="s">
        <v>15859</v>
      </c>
      <c r="AW1256" s="3" t="s">
        <v>15860</v>
      </c>
      <c r="AX1256" s="3" t="s">
        <v>15860</v>
      </c>
      <c r="AY1256" s="3" t="s">
        <v>15861</v>
      </c>
      <c r="AZ1256" s="3" t="s">
        <v>73</v>
      </c>
      <c r="BC1256" s="3" t="s">
        <v>15862</v>
      </c>
      <c r="BD1256" s="3" t="s">
        <v>15863</v>
      </c>
    </row>
    <row r="1257" spans="1:56" ht="51" customHeight="1" x14ac:dyDescent="0.25">
      <c r="A1257" s="7" t="s">
        <v>58</v>
      </c>
      <c r="B1257" s="2" t="s">
        <v>15852</v>
      </c>
      <c r="C1257" s="2" t="s">
        <v>15853</v>
      </c>
      <c r="D1257" s="2" t="s">
        <v>15854</v>
      </c>
      <c r="E1257" s="3" t="s">
        <v>223</v>
      </c>
      <c r="F1257" s="3" t="s">
        <v>68</v>
      </c>
      <c r="G1257" s="3" t="s">
        <v>59</v>
      </c>
      <c r="H1257" s="3" t="s">
        <v>58</v>
      </c>
      <c r="I1257" s="3" t="s">
        <v>58</v>
      </c>
      <c r="J1257" s="3" t="s">
        <v>60</v>
      </c>
      <c r="K1257" s="2" t="s">
        <v>15855</v>
      </c>
      <c r="L1257" s="2" t="s">
        <v>15856</v>
      </c>
      <c r="M1257" s="3" t="s">
        <v>2757</v>
      </c>
      <c r="O1257" s="3" t="s">
        <v>63</v>
      </c>
      <c r="P1257" s="3" t="s">
        <v>214</v>
      </c>
      <c r="R1257" s="3" t="s">
        <v>65</v>
      </c>
      <c r="S1257" s="4">
        <v>1</v>
      </c>
      <c r="T1257" s="4">
        <v>3</v>
      </c>
      <c r="U1257" s="5" t="s">
        <v>15857</v>
      </c>
      <c r="V1257" s="5" t="s">
        <v>15857</v>
      </c>
      <c r="W1257" s="5" t="s">
        <v>11927</v>
      </c>
      <c r="X1257" s="5" t="s">
        <v>11927</v>
      </c>
      <c r="Y1257" s="4">
        <v>247</v>
      </c>
      <c r="Z1257" s="4">
        <v>227</v>
      </c>
      <c r="AA1257" s="4">
        <v>230</v>
      </c>
      <c r="AB1257" s="4">
        <v>3</v>
      </c>
      <c r="AC1257" s="4">
        <v>3</v>
      </c>
      <c r="AD1257" s="4">
        <v>13</v>
      </c>
      <c r="AE1257" s="4">
        <v>13</v>
      </c>
      <c r="AF1257" s="4">
        <v>5</v>
      </c>
      <c r="AG1257" s="4">
        <v>5</v>
      </c>
      <c r="AH1257" s="4">
        <v>4</v>
      </c>
      <c r="AI1257" s="4">
        <v>4</v>
      </c>
      <c r="AJ1257" s="4">
        <v>6</v>
      </c>
      <c r="AK1257" s="4">
        <v>6</v>
      </c>
      <c r="AL1257" s="4">
        <v>2</v>
      </c>
      <c r="AM1257" s="4">
        <v>2</v>
      </c>
      <c r="AN1257" s="4">
        <v>0</v>
      </c>
      <c r="AO1257" s="4">
        <v>0</v>
      </c>
      <c r="AP1257" s="3" t="s">
        <v>58</v>
      </c>
      <c r="AQ1257" s="3" t="s">
        <v>58</v>
      </c>
      <c r="AS1257" s="6" t="str">
        <f>HYPERLINK("https://creighton-primo.hosted.exlibrisgroup.com/primo-explore/search?tab=default_tab&amp;search_scope=EVERYTHING&amp;vid=01CRU&amp;lang=en_US&amp;offset=0&amp;query=any,contains,991002711609702656","Catalog Record")</f>
        <v>Catalog Record</v>
      </c>
      <c r="AT1257" s="6" t="str">
        <f>HYPERLINK("http://www.worldcat.org/oclc/409438","WorldCat Record")</f>
        <v>WorldCat Record</v>
      </c>
      <c r="AU1257" s="3" t="s">
        <v>15858</v>
      </c>
      <c r="AV1257" s="3" t="s">
        <v>15859</v>
      </c>
      <c r="AW1257" s="3" t="s">
        <v>15860</v>
      </c>
      <c r="AX1257" s="3" t="s">
        <v>15860</v>
      </c>
      <c r="AY1257" s="3" t="s">
        <v>15861</v>
      </c>
      <c r="AZ1257" s="3" t="s">
        <v>73</v>
      </c>
      <c r="BC1257" s="3" t="s">
        <v>15864</v>
      </c>
      <c r="BD1257" s="3" t="s">
        <v>15865</v>
      </c>
    </row>
    <row r="1258" spans="1:56" ht="51" customHeight="1" x14ac:dyDescent="0.25">
      <c r="A1258" s="7" t="s">
        <v>58</v>
      </c>
      <c r="B1258" s="2" t="s">
        <v>15866</v>
      </c>
      <c r="C1258" s="2" t="s">
        <v>15867</v>
      </c>
      <c r="D1258" s="2" t="s">
        <v>15868</v>
      </c>
      <c r="F1258" s="3" t="s">
        <v>58</v>
      </c>
      <c r="G1258" s="3" t="s">
        <v>59</v>
      </c>
      <c r="H1258" s="3" t="s">
        <v>58</v>
      </c>
      <c r="I1258" s="3" t="s">
        <v>58</v>
      </c>
      <c r="J1258" s="3" t="s">
        <v>60</v>
      </c>
      <c r="K1258" s="2" t="s">
        <v>15869</v>
      </c>
      <c r="L1258" s="2" t="s">
        <v>15870</v>
      </c>
      <c r="M1258" s="3" t="s">
        <v>12203</v>
      </c>
      <c r="O1258" s="3" t="s">
        <v>63</v>
      </c>
      <c r="P1258" s="3" t="s">
        <v>584</v>
      </c>
      <c r="R1258" s="3" t="s">
        <v>65</v>
      </c>
      <c r="S1258" s="4">
        <v>1</v>
      </c>
      <c r="T1258" s="4">
        <v>1</v>
      </c>
      <c r="U1258" s="5" t="s">
        <v>15871</v>
      </c>
      <c r="V1258" s="5" t="s">
        <v>15871</v>
      </c>
      <c r="W1258" s="5" t="s">
        <v>2034</v>
      </c>
      <c r="X1258" s="5" t="s">
        <v>2034</v>
      </c>
      <c r="Y1258" s="4">
        <v>198</v>
      </c>
      <c r="Z1258" s="4">
        <v>169</v>
      </c>
      <c r="AA1258" s="4">
        <v>175</v>
      </c>
      <c r="AB1258" s="4">
        <v>2</v>
      </c>
      <c r="AC1258" s="4">
        <v>2</v>
      </c>
      <c r="AD1258" s="4">
        <v>11</v>
      </c>
      <c r="AE1258" s="4">
        <v>11</v>
      </c>
      <c r="AF1258" s="4">
        <v>3</v>
      </c>
      <c r="AG1258" s="4">
        <v>3</v>
      </c>
      <c r="AH1258" s="4">
        <v>4</v>
      </c>
      <c r="AI1258" s="4">
        <v>4</v>
      </c>
      <c r="AJ1258" s="4">
        <v>7</v>
      </c>
      <c r="AK1258" s="4">
        <v>7</v>
      </c>
      <c r="AL1258" s="4">
        <v>1</v>
      </c>
      <c r="AM1258" s="4">
        <v>1</v>
      </c>
      <c r="AN1258" s="4">
        <v>0</v>
      </c>
      <c r="AO1258" s="4">
        <v>0</v>
      </c>
      <c r="AP1258" s="3" t="s">
        <v>58</v>
      </c>
      <c r="AQ1258" s="3" t="s">
        <v>68</v>
      </c>
      <c r="AR1258" s="6" t="str">
        <f>HYPERLINK("http://catalog.hathitrust.org/Record/001266956","HathiTrust Record")</f>
        <v>HathiTrust Record</v>
      </c>
      <c r="AS1258" s="6" t="str">
        <f>HYPERLINK("https://creighton-primo.hosted.exlibrisgroup.com/primo-explore/search?tab=default_tab&amp;search_scope=EVERYTHING&amp;vid=01CRU&amp;lang=en_US&amp;offset=0&amp;query=any,contains,991003369559702656","Catalog Record")</f>
        <v>Catalog Record</v>
      </c>
      <c r="AT1258" s="6" t="str">
        <f>HYPERLINK("http://www.worldcat.org/oclc/905189","WorldCat Record")</f>
        <v>WorldCat Record</v>
      </c>
      <c r="AU1258" s="3" t="s">
        <v>15872</v>
      </c>
      <c r="AV1258" s="3" t="s">
        <v>15873</v>
      </c>
      <c r="AW1258" s="3" t="s">
        <v>15874</v>
      </c>
      <c r="AX1258" s="3" t="s">
        <v>15874</v>
      </c>
      <c r="AY1258" s="3" t="s">
        <v>15875</v>
      </c>
      <c r="AZ1258" s="3" t="s">
        <v>73</v>
      </c>
      <c r="BC1258" s="3" t="s">
        <v>15876</v>
      </c>
      <c r="BD1258" s="3" t="s">
        <v>15877</v>
      </c>
    </row>
    <row r="1259" spans="1:56" ht="51" customHeight="1" x14ac:dyDescent="0.25">
      <c r="A1259" s="7" t="s">
        <v>58</v>
      </c>
      <c r="B1259" s="2" t="s">
        <v>15878</v>
      </c>
      <c r="C1259" s="2" t="s">
        <v>15879</v>
      </c>
      <c r="D1259" s="2" t="s">
        <v>15880</v>
      </c>
      <c r="F1259" s="3" t="s">
        <v>58</v>
      </c>
      <c r="G1259" s="3" t="s">
        <v>59</v>
      </c>
      <c r="H1259" s="3" t="s">
        <v>58</v>
      </c>
      <c r="I1259" s="3" t="s">
        <v>58</v>
      </c>
      <c r="J1259" s="3" t="s">
        <v>60</v>
      </c>
      <c r="L1259" s="2" t="s">
        <v>15881</v>
      </c>
      <c r="M1259" s="3" t="s">
        <v>855</v>
      </c>
      <c r="O1259" s="3" t="s">
        <v>63</v>
      </c>
      <c r="P1259" s="3" t="s">
        <v>510</v>
      </c>
      <c r="Q1259" s="2" t="s">
        <v>15882</v>
      </c>
      <c r="R1259" s="3" t="s">
        <v>65</v>
      </c>
      <c r="S1259" s="4">
        <v>5</v>
      </c>
      <c r="T1259" s="4">
        <v>5</v>
      </c>
      <c r="U1259" s="5" t="s">
        <v>15883</v>
      </c>
      <c r="V1259" s="5" t="s">
        <v>15883</v>
      </c>
      <c r="W1259" s="5" t="s">
        <v>8770</v>
      </c>
      <c r="X1259" s="5" t="s">
        <v>8770</v>
      </c>
      <c r="Y1259" s="4">
        <v>75</v>
      </c>
      <c r="Z1259" s="4">
        <v>74</v>
      </c>
      <c r="AA1259" s="4">
        <v>77</v>
      </c>
      <c r="AB1259" s="4">
        <v>1</v>
      </c>
      <c r="AC1259" s="4">
        <v>1</v>
      </c>
      <c r="AD1259" s="4">
        <v>4</v>
      </c>
      <c r="AE1259" s="4">
        <v>4</v>
      </c>
      <c r="AF1259" s="4">
        <v>1</v>
      </c>
      <c r="AG1259" s="4">
        <v>1</v>
      </c>
      <c r="AH1259" s="4">
        <v>2</v>
      </c>
      <c r="AI1259" s="4">
        <v>2</v>
      </c>
      <c r="AJ1259" s="4">
        <v>2</v>
      </c>
      <c r="AK1259" s="4">
        <v>2</v>
      </c>
      <c r="AL1259" s="4">
        <v>0</v>
      </c>
      <c r="AM1259" s="4">
        <v>0</v>
      </c>
      <c r="AN1259" s="4">
        <v>0</v>
      </c>
      <c r="AO1259" s="4">
        <v>0</v>
      </c>
      <c r="AP1259" s="3" t="s">
        <v>58</v>
      </c>
      <c r="AQ1259" s="3" t="s">
        <v>68</v>
      </c>
      <c r="AR1259" s="6" t="str">
        <f>HYPERLINK("http://catalog.hathitrust.org/Record/002866768","HathiTrust Record")</f>
        <v>HathiTrust Record</v>
      </c>
      <c r="AS1259" s="6" t="str">
        <f>HYPERLINK("https://creighton-primo.hosted.exlibrisgroup.com/primo-explore/search?tab=default_tab&amp;search_scope=EVERYTHING&amp;vid=01CRU&amp;lang=en_US&amp;offset=0&amp;query=any,contains,991002221399702656","Catalog Record")</f>
        <v>Catalog Record</v>
      </c>
      <c r="AT1259" s="6" t="str">
        <f>HYPERLINK("http://www.worldcat.org/oclc/28617312","WorldCat Record")</f>
        <v>WorldCat Record</v>
      </c>
      <c r="AU1259" s="3" t="s">
        <v>15884</v>
      </c>
      <c r="AV1259" s="3" t="s">
        <v>15885</v>
      </c>
      <c r="AW1259" s="3" t="s">
        <v>15886</v>
      </c>
      <c r="AX1259" s="3" t="s">
        <v>15886</v>
      </c>
      <c r="AY1259" s="3" t="s">
        <v>15887</v>
      </c>
      <c r="AZ1259" s="3" t="s">
        <v>73</v>
      </c>
      <c r="BC1259" s="3" t="s">
        <v>15888</v>
      </c>
      <c r="BD1259" s="3" t="s">
        <v>15889</v>
      </c>
    </row>
    <row r="1260" spans="1:56" ht="51" customHeight="1" x14ac:dyDescent="0.25">
      <c r="A1260" s="7" t="s">
        <v>58</v>
      </c>
      <c r="B1260" s="2" t="s">
        <v>15890</v>
      </c>
      <c r="C1260" s="2" t="s">
        <v>15891</v>
      </c>
      <c r="D1260" s="2" t="s">
        <v>15892</v>
      </c>
      <c r="F1260" s="3" t="s">
        <v>58</v>
      </c>
      <c r="G1260" s="3" t="s">
        <v>59</v>
      </c>
      <c r="H1260" s="3" t="s">
        <v>58</v>
      </c>
      <c r="I1260" s="3" t="s">
        <v>58</v>
      </c>
      <c r="J1260" s="3" t="s">
        <v>60</v>
      </c>
      <c r="K1260" s="2" t="s">
        <v>15893</v>
      </c>
      <c r="L1260" s="2" t="s">
        <v>8561</v>
      </c>
      <c r="M1260" s="3" t="s">
        <v>4023</v>
      </c>
      <c r="N1260" s="2" t="s">
        <v>424</v>
      </c>
      <c r="O1260" s="3" t="s">
        <v>63</v>
      </c>
      <c r="P1260" s="3" t="s">
        <v>214</v>
      </c>
      <c r="R1260" s="3" t="s">
        <v>65</v>
      </c>
      <c r="S1260" s="4">
        <v>1</v>
      </c>
      <c r="T1260" s="4">
        <v>1</v>
      </c>
      <c r="U1260" s="5" t="s">
        <v>15894</v>
      </c>
      <c r="V1260" s="5" t="s">
        <v>15894</v>
      </c>
      <c r="W1260" s="5" t="s">
        <v>15894</v>
      </c>
      <c r="X1260" s="5" t="s">
        <v>15894</v>
      </c>
      <c r="Y1260" s="4">
        <v>195</v>
      </c>
      <c r="Z1260" s="4">
        <v>84</v>
      </c>
      <c r="AA1260" s="4">
        <v>124</v>
      </c>
      <c r="AB1260" s="4">
        <v>1</v>
      </c>
      <c r="AC1260" s="4">
        <v>1</v>
      </c>
      <c r="AD1260" s="4">
        <v>4</v>
      </c>
      <c r="AE1260" s="4">
        <v>6</v>
      </c>
      <c r="AF1260" s="4">
        <v>2</v>
      </c>
      <c r="AG1260" s="4">
        <v>3</v>
      </c>
      <c r="AH1260" s="4">
        <v>1</v>
      </c>
      <c r="AI1260" s="4">
        <v>2</v>
      </c>
      <c r="AJ1260" s="4">
        <v>2</v>
      </c>
      <c r="AK1260" s="4">
        <v>4</v>
      </c>
      <c r="AL1260" s="4">
        <v>0</v>
      </c>
      <c r="AM1260" s="4">
        <v>0</v>
      </c>
      <c r="AN1260" s="4">
        <v>0</v>
      </c>
      <c r="AO1260" s="4">
        <v>0</v>
      </c>
      <c r="AP1260" s="3" t="s">
        <v>58</v>
      </c>
      <c r="AQ1260" s="3" t="s">
        <v>58</v>
      </c>
      <c r="AS1260" s="6" t="str">
        <f>HYPERLINK("https://creighton-primo.hosted.exlibrisgroup.com/primo-explore/search?tab=default_tab&amp;search_scope=EVERYTHING&amp;vid=01CRU&amp;lang=en_US&amp;offset=0&amp;query=any,contains,991004429219702656","Catalog Record")</f>
        <v>Catalog Record</v>
      </c>
      <c r="AT1260" s="6" t="str">
        <f>HYPERLINK("http://www.worldcat.org/oclc/55016403","WorldCat Record")</f>
        <v>WorldCat Record</v>
      </c>
      <c r="AU1260" s="3" t="s">
        <v>15895</v>
      </c>
      <c r="AV1260" s="3" t="s">
        <v>15896</v>
      </c>
      <c r="AW1260" s="3" t="s">
        <v>15897</v>
      </c>
      <c r="AX1260" s="3" t="s">
        <v>15897</v>
      </c>
      <c r="AY1260" s="3" t="s">
        <v>15898</v>
      </c>
      <c r="AZ1260" s="3" t="s">
        <v>73</v>
      </c>
      <c r="BB1260" s="3" t="s">
        <v>15899</v>
      </c>
      <c r="BC1260" s="3" t="s">
        <v>15900</v>
      </c>
      <c r="BD1260" s="3" t="s">
        <v>15901</v>
      </c>
    </row>
    <row r="1261" spans="1:56" ht="51" customHeight="1" x14ac:dyDescent="0.25">
      <c r="A1261" s="7" t="s">
        <v>58</v>
      </c>
      <c r="B1261" s="2" t="s">
        <v>15902</v>
      </c>
      <c r="C1261" s="2" t="s">
        <v>15903</v>
      </c>
      <c r="D1261" s="2" t="s">
        <v>15904</v>
      </c>
      <c r="F1261" s="3" t="s">
        <v>58</v>
      </c>
      <c r="G1261" s="3" t="s">
        <v>59</v>
      </c>
      <c r="H1261" s="3" t="s">
        <v>58</v>
      </c>
      <c r="I1261" s="3" t="s">
        <v>58</v>
      </c>
      <c r="J1261" s="3" t="s">
        <v>60</v>
      </c>
      <c r="L1261" s="2" t="s">
        <v>15905</v>
      </c>
      <c r="M1261" s="3" t="s">
        <v>2186</v>
      </c>
      <c r="O1261" s="3" t="s">
        <v>63</v>
      </c>
      <c r="P1261" s="3" t="s">
        <v>2630</v>
      </c>
      <c r="Q1261" s="2" t="s">
        <v>15906</v>
      </c>
      <c r="R1261" s="3" t="s">
        <v>65</v>
      </c>
      <c r="S1261" s="4">
        <v>1</v>
      </c>
      <c r="T1261" s="4">
        <v>1</v>
      </c>
      <c r="U1261" s="5" t="s">
        <v>12916</v>
      </c>
      <c r="V1261" s="5" t="s">
        <v>12916</v>
      </c>
      <c r="W1261" s="5" t="s">
        <v>12916</v>
      </c>
      <c r="X1261" s="5" t="s">
        <v>12916</v>
      </c>
      <c r="Y1261" s="4">
        <v>284</v>
      </c>
      <c r="Z1261" s="4">
        <v>184</v>
      </c>
      <c r="AA1261" s="4">
        <v>195</v>
      </c>
      <c r="AB1261" s="4">
        <v>2</v>
      </c>
      <c r="AC1261" s="4">
        <v>2</v>
      </c>
      <c r="AD1261" s="4">
        <v>8</v>
      </c>
      <c r="AE1261" s="4">
        <v>8</v>
      </c>
      <c r="AF1261" s="4">
        <v>1</v>
      </c>
      <c r="AG1261" s="4">
        <v>1</v>
      </c>
      <c r="AH1261" s="4">
        <v>4</v>
      </c>
      <c r="AI1261" s="4">
        <v>4</v>
      </c>
      <c r="AJ1261" s="4">
        <v>4</v>
      </c>
      <c r="AK1261" s="4">
        <v>4</v>
      </c>
      <c r="AL1261" s="4">
        <v>1</v>
      </c>
      <c r="AM1261" s="4">
        <v>1</v>
      </c>
      <c r="AN1261" s="4">
        <v>0</v>
      </c>
      <c r="AO1261" s="4">
        <v>0</v>
      </c>
      <c r="AP1261" s="3" t="s">
        <v>58</v>
      </c>
      <c r="AQ1261" s="3" t="s">
        <v>68</v>
      </c>
      <c r="AR1261" s="6" t="str">
        <f>HYPERLINK("http://catalog.hathitrust.org/Record/005587390","HathiTrust Record")</f>
        <v>HathiTrust Record</v>
      </c>
      <c r="AS1261" s="6" t="str">
        <f>HYPERLINK("https://creighton-primo.hosted.exlibrisgroup.com/primo-explore/search?tab=default_tab&amp;search_scope=EVERYTHING&amp;vid=01CRU&amp;lang=en_US&amp;offset=0&amp;query=any,contains,991005321039702656","Catalog Record")</f>
        <v>Catalog Record</v>
      </c>
      <c r="AT1261" s="6" t="str">
        <f>HYPERLINK("http://www.worldcat.org/oclc/77048218","WorldCat Record")</f>
        <v>WorldCat Record</v>
      </c>
      <c r="AU1261" s="3" t="s">
        <v>15907</v>
      </c>
      <c r="AV1261" s="3" t="s">
        <v>15908</v>
      </c>
      <c r="AW1261" s="3" t="s">
        <v>15909</v>
      </c>
      <c r="AX1261" s="3" t="s">
        <v>15909</v>
      </c>
      <c r="AY1261" s="3" t="s">
        <v>15910</v>
      </c>
      <c r="AZ1261" s="3" t="s">
        <v>73</v>
      </c>
      <c r="BB1261" s="3" t="s">
        <v>15911</v>
      </c>
      <c r="BC1261" s="3" t="s">
        <v>15912</v>
      </c>
      <c r="BD1261" s="3" t="s">
        <v>15913</v>
      </c>
    </row>
    <row r="1262" spans="1:56" ht="51" customHeight="1" x14ac:dyDescent="0.25">
      <c r="A1262" s="7" t="s">
        <v>58</v>
      </c>
      <c r="B1262" s="2" t="s">
        <v>15914</v>
      </c>
      <c r="C1262" s="2" t="s">
        <v>15915</v>
      </c>
      <c r="D1262" s="2" t="s">
        <v>15916</v>
      </c>
      <c r="E1262" s="3" t="s">
        <v>309</v>
      </c>
      <c r="F1262" s="3" t="s">
        <v>68</v>
      </c>
      <c r="G1262" s="3" t="s">
        <v>59</v>
      </c>
      <c r="H1262" s="3" t="s">
        <v>58</v>
      </c>
      <c r="I1262" s="3" t="s">
        <v>58</v>
      </c>
      <c r="J1262" s="3" t="s">
        <v>60</v>
      </c>
      <c r="K1262" s="2" t="s">
        <v>15917</v>
      </c>
      <c r="L1262" s="2" t="s">
        <v>15918</v>
      </c>
      <c r="M1262" s="3" t="s">
        <v>281</v>
      </c>
      <c r="O1262" s="3" t="s">
        <v>63</v>
      </c>
      <c r="P1262" s="3" t="s">
        <v>214</v>
      </c>
      <c r="R1262" s="3" t="s">
        <v>65</v>
      </c>
      <c r="S1262" s="4">
        <v>0</v>
      </c>
      <c r="T1262" s="4">
        <v>0</v>
      </c>
      <c r="U1262" s="5" t="s">
        <v>15919</v>
      </c>
      <c r="V1262" s="5" t="s">
        <v>15919</v>
      </c>
      <c r="W1262" s="5" t="s">
        <v>15920</v>
      </c>
      <c r="X1262" s="5" t="s">
        <v>15920</v>
      </c>
      <c r="Y1262" s="4">
        <v>27</v>
      </c>
      <c r="Z1262" s="4">
        <v>22</v>
      </c>
      <c r="AA1262" s="4">
        <v>50</v>
      </c>
      <c r="AB1262" s="4">
        <v>1</v>
      </c>
      <c r="AC1262" s="4">
        <v>2</v>
      </c>
      <c r="AD1262" s="4">
        <v>0</v>
      </c>
      <c r="AE1262" s="4">
        <v>3</v>
      </c>
      <c r="AF1262" s="4">
        <v>0</v>
      </c>
      <c r="AG1262" s="4">
        <v>1</v>
      </c>
      <c r="AH1262" s="4">
        <v>0</v>
      </c>
      <c r="AI1262" s="4">
        <v>1</v>
      </c>
      <c r="AJ1262" s="4">
        <v>0</v>
      </c>
      <c r="AK1262" s="4">
        <v>1</v>
      </c>
      <c r="AL1262" s="4">
        <v>0</v>
      </c>
      <c r="AM1262" s="4">
        <v>1</v>
      </c>
      <c r="AN1262" s="4">
        <v>0</v>
      </c>
      <c r="AO1262" s="4">
        <v>0</v>
      </c>
      <c r="AP1262" s="3" t="s">
        <v>68</v>
      </c>
      <c r="AQ1262" s="3" t="s">
        <v>58</v>
      </c>
      <c r="AR1262" s="6" t="str">
        <f t="shared" ref="AR1262:AR1267" si="6">HYPERLINK("http://catalog.hathitrust.org/Record/007697074","HathiTrust Record")</f>
        <v>HathiTrust Record</v>
      </c>
      <c r="AS1262" s="6" t="str">
        <f t="shared" ref="AS1262:AS1267" si="7">HYPERLINK("https://creighton-primo.hosted.exlibrisgroup.com/primo-explore/search?tab=default_tab&amp;search_scope=EVERYTHING&amp;vid=01CRU&amp;lang=en_US&amp;offset=0&amp;query=any,contains,991004558769702656","Catalog Record")</f>
        <v>Catalog Record</v>
      </c>
      <c r="AT1262" s="6" t="str">
        <f t="shared" ref="AT1262:AT1267" si="8">HYPERLINK("http://www.worldcat.org/oclc/3982866","WorldCat Record")</f>
        <v>WorldCat Record</v>
      </c>
      <c r="AU1262" s="3" t="s">
        <v>15921</v>
      </c>
      <c r="AV1262" s="3" t="s">
        <v>15922</v>
      </c>
      <c r="AW1262" s="3" t="s">
        <v>15923</v>
      </c>
      <c r="AX1262" s="3" t="s">
        <v>15923</v>
      </c>
      <c r="AY1262" s="3" t="s">
        <v>15924</v>
      </c>
      <c r="AZ1262" s="3" t="s">
        <v>73</v>
      </c>
      <c r="BC1262" s="3" t="s">
        <v>15925</v>
      </c>
      <c r="BD1262" s="3" t="s">
        <v>15926</v>
      </c>
    </row>
    <row r="1263" spans="1:56" ht="51" customHeight="1" x14ac:dyDescent="0.25">
      <c r="A1263" s="7" t="s">
        <v>58</v>
      </c>
      <c r="B1263" s="2" t="s">
        <v>15914</v>
      </c>
      <c r="C1263" s="2" t="s">
        <v>15915</v>
      </c>
      <c r="D1263" s="2" t="s">
        <v>15916</v>
      </c>
      <c r="E1263" s="3" t="s">
        <v>297</v>
      </c>
      <c r="F1263" s="3" t="s">
        <v>68</v>
      </c>
      <c r="G1263" s="3" t="s">
        <v>59</v>
      </c>
      <c r="H1263" s="3" t="s">
        <v>58</v>
      </c>
      <c r="I1263" s="3" t="s">
        <v>58</v>
      </c>
      <c r="J1263" s="3" t="s">
        <v>60</v>
      </c>
      <c r="K1263" s="2" t="s">
        <v>15917</v>
      </c>
      <c r="L1263" s="2" t="s">
        <v>15918</v>
      </c>
      <c r="M1263" s="3" t="s">
        <v>281</v>
      </c>
      <c r="O1263" s="3" t="s">
        <v>63</v>
      </c>
      <c r="P1263" s="3" t="s">
        <v>214</v>
      </c>
      <c r="R1263" s="3" t="s">
        <v>65</v>
      </c>
      <c r="S1263" s="4">
        <v>0</v>
      </c>
      <c r="T1263" s="4">
        <v>0</v>
      </c>
      <c r="U1263" s="5" t="s">
        <v>15919</v>
      </c>
      <c r="V1263" s="5" t="s">
        <v>15919</v>
      </c>
      <c r="W1263" s="5" t="s">
        <v>15920</v>
      </c>
      <c r="X1263" s="5" t="s">
        <v>15920</v>
      </c>
      <c r="Y1263" s="4">
        <v>27</v>
      </c>
      <c r="Z1263" s="4">
        <v>22</v>
      </c>
      <c r="AA1263" s="4">
        <v>50</v>
      </c>
      <c r="AB1263" s="4">
        <v>1</v>
      </c>
      <c r="AC1263" s="4">
        <v>2</v>
      </c>
      <c r="AD1263" s="4">
        <v>0</v>
      </c>
      <c r="AE1263" s="4">
        <v>3</v>
      </c>
      <c r="AF1263" s="4">
        <v>0</v>
      </c>
      <c r="AG1263" s="4">
        <v>1</v>
      </c>
      <c r="AH1263" s="4">
        <v>0</v>
      </c>
      <c r="AI1263" s="4">
        <v>1</v>
      </c>
      <c r="AJ1263" s="4">
        <v>0</v>
      </c>
      <c r="AK1263" s="4">
        <v>1</v>
      </c>
      <c r="AL1263" s="4">
        <v>0</v>
      </c>
      <c r="AM1263" s="4">
        <v>1</v>
      </c>
      <c r="AN1263" s="4">
        <v>0</v>
      </c>
      <c r="AO1263" s="4">
        <v>0</v>
      </c>
      <c r="AP1263" s="3" t="s">
        <v>68</v>
      </c>
      <c r="AQ1263" s="3" t="s">
        <v>58</v>
      </c>
      <c r="AR1263" s="6" t="str">
        <f t="shared" si="6"/>
        <v>HathiTrust Record</v>
      </c>
      <c r="AS1263" s="6" t="str">
        <f t="shared" si="7"/>
        <v>Catalog Record</v>
      </c>
      <c r="AT1263" s="6" t="str">
        <f t="shared" si="8"/>
        <v>WorldCat Record</v>
      </c>
      <c r="AU1263" s="3" t="s">
        <v>15921</v>
      </c>
      <c r="AV1263" s="3" t="s">
        <v>15922</v>
      </c>
      <c r="AW1263" s="3" t="s">
        <v>15923</v>
      </c>
      <c r="AX1263" s="3" t="s">
        <v>15923</v>
      </c>
      <c r="AY1263" s="3" t="s">
        <v>15924</v>
      </c>
      <c r="AZ1263" s="3" t="s">
        <v>73</v>
      </c>
      <c r="BC1263" s="3" t="s">
        <v>15927</v>
      </c>
      <c r="BD1263" s="3" t="s">
        <v>15928</v>
      </c>
    </row>
    <row r="1264" spans="1:56" ht="51" customHeight="1" x14ac:dyDescent="0.25">
      <c r="A1264" s="7" t="s">
        <v>58</v>
      </c>
      <c r="B1264" s="2" t="s">
        <v>15914</v>
      </c>
      <c r="C1264" s="2" t="s">
        <v>15915</v>
      </c>
      <c r="D1264" s="2" t="s">
        <v>15916</v>
      </c>
      <c r="E1264" s="3" t="s">
        <v>223</v>
      </c>
      <c r="F1264" s="3" t="s">
        <v>68</v>
      </c>
      <c r="G1264" s="3" t="s">
        <v>59</v>
      </c>
      <c r="H1264" s="3" t="s">
        <v>58</v>
      </c>
      <c r="I1264" s="3" t="s">
        <v>58</v>
      </c>
      <c r="J1264" s="3" t="s">
        <v>60</v>
      </c>
      <c r="K1264" s="2" t="s">
        <v>15917</v>
      </c>
      <c r="L1264" s="2" t="s">
        <v>15918</v>
      </c>
      <c r="M1264" s="3" t="s">
        <v>281</v>
      </c>
      <c r="O1264" s="3" t="s">
        <v>63</v>
      </c>
      <c r="P1264" s="3" t="s">
        <v>214</v>
      </c>
      <c r="R1264" s="3" t="s">
        <v>65</v>
      </c>
      <c r="S1264" s="4">
        <v>0</v>
      </c>
      <c r="T1264" s="4">
        <v>0</v>
      </c>
      <c r="U1264" s="5" t="s">
        <v>15919</v>
      </c>
      <c r="V1264" s="5" t="s">
        <v>15919</v>
      </c>
      <c r="W1264" s="5" t="s">
        <v>15920</v>
      </c>
      <c r="X1264" s="5" t="s">
        <v>15920</v>
      </c>
      <c r="Y1264" s="4">
        <v>27</v>
      </c>
      <c r="Z1264" s="4">
        <v>22</v>
      </c>
      <c r="AA1264" s="4">
        <v>50</v>
      </c>
      <c r="AB1264" s="4">
        <v>1</v>
      </c>
      <c r="AC1264" s="4">
        <v>2</v>
      </c>
      <c r="AD1264" s="4">
        <v>0</v>
      </c>
      <c r="AE1264" s="4">
        <v>3</v>
      </c>
      <c r="AF1264" s="4">
        <v>0</v>
      </c>
      <c r="AG1264" s="4">
        <v>1</v>
      </c>
      <c r="AH1264" s="4">
        <v>0</v>
      </c>
      <c r="AI1264" s="4">
        <v>1</v>
      </c>
      <c r="AJ1264" s="4">
        <v>0</v>
      </c>
      <c r="AK1264" s="4">
        <v>1</v>
      </c>
      <c r="AL1264" s="4">
        <v>0</v>
      </c>
      <c r="AM1264" s="4">
        <v>1</v>
      </c>
      <c r="AN1264" s="4">
        <v>0</v>
      </c>
      <c r="AO1264" s="4">
        <v>0</v>
      </c>
      <c r="AP1264" s="3" t="s">
        <v>68</v>
      </c>
      <c r="AQ1264" s="3" t="s">
        <v>58</v>
      </c>
      <c r="AR1264" s="6" t="str">
        <f t="shared" si="6"/>
        <v>HathiTrust Record</v>
      </c>
      <c r="AS1264" s="6" t="str">
        <f t="shared" si="7"/>
        <v>Catalog Record</v>
      </c>
      <c r="AT1264" s="6" t="str">
        <f t="shared" si="8"/>
        <v>WorldCat Record</v>
      </c>
      <c r="AU1264" s="3" t="s">
        <v>15921</v>
      </c>
      <c r="AV1264" s="3" t="s">
        <v>15922</v>
      </c>
      <c r="AW1264" s="3" t="s">
        <v>15923</v>
      </c>
      <c r="AX1264" s="3" t="s">
        <v>15923</v>
      </c>
      <c r="AY1264" s="3" t="s">
        <v>15924</v>
      </c>
      <c r="AZ1264" s="3" t="s">
        <v>73</v>
      </c>
      <c r="BC1264" s="3" t="s">
        <v>15929</v>
      </c>
      <c r="BD1264" s="3" t="s">
        <v>15930</v>
      </c>
    </row>
    <row r="1265" spans="1:56" ht="51" customHeight="1" x14ac:dyDescent="0.25">
      <c r="A1265" s="7" t="s">
        <v>58</v>
      </c>
      <c r="B1265" s="2" t="s">
        <v>15914</v>
      </c>
      <c r="C1265" s="2" t="s">
        <v>15915</v>
      </c>
      <c r="D1265" s="2" t="s">
        <v>15916</v>
      </c>
      <c r="E1265" s="3" t="s">
        <v>317</v>
      </c>
      <c r="F1265" s="3" t="s">
        <v>68</v>
      </c>
      <c r="G1265" s="3" t="s">
        <v>59</v>
      </c>
      <c r="H1265" s="3" t="s">
        <v>58</v>
      </c>
      <c r="I1265" s="3" t="s">
        <v>58</v>
      </c>
      <c r="J1265" s="3" t="s">
        <v>60</v>
      </c>
      <c r="K1265" s="2" t="s">
        <v>15917</v>
      </c>
      <c r="L1265" s="2" t="s">
        <v>15918</v>
      </c>
      <c r="M1265" s="3" t="s">
        <v>281</v>
      </c>
      <c r="O1265" s="3" t="s">
        <v>63</v>
      </c>
      <c r="P1265" s="3" t="s">
        <v>214</v>
      </c>
      <c r="R1265" s="3" t="s">
        <v>65</v>
      </c>
      <c r="S1265" s="4">
        <v>0</v>
      </c>
      <c r="T1265" s="4">
        <v>0</v>
      </c>
      <c r="U1265" s="5" t="s">
        <v>15919</v>
      </c>
      <c r="V1265" s="5" t="s">
        <v>15919</v>
      </c>
      <c r="W1265" s="5" t="s">
        <v>15920</v>
      </c>
      <c r="X1265" s="5" t="s">
        <v>15920</v>
      </c>
      <c r="Y1265" s="4">
        <v>27</v>
      </c>
      <c r="Z1265" s="4">
        <v>22</v>
      </c>
      <c r="AA1265" s="4">
        <v>50</v>
      </c>
      <c r="AB1265" s="4">
        <v>1</v>
      </c>
      <c r="AC1265" s="4">
        <v>2</v>
      </c>
      <c r="AD1265" s="4">
        <v>0</v>
      </c>
      <c r="AE1265" s="4">
        <v>3</v>
      </c>
      <c r="AF1265" s="4">
        <v>0</v>
      </c>
      <c r="AG1265" s="4">
        <v>1</v>
      </c>
      <c r="AH1265" s="4">
        <v>0</v>
      </c>
      <c r="AI1265" s="4">
        <v>1</v>
      </c>
      <c r="AJ1265" s="4">
        <v>0</v>
      </c>
      <c r="AK1265" s="4">
        <v>1</v>
      </c>
      <c r="AL1265" s="4">
        <v>0</v>
      </c>
      <c r="AM1265" s="4">
        <v>1</v>
      </c>
      <c r="AN1265" s="4">
        <v>0</v>
      </c>
      <c r="AO1265" s="4">
        <v>0</v>
      </c>
      <c r="AP1265" s="3" t="s">
        <v>68</v>
      </c>
      <c r="AQ1265" s="3" t="s">
        <v>58</v>
      </c>
      <c r="AR1265" s="6" t="str">
        <f t="shared" si="6"/>
        <v>HathiTrust Record</v>
      </c>
      <c r="AS1265" s="6" t="str">
        <f t="shared" si="7"/>
        <v>Catalog Record</v>
      </c>
      <c r="AT1265" s="6" t="str">
        <f t="shared" si="8"/>
        <v>WorldCat Record</v>
      </c>
      <c r="AU1265" s="3" t="s">
        <v>15921</v>
      </c>
      <c r="AV1265" s="3" t="s">
        <v>15922</v>
      </c>
      <c r="AW1265" s="3" t="s">
        <v>15923</v>
      </c>
      <c r="AX1265" s="3" t="s">
        <v>15923</v>
      </c>
      <c r="AY1265" s="3" t="s">
        <v>15924</v>
      </c>
      <c r="AZ1265" s="3" t="s">
        <v>73</v>
      </c>
      <c r="BC1265" s="3" t="s">
        <v>15931</v>
      </c>
      <c r="BD1265" s="3" t="s">
        <v>15932</v>
      </c>
    </row>
    <row r="1266" spans="1:56" ht="51" customHeight="1" x14ac:dyDescent="0.25">
      <c r="A1266" s="7" t="s">
        <v>58</v>
      </c>
      <c r="B1266" s="2" t="s">
        <v>15914</v>
      </c>
      <c r="C1266" s="2" t="s">
        <v>15915</v>
      </c>
      <c r="D1266" s="2" t="s">
        <v>15916</v>
      </c>
      <c r="E1266" s="3" t="s">
        <v>210</v>
      </c>
      <c r="F1266" s="3" t="s">
        <v>68</v>
      </c>
      <c r="G1266" s="3" t="s">
        <v>59</v>
      </c>
      <c r="H1266" s="3" t="s">
        <v>58</v>
      </c>
      <c r="I1266" s="3" t="s">
        <v>58</v>
      </c>
      <c r="J1266" s="3" t="s">
        <v>60</v>
      </c>
      <c r="K1266" s="2" t="s">
        <v>15917</v>
      </c>
      <c r="L1266" s="2" t="s">
        <v>15918</v>
      </c>
      <c r="M1266" s="3" t="s">
        <v>281</v>
      </c>
      <c r="O1266" s="3" t="s">
        <v>63</v>
      </c>
      <c r="P1266" s="3" t="s">
        <v>214</v>
      </c>
      <c r="R1266" s="3" t="s">
        <v>65</v>
      </c>
      <c r="S1266" s="4">
        <v>0</v>
      </c>
      <c r="T1266" s="4">
        <v>0</v>
      </c>
      <c r="U1266" s="5" t="s">
        <v>15919</v>
      </c>
      <c r="V1266" s="5" t="s">
        <v>15919</v>
      </c>
      <c r="W1266" s="5" t="s">
        <v>15920</v>
      </c>
      <c r="X1266" s="5" t="s">
        <v>15920</v>
      </c>
      <c r="Y1266" s="4">
        <v>27</v>
      </c>
      <c r="Z1266" s="4">
        <v>22</v>
      </c>
      <c r="AA1266" s="4">
        <v>50</v>
      </c>
      <c r="AB1266" s="4">
        <v>1</v>
      </c>
      <c r="AC1266" s="4">
        <v>2</v>
      </c>
      <c r="AD1266" s="4">
        <v>0</v>
      </c>
      <c r="AE1266" s="4">
        <v>3</v>
      </c>
      <c r="AF1266" s="4">
        <v>0</v>
      </c>
      <c r="AG1266" s="4">
        <v>1</v>
      </c>
      <c r="AH1266" s="4">
        <v>0</v>
      </c>
      <c r="AI1266" s="4">
        <v>1</v>
      </c>
      <c r="AJ1266" s="4">
        <v>0</v>
      </c>
      <c r="AK1266" s="4">
        <v>1</v>
      </c>
      <c r="AL1266" s="4">
        <v>0</v>
      </c>
      <c r="AM1266" s="4">
        <v>1</v>
      </c>
      <c r="AN1266" s="4">
        <v>0</v>
      </c>
      <c r="AO1266" s="4">
        <v>0</v>
      </c>
      <c r="AP1266" s="3" t="s">
        <v>68</v>
      </c>
      <c r="AQ1266" s="3" t="s">
        <v>58</v>
      </c>
      <c r="AR1266" s="6" t="str">
        <f t="shared" si="6"/>
        <v>HathiTrust Record</v>
      </c>
      <c r="AS1266" s="6" t="str">
        <f t="shared" si="7"/>
        <v>Catalog Record</v>
      </c>
      <c r="AT1266" s="6" t="str">
        <f t="shared" si="8"/>
        <v>WorldCat Record</v>
      </c>
      <c r="AU1266" s="3" t="s">
        <v>15921</v>
      </c>
      <c r="AV1266" s="3" t="s">
        <v>15922</v>
      </c>
      <c r="AW1266" s="3" t="s">
        <v>15923</v>
      </c>
      <c r="AX1266" s="3" t="s">
        <v>15923</v>
      </c>
      <c r="AY1266" s="3" t="s">
        <v>15924</v>
      </c>
      <c r="AZ1266" s="3" t="s">
        <v>73</v>
      </c>
      <c r="BC1266" s="3" t="s">
        <v>15933</v>
      </c>
      <c r="BD1266" s="3" t="s">
        <v>15934</v>
      </c>
    </row>
    <row r="1267" spans="1:56" ht="51" customHeight="1" x14ac:dyDescent="0.25">
      <c r="A1267" s="7" t="s">
        <v>58</v>
      </c>
      <c r="B1267" s="2" t="s">
        <v>15914</v>
      </c>
      <c r="C1267" s="2" t="s">
        <v>15915</v>
      </c>
      <c r="D1267" s="2" t="s">
        <v>15916</v>
      </c>
      <c r="E1267" s="3" t="s">
        <v>279</v>
      </c>
      <c r="F1267" s="3" t="s">
        <v>68</v>
      </c>
      <c r="G1267" s="3" t="s">
        <v>59</v>
      </c>
      <c r="H1267" s="3" t="s">
        <v>58</v>
      </c>
      <c r="I1267" s="3" t="s">
        <v>58</v>
      </c>
      <c r="J1267" s="3" t="s">
        <v>60</v>
      </c>
      <c r="K1267" s="2" t="s">
        <v>15917</v>
      </c>
      <c r="L1267" s="2" t="s">
        <v>15918</v>
      </c>
      <c r="M1267" s="3" t="s">
        <v>281</v>
      </c>
      <c r="O1267" s="3" t="s">
        <v>63</v>
      </c>
      <c r="P1267" s="3" t="s">
        <v>214</v>
      </c>
      <c r="R1267" s="3" t="s">
        <v>65</v>
      </c>
      <c r="S1267" s="4">
        <v>0</v>
      </c>
      <c r="T1267" s="4">
        <v>0</v>
      </c>
      <c r="U1267" s="5" t="s">
        <v>15919</v>
      </c>
      <c r="V1267" s="5" t="s">
        <v>15919</v>
      </c>
      <c r="W1267" s="5" t="s">
        <v>15920</v>
      </c>
      <c r="X1267" s="5" t="s">
        <v>15920</v>
      </c>
      <c r="Y1267" s="4">
        <v>27</v>
      </c>
      <c r="Z1267" s="4">
        <v>22</v>
      </c>
      <c r="AA1267" s="4">
        <v>50</v>
      </c>
      <c r="AB1267" s="4">
        <v>1</v>
      </c>
      <c r="AC1267" s="4">
        <v>2</v>
      </c>
      <c r="AD1267" s="4">
        <v>0</v>
      </c>
      <c r="AE1267" s="4">
        <v>3</v>
      </c>
      <c r="AF1267" s="4">
        <v>0</v>
      </c>
      <c r="AG1267" s="4">
        <v>1</v>
      </c>
      <c r="AH1267" s="4">
        <v>0</v>
      </c>
      <c r="AI1267" s="4">
        <v>1</v>
      </c>
      <c r="AJ1267" s="4">
        <v>0</v>
      </c>
      <c r="AK1267" s="4">
        <v>1</v>
      </c>
      <c r="AL1267" s="4">
        <v>0</v>
      </c>
      <c r="AM1267" s="4">
        <v>1</v>
      </c>
      <c r="AN1267" s="4">
        <v>0</v>
      </c>
      <c r="AO1267" s="4">
        <v>0</v>
      </c>
      <c r="AP1267" s="3" t="s">
        <v>68</v>
      </c>
      <c r="AQ1267" s="3" t="s">
        <v>58</v>
      </c>
      <c r="AR1267" s="6" t="str">
        <f t="shared" si="6"/>
        <v>HathiTrust Record</v>
      </c>
      <c r="AS1267" s="6" t="str">
        <f t="shared" si="7"/>
        <v>Catalog Record</v>
      </c>
      <c r="AT1267" s="6" t="str">
        <f t="shared" si="8"/>
        <v>WorldCat Record</v>
      </c>
      <c r="AU1267" s="3" t="s">
        <v>15921</v>
      </c>
      <c r="AV1267" s="3" t="s">
        <v>15922</v>
      </c>
      <c r="AW1267" s="3" t="s">
        <v>15923</v>
      </c>
      <c r="AX1267" s="3" t="s">
        <v>15923</v>
      </c>
      <c r="AY1267" s="3" t="s">
        <v>15924</v>
      </c>
      <c r="AZ1267" s="3" t="s">
        <v>73</v>
      </c>
      <c r="BC1267" s="3" t="s">
        <v>15935</v>
      </c>
      <c r="BD1267" s="3" t="s">
        <v>15936</v>
      </c>
    </row>
    <row r="1268" spans="1:56" ht="51" customHeight="1" x14ac:dyDescent="0.25">
      <c r="A1268" s="7" t="s">
        <v>58</v>
      </c>
      <c r="B1268" s="2" t="s">
        <v>15937</v>
      </c>
      <c r="C1268" s="2" t="s">
        <v>15938</v>
      </c>
      <c r="D1268" s="2" t="s">
        <v>15939</v>
      </c>
      <c r="F1268" s="3" t="s">
        <v>58</v>
      </c>
      <c r="G1268" s="3" t="s">
        <v>59</v>
      </c>
      <c r="H1268" s="3" t="s">
        <v>58</v>
      </c>
      <c r="I1268" s="3" t="s">
        <v>58</v>
      </c>
      <c r="J1268" s="3" t="s">
        <v>60</v>
      </c>
      <c r="K1268" s="2" t="s">
        <v>15940</v>
      </c>
      <c r="L1268" s="2" t="s">
        <v>15941</v>
      </c>
      <c r="M1268" s="3" t="s">
        <v>15942</v>
      </c>
      <c r="O1268" s="3" t="s">
        <v>63</v>
      </c>
      <c r="P1268" s="3" t="s">
        <v>214</v>
      </c>
      <c r="R1268" s="3" t="s">
        <v>65</v>
      </c>
      <c r="S1268" s="4">
        <v>5</v>
      </c>
      <c r="T1268" s="4">
        <v>5</v>
      </c>
      <c r="U1268" s="5" t="s">
        <v>13471</v>
      </c>
      <c r="V1268" s="5" t="s">
        <v>13471</v>
      </c>
      <c r="W1268" s="5" t="s">
        <v>11927</v>
      </c>
      <c r="X1268" s="5" t="s">
        <v>11927</v>
      </c>
      <c r="Y1268" s="4">
        <v>669</v>
      </c>
      <c r="Z1268" s="4">
        <v>597</v>
      </c>
      <c r="AA1268" s="4">
        <v>664</v>
      </c>
      <c r="AB1268" s="4">
        <v>6</v>
      </c>
      <c r="AC1268" s="4">
        <v>7</v>
      </c>
      <c r="AD1268" s="4">
        <v>25</v>
      </c>
      <c r="AE1268" s="4">
        <v>30</v>
      </c>
      <c r="AF1268" s="4">
        <v>7</v>
      </c>
      <c r="AG1268" s="4">
        <v>9</v>
      </c>
      <c r="AH1268" s="4">
        <v>5</v>
      </c>
      <c r="AI1268" s="4">
        <v>8</v>
      </c>
      <c r="AJ1268" s="4">
        <v>12</v>
      </c>
      <c r="AK1268" s="4">
        <v>13</v>
      </c>
      <c r="AL1268" s="4">
        <v>5</v>
      </c>
      <c r="AM1268" s="4">
        <v>6</v>
      </c>
      <c r="AN1268" s="4">
        <v>0</v>
      </c>
      <c r="AO1268" s="4">
        <v>0</v>
      </c>
      <c r="AP1268" s="3" t="s">
        <v>58</v>
      </c>
      <c r="AQ1268" s="3" t="s">
        <v>68</v>
      </c>
      <c r="AR1268" s="6" t="str">
        <f>HYPERLINK("http://catalog.hathitrust.org/Record/001254814","HathiTrust Record")</f>
        <v>HathiTrust Record</v>
      </c>
      <c r="AS1268" s="6" t="str">
        <f>HYPERLINK("https://creighton-primo.hosted.exlibrisgroup.com/primo-explore/search?tab=default_tab&amp;search_scope=EVERYTHING&amp;vid=01CRU&amp;lang=en_US&amp;offset=0&amp;query=any,contains,991003637859702656","Catalog Record")</f>
        <v>Catalog Record</v>
      </c>
      <c r="AT1268" s="6" t="str">
        <f>HYPERLINK("http://www.worldcat.org/oclc/1232161","WorldCat Record")</f>
        <v>WorldCat Record</v>
      </c>
      <c r="AU1268" s="3" t="s">
        <v>15943</v>
      </c>
      <c r="AV1268" s="3" t="s">
        <v>15944</v>
      </c>
      <c r="AW1268" s="3" t="s">
        <v>15945</v>
      </c>
      <c r="AX1268" s="3" t="s">
        <v>15945</v>
      </c>
      <c r="AY1268" s="3" t="s">
        <v>15946</v>
      </c>
      <c r="AZ1268" s="3" t="s">
        <v>73</v>
      </c>
      <c r="BC1268" s="3" t="s">
        <v>15947</v>
      </c>
      <c r="BD1268" s="3" t="s">
        <v>15948</v>
      </c>
    </row>
    <row r="1269" spans="1:56" ht="51" customHeight="1" x14ac:dyDescent="0.25">
      <c r="A1269" s="7" t="s">
        <v>58</v>
      </c>
      <c r="B1269" s="2" t="s">
        <v>15949</v>
      </c>
      <c r="C1269" s="2" t="s">
        <v>15950</v>
      </c>
      <c r="D1269" s="2" t="s">
        <v>15951</v>
      </c>
      <c r="F1269" s="3" t="s">
        <v>58</v>
      </c>
      <c r="G1269" s="3" t="s">
        <v>59</v>
      </c>
      <c r="H1269" s="3" t="s">
        <v>58</v>
      </c>
      <c r="I1269" s="3" t="s">
        <v>58</v>
      </c>
      <c r="J1269" s="3" t="s">
        <v>60</v>
      </c>
      <c r="K1269" s="2" t="s">
        <v>15952</v>
      </c>
      <c r="L1269" s="2" t="s">
        <v>15953</v>
      </c>
      <c r="M1269" s="3" t="s">
        <v>2757</v>
      </c>
      <c r="O1269" s="3" t="s">
        <v>63</v>
      </c>
      <c r="P1269" s="3" t="s">
        <v>354</v>
      </c>
      <c r="Q1269" s="2" t="s">
        <v>13368</v>
      </c>
      <c r="R1269" s="3" t="s">
        <v>65</v>
      </c>
      <c r="S1269" s="4">
        <v>3</v>
      </c>
      <c r="T1269" s="4">
        <v>3</v>
      </c>
      <c r="U1269" s="5" t="s">
        <v>3432</v>
      </c>
      <c r="V1269" s="5" t="s">
        <v>3432</v>
      </c>
      <c r="W1269" s="5" t="s">
        <v>11927</v>
      </c>
      <c r="X1269" s="5" t="s">
        <v>11927</v>
      </c>
      <c r="Y1269" s="4">
        <v>1217</v>
      </c>
      <c r="Z1269" s="4">
        <v>1098</v>
      </c>
      <c r="AA1269" s="4">
        <v>1143</v>
      </c>
      <c r="AB1269" s="4">
        <v>7</v>
      </c>
      <c r="AC1269" s="4">
        <v>7</v>
      </c>
      <c r="AD1269" s="4">
        <v>40</v>
      </c>
      <c r="AE1269" s="4">
        <v>41</v>
      </c>
      <c r="AF1269" s="4">
        <v>18</v>
      </c>
      <c r="AG1269" s="4">
        <v>19</v>
      </c>
      <c r="AH1269" s="4">
        <v>8</v>
      </c>
      <c r="AI1269" s="4">
        <v>8</v>
      </c>
      <c r="AJ1269" s="4">
        <v>18</v>
      </c>
      <c r="AK1269" s="4">
        <v>19</v>
      </c>
      <c r="AL1269" s="4">
        <v>6</v>
      </c>
      <c r="AM1269" s="4">
        <v>6</v>
      </c>
      <c r="AN1269" s="4">
        <v>0</v>
      </c>
      <c r="AO1269" s="4">
        <v>0</v>
      </c>
      <c r="AP1269" s="3" t="s">
        <v>58</v>
      </c>
      <c r="AQ1269" s="3" t="s">
        <v>68</v>
      </c>
      <c r="AR1269" s="6" t="str">
        <f>HYPERLINK("http://catalog.hathitrust.org/Record/001254849","HathiTrust Record")</f>
        <v>HathiTrust Record</v>
      </c>
      <c r="AS1269" s="6" t="str">
        <f>HYPERLINK("https://creighton-primo.hosted.exlibrisgroup.com/primo-explore/search?tab=default_tab&amp;search_scope=EVERYTHING&amp;vid=01CRU&amp;lang=en_US&amp;offset=0&amp;query=any,contains,991002716199702656","Catalog Record")</f>
        <v>Catalog Record</v>
      </c>
      <c r="AT1269" s="6" t="str">
        <f>HYPERLINK("http://www.worldcat.org/oclc/411358","WorldCat Record")</f>
        <v>WorldCat Record</v>
      </c>
      <c r="AU1269" s="3" t="s">
        <v>15954</v>
      </c>
      <c r="AV1269" s="3" t="s">
        <v>15955</v>
      </c>
      <c r="AW1269" s="3" t="s">
        <v>15956</v>
      </c>
      <c r="AX1269" s="3" t="s">
        <v>15956</v>
      </c>
      <c r="AY1269" s="3" t="s">
        <v>15957</v>
      </c>
      <c r="AZ1269" s="3" t="s">
        <v>73</v>
      </c>
      <c r="BC1269" s="3" t="s">
        <v>15958</v>
      </c>
      <c r="BD1269" s="3" t="s">
        <v>15959</v>
      </c>
    </row>
    <row r="1270" spans="1:56" ht="51" customHeight="1" x14ac:dyDescent="0.25">
      <c r="A1270" s="7" t="s">
        <v>58</v>
      </c>
      <c r="B1270" s="2" t="s">
        <v>15960</v>
      </c>
      <c r="C1270" s="2" t="s">
        <v>15961</v>
      </c>
      <c r="D1270" s="2" t="s">
        <v>15962</v>
      </c>
      <c r="F1270" s="3" t="s">
        <v>58</v>
      </c>
      <c r="G1270" s="3" t="s">
        <v>59</v>
      </c>
      <c r="H1270" s="3" t="s">
        <v>58</v>
      </c>
      <c r="I1270" s="3" t="s">
        <v>58</v>
      </c>
      <c r="J1270" s="3" t="s">
        <v>60</v>
      </c>
      <c r="K1270" s="2" t="s">
        <v>15963</v>
      </c>
      <c r="L1270" s="2" t="s">
        <v>15964</v>
      </c>
      <c r="M1270" s="3" t="s">
        <v>1091</v>
      </c>
      <c r="O1270" s="3" t="s">
        <v>63</v>
      </c>
      <c r="P1270" s="3" t="s">
        <v>627</v>
      </c>
      <c r="R1270" s="3" t="s">
        <v>65</v>
      </c>
      <c r="S1270" s="4">
        <v>2</v>
      </c>
      <c r="T1270" s="4">
        <v>2</v>
      </c>
      <c r="U1270" s="5" t="s">
        <v>15965</v>
      </c>
      <c r="V1270" s="5" t="s">
        <v>15965</v>
      </c>
      <c r="W1270" s="5" t="s">
        <v>12533</v>
      </c>
      <c r="X1270" s="5" t="s">
        <v>12533</v>
      </c>
      <c r="Y1270" s="4">
        <v>208</v>
      </c>
      <c r="Z1270" s="4">
        <v>205</v>
      </c>
      <c r="AA1270" s="4">
        <v>213</v>
      </c>
      <c r="AB1270" s="4">
        <v>1</v>
      </c>
      <c r="AC1270" s="4">
        <v>1</v>
      </c>
      <c r="AD1270" s="4">
        <v>3</v>
      </c>
      <c r="AE1270" s="4">
        <v>3</v>
      </c>
      <c r="AF1270" s="4">
        <v>2</v>
      </c>
      <c r="AG1270" s="4">
        <v>2</v>
      </c>
      <c r="AH1270" s="4">
        <v>0</v>
      </c>
      <c r="AI1270" s="4">
        <v>0</v>
      </c>
      <c r="AJ1270" s="4">
        <v>1</v>
      </c>
      <c r="AK1270" s="4">
        <v>1</v>
      </c>
      <c r="AL1270" s="4">
        <v>0</v>
      </c>
      <c r="AM1270" s="4">
        <v>0</v>
      </c>
      <c r="AN1270" s="4">
        <v>0</v>
      </c>
      <c r="AO1270" s="4">
        <v>0</v>
      </c>
      <c r="AP1270" s="3" t="s">
        <v>58</v>
      </c>
      <c r="AQ1270" s="3" t="s">
        <v>58</v>
      </c>
      <c r="AS1270" s="6" t="str">
        <f>HYPERLINK("https://creighton-primo.hosted.exlibrisgroup.com/primo-explore/search?tab=default_tab&amp;search_scope=EVERYTHING&amp;vid=01CRU&amp;lang=en_US&amp;offset=0&amp;query=any,contains,991003628659702656","Catalog Record")</f>
        <v>Catalog Record</v>
      </c>
      <c r="AT1270" s="6" t="str">
        <f>HYPERLINK("http://www.worldcat.org/oclc/46951449","WorldCat Record")</f>
        <v>WorldCat Record</v>
      </c>
      <c r="AU1270" s="3" t="s">
        <v>15966</v>
      </c>
      <c r="AV1270" s="3" t="s">
        <v>15967</v>
      </c>
      <c r="AW1270" s="3" t="s">
        <v>15968</v>
      </c>
      <c r="AX1270" s="3" t="s">
        <v>15968</v>
      </c>
      <c r="AY1270" s="3" t="s">
        <v>15969</v>
      </c>
      <c r="AZ1270" s="3" t="s">
        <v>73</v>
      </c>
      <c r="BB1270" s="3" t="s">
        <v>15970</v>
      </c>
      <c r="BC1270" s="3" t="s">
        <v>15971</v>
      </c>
      <c r="BD1270" s="3" t="s">
        <v>15972</v>
      </c>
    </row>
    <row r="1271" spans="1:56" ht="51" customHeight="1" x14ac:dyDescent="0.25">
      <c r="A1271" s="7" t="s">
        <v>58</v>
      </c>
      <c r="B1271" s="2" t="s">
        <v>15973</v>
      </c>
      <c r="C1271" s="2" t="s">
        <v>15974</v>
      </c>
      <c r="D1271" s="2" t="s">
        <v>15975</v>
      </c>
      <c r="F1271" s="3" t="s">
        <v>58</v>
      </c>
      <c r="G1271" s="3" t="s">
        <v>59</v>
      </c>
      <c r="H1271" s="3" t="s">
        <v>58</v>
      </c>
      <c r="I1271" s="3" t="s">
        <v>58</v>
      </c>
      <c r="J1271" s="3" t="s">
        <v>60</v>
      </c>
      <c r="K1271" s="2" t="s">
        <v>15976</v>
      </c>
      <c r="L1271" s="2" t="s">
        <v>15977</v>
      </c>
      <c r="M1271" s="3" t="s">
        <v>15978</v>
      </c>
      <c r="O1271" s="3" t="s">
        <v>63</v>
      </c>
      <c r="P1271" s="3" t="s">
        <v>816</v>
      </c>
      <c r="R1271" s="3" t="s">
        <v>65</v>
      </c>
      <c r="S1271" s="4">
        <v>2</v>
      </c>
      <c r="T1271" s="4">
        <v>2</v>
      </c>
      <c r="U1271" s="5" t="s">
        <v>6673</v>
      </c>
      <c r="V1271" s="5" t="s">
        <v>6673</v>
      </c>
      <c r="W1271" s="5" t="s">
        <v>11664</v>
      </c>
      <c r="X1271" s="5" t="s">
        <v>11664</v>
      </c>
      <c r="Y1271" s="4">
        <v>154</v>
      </c>
      <c r="Z1271" s="4">
        <v>144</v>
      </c>
      <c r="AA1271" s="4">
        <v>155</v>
      </c>
      <c r="AB1271" s="4">
        <v>1</v>
      </c>
      <c r="AC1271" s="4">
        <v>1</v>
      </c>
      <c r="AD1271" s="4">
        <v>2</v>
      </c>
      <c r="AE1271" s="4">
        <v>2</v>
      </c>
      <c r="AF1271" s="4">
        <v>1</v>
      </c>
      <c r="AG1271" s="4">
        <v>1</v>
      </c>
      <c r="AH1271" s="4">
        <v>1</v>
      </c>
      <c r="AI1271" s="4">
        <v>1</v>
      </c>
      <c r="AJ1271" s="4">
        <v>1</v>
      </c>
      <c r="AK1271" s="4">
        <v>1</v>
      </c>
      <c r="AL1271" s="4">
        <v>0</v>
      </c>
      <c r="AM1271" s="4">
        <v>0</v>
      </c>
      <c r="AN1271" s="4">
        <v>0</v>
      </c>
      <c r="AO1271" s="4">
        <v>0</v>
      </c>
      <c r="AP1271" s="3" t="s">
        <v>68</v>
      </c>
      <c r="AQ1271" s="3" t="s">
        <v>58</v>
      </c>
      <c r="AR1271" s="6" t="str">
        <f>HYPERLINK("http://catalog.hathitrust.org/Record/006800071","HathiTrust Record")</f>
        <v>HathiTrust Record</v>
      </c>
      <c r="AS1271" s="6" t="str">
        <f>HYPERLINK("https://creighton-primo.hosted.exlibrisgroup.com/primo-explore/search?tab=default_tab&amp;search_scope=EVERYTHING&amp;vid=01CRU&amp;lang=en_US&amp;offset=0&amp;query=any,contains,991003792929702656","Catalog Record")</f>
        <v>Catalog Record</v>
      </c>
      <c r="AT1271" s="6" t="str">
        <f>HYPERLINK("http://www.worldcat.org/oclc/1512380","WorldCat Record")</f>
        <v>WorldCat Record</v>
      </c>
      <c r="AU1271" s="3" t="s">
        <v>15979</v>
      </c>
      <c r="AV1271" s="3" t="s">
        <v>15980</v>
      </c>
      <c r="AW1271" s="3" t="s">
        <v>15981</v>
      </c>
      <c r="AX1271" s="3" t="s">
        <v>15981</v>
      </c>
      <c r="AY1271" s="3" t="s">
        <v>15982</v>
      </c>
      <c r="AZ1271" s="3" t="s">
        <v>73</v>
      </c>
      <c r="BC1271" s="3" t="s">
        <v>15983</v>
      </c>
      <c r="BD1271" s="3" t="s">
        <v>15984</v>
      </c>
    </row>
    <row r="1272" spans="1:56" ht="51" customHeight="1" x14ac:dyDescent="0.25">
      <c r="A1272" s="7" t="s">
        <v>58</v>
      </c>
      <c r="B1272" s="2" t="s">
        <v>15985</v>
      </c>
      <c r="C1272" s="2" t="s">
        <v>15986</v>
      </c>
      <c r="D1272" s="2" t="s">
        <v>15987</v>
      </c>
      <c r="F1272" s="3" t="s">
        <v>58</v>
      </c>
      <c r="G1272" s="3" t="s">
        <v>59</v>
      </c>
      <c r="H1272" s="3" t="s">
        <v>58</v>
      </c>
      <c r="I1272" s="3" t="s">
        <v>58</v>
      </c>
      <c r="J1272" s="3" t="s">
        <v>60</v>
      </c>
      <c r="K1272" s="2" t="s">
        <v>15988</v>
      </c>
      <c r="L1272" s="2" t="s">
        <v>3929</v>
      </c>
      <c r="M1272" s="3" t="s">
        <v>855</v>
      </c>
      <c r="N1272" s="2" t="s">
        <v>1009</v>
      </c>
      <c r="O1272" s="3" t="s">
        <v>63</v>
      </c>
      <c r="P1272" s="3" t="s">
        <v>214</v>
      </c>
      <c r="R1272" s="3" t="s">
        <v>65</v>
      </c>
      <c r="S1272" s="4">
        <v>7</v>
      </c>
      <c r="T1272" s="4">
        <v>7</v>
      </c>
      <c r="U1272" s="5" t="s">
        <v>15989</v>
      </c>
      <c r="V1272" s="5" t="s">
        <v>15989</v>
      </c>
      <c r="W1272" s="5" t="s">
        <v>15990</v>
      </c>
      <c r="X1272" s="5" t="s">
        <v>15990</v>
      </c>
      <c r="Y1272" s="4">
        <v>746</v>
      </c>
      <c r="Z1272" s="4">
        <v>690</v>
      </c>
      <c r="AA1272" s="4">
        <v>1042</v>
      </c>
      <c r="AB1272" s="4">
        <v>4</v>
      </c>
      <c r="AC1272" s="4">
        <v>7</v>
      </c>
      <c r="AD1272" s="4">
        <v>20</v>
      </c>
      <c r="AE1272" s="4">
        <v>30</v>
      </c>
      <c r="AF1272" s="4">
        <v>7</v>
      </c>
      <c r="AG1272" s="4">
        <v>10</v>
      </c>
      <c r="AH1272" s="4">
        <v>6</v>
      </c>
      <c r="AI1272" s="4">
        <v>8</v>
      </c>
      <c r="AJ1272" s="4">
        <v>10</v>
      </c>
      <c r="AK1272" s="4">
        <v>14</v>
      </c>
      <c r="AL1272" s="4">
        <v>0</v>
      </c>
      <c r="AM1272" s="4">
        <v>3</v>
      </c>
      <c r="AN1272" s="4">
        <v>1</v>
      </c>
      <c r="AO1272" s="4">
        <v>1</v>
      </c>
      <c r="AP1272" s="3" t="s">
        <v>58</v>
      </c>
      <c r="AQ1272" s="3" t="s">
        <v>58</v>
      </c>
      <c r="AS1272" s="6" t="str">
        <f>HYPERLINK("https://creighton-primo.hosted.exlibrisgroup.com/primo-explore/search?tab=default_tab&amp;search_scope=EVERYTHING&amp;vid=01CRU&amp;lang=en_US&amp;offset=0&amp;query=any,contains,991002026519702656","Catalog Record")</f>
        <v>Catalog Record</v>
      </c>
      <c r="AT1272" s="6" t="str">
        <f>HYPERLINK("http://www.worldcat.org/oclc/25787810","WorldCat Record")</f>
        <v>WorldCat Record</v>
      </c>
      <c r="AU1272" s="3" t="s">
        <v>15991</v>
      </c>
      <c r="AV1272" s="3" t="s">
        <v>15992</v>
      </c>
      <c r="AW1272" s="3" t="s">
        <v>15993</v>
      </c>
      <c r="AX1272" s="3" t="s">
        <v>15993</v>
      </c>
      <c r="AY1272" s="3" t="s">
        <v>15994</v>
      </c>
      <c r="AZ1272" s="3" t="s">
        <v>73</v>
      </c>
      <c r="BB1272" s="3" t="s">
        <v>15995</v>
      </c>
      <c r="BC1272" s="3" t="s">
        <v>15996</v>
      </c>
      <c r="BD1272" s="3" t="s">
        <v>15997</v>
      </c>
    </row>
    <row r="1273" spans="1:56" ht="51" customHeight="1" x14ac:dyDescent="0.25">
      <c r="A1273" s="7" t="s">
        <v>58</v>
      </c>
      <c r="B1273" s="2" t="s">
        <v>15998</v>
      </c>
      <c r="C1273" s="2" t="s">
        <v>15999</v>
      </c>
      <c r="D1273" s="2" t="s">
        <v>16000</v>
      </c>
      <c r="F1273" s="3" t="s">
        <v>58</v>
      </c>
      <c r="G1273" s="3" t="s">
        <v>59</v>
      </c>
      <c r="H1273" s="3" t="s">
        <v>58</v>
      </c>
      <c r="I1273" s="3" t="s">
        <v>58</v>
      </c>
      <c r="J1273" s="3" t="s">
        <v>60</v>
      </c>
      <c r="K1273" s="2" t="s">
        <v>5744</v>
      </c>
      <c r="L1273" s="2" t="s">
        <v>16001</v>
      </c>
      <c r="M1273" s="3" t="s">
        <v>1153</v>
      </c>
      <c r="O1273" s="3" t="s">
        <v>63</v>
      </c>
      <c r="P1273" s="3" t="s">
        <v>510</v>
      </c>
      <c r="R1273" s="3" t="s">
        <v>65</v>
      </c>
      <c r="S1273" s="4">
        <v>1</v>
      </c>
      <c r="T1273" s="4">
        <v>1</v>
      </c>
      <c r="U1273" s="5" t="s">
        <v>15989</v>
      </c>
      <c r="V1273" s="5" t="s">
        <v>15989</v>
      </c>
      <c r="W1273" s="5" t="s">
        <v>11664</v>
      </c>
      <c r="X1273" s="5" t="s">
        <v>11664</v>
      </c>
      <c r="Y1273" s="4">
        <v>358</v>
      </c>
      <c r="Z1273" s="4">
        <v>337</v>
      </c>
      <c r="AA1273" s="4">
        <v>387</v>
      </c>
      <c r="AB1273" s="4">
        <v>2</v>
      </c>
      <c r="AC1273" s="4">
        <v>3</v>
      </c>
      <c r="AD1273" s="4">
        <v>12</v>
      </c>
      <c r="AE1273" s="4">
        <v>15</v>
      </c>
      <c r="AF1273" s="4">
        <v>4</v>
      </c>
      <c r="AG1273" s="4">
        <v>5</v>
      </c>
      <c r="AH1273" s="4">
        <v>5</v>
      </c>
      <c r="AI1273" s="4">
        <v>6</v>
      </c>
      <c r="AJ1273" s="4">
        <v>5</v>
      </c>
      <c r="AK1273" s="4">
        <v>6</v>
      </c>
      <c r="AL1273" s="4">
        <v>1</v>
      </c>
      <c r="AM1273" s="4">
        <v>2</v>
      </c>
      <c r="AN1273" s="4">
        <v>0</v>
      </c>
      <c r="AO1273" s="4">
        <v>0</v>
      </c>
      <c r="AP1273" s="3" t="s">
        <v>58</v>
      </c>
      <c r="AQ1273" s="3" t="s">
        <v>58</v>
      </c>
      <c r="AS1273" s="6" t="str">
        <f>HYPERLINK("https://creighton-primo.hosted.exlibrisgroup.com/primo-explore/search?tab=default_tab&amp;search_scope=EVERYTHING&amp;vid=01CRU&amp;lang=en_US&amp;offset=0&amp;query=any,contains,991003055839702656","Catalog Record")</f>
        <v>Catalog Record</v>
      </c>
      <c r="AT1273" s="6" t="str">
        <f>HYPERLINK("http://www.worldcat.org/oclc/614217","WorldCat Record")</f>
        <v>WorldCat Record</v>
      </c>
      <c r="AU1273" s="3" t="s">
        <v>16002</v>
      </c>
      <c r="AV1273" s="3" t="s">
        <v>16003</v>
      </c>
      <c r="AW1273" s="3" t="s">
        <v>16004</v>
      </c>
      <c r="AX1273" s="3" t="s">
        <v>16004</v>
      </c>
      <c r="AY1273" s="3" t="s">
        <v>16005</v>
      </c>
      <c r="AZ1273" s="3" t="s">
        <v>73</v>
      </c>
      <c r="BB1273" s="3" t="s">
        <v>16006</v>
      </c>
      <c r="BC1273" s="3" t="s">
        <v>16007</v>
      </c>
      <c r="BD1273" s="3" t="s">
        <v>16008</v>
      </c>
    </row>
    <row r="1274" spans="1:56" ht="51" customHeight="1" x14ac:dyDescent="0.25">
      <c r="A1274" s="7" t="s">
        <v>58</v>
      </c>
      <c r="B1274" s="2" t="s">
        <v>16009</v>
      </c>
      <c r="C1274" s="2" t="s">
        <v>16010</v>
      </c>
      <c r="D1274" s="2" t="s">
        <v>16011</v>
      </c>
      <c r="F1274" s="3" t="s">
        <v>58</v>
      </c>
      <c r="G1274" s="3" t="s">
        <v>59</v>
      </c>
      <c r="H1274" s="3" t="s">
        <v>58</v>
      </c>
      <c r="I1274" s="3" t="s">
        <v>58</v>
      </c>
      <c r="J1274" s="3" t="s">
        <v>60</v>
      </c>
      <c r="K1274" s="2" t="s">
        <v>16012</v>
      </c>
      <c r="L1274" s="2" t="s">
        <v>16013</v>
      </c>
      <c r="M1274" s="3" t="s">
        <v>1357</v>
      </c>
      <c r="O1274" s="3" t="s">
        <v>63</v>
      </c>
      <c r="P1274" s="3" t="s">
        <v>214</v>
      </c>
      <c r="R1274" s="3" t="s">
        <v>65</v>
      </c>
      <c r="S1274" s="4">
        <v>3</v>
      </c>
      <c r="T1274" s="4">
        <v>3</v>
      </c>
      <c r="U1274" s="5" t="s">
        <v>3432</v>
      </c>
      <c r="V1274" s="5" t="s">
        <v>3432</v>
      </c>
      <c r="W1274" s="5" t="s">
        <v>11927</v>
      </c>
      <c r="X1274" s="5" t="s">
        <v>11927</v>
      </c>
      <c r="Y1274" s="4">
        <v>850</v>
      </c>
      <c r="Z1274" s="4">
        <v>657</v>
      </c>
      <c r="AA1274" s="4">
        <v>691</v>
      </c>
      <c r="AB1274" s="4">
        <v>5</v>
      </c>
      <c r="AC1274" s="4">
        <v>5</v>
      </c>
      <c r="AD1274" s="4">
        <v>33</v>
      </c>
      <c r="AE1274" s="4">
        <v>35</v>
      </c>
      <c r="AF1274" s="4">
        <v>13</v>
      </c>
      <c r="AG1274" s="4">
        <v>15</v>
      </c>
      <c r="AH1274" s="4">
        <v>10</v>
      </c>
      <c r="AI1274" s="4">
        <v>10</v>
      </c>
      <c r="AJ1274" s="4">
        <v>16</v>
      </c>
      <c r="AK1274" s="4">
        <v>17</v>
      </c>
      <c r="AL1274" s="4">
        <v>4</v>
      </c>
      <c r="AM1274" s="4">
        <v>4</v>
      </c>
      <c r="AN1274" s="4">
        <v>0</v>
      </c>
      <c r="AO1274" s="4">
        <v>0</v>
      </c>
      <c r="AP1274" s="3" t="s">
        <v>58</v>
      </c>
      <c r="AQ1274" s="3" t="s">
        <v>68</v>
      </c>
      <c r="AR1274" s="6" t="str">
        <f>HYPERLINK("http://catalog.hathitrust.org/Record/001254882","HathiTrust Record")</f>
        <v>HathiTrust Record</v>
      </c>
      <c r="AS1274" s="6" t="str">
        <f>HYPERLINK("https://creighton-primo.hosted.exlibrisgroup.com/primo-explore/search?tab=default_tab&amp;search_scope=EVERYTHING&amp;vid=01CRU&amp;lang=en_US&amp;offset=0&amp;query=any,contains,991000189999702656","Catalog Record")</f>
        <v>Catalog Record</v>
      </c>
      <c r="AT1274" s="6" t="str">
        <f>HYPERLINK("http://www.worldcat.org/oclc/63888","WorldCat Record")</f>
        <v>WorldCat Record</v>
      </c>
      <c r="AU1274" s="3" t="s">
        <v>16014</v>
      </c>
      <c r="AV1274" s="3" t="s">
        <v>16015</v>
      </c>
      <c r="AW1274" s="3" t="s">
        <v>16016</v>
      </c>
      <c r="AX1274" s="3" t="s">
        <v>16016</v>
      </c>
      <c r="AY1274" s="3" t="s">
        <v>16017</v>
      </c>
      <c r="AZ1274" s="3" t="s">
        <v>73</v>
      </c>
      <c r="BC1274" s="3" t="s">
        <v>16018</v>
      </c>
      <c r="BD1274" s="3" t="s">
        <v>16019</v>
      </c>
    </row>
    <row r="1275" spans="1:56" ht="51" customHeight="1" x14ac:dyDescent="0.25">
      <c r="A1275" s="7" t="s">
        <v>58</v>
      </c>
      <c r="B1275" s="2" t="s">
        <v>16020</v>
      </c>
      <c r="C1275" s="2" t="s">
        <v>16021</v>
      </c>
      <c r="D1275" s="2" t="s">
        <v>16022</v>
      </c>
      <c r="F1275" s="3" t="s">
        <v>58</v>
      </c>
      <c r="G1275" s="3" t="s">
        <v>59</v>
      </c>
      <c r="H1275" s="3" t="s">
        <v>58</v>
      </c>
      <c r="I1275" s="3" t="s">
        <v>58</v>
      </c>
      <c r="J1275" s="3" t="s">
        <v>60</v>
      </c>
      <c r="K1275" s="2" t="s">
        <v>16023</v>
      </c>
      <c r="L1275" s="2" t="s">
        <v>16024</v>
      </c>
      <c r="M1275" s="3" t="s">
        <v>653</v>
      </c>
      <c r="N1275" s="2" t="s">
        <v>8783</v>
      </c>
      <c r="O1275" s="3" t="s">
        <v>63</v>
      </c>
      <c r="P1275" s="3" t="s">
        <v>411</v>
      </c>
      <c r="R1275" s="3" t="s">
        <v>65</v>
      </c>
      <c r="S1275" s="4">
        <v>4</v>
      </c>
      <c r="T1275" s="4">
        <v>4</v>
      </c>
      <c r="U1275" s="5" t="s">
        <v>3282</v>
      </c>
      <c r="V1275" s="5" t="s">
        <v>3282</v>
      </c>
      <c r="W1275" s="5" t="s">
        <v>16025</v>
      </c>
      <c r="X1275" s="5" t="s">
        <v>16025</v>
      </c>
      <c r="Y1275" s="4">
        <v>30</v>
      </c>
      <c r="Z1275" s="4">
        <v>21</v>
      </c>
      <c r="AA1275" s="4">
        <v>331</v>
      </c>
      <c r="AB1275" s="4">
        <v>1</v>
      </c>
      <c r="AC1275" s="4">
        <v>3</v>
      </c>
      <c r="AD1275" s="4">
        <v>1</v>
      </c>
      <c r="AE1275" s="4">
        <v>20</v>
      </c>
      <c r="AF1275" s="4">
        <v>0</v>
      </c>
      <c r="AG1275" s="4">
        <v>11</v>
      </c>
      <c r="AH1275" s="4">
        <v>1</v>
      </c>
      <c r="AI1275" s="4">
        <v>6</v>
      </c>
      <c r="AJ1275" s="4">
        <v>0</v>
      </c>
      <c r="AK1275" s="4">
        <v>9</v>
      </c>
      <c r="AL1275" s="4">
        <v>0</v>
      </c>
      <c r="AM1275" s="4">
        <v>2</v>
      </c>
      <c r="AN1275" s="4">
        <v>0</v>
      </c>
      <c r="AO1275" s="4">
        <v>0</v>
      </c>
      <c r="AP1275" s="3" t="s">
        <v>58</v>
      </c>
      <c r="AQ1275" s="3" t="s">
        <v>58</v>
      </c>
      <c r="AS1275" s="6" t="str">
        <f>HYPERLINK("https://creighton-primo.hosted.exlibrisgroup.com/primo-explore/search?tab=default_tab&amp;search_scope=EVERYTHING&amp;vid=01CRU&amp;lang=en_US&amp;offset=0&amp;query=any,contains,991002048339702656","Catalog Record")</f>
        <v>Catalog Record</v>
      </c>
      <c r="AT1275" s="6" t="str">
        <f>HYPERLINK("http://www.worldcat.org/oclc/26151871","WorldCat Record")</f>
        <v>WorldCat Record</v>
      </c>
      <c r="AU1275" s="3" t="s">
        <v>16026</v>
      </c>
      <c r="AV1275" s="3" t="s">
        <v>16027</v>
      </c>
      <c r="AW1275" s="3" t="s">
        <v>16028</v>
      </c>
      <c r="AX1275" s="3" t="s">
        <v>16028</v>
      </c>
      <c r="AY1275" s="3" t="s">
        <v>16029</v>
      </c>
      <c r="AZ1275" s="3" t="s">
        <v>73</v>
      </c>
      <c r="BB1275" s="3" t="s">
        <v>16030</v>
      </c>
      <c r="BC1275" s="3" t="s">
        <v>16031</v>
      </c>
      <c r="BD1275" s="3" t="s">
        <v>16032</v>
      </c>
    </row>
    <row r="1276" spans="1:56" ht="51" customHeight="1" x14ac:dyDescent="0.25">
      <c r="A1276" s="7" t="s">
        <v>58</v>
      </c>
      <c r="B1276" s="2" t="s">
        <v>16033</v>
      </c>
      <c r="C1276" s="2" t="s">
        <v>16034</v>
      </c>
      <c r="D1276" s="2" t="s">
        <v>16035</v>
      </c>
      <c r="F1276" s="3" t="s">
        <v>58</v>
      </c>
      <c r="G1276" s="3" t="s">
        <v>59</v>
      </c>
      <c r="H1276" s="3" t="s">
        <v>58</v>
      </c>
      <c r="I1276" s="3" t="s">
        <v>58</v>
      </c>
      <c r="J1276" s="3" t="s">
        <v>60</v>
      </c>
      <c r="L1276" s="2" t="s">
        <v>16036</v>
      </c>
      <c r="M1276" s="3" t="s">
        <v>800</v>
      </c>
      <c r="O1276" s="3" t="s">
        <v>63</v>
      </c>
      <c r="P1276" s="3" t="s">
        <v>2630</v>
      </c>
      <c r="R1276" s="3" t="s">
        <v>65</v>
      </c>
      <c r="S1276" s="4">
        <v>2</v>
      </c>
      <c r="T1276" s="4">
        <v>2</v>
      </c>
      <c r="U1276" s="5" t="s">
        <v>16037</v>
      </c>
      <c r="V1276" s="5" t="s">
        <v>16037</v>
      </c>
      <c r="W1276" s="5" t="s">
        <v>16038</v>
      </c>
      <c r="X1276" s="5" t="s">
        <v>16038</v>
      </c>
      <c r="Y1276" s="4">
        <v>243</v>
      </c>
      <c r="Z1276" s="4">
        <v>182</v>
      </c>
      <c r="AA1276" s="4">
        <v>183</v>
      </c>
      <c r="AB1276" s="4">
        <v>1</v>
      </c>
      <c r="AC1276" s="4">
        <v>1</v>
      </c>
      <c r="AD1276" s="4">
        <v>6</v>
      </c>
      <c r="AE1276" s="4">
        <v>6</v>
      </c>
      <c r="AF1276" s="4">
        <v>3</v>
      </c>
      <c r="AG1276" s="4">
        <v>3</v>
      </c>
      <c r="AH1276" s="4">
        <v>1</v>
      </c>
      <c r="AI1276" s="4">
        <v>1</v>
      </c>
      <c r="AJ1276" s="4">
        <v>5</v>
      </c>
      <c r="AK1276" s="4">
        <v>5</v>
      </c>
      <c r="AL1276" s="4">
        <v>0</v>
      </c>
      <c r="AM1276" s="4">
        <v>0</v>
      </c>
      <c r="AN1276" s="4">
        <v>0</v>
      </c>
      <c r="AO1276" s="4">
        <v>0</v>
      </c>
      <c r="AP1276" s="3" t="s">
        <v>58</v>
      </c>
      <c r="AQ1276" s="3" t="s">
        <v>58</v>
      </c>
      <c r="AS1276" s="6" t="str">
        <f>HYPERLINK("https://creighton-primo.hosted.exlibrisgroup.com/primo-explore/search?tab=default_tab&amp;search_scope=EVERYTHING&amp;vid=01CRU&amp;lang=en_US&amp;offset=0&amp;query=any,contains,991002491469702656","Catalog Record")</f>
        <v>Catalog Record</v>
      </c>
      <c r="AT1276" s="6" t="str">
        <f>HYPERLINK("http://www.worldcat.org/oclc/32429097","WorldCat Record")</f>
        <v>WorldCat Record</v>
      </c>
      <c r="AU1276" s="3" t="s">
        <v>16039</v>
      </c>
      <c r="AV1276" s="3" t="s">
        <v>16040</v>
      </c>
      <c r="AW1276" s="3" t="s">
        <v>16041</v>
      </c>
      <c r="AX1276" s="3" t="s">
        <v>16041</v>
      </c>
      <c r="AY1276" s="3" t="s">
        <v>16042</v>
      </c>
      <c r="AZ1276" s="3" t="s">
        <v>73</v>
      </c>
      <c r="BB1276" s="3" t="s">
        <v>16043</v>
      </c>
      <c r="BC1276" s="3" t="s">
        <v>16044</v>
      </c>
      <c r="BD1276" s="3" t="s">
        <v>16045</v>
      </c>
    </row>
    <row r="1277" spans="1:56" ht="51" customHeight="1" x14ac:dyDescent="0.25">
      <c r="A1277" s="7" t="s">
        <v>58</v>
      </c>
      <c r="B1277" s="2" t="s">
        <v>16046</v>
      </c>
      <c r="C1277" s="2" t="s">
        <v>16047</v>
      </c>
      <c r="D1277" s="2" t="s">
        <v>16048</v>
      </c>
      <c r="F1277" s="3" t="s">
        <v>58</v>
      </c>
      <c r="G1277" s="3" t="s">
        <v>59</v>
      </c>
      <c r="H1277" s="3" t="s">
        <v>58</v>
      </c>
      <c r="I1277" s="3" t="s">
        <v>58</v>
      </c>
      <c r="J1277" s="3" t="s">
        <v>60</v>
      </c>
      <c r="L1277" s="2" t="s">
        <v>16049</v>
      </c>
      <c r="M1277" s="3" t="s">
        <v>62</v>
      </c>
      <c r="O1277" s="3" t="s">
        <v>63</v>
      </c>
      <c r="P1277" s="3" t="s">
        <v>214</v>
      </c>
      <c r="R1277" s="3" t="s">
        <v>65</v>
      </c>
      <c r="S1277" s="4">
        <v>3</v>
      </c>
      <c r="T1277" s="4">
        <v>3</v>
      </c>
      <c r="U1277" s="5" t="s">
        <v>13761</v>
      </c>
      <c r="V1277" s="5" t="s">
        <v>13761</v>
      </c>
      <c r="W1277" s="5" t="s">
        <v>11927</v>
      </c>
      <c r="X1277" s="5" t="s">
        <v>11927</v>
      </c>
      <c r="Y1277" s="4">
        <v>182</v>
      </c>
      <c r="Z1277" s="4">
        <v>160</v>
      </c>
      <c r="AA1277" s="4">
        <v>1471</v>
      </c>
      <c r="AB1277" s="4">
        <v>1</v>
      </c>
      <c r="AC1277" s="4">
        <v>10</v>
      </c>
      <c r="AD1277" s="4">
        <v>5</v>
      </c>
      <c r="AE1277" s="4">
        <v>49</v>
      </c>
      <c r="AF1277" s="4">
        <v>3</v>
      </c>
      <c r="AG1277" s="4">
        <v>22</v>
      </c>
      <c r="AH1277" s="4">
        <v>1</v>
      </c>
      <c r="AI1277" s="4">
        <v>9</v>
      </c>
      <c r="AJ1277" s="4">
        <v>2</v>
      </c>
      <c r="AK1277" s="4">
        <v>22</v>
      </c>
      <c r="AL1277" s="4">
        <v>0</v>
      </c>
      <c r="AM1277" s="4">
        <v>9</v>
      </c>
      <c r="AN1277" s="4">
        <v>0</v>
      </c>
      <c r="AO1277" s="4">
        <v>0</v>
      </c>
      <c r="AP1277" s="3" t="s">
        <v>58</v>
      </c>
      <c r="AQ1277" s="3" t="s">
        <v>58</v>
      </c>
      <c r="AS1277" s="6" t="str">
        <f>HYPERLINK("https://creighton-primo.hosted.exlibrisgroup.com/primo-explore/search?tab=default_tab&amp;search_scope=EVERYTHING&amp;vid=01CRU&amp;lang=en_US&amp;offset=0&amp;query=any,contains,991000681189702656","Catalog Record")</f>
        <v>Catalog Record</v>
      </c>
      <c r="AT1277" s="6" t="str">
        <f>HYPERLINK("http://www.worldcat.org/oclc/122001","WorldCat Record")</f>
        <v>WorldCat Record</v>
      </c>
      <c r="AU1277" s="3" t="s">
        <v>16050</v>
      </c>
      <c r="AV1277" s="3" t="s">
        <v>16051</v>
      </c>
      <c r="AW1277" s="3" t="s">
        <v>16052</v>
      </c>
      <c r="AX1277" s="3" t="s">
        <v>16052</v>
      </c>
      <c r="AY1277" s="3" t="s">
        <v>16053</v>
      </c>
      <c r="AZ1277" s="3" t="s">
        <v>73</v>
      </c>
      <c r="BC1277" s="3" t="s">
        <v>16054</v>
      </c>
      <c r="BD1277" s="3" t="s">
        <v>16055</v>
      </c>
    </row>
    <row r="1278" spans="1:56" ht="51" customHeight="1" x14ac:dyDescent="0.25">
      <c r="A1278" s="7" t="s">
        <v>58</v>
      </c>
      <c r="B1278" s="2" t="s">
        <v>16056</v>
      </c>
      <c r="C1278" s="2" t="s">
        <v>16057</v>
      </c>
      <c r="D1278" s="2" t="s">
        <v>16058</v>
      </c>
      <c r="F1278" s="3" t="s">
        <v>58</v>
      </c>
      <c r="G1278" s="3" t="s">
        <v>59</v>
      </c>
      <c r="H1278" s="3" t="s">
        <v>58</v>
      </c>
      <c r="I1278" s="3" t="s">
        <v>58</v>
      </c>
      <c r="J1278" s="3" t="s">
        <v>60</v>
      </c>
      <c r="K1278" s="2" t="s">
        <v>16059</v>
      </c>
      <c r="L1278" s="2" t="s">
        <v>7117</v>
      </c>
      <c r="M1278" s="3" t="s">
        <v>2132</v>
      </c>
      <c r="N1278" s="2" t="s">
        <v>9270</v>
      </c>
      <c r="O1278" s="3" t="s">
        <v>63</v>
      </c>
      <c r="P1278" s="3" t="s">
        <v>214</v>
      </c>
      <c r="R1278" s="3" t="s">
        <v>65</v>
      </c>
      <c r="S1278" s="4">
        <v>1</v>
      </c>
      <c r="T1278" s="4">
        <v>1</v>
      </c>
      <c r="U1278" s="5" t="s">
        <v>16060</v>
      </c>
      <c r="V1278" s="5" t="s">
        <v>16060</v>
      </c>
      <c r="W1278" s="5" t="s">
        <v>14853</v>
      </c>
      <c r="X1278" s="5" t="s">
        <v>14853</v>
      </c>
      <c r="Y1278" s="4">
        <v>1084</v>
      </c>
      <c r="Z1278" s="4">
        <v>960</v>
      </c>
      <c r="AA1278" s="4">
        <v>1574</v>
      </c>
      <c r="AB1278" s="4">
        <v>8</v>
      </c>
      <c r="AC1278" s="4">
        <v>16</v>
      </c>
      <c r="AD1278" s="4">
        <v>29</v>
      </c>
      <c r="AE1278" s="4">
        <v>47</v>
      </c>
      <c r="AF1278" s="4">
        <v>11</v>
      </c>
      <c r="AG1278" s="4">
        <v>18</v>
      </c>
      <c r="AH1278" s="4">
        <v>7</v>
      </c>
      <c r="AI1278" s="4">
        <v>8</v>
      </c>
      <c r="AJ1278" s="4">
        <v>12</v>
      </c>
      <c r="AK1278" s="4">
        <v>19</v>
      </c>
      <c r="AL1278" s="4">
        <v>6</v>
      </c>
      <c r="AM1278" s="4">
        <v>11</v>
      </c>
      <c r="AN1278" s="4">
        <v>0</v>
      </c>
      <c r="AO1278" s="4">
        <v>1</v>
      </c>
      <c r="AP1278" s="3" t="s">
        <v>58</v>
      </c>
      <c r="AQ1278" s="3" t="s">
        <v>58</v>
      </c>
      <c r="AS1278" s="6" t="str">
        <f>HYPERLINK("https://creighton-primo.hosted.exlibrisgroup.com/primo-explore/search?tab=default_tab&amp;search_scope=EVERYTHING&amp;vid=01CRU&amp;lang=en_US&amp;offset=0&amp;query=any,contains,991002715539702656","Catalog Record")</f>
        <v>Catalog Record</v>
      </c>
      <c r="AT1278" s="6" t="str">
        <f>HYPERLINK("http://www.worldcat.org/oclc/411179","WorldCat Record")</f>
        <v>WorldCat Record</v>
      </c>
      <c r="AU1278" s="3" t="s">
        <v>16061</v>
      </c>
      <c r="AV1278" s="3" t="s">
        <v>16062</v>
      </c>
      <c r="AW1278" s="3" t="s">
        <v>16063</v>
      </c>
      <c r="AX1278" s="3" t="s">
        <v>16063</v>
      </c>
      <c r="AY1278" s="3" t="s">
        <v>16064</v>
      </c>
      <c r="AZ1278" s="3" t="s">
        <v>73</v>
      </c>
      <c r="BC1278" s="3" t="s">
        <v>16065</v>
      </c>
      <c r="BD1278" s="3" t="s">
        <v>16066</v>
      </c>
    </row>
    <row r="1279" spans="1:56" ht="51" customHeight="1" x14ac:dyDescent="0.25">
      <c r="A1279" s="7" t="s">
        <v>58</v>
      </c>
      <c r="B1279" s="2" t="s">
        <v>16067</v>
      </c>
      <c r="C1279" s="2" t="s">
        <v>16068</v>
      </c>
      <c r="D1279" s="2" t="s">
        <v>16069</v>
      </c>
      <c r="F1279" s="3" t="s">
        <v>58</v>
      </c>
      <c r="G1279" s="3" t="s">
        <v>59</v>
      </c>
      <c r="H1279" s="3" t="s">
        <v>58</v>
      </c>
      <c r="I1279" s="3" t="s">
        <v>58</v>
      </c>
      <c r="J1279" s="3" t="s">
        <v>60</v>
      </c>
      <c r="K1279" s="2" t="s">
        <v>16070</v>
      </c>
      <c r="L1279" s="2" t="s">
        <v>16071</v>
      </c>
      <c r="M1279" s="3" t="s">
        <v>62</v>
      </c>
      <c r="O1279" s="3" t="s">
        <v>63</v>
      </c>
      <c r="P1279" s="3" t="s">
        <v>584</v>
      </c>
      <c r="Q1279" s="2" t="s">
        <v>16072</v>
      </c>
      <c r="R1279" s="3" t="s">
        <v>65</v>
      </c>
      <c r="S1279" s="4">
        <v>4</v>
      </c>
      <c r="T1279" s="4">
        <v>4</v>
      </c>
      <c r="U1279" s="5" t="s">
        <v>16073</v>
      </c>
      <c r="V1279" s="5" t="s">
        <v>16073</v>
      </c>
      <c r="W1279" s="5" t="s">
        <v>16074</v>
      </c>
      <c r="X1279" s="5" t="s">
        <v>16074</v>
      </c>
      <c r="Y1279" s="4">
        <v>194</v>
      </c>
      <c r="Z1279" s="4">
        <v>137</v>
      </c>
      <c r="AA1279" s="4">
        <v>296</v>
      </c>
      <c r="AB1279" s="4">
        <v>1</v>
      </c>
      <c r="AC1279" s="4">
        <v>2</v>
      </c>
      <c r="AD1279" s="4">
        <v>6</v>
      </c>
      <c r="AE1279" s="4">
        <v>14</v>
      </c>
      <c r="AF1279" s="4">
        <v>1</v>
      </c>
      <c r="AG1279" s="4">
        <v>5</v>
      </c>
      <c r="AH1279" s="4">
        <v>2</v>
      </c>
      <c r="AI1279" s="4">
        <v>4</v>
      </c>
      <c r="AJ1279" s="4">
        <v>4</v>
      </c>
      <c r="AK1279" s="4">
        <v>6</v>
      </c>
      <c r="AL1279" s="4">
        <v>0</v>
      </c>
      <c r="AM1279" s="4">
        <v>1</v>
      </c>
      <c r="AN1279" s="4">
        <v>0</v>
      </c>
      <c r="AO1279" s="4">
        <v>0</v>
      </c>
      <c r="AP1279" s="3" t="s">
        <v>58</v>
      </c>
      <c r="AQ1279" s="3" t="s">
        <v>68</v>
      </c>
      <c r="AR1279" s="6" t="str">
        <f>HYPERLINK("http://catalog.hathitrust.org/Record/000003577","HathiTrust Record")</f>
        <v>HathiTrust Record</v>
      </c>
      <c r="AS1279" s="6" t="str">
        <f>HYPERLINK("https://creighton-primo.hosted.exlibrisgroup.com/primo-explore/search?tab=default_tab&amp;search_scope=EVERYTHING&amp;vid=01CRU&amp;lang=en_US&amp;offset=0&amp;query=any,contains,991001927389702656","Catalog Record")</f>
        <v>Catalog Record</v>
      </c>
      <c r="AT1279" s="6" t="str">
        <f>HYPERLINK("http://www.worldcat.org/oclc/247346","WorldCat Record")</f>
        <v>WorldCat Record</v>
      </c>
      <c r="AU1279" s="3" t="s">
        <v>16075</v>
      </c>
      <c r="AV1279" s="3" t="s">
        <v>16076</v>
      </c>
      <c r="AW1279" s="3" t="s">
        <v>16077</v>
      </c>
      <c r="AX1279" s="3" t="s">
        <v>16077</v>
      </c>
      <c r="AY1279" s="3" t="s">
        <v>16078</v>
      </c>
      <c r="AZ1279" s="3" t="s">
        <v>73</v>
      </c>
      <c r="BB1279" s="3" t="s">
        <v>16079</v>
      </c>
      <c r="BC1279" s="3" t="s">
        <v>16080</v>
      </c>
      <c r="BD1279" s="3" t="s">
        <v>16081</v>
      </c>
    </row>
    <row r="1280" spans="1:56" ht="51" customHeight="1" x14ac:dyDescent="0.25">
      <c r="A1280" s="7" t="s">
        <v>58</v>
      </c>
      <c r="B1280" s="2" t="s">
        <v>16082</v>
      </c>
      <c r="C1280" s="2" t="s">
        <v>16083</v>
      </c>
      <c r="D1280" s="2" t="s">
        <v>16084</v>
      </c>
      <c r="F1280" s="3" t="s">
        <v>58</v>
      </c>
      <c r="G1280" s="3" t="s">
        <v>59</v>
      </c>
      <c r="H1280" s="3" t="s">
        <v>58</v>
      </c>
      <c r="I1280" s="3" t="s">
        <v>58</v>
      </c>
      <c r="J1280" s="3" t="s">
        <v>60</v>
      </c>
      <c r="K1280" s="2" t="s">
        <v>16085</v>
      </c>
      <c r="L1280" s="2" t="s">
        <v>15675</v>
      </c>
      <c r="M1280" s="3" t="s">
        <v>2757</v>
      </c>
      <c r="O1280" s="3" t="s">
        <v>63</v>
      </c>
      <c r="P1280" s="3" t="s">
        <v>214</v>
      </c>
      <c r="Q1280" s="2" t="s">
        <v>16086</v>
      </c>
      <c r="R1280" s="3" t="s">
        <v>65</v>
      </c>
      <c r="S1280" s="4">
        <v>3</v>
      </c>
      <c r="T1280" s="4">
        <v>3</v>
      </c>
      <c r="U1280" s="5" t="s">
        <v>13761</v>
      </c>
      <c r="V1280" s="5" t="s">
        <v>13761</v>
      </c>
      <c r="W1280" s="5" t="s">
        <v>11927</v>
      </c>
      <c r="X1280" s="5" t="s">
        <v>11927</v>
      </c>
      <c r="Y1280" s="4">
        <v>665</v>
      </c>
      <c r="Z1280" s="4">
        <v>540</v>
      </c>
      <c r="AA1280" s="4">
        <v>548</v>
      </c>
      <c r="AB1280" s="4">
        <v>4</v>
      </c>
      <c r="AC1280" s="4">
        <v>4</v>
      </c>
      <c r="AD1280" s="4">
        <v>18</v>
      </c>
      <c r="AE1280" s="4">
        <v>18</v>
      </c>
      <c r="AF1280" s="4">
        <v>7</v>
      </c>
      <c r="AG1280" s="4">
        <v>7</v>
      </c>
      <c r="AH1280" s="4">
        <v>3</v>
      </c>
      <c r="AI1280" s="4">
        <v>3</v>
      </c>
      <c r="AJ1280" s="4">
        <v>7</v>
      </c>
      <c r="AK1280" s="4">
        <v>7</v>
      </c>
      <c r="AL1280" s="4">
        <v>3</v>
      </c>
      <c r="AM1280" s="4">
        <v>3</v>
      </c>
      <c r="AN1280" s="4">
        <v>0</v>
      </c>
      <c r="AO1280" s="4">
        <v>0</v>
      </c>
      <c r="AP1280" s="3" t="s">
        <v>58</v>
      </c>
      <c r="AQ1280" s="3" t="s">
        <v>68</v>
      </c>
      <c r="AR1280" s="6" t="str">
        <f>HYPERLINK("http://catalog.hathitrust.org/Record/001254926","HathiTrust Record")</f>
        <v>HathiTrust Record</v>
      </c>
      <c r="AS1280" s="6" t="str">
        <f>HYPERLINK("https://creighton-primo.hosted.exlibrisgroup.com/primo-explore/search?tab=default_tab&amp;search_scope=EVERYTHING&amp;vid=01CRU&amp;lang=en_US&amp;offset=0&amp;query=any,contains,991002716239702656","Catalog Record")</f>
        <v>Catalog Record</v>
      </c>
      <c r="AT1280" s="6" t="str">
        <f>HYPERLINK("http://www.worldcat.org/oclc/411363","WorldCat Record")</f>
        <v>WorldCat Record</v>
      </c>
      <c r="AU1280" s="3" t="s">
        <v>16087</v>
      </c>
      <c r="AV1280" s="3" t="s">
        <v>16088</v>
      </c>
      <c r="AW1280" s="3" t="s">
        <v>16089</v>
      </c>
      <c r="AX1280" s="3" t="s">
        <v>16089</v>
      </c>
      <c r="AY1280" s="3" t="s">
        <v>16090</v>
      </c>
      <c r="AZ1280" s="3" t="s">
        <v>73</v>
      </c>
      <c r="BC1280" s="3" t="s">
        <v>16091</v>
      </c>
      <c r="BD1280" s="3" t="s">
        <v>16092</v>
      </c>
    </row>
    <row r="1281" spans="1:56" ht="51" customHeight="1" x14ac:dyDescent="0.25">
      <c r="A1281" s="7" t="s">
        <v>58</v>
      </c>
      <c r="B1281" s="2" t="s">
        <v>16093</v>
      </c>
      <c r="C1281" s="2" t="s">
        <v>16094</v>
      </c>
      <c r="D1281" s="2" t="s">
        <v>16095</v>
      </c>
      <c r="E1281" s="3" t="s">
        <v>223</v>
      </c>
      <c r="F1281" s="3" t="s">
        <v>68</v>
      </c>
      <c r="G1281" s="3" t="s">
        <v>59</v>
      </c>
      <c r="H1281" s="3" t="s">
        <v>58</v>
      </c>
      <c r="I1281" s="3" t="s">
        <v>58</v>
      </c>
      <c r="J1281" s="3" t="s">
        <v>60</v>
      </c>
      <c r="K1281" s="2" t="s">
        <v>16096</v>
      </c>
      <c r="L1281" s="2" t="s">
        <v>16097</v>
      </c>
      <c r="M1281" s="3" t="s">
        <v>62</v>
      </c>
      <c r="O1281" s="3" t="s">
        <v>63</v>
      </c>
      <c r="P1281" s="3" t="s">
        <v>16098</v>
      </c>
      <c r="R1281" s="3" t="s">
        <v>65</v>
      </c>
      <c r="S1281" s="4">
        <v>1</v>
      </c>
      <c r="T1281" s="4">
        <v>1</v>
      </c>
      <c r="U1281" s="5" t="s">
        <v>16099</v>
      </c>
      <c r="V1281" s="5" t="s">
        <v>16099</v>
      </c>
      <c r="W1281" s="5" t="s">
        <v>14853</v>
      </c>
      <c r="X1281" s="5" t="s">
        <v>14853</v>
      </c>
      <c r="Y1281" s="4">
        <v>569</v>
      </c>
      <c r="Z1281" s="4">
        <v>434</v>
      </c>
      <c r="AA1281" s="4">
        <v>440</v>
      </c>
      <c r="AB1281" s="4">
        <v>3</v>
      </c>
      <c r="AC1281" s="4">
        <v>3</v>
      </c>
      <c r="AD1281" s="4">
        <v>17</v>
      </c>
      <c r="AE1281" s="4">
        <v>17</v>
      </c>
      <c r="AF1281" s="4">
        <v>3</v>
      </c>
      <c r="AG1281" s="4">
        <v>3</v>
      </c>
      <c r="AH1281" s="4">
        <v>4</v>
      </c>
      <c r="AI1281" s="4">
        <v>4</v>
      </c>
      <c r="AJ1281" s="4">
        <v>13</v>
      </c>
      <c r="AK1281" s="4">
        <v>13</v>
      </c>
      <c r="AL1281" s="4">
        <v>2</v>
      </c>
      <c r="AM1281" s="4">
        <v>2</v>
      </c>
      <c r="AN1281" s="4">
        <v>0</v>
      </c>
      <c r="AO1281" s="4">
        <v>0</v>
      </c>
      <c r="AP1281" s="3" t="s">
        <v>58</v>
      </c>
      <c r="AQ1281" s="3" t="s">
        <v>68</v>
      </c>
      <c r="AR1281" s="6" t="str">
        <f>HYPERLINK("http://catalog.hathitrust.org/Record/000191295","HathiTrust Record")</f>
        <v>HathiTrust Record</v>
      </c>
      <c r="AS1281" s="6" t="str">
        <f>HYPERLINK("https://creighton-primo.hosted.exlibrisgroup.com/primo-explore/search?tab=default_tab&amp;search_scope=EVERYTHING&amp;vid=01CRU&amp;lang=en_US&amp;offset=0&amp;query=any,contains,991001343489702656","Catalog Record")</f>
        <v>Catalog Record</v>
      </c>
      <c r="AT1281" s="6" t="str">
        <f>HYPERLINK("http://www.worldcat.org/oclc/221348","WorldCat Record")</f>
        <v>WorldCat Record</v>
      </c>
      <c r="AU1281" s="3" t="s">
        <v>16100</v>
      </c>
      <c r="AV1281" s="3" t="s">
        <v>16101</v>
      </c>
      <c r="AW1281" s="3" t="s">
        <v>16102</v>
      </c>
      <c r="AX1281" s="3" t="s">
        <v>16102</v>
      </c>
      <c r="AY1281" s="3" t="s">
        <v>16103</v>
      </c>
      <c r="AZ1281" s="3" t="s">
        <v>73</v>
      </c>
      <c r="BC1281" s="3" t="s">
        <v>16104</v>
      </c>
      <c r="BD1281" s="3" t="s">
        <v>16105</v>
      </c>
    </row>
    <row r="1282" spans="1:56" ht="51" customHeight="1" x14ac:dyDescent="0.25">
      <c r="A1282" s="7" t="s">
        <v>58</v>
      </c>
      <c r="B1282" s="2" t="s">
        <v>16093</v>
      </c>
      <c r="C1282" s="2" t="s">
        <v>16094</v>
      </c>
      <c r="D1282" s="2" t="s">
        <v>16095</v>
      </c>
      <c r="E1282" s="3" t="s">
        <v>210</v>
      </c>
      <c r="F1282" s="3" t="s">
        <v>68</v>
      </c>
      <c r="G1282" s="3" t="s">
        <v>59</v>
      </c>
      <c r="H1282" s="3" t="s">
        <v>58</v>
      </c>
      <c r="I1282" s="3" t="s">
        <v>58</v>
      </c>
      <c r="J1282" s="3" t="s">
        <v>60</v>
      </c>
      <c r="K1282" s="2" t="s">
        <v>16096</v>
      </c>
      <c r="L1282" s="2" t="s">
        <v>16097</v>
      </c>
      <c r="M1282" s="3" t="s">
        <v>62</v>
      </c>
      <c r="O1282" s="3" t="s">
        <v>63</v>
      </c>
      <c r="P1282" s="3" t="s">
        <v>16098</v>
      </c>
      <c r="R1282" s="3" t="s">
        <v>65</v>
      </c>
      <c r="S1282" s="4">
        <v>0</v>
      </c>
      <c r="T1282" s="4">
        <v>1</v>
      </c>
      <c r="V1282" s="5" t="s">
        <v>16099</v>
      </c>
      <c r="W1282" s="5" t="s">
        <v>14853</v>
      </c>
      <c r="X1282" s="5" t="s">
        <v>14853</v>
      </c>
      <c r="Y1282" s="4">
        <v>569</v>
      </c>
      <c r="Z1282" s="4">
        <v>434</v>
      </c>
      <c r="AA1282" s="4">
        <v>440</v>
      </c>
      <c r="AB1282" s="4">
        <v>3</v>
      </c>
      <c r="AC1282" s="4">
        <v>3</v>
      </c>
      <c r="AD1282" s="4">
        <v>17</v>
      </c>
      <c r="AE1282" s="4">
        <v>17</v>
      </c>
      <c r="AF1282" s="4">
        <v>3</v>
      </c>
      <c r="AG1282" s="4">
        <v>3</v>
      </c>
      <c r="AH1282" s="4">
        <v>4</v>
      </c>
      <c r="AI1282" s="4">
        <v>4</v>
      </c>
      <c r="AJ1282" s="4">
        <v>13</v>
      </c>
      <c r="AK1282" s="4">
        <v>13</v>
      </c>
      <c r="AL1282" s="4">
        <v>2</v>
      </c>
      <c r="AM1282" s="4">
        <v>2</v>
      </c>
      <c r="AN1282" s="4">
        <v>0</v>
      </c>
      <c r="AO1282" s="4">
        <v>0</v>
      </c>
      <c r="AP1282" s="3" t="s">
        <v>58</v>
      </c>
      <c r="AQ1282" s="3" t="s">
        <v>68</v>
      </c>
      <c r="AR1282" s="6" t="str">
        <f>HYPERLINK("http://catalog.hathitrust.org/Record/000191295","HathiTrust Record")</f>
        <v>HathiTrust Record</v>
      </c>
      <c r="AS1282" s="6" t="str">
        <f>HYPERLINK("https://creighton-primo.hosted.exlibrisgroup.com/primo-explore/search?tab=default_tab&amp;search_scope=EVERYTHING&amp;vid=01CRU&amp;lang=en_US&amp;offset=0&amp;query=any,contains,991001343489702656","Catalog Record")</f>
        <v>Catalog Record</v>
      </c>
      <c r="AT1282" s="6" t="str">
        <f>HYPERLINK("http://www.worldcat.org/oclc/221348","WorldCat Record")</f>
        <v>WorldCat Record</v>
      </c>
      <c r="AU1282" s="3" t="s">
        <v>16100</v>
      </c>
      <c r="AV1282" s="3" t="s">
        <v>16101</v>
      </c>
      <c r="AW1282" s="3" t="s">
        <v>16102</v>
      </c>
      <c r="AX1282" s="3" t="s">
        <v>16102</v>
      </c>
      <c r="AY1282" s="3" t="s">
        <v>16103</v>
      </c>
      <c r="AZ1282" s="3" t="s">
        <v>73</v>
      </c>
      <c r="BC1282" s="3" t="s">
        <v>16106</v>
      </c>
      <c r="BD1282" s="3" t="s">
        <v>16107</v>
      </c>
    </row>
    <row r="1283" spans="1:56" ht="51" customHeight="1" x14ac:dyDescent="0.25">
      <c r="A1283" s="7" t="s">
        <v>58</v>
      </c>
      <c r="B1283" s="2" t="s">
        <v>16108</v>
      </c>
      <c r="C1283" s="2" t="s">
        <v>16109</v>
      </c>
      <c r="D1283" s="2" t="s">
        <v>16110</v>
      </c>
      <c r="F1283" s="3" t="s">
        <v>58</v>
      </c>
      <c r="G1283" s="3" t="s">
        <v>59</v>
      </c>
      <c r="H1283" s="3" t="s">
        <v>58</v>
      </c>
      <c r="I1283" s="3" t="s">
        <v>58</v>
      </c>
      <c r="J1283" s="3" t="s">
        <v>60</v>
      </c>
      <c r="L1283" s="2" t="s">
        <v>16111</v>
      </c>
      <c r="M1283" s="3" t="s">
        <v>951</v>
      </c>
      <c r="O1283" s="3" t="s">
        <v>63</v>
      </c>
      <c r="P1283" s="3" t="s">
        <v>816</v>
      </c>
      <c r="R1283" s="3" t="s">
        <v>65</v>
      </c>
      <c r="S1283" s="4">
        <v>3</v>
      </c>
      <c r="T1283" s="4">
        <v>3</v>
      </c>
      <c r="U1283" s="5" t="s">
        <v>16112</v>
      </c>
      <c r="V1283" s="5" t="s">
        <v>16112</v>
      </c>
      <c r="W1283" s="5" t="s">
        <v>16113</v>
      </c>
      <c r="X1283" s="5" t="s">
        <v>16113</v>
      </c>
      <c r="Y1283" s="4">
        <v>478</v>
      </c>
      <c r="Z1283" s="4">
        <v>353</v>
      </c>
      <c r="AA1283" s="4">
        <v>358</v>
      </c>
      <c r="AB1283" s="4">
        <v>3</v>
      </c>
      <c r="AC1283" s="4">
        <v>3</v>
      </c>
      <c r="AD1283" s="4">
        <v>22</v>
      </c>
      <c r="AE1283" s="4">
        <v>22</v>
      </c>
      <c r="AF1283" s="4">
        <v>6</v>
      </c>
      <c r="AG1283" s="4">
        <v>6</v>
      </c>
      <c r="AH1283" s="4">
        <v>8</v>
      </c>
      <c r="AI1283" s="4">
        <v>8</v>
      </c>
      <c r="AJ1283" s="4">
        <v>11</v>
      </c>
      <c r="AK1283" s="4">
        <v>11</v>
      </c>
      <c r="AL1283" s="4">
        <v>2</v>
      </c>
      <c r="AM1283" s="4">
        <v>2</v>
      </c>
      <c r="AN1283" s="4">
        <v>0</v>
      </c>
      <c r="AO1283" s="4">
        <v>0</v>
      </c>
      <c r="AP1283" s="3" t="s">
        <v>58</v>
      </c>
      <c r="AQ1283" s="3" t="s">
        <v>68</v>
      </c>
      <c r="AR1283" s="6" t="str">
        <f>HYPERLINK("http://catalog.hathitrust.org/Record/004115731","HathiTrust Record")</f>
        <v>HathiTrust Record</v>
      </c>
      <c r="AS1283" s="6" t="str">
        <f>HYPERLINK("https://creighton-primo.hosted.exlibrisgroup.com/primo-explore/search?tab=default_tab&amp;search_scope=EVERYTHING&amp;vid=01CRU&amp;lang=en_US&amp;offset=0&amp;query=any,contains,991003998469702656","Catalog Record")</f>
        <v>Catalog Record</v>
      </c>
      <c r="AT1283" s="6" t="str">
        <f>HYPERLINK("http://www.worldcat.org/oclc/43474735","WorldCat Record")</f>
        <v>WorldCat Record</v>
      </c>
      <c r="AU1283" s="3" t="s">
        <v>16114</v>
      </c>
      <c r="AV1283" s="3" t="s">
        <v>16115</v>
      </c>
      <c r="AW1283" s="3" t="s">
        <v>16116</v>
      </c>
      <c r="AX1283" s="3" t="s">
        <v>16116</v>
      </c>
      <c r="AY1283" s="3" t="s">
        <v>16117</v>
      </c>
      <c r="AZ1283" s="3" t="s">
        <v>73</v>
      </c>
      <c r="BB1283" s="3" t="s">
        <v>16118</v>
      </c>
      <c r="BC1283" s="3" t="s">
        <v>16119</v>
      </c>
      <c r="BD1283" s="3" t="s">
        <v>16120</v>
      </c>
    </row>
    <row r="1284" spans="1:56" ht="51" customHeight="1" x14ac:dyDescent="0.25">
      <c r="A1284" s="7" t="s">
        <v>58</v>
      </c>
      <c r="B1284" s="2" t="s">
        <v>16121</v>
      </c>
      <c r="C1284" s="2" t="s">
        <v>16122</v>
      </c>
      <c r="D1284" s="2" t="s">
        <v>16123</v>
      </c>
      <c r="F1284" s="3" t="s">
        <v>58</v>
      </c>
      <c r="G1284" s="3" t="s">
        <v>59</v>
      </c>
      <c r="H1284" s="3" t="s">
        <v>58</v>
      </c>
      <c r="I1284" s="3" t="s">
        <v>58</v>
      </c>
      <c r="J1284" s="3" t="s">
        <v>60</v>
      </c>
      <c r="K1284" s="2" t="s">
        <v>16124</v>
      </c>
      <c r="L1284" s="2" t="s">
        <v>16125</v>
      </c>
      <c r="M1284" s="3" t="s">
        <v>183</v>
      </c>
      <c r="O1284" s="3" t="s">
        <v>63</v>
      </c>
      <c r="P1284" s="3" t="s">
        <v>214</v>
      </c>
      <c r="R1284" s="3" t="s">
        <v>65</v>
      </c>
      <c r="S1284" s="4">
        <v>4</v>
      </c>
      <c r="T1284" s="4">
        <v>4</v>
      </c>
      <c r="U1284" s="5" t="s">
        <v>14725</v>
      </c>
      <c r="V1284" s="5" t="s">
        <v>14725</v>
      </c>
      <c r="W1284" s="5" t="s">
        <v>16126</v>
      </c>
      <c r="X1284" s="5" t="s">
        <v>16126</v>
      </c>
      <c r="Y1284" s="4">
        <v>95</v>
      </c>
      <c r="Z1284" s="4">
        <v>67</v>
      </c>
      <c r="AA1284" s="4">
        <v>434</v>
      </c>
      <c r="AB1284" s="4">
        <v>1</v>
      </c>
      <c r="AC1284" s="4">
        <v>3</v>
      </c>
      <c r="AD1284" s="4">
        <v>4</v>
      </c>
      <c r="AE1284" s="4">
        <v>23</v>
      </c>
      <c r="AF1284" s="4">
        <v>1</v>
      </c>
      <c r="AG1284" s="4">
        <v>8</v>
      </c>
      <c r="AH1284" s="4">
        <v>3</v>
      </c>
      <c r="AI1284" s="4">
        <v>6</v>
      </c>
      <c r="AJ1284" s="4">
        <v>2</v>
      </c>
      <c r="AK1284" s="4">
        <v>13</v>
      </c>
      <c r="AL1284" s="4">
        <v>0</v>
      </c>
      <c r="AM1284" s="4">
        <v>2</v>
      </c>
      <c r="AN1284" s="4">
        <v>0</v>
      </c>
      <c r="AO1284" s="4">
        <v>0</v>
      </c>
      <c r="AP1284" s="3" t="s">
        <v>58</v>
      </c>
      <c r="AQ1284" s="3" t="s">
        <v>58</v>
      </c>
      <c r="AS1284" s="6" t="str">
        <f>HYPERLINK("https://creighton-primo.hosted.exlibrisgroup.com/primo-explore/search?tab=default_tab&amp;search_scope=EVERYTHING&amp;vid=01CRU&amp;lang=en_US&amp;offset=0&amp;query=any,contains,991004185339702656","Catalog Record")</f>
        <v>Catalog Record</v>
      </c>
      <c r="AT1284" s="6" t="str">
        <f>HYPERLINK("http://www.worldcat.org/oclc/2614611","WorldCat Record")</f>
        <v>WorldCat Record</v>
      </c>
      <c r="AU1284" s="3" t="s">
        <v>16127</v>
      </c>
      <c r="AV1284" s="3" t="s">
        <v>16128</v>
      </c>
      <c r="AW1284" s="3" t="s">
        <v>16129</v>
      </c>
      <c r="AX1284" s="3" t="s">
        <v>16129</v>
      </c>
      <c r="AY1284" s="3" t="s">
        <v>16130</v>
      </c>
      <c r="AZ1284" s="3" t="s">
        <v>73</v>
      </c>
      <c r="BB1284" s="3" t="s">
        <v>16131</v>
      </c>
      <c r="BC1284" s="3" t="s">
        <v>16132</v>
      </c>
      <c r="BD1284" s="3" t="s">
        <v>16133</v>
      </c>
    </row>
    <row r="1285" spans="1:56" ht="51" customHeight="1" x14ac:dyDescent="0.25">
      <c r="A1285" s="7" t="s">
        <v>58</v>
      </c>
      <c r="B1285" s="2" t="s">
        <v>16134</v>
      </c>
      <c r="C1285" s="2" t="s">
        <v>16135</v>
      </c>
      <c r="D1285" s="2" t="s">
        <v>16136</v>
      </c>
      <c r="F1285" s="3" t="s">
        <v>58</v>
      </c>
      <c r="G1285" s="3" t="s">
        <v>59</v>
      </c>
      <c r="H1285" s="3" t="s">
        <v>58</v>
      </c>
      <c r="I1285" s="3" t="s">
        <v>58</v>
      </c>
      <c r="J1285" s="3" t="s">
        <v>60</v>
      </c>
      <c r="K1285" s="2" t="s">
        <v>16137</v>
      </c>
      <c r="L1285" s="2" t="s">
        <v>16138</v>
      </c>
      <c r="M1285" s="3" t="s">
        <v>16139</v>
      </c>
      <c r="O1285" s="3" t="s">
        <v>63</v>
      </c>
      <c r="P1285" s="3" t="s">
        <v>584</v>
      </c>
      <c r="R1285" s="3" t="s">
        <v>65</v>
      </c>
      <c r="S1285" s="4">
        <v>2</v>
      </c>
      <c r="T1285" s="4">
        <v>2</v>
      </c>
      <c r="U1285" s="5" t="s">
        <v>3917</v>
      </c>
      <c r="V1285" s="5" t="s">
        <v>3917</v>
      </c>
      <c r="W1285" s="5" t="s">
        <v>11927</v>
      </c>
      <c r="X1285" s="5" t="s">
        <v>11927</v>
      </c>
      <c r="Y1285" s="4">
        <v>204</v>
      </c>
      <c r="Z1285" s="4">
        <v>173</v>
      </c>
      <c r="AA1285" s="4">
        <v>222</v>
      </c>
      <c r="AB1285" s="4">
        <v>1</v>
      </c>
      <c r="AC1285" s="4">
        <v>2</v>
      </c>
      <c r="AD1285" s="4">
        <v>9</v>
      </c>
      <c r="AE1285" s="4">
        <v>12</v>
      </c>
      <c r="AF1285" s="4">
        <v>2</v>
      </c>
      <c r="AG1285" s="4">
        <v>2</v>
      </c>
      <c r="AH1285" s="4">
        <v>3</v>
      </c>
      <c r="AI1285" s="4">
        <v>5</v>
      </c>
      <c r="AJ1285" s="4">
        <v>8</v>
      </c>
      <c r="AK1285" s="4">
        <v>8</v>
      </c>
      <c r="AL1285" s="4">
        <v>0</v>
      </c>
      <c r="AM1285" s="4">
        <v>1</v>
      </c>
      <c r="AN1285" s="4">
        <v>0</v>
      </c>
      <c r="AO1285" s="4">
        <v>0</v>
      </c>
      <c r="AP1285" s="3" t="s">
        <v>68</v>
      </c>
      <c r="AQ1285" s="3" t="s">
        <v>58</v>
      </c>
      <c r="AR1285" s="6" t="str">
        <f>HYPERLINK("http://catalog.hathitrust.org/Record/001869910","HathiTrust Record")</f>
        <v>HathiTrust Record</v>
      </c>
      <c r="AS1285" s="6" t="str">
        <f>HYPERLINK("https://creighton-primo.hosted.exlibrisgroup.com/primo-explore/search?tab=default_tab&amp;search_scope=EVERYTHING&amp;vid=01CRU&amp;lang=en_US&amp;offset=0&amp;query=any,contains,991003573129702656","Catalog Record")</f>
        <v>Catalog Record</v>
      </c>
      <c r="AT1285" s="6" t="str">
        <f>HYPERLINK("http://www.worldcat.org/oclc/1148948","WorldCat Record")</f>
        <v>WorldCat Record</v>
      </c>
      <c r="AU1285" s="3" t="s">
        <v>16140</v>
      </c>
      <c r="AV1285" s="3" t="s">
        <v>16141</v>
      </c>
      <c r="AW1285" s="3" t="s">
        <v>16142</v>
      </c>
      <c r="AX1285" s="3" t="s">
        <v>16142</v>
      </c>
      <c r="AY1285" s="3" t="s">
        <v>16143</v>
      </c>
      <c r="AZ1285" s="3" t="s">
        <v>73</v>
      </c>
      <c r="BC1285" s="3" t="s">
        <v>16144</v>
      </c>
      <c r="BD1285" s="3" t="s">
        <v>16145</v>
      </c>
    </row>
    <row r="1286" spans="1:56" ht="51" customHeight="1" x14ac:dyDescent="0.25">
      <c r="A1286" s="7" t="s">
        <v>58</v>
      </c>
      <c r="B1286" s="2" t="s">
        <v>16146</v>
      </c>
      <c r="C1286" s="2" t="s">
        <v>16147</v>
      </c>
      <c r="D1286" s="2" t="s">
        <v>16148</v>
      </c>
      <c r="F1286" s="3" t="s">
        <v>58</v>
      </c>
      <c r="G1286" s="3" t="s">
        <v>59</v>
      </c>
      <c r="H1286" s="3" t="s">
        <v>58</v>
      </c>
      <c r="I1286" s="3" t="s">
        <v>58</v>
      </c>
      <c r="J1286" s="3" t="s">
        <v>60</v>
      </c>
      <c r="K1286" s="2" t="s">
        <v>16149</v>
      </c>
      <c r="L1286" s="2" t="s">
        <v>3667</v>
      </c>
      <c r="M1286" s="3" t="s">
        <v>1061</v>
      </c>
      <c r="N1286" s="2" t="s">
        <v>338</v>
      </c>
      <c r="O1286" s="3" t="s">
        <v>63</v>
      </c>
      <c r="P1286" s="3" t="s">
        <v>214</v>
      </c>
      <c r="R1286" s="3" t="s">
        <v>65</v>
      </c>
      <c r="S1286" s="4">
        <v>1</v>
      </c>
      <c r="T1286" s="4">
        <v>1</v>
      </c>
      <c r="U1286" s="5" t="s">
        <v>16150</v>
      </c>
      <c r="V1286" s="5" t="s">
        <v>16150</v>
      </c>
      <c r="W1286" s="5" t="s">
        <v>16151</v>
      </c>
      <c r="X1286" s="5" t="s">
        <v>16151</v>
      </c>
      <c r="Y1286" s="4">
        <v>401</v>
      </c>
      <c r="Z1286" s="4">
        <v>334</v>
      </c>
      <c r="AA1286" s="4">
        <v>368</v>
      </c>
      <c r="AB1286" s="4">
        <v>3</v>
      </c>
      <c r="AC1286" s="4">
        <v>3</v>
      </c>
      <c r="AD1286" s="4">
        <v>20</v>
      </c>
      <c r="AE1286" s="4">
        <v>21</v>
      </c>
      <c r="AF1286" s="4">
        <v>8</v>
      </c>
      <c r="AG1286" s="4">
        <v>8</v>
      </c>
      <c r="AH1286" s="4">
        <v>6</v>
      </c>
      <c r="AI1286" s="4">
        <v>7</v>
      </c>
      <c r="AJ1286" s="4">
        <v>11</v>
      </c>
      <c r="AK1286" s="4">
        <v>11</v>
      </c>
      <c r="AL1286" s="4">
        <v>2</v>
      </c>
      <c r="AM1286" s="4">
        <v>2</v>
      </c>
      <c r="AN1286" s="4">
        <v>0</v>
      </c>
      <c r="AO1286" s="4">
        <v>0</v>
      </c>
      <c r="AP1286" s="3" t="s">
        <v>58</v>
      </c>
      <c r="AQ1286" s="3" t="s">
        <v>58</v>
      </c>
      <c r="AS1286" s="6" t="str">
        <f>HYPERLINK("https://creighton-primo.hosted.exlibrisgroup.com/primo-explore/search?tab=default_tab&amp;search_scope=EVERYTHING&amp;vid=01CRU&amp;lang=en_US&amp;offset=0&amp;query=any,contains,991002676999702656","Catalog Record")</f>
        <v>Catalog Record</v>
      </c>
      <c r="AT1286" s="6" t="str">
        <f>HYPERLINK("http://www.worldcat.org/oclc/34996174","WorldCat Record")</f>
        <v>WorldCat Record</v>
      </c>
      <c r="AU1286" s="3" t="s">
        <v>16152</v>
      </c>
      <c r="AV1286" s="3" t="s">
        <v>16153</v>
      </c>
      <c r="AW1286" s="3" t="s">
        <v>16154</v>
      </c>
      <c r="AX1286" s="3" t="s">
        <v>16154</v>
      </c>
      <c r="AY1286" s="3" t="s">
        <v>16155</v>
      </c>
      <c r="AZ1286" s="3" t="s">
        <v>73</v>
      </c>
      <c r="BB1286" s="3" t="s">
        <v>16156</v>
      </c>
      <c r="BC1286" s="3" t="s">
        <v>16157</v>
      </c>
      <c r="BD1286" s="3" t="s">
        <v>16158</v>
      </c>
    </row>
    <row r="1287" spans="1:56" ht="51" customHeight="1" x14ac:dyDescent="0.25">
      <c r="A1287" s="7" t="s">
        <v>58</v>
      </c>
      <c r="B1287" s="2" t="s">
        <v>16159</v>
      </c>
      <c r="C1287" s="2" t="s">
        <v>16160</v>
      </c>
      <c r="D1287" s="2" t="s">
        <v>16161</v>
      </c>
      <c r="F1287" s="3" t="s">
        <v>58</v>
      </c>
      <c r="G1287" s="3" t="s">
        <v>59</v>
      </c>
      <c r="H1287" s="3" t="s">
        <v>58</v>
      </c>
      <c r="I1287" s="3" t="s">
        <v>58</v>
      </c>
      <c r="J1287" s="3" t="s">
        <v>60</v>
      </c>
      <c r="K1287" s="2" t="s">
        <v>16162</v>
      </c>
      <c r="L1287" s="2" t="s">
        <v>16163</v>
      </c>
      <c r="M1287" s="3" t="s">
        <v>16164</v>
      </c>
      <c r="O1287" s="3" t="s">
        <v>63</v>
      </c>
      <c r="P1287" s="3" t="s">
        <v>571</v>
      </c>
      <c r="R1287" s="3" t="s">
        <v>65</v>
      </c>
      <c r="S1287" s="4">
        <v>2</v>
      </c>
      <c r="T1287" s="4">
        <v>2</v>
      </c>
      <c r="U1287" s="5" t="s">
        <v>16165</v>
      </c>
      <c r="V1287" s="5" t="s">
        <v>16165</v>
      </c>
      <c r="W1287" s="5" t="s">
        <v>11927</v>
      </c>
      <c r="X1287" s="5" t="s">
        <v>11927</v>
      </c>
      <c r="Y1287" s="4">
        <v>100</v>
      </c>
      <c r="Z1287" s="4">
        <v>72</v>
      </c>
      <c r="AA1287" s="4">
        <v>99</v>
      </c>
      <c r="AB1287" s="4">
        <v>1</v>
      </c>
      <c r="AC1287" s="4">
        <v>2</v>
      </c>
      <c r="AD1287" s="4">
        <v>1</v>
      </c>
      <c r="AE1287" s="4">
        <v>3</v>
      </c>
      <c r="AF1287" s="4">
        <v>0</v>
      </c>
      <c r="AG1287" s="4">
        <v>0</v>
      </c>
      <c r="AH1287" s="4">
        <v>1</v>
      </c>
      <c r="AI1287" s="4">
        <v>2</v>
      </c>
      <c r="AJ1287" s="4">
        <v>1</v>
      </c>
      <c r="AK1287" s="4">
        <v>1</v>
      </c>
      <c r="AL1287" s="4">
        <v>0</v>
      </c>
      <c r="AM1287" s="4">
        <v>1</v>
      </c>
      <c r="AN1287" s="4">
        <v>0</v>
      </c>
      <c r="AO1287" s="4">
        <v>0</v>
      </c>
      <c r="AP1287" s="3" t="s">
        <v>68</v>
      </c>
      <c r="AQ1287" s="3" t="s">
        <v>58</v>
      </c>
      <c r="AR1287" s="6" t="str">
        <f>HYPERLINK("http://catalog.hathitrust.org/Record/000707033","HathiTrust Record")</f>
        <v>HathiTrust Record</v>
      </c>
      <c r="AS1287" s="6" t="str">
        <f>HYPERLINK("https://creighton-primo.hosted.exlibrisgroup.com/primo-explore/search?tab=default_tab&amp;search_scope=EVERYTHING&amp;vid=01CRU&amp;lang=en_US&amp;offset=0&amp;query=any,contains,991003979079702656","Catalog Record")</f>
        <v>Catalog Record</v>
      </c>
      <c r="AT1287" s="6" t="str">
        <f>HYPERLINK("http://www.worldcat.org/oclc/2015938","WorldCat Record")</f>
        <v>WorldCat Record</v>
      </c>
      <c r="AU1287" s="3" t="s">
        <v>16166</v>
      </c>
      <c r="AV1287" s="3" t="s">
        <v>16167</v>
      </c>
      <c r="AW1287" s="3" t="s">
        <v>16168</v>
      </c>
      <c r="AX1287" s="3" t="s">
        <v>16168</v>
      </c>
      <c r="AY1287" s="3" t="s">
        <v>16169</v>
      </c>
      <c r="AZ1287" s="3" t="s">
        <v>73</v>
      </c>
      <c r="BC1287" s="3" t="s">
        <v>16170</v>
      </c>
      <c r="BD1287" s="3" t="s">
        <v>16171</v>
      </c>
    </row>
    <row r="1288" spans="1:56" ht="51" customHeight="1" x14ac:dyDescent="0.25">
      <c r="A1288" s="7" t="s">
        <v>58</v>
      </c>
      <c r="B1288" s="2" t="s">
        <v>16172</v>
      </c>
      <c r="C1288" s="2" t="s">
        <v>16173</v>
      </c>
      <c r="D1288" s="2" t="s">
        <v>16174</v>
      </c>
      <c r="E1288" s="3" t="s">
        <v>223</v>
      </c>
      <c r="F1288" s="3" t="s">
        <v>68</v>
      </c>
      <c r="G1288" s="3" t="s">
        <v>59</v>
      </c>
      <c r="H1288" s="3" t="s">
        <v>58</v>
      </c>
      <c r="I1288" s="3" t="s">
        <v>58</v>
      </c>
      <c r="J1288" s="3" t="s">
        <v>60</v>
      </c>
      <c r="K1288" s="2" t="s">
        <v>16175</v>
      </c>
      <c r="L1288" s="2" t="s">
        <v>16176</v>
      </c>
      <c r="M1288" s="3" t="s">
        <v>16177</v>
      </c>
      <c r="O1288" s="3" t="s">
        <v>63</v>
      </c>
      <c r="P1288" s="3" t="s">
        <v>571</v>
      </c>
      <c r="R1288" s="3" t="s">
        <v>65</v>
      </c>
      <c r="S1288" s="4">
        <v>4</v>
      </c>
      <c r="T1288" s="4">
        <v>10</v>
      </c>
      <c r="U1288" s="5" t="s">
        <v>16165</v>
      </c>
      <c r="V1288" s="5" t="s">
        <v>16165</v>
      </c>
      <c r="W1288" s="5" t="s">
        <v>16178</v>
      </c>
      <c r="X1288" s="5" t="s">
        <v>8036</v>
      </c>
      <c r="Y1288" s="4">
        <v>130</v>
      </c>
      <c r="Z1288" s="4">
        <v>117</v>
      </c>
      <c r="AA1288" s="4">
        <v>291</v>
      </c>
      <c r="AB1288" s="4">
        <v>2</v>
      </c>
      <c r="AC1288" s="4">
        <v>4</v>
      </c>
      <c r="AD1288" s="4">
        <v>3</v>
      </c>
      <c r="AE1288" s="4">
        <v>11</v>
      </c>
      <c r="AF1288" s="4">
        <v>0</v>
      </c>
      <c r="AG1288" s="4">
        <v>1</v>
      </c>
      <c r="AH1288" s="4">
        <v>1</v>
      </c>
      <c r="AI1288" s="4">
        <v>4</v>
      </c>
      <c r="AJ1288" s="4">
        <v>1</v>
      </c>
      <c r="AK1288" s="4">
        <v>4</v>
      </c>
      <c r="AL1288" s="4">
        <v>1</v>
      </c>
      <c r="AM1288" s="4">
        <v>3</v>
      </c>
      <c r="AN1288" s="4">
        <v>0</v>
      </c>
      <c r="AO1288" s="4">
        <v>0</v>
      </c>
      <c r="AP1288" s="3" t="s">
        <v>68</v>
      </c>
      <c r="AQ1288" s="3" t="s">
        <v>58</v>
      </c>
      <c r="AR1288" s="6" t="str">
        <f>HYPERLINK("http://catalog.hathitrust.org/Record/006574692","HathiTrust Record")</f>
        <v>HathiTrust Record</v>
      </c>
      <c r="AS1288" s="6" t="str">
        <f>HYPERLINK("https://creighton-primo.hosted.exlibrisgroup.com/primo-explore/search?tab=default_tab&amp;search_scope=EVERYTHING&amp;vid=01CRU&amp;lang=en_US&amp;offset=0&amp;query=any,contains,991003524739702656","Catalog Record")</f>
        <v>Catalog Record</v>
      </c>
      <c r="AT1288" s="6" t="str">
        <f>HYPERLINK("http://www.worldcat.org/oclc/1086635","WorldCat Record")</f>
        <v>WorldCat Record</v>
      </c>
      <c r="AU1288" s="3" t="s">
        <v>16179</v>
      </c>
      <c r="AV1288" s="3" t="s">
        <v>16180</v>
      </c>
      <c r="AW1288" s="3" t="s">
        <v>16181</v>
      </c>
      <c r="AX1288" s="3" t="s">
        <v>16181</v>
      </c>
      <c r="AY1288" s="3" t="s">
        <v>16182</v>
      </c>
      <c r="AZ1288" s="3" t="s">
        <v>73</v>
      </c>
      <c r="BC1288" s="3" t="s">
        <v>16183</v>
      </c>
      <c r="BD1288" s="3" t="s">
        <v>16184</v>
      </c>
    </row>
    <row r="1289" spans="1:56" ht="51" customHeight="1" x14ac:dyDescent="0.25">
      <c r="A1289" s="7" t="s">
        <v>58</v>
      </c>
      <c r="B1289" s="2" t="s">
        <v>16172</v>
      </c>
      <c r="C1289" s="2" t="s">
        <v>16173</v>
      </c>
      <c r="D1289" s="2" t="s">
        <v>16174</v>
      </c>
      <c r="E1289" s="3" t="s">
        <v>210</v>
      </c>
      <c r="F1289" s="3" t="s">
        <v>68</v>
      </c>
      <c r="G1289" s="3" t="s">
        <v>59</v>
      </c>
      <c r="H1289" s="3" t="s">
        <v>58</v>
      </c>
      <c r="I1289" s="3" t="s">
        <v>58</v>
      </c>
      <c r="J1289" s="3" t="s">
        <v>60</v>
      </c>
      <c r="K1289" s="2" t="s">
        <v>16175</v>
      </c>
      <c r="L1289" s="2" t="s">
        <v>16176</v>
      </c>
      <c r="M1289" s="3" t="s">
        <v>16177</v>
      </c>
      <c r="O1289" s="3" t="s">
        <v>63</v>
      </c>
      <c r="P1289" s="3" t="s">
        <v>571</v>
      </c>
      <c r="R1289" s="3" t="s">
        <v>65</v>
      </c>
      <c r="S1289" s="4">
        <v>6</v>
      </c>
      <c r="T1289" s="4">
        <v>10</v>
      </c>
      <c r="U1289" s="5" t="s">
        <v>16165</v>
      </c>
      <c r="V1289" s="5" t="s">
        <v>16165</v>
      </c>
      <c r="W1289" s="5" t="s">
        <v>8036</v>
      </c>
      <c r="X1289" s="5" t="s">
        <v>8036</v>
      </c>
      <c r="Y1289" s="4">
        <v>130</v>
      </c>
      <c r="Z1289" s="4">
        <v>117</v>
      </c>
      <c r="AA1289" s="4">
        <v>291</v>
      </c>
      <c r="AB1289" s="4">
        <v>2</v>
      </c>
      <c r="AC1289" s="4">
        <v>4</v>
      </c>
      <c r="AD1289" s="4">
        <v>3</v>
      </c>
      <c r="AE1289" s="4">
        <v>11</v>
      </c>
      <c r="AF1289" s="4">
        <v>0</v>
      </c>
      <c r="AG1289" s="4">
        <v>1</v>
      </c>
      <c r="AH1289" s="4">
        <v>1</v>
      </c>
      <c r="AI1289" s="4">
        <v>4</v>
      </c>
      <c r="AJ1289" s="4">
        <v>1</v>
      </c>
      <c r="AK1289" s="4">
        <v>4</v>
      </c>
      <c r="AL1289" s="4">
        <v>1</v>
      </c>
      <c r="AM1289" s="4">
        <v>3</v>
      </c>
      <c r="AN1289" s="4">
        <v>0</v>
      </c>
      <c r="AO1289" s="4">
        <v>0</v>
      </c>
      <c r="AP1289" s="3" t="s">
        <v>68</v>
      </c>
      <c r="AQ1289" s="3" t="s">
        <v>58</v>
      </c>
      <c r="AR1289" s="6" t="str">
        <f>HYPERLINK("http://catalog.hathitrust.org/Record/006574692","HathiTrust Record")</f>
        <v>HathiTrust Record</v>
      </c>
      <c r="AS1289" s="6" t="str">
        <f>HYPERLINK("https://creighton-primo.hosted.exlibrisgroup.com/primo-explore/search?tab=default_tab&amp;search_scope=EVERYTHING&amp;vid=01CRU&amp;lang=en_US&amp;offset=0&amp;query=any,contains,991003524739702656","Catalog Record")</f>
        <v>Catalog Record</v>
      </c>
      <c r="AT1289" s="6" t="str">
        <f>HYPERLINK("http://www.worldcat.org/oclc/1086635","WorldCat Record")</f>
        <v>WorldCat Record</v>
      </c>
      <c r="AU1289" s="3" t="s">
        <v>16179</v>
      </c>
      <c r="AV1289" s="3" t="s">
        <v>16180</v>
      </c>
      <c r="AW1289" s="3" t="s">
        <v>16181</v>
      </c>
      <c r="AX1289" s="3" t="s">
        <v>16181</v>
      </c>
      <c r="AY1289" s="3" t="s">
        <v>16182</v>
      </c>
      <c r="AZ1289" s="3" t="s">
        <v>73</v>
      </c>
      <c r="BC1289" s="3" t="s">
        <v>16185</v>
      </c>
      <c r="BD1289" s="3" t="s">
        <v>16186</v>
      </c>
    </row>
    <row r="1290" spans="1:56" ht="51" customHeight="1" x14ac:dyDescent="0.25">
      <c r="A1290" s="7" t="s">
        <v>58</v>
      </c>
      <c r="B1290" s="2" t="s">
        <v>16187</v>
      </c>
      <c r="C1290" s="2" t="s">
        <v>16188</v>
      </c>
      <c r="D1290" s="2" t="s">
        <v>16189</v>
      </c>
      <c r="F1290" s="3" t="s">
        <v>58</v>
      </c>
      <c r="G1290" s="3" t="s">
        <v>59</v>
      </c>
      <c r="H1290" s="3" t="s">
        <v>58</v>
      </c>
      <c r="I1290" s="3" t="s">
        <v>58</v>
      </c>
      <c r="J1290" s="3" t="s">
        <v>60</v>
      </c>
      <c r="K1290" s="2" t="s">
        <v>16190</v>
      </c>
      <c r="L1290" s="2" t="s">
        <v>16191</v>
      </c>
      <c r="M1290" s="3" t="s">
        <v>16164</v>
      </c>
      <c r="O1290" s="3" t="s">
        <v>63</v>
      </c>
      <c r="P1290" s="3" t="s">
        <v>571</v>
      </c>
      <c r="R1290" s="3" t="s">
        <v>65</v>
      </c>
      <c r="S1290" s="4">
        <v>5</v>
      </c>
      <c r="T1290" s="4">
        <v>5</v>
      </c>
      <c r="U1290" s="5" t="s">
        <v>14725</v>
      </c>
      <c r="V1290" s="5" t="s">
        <v>14725</v>
      </c>
      <c r="W1290" s="5" t="s">
        <v>14853</v>
      </c>
      <c r="X1290" s="5" t="s">
        <v>14853</v>
      </c>
      <c r="Y1290" s="4">
        <v>48</v>
      </c>
      <c r="Z1290" s="4">
        <v>45</v>
      </c>
      <c r="AA1290" s="4">
        <v>117</v>
      </c>
      <c r="AB1290" s="4">
        <v>1</v>
      </c>
      <c r="AC1290" s="4">
        <v>2</v>
      </c>
      <c r="AD1290" s="4">
        <v>0</v>
      </c>
      <c r="AE1290" s="4">
        <v>2</v>
      </c>
      <c r="AF1290" s="4">
        <v>0</v>
      </c>
      <c r="AG1290" s="4">
        <v>0</v>
      </c>
      <c r="AH1290" s="4">
        <v>0</v>
      </c>
      <c r="AI1290" s="4">
        <v>1</v>
      </c>
      <c r="AJ1290" s="4">
        <v>0</v>
      </c>
      <c r="AK1290" s="4">
        <v>0</v>
      </c>
      <c r="AL1290" s="4">
        <v>0</v>
      </c>
      <c r="AM1290" s="4">
        <v>1</v>
      </c>
      <c r="AN1290" s="4">
        <v>0</v>
      </c>
      <c r="AO1290" s="4">
        <v>0</v>
      </c>
      <c r="AP1290" s="3" t="s">
        <v>68</v>
      </c>
      <c r="AQ1290" s="3" t="s">
        <v>58</v>
      </c>
      <c r="AR1290" s="6" t="str">
        <f>HYPERLINK("http://catalog.hathitrust.org/Record/007121462","HathiTrust Record")</f>
        <v>HathiTrust Record</v>
      </c>
      <c r="AS1290" s="6" t="str">
        <f>HYPERLINK("https://creighton-primo.hosted.exlibrisgroup.com/primo-explore/search?tab=default_tab&amp;search_scope=EVERYTHING&amp;vid=01CRU&amp;lang=en_US&amp;offset=0&amp;query=any,contains,991004221329702656","Catalog Record")</f>
        <v>Catalog Record</v>
      </c>
      <c r="AT1290" s="6" t="str">
        <f>HYPERLINK("http://www.worldcat.org/oclc/2713304","WorldCat Record")</f>
        <v>WorldCat Record</v>
      </c>
      <c r="AU1290" s="3" t="s">
        <v>16192</v>
      </c>
      <c r="AV1290" s="3" t="s">
        <v>16193</v>
      </c>
      <c r="AW1290" s="3" t="s">
        <v>16194</v>
      </c>
      <c r="AX1290" s="3" t="s">
        <v>16194</v>
      </c>
      <c r="AY1290" s="3" t="s">
        <v>16195</v>
      </c>
      <c r="AZ1290" s="3" t="s">
        <v>73</v>
      </c>
      <c r="BC1290" s="3" t="s">
        <v>16196</v>
      </c>
      <c r="BD1290" s="3" t="s">
        <v>16197</v>
      </c>
    </row>
    <row r="1291" spans="1:56" ht="51" customHeight="1" x14ac:dyDescent="0.25">
      <c r="A1291" s="7" t="s">
        <v>58</v>
      </c>
      <c r="B1291" s="2" t="s">
        <v>16198</v>
      </c>
      <c r="C1291" s="2" t="s">
        <v>16199</v>
      </c>
      <c r="D1291" s="2" t="s">
        <v>16200</v>
      </c>
      <c r="F1291" s="3" t="s">
        <v>58</v>
      </c>
      <c r="G1291" s="3" t="s">
        <v>59</v>
      </c>
      <c r="H1291" s="3" t="s">
        <v>58</v>
      </c>
      <c r="I1291" s="3" t="s">
        <v>58</v>
      </c>
      <c r="J1291" s="3" t="s">
        <v>60</v>
      </c>
      <c r="K1291" s="2" t="s">
        <v>16201</v>
      </c>
      <c r="L1291" s="2" t="s">
        <v>16202</v>
      </c>
      <c r="M1291" s="3" t="s">
        <v>1153</v>
      </c>
      <c r="O1291" s="3" t="s">
        <v>63</v>
      </c>
      <c r="P1291" s="3" t="s">
        <v>16203</v>
      </c>
      <c r="R1291" s="3" t="s">
        <v>65</v>
      </c>
      <c r="S1291" s="4">
        <v>10</v>
      </c>
      <c r="T1291" s="4">
        <v>10</v>
      </c>
      <c r="U1291" s="5" t="s">
        <v>817</v>
      </c>
      <c r="V1291" s="5" t="s">
        <v>817</v>
      </c>
      <c r="W1291" s="5" t="s">
        <v>16126</v>
      </c>
      <c r="X1291" s="5" t="s">
        <v>16126</v>
      </c>
      <c r="Y1291" s="4">
        <v>127</v>
      </c>
      <c r="Z1291" s="4">
        <v>105</v>
      </c>
      <c r="AA1291" s="4">
        <v>114</v>
      </c>
      <c r="AB1291" s="4">
        <v>1</v>
      </c>
      <c r="AC1291" s="4">
        <v>1</v>
      </c>
      <c r="AD1291" s="4">
        <v>3</v>
      </c>
      <c r="AE1291" s="4">
        <v>3</v>
      </c>
      <c r="AF1291" s="4">
        <v>0</v>
      </c>
      <c r="AG1291" s="4">
        <v>0</v>
      </c>
      <c r="AH1291" s="4">
        <v>3</v>
      </c>
      <c r="AI1291" s="4">
        <v>3</v>
      </c>
      <c r="AJ1291" s="4">
        <v>3</v>
      </c>
      <c r="AK1291" s="4">
        <v>3</v>
      </c>
      <c r="AL1291" s="4">
        <v>0</v>
      </c>
      <c r="AM1291" s="4">
        <v>0</v>
      </c>
      <c r="AN1291" s="4">
        <v>0</v>
      </c>
      <c r="AO1291" s="4">
        <v>0</v>
      </c>
      <c r="AP1291" s="3" t="s">
        <v>58</v>
      </c>
      <c r="AQ1291" s="3" t="s">
        <v>68</v>
      </c>
      <c r="AR1291" s="6" t="str">
        <f>HYPERLINK("http://catalog.hathitrust.org/Record/009913411","HathiTrust Record")</f>
        <v>HathiTrust Record</v>
      </c>
      <c r="AS1291" s="6" t="str">
        <f>HYPERLINK("https://creighton-primo.hosted.exlibrisgroup.com/primo-explore/search?tab=default_tab&amp;search_scope=EVERYTHING&amp;vid=01CRU&amp;lang=en_US&amp;offset=0&amp;query=any,contains,991003194759702656","Catalog Record")</f>
        <v>Catalog Record</v>
      </c>
      <c r="AT1291" s="6" t="str">
        <f>HYPERLINK("http://www.worldcat.org/oclc/720296","WorldCat Record")</f>
        <v>WorldCat Record</v>
      </c>
      <c r="AU1291" s="3" t="s">
        <v>16204</v>
      </c>
      <c r="AV1291" s="3" t="s">
        <v>16205</v>
      </c>
      <c r="AW1291" s="3" t="s">
        <v>16206</v>
      </c>
      <c r="AX1291" s="3" t="s">
        <v>16206</v>
      </c>
      <c r="AY1291" s="3" t="s">
        <v>16207</v>
      </c>
      <c r="AZ1291" s="3" t="s">
        <v>73</v>
      </c>
      <c r="BB1291" s="3" t="s">
        <v>16208</v>
      </c>
      <c r="BC1291" s="3" t="s">
        <v>16209</v>
      </c>
      <c r="BD1291" s="3" t="s">
        <v>16210</v>
      </c>
    </row>
    <row r="1292" spans="1:56" ht="51" customHeight="1" x14ac:dyDescent="0.25">
      <c r="A1292" s="7" t="s">
        <v>58</v>
      </c>
      <c r="B1292" s="2" t="s">
        <v>16211</v>
      </c>
      <c r="C1292" s="2" t="s">
        <v>16212</v>
      </c>
      <c r="D1292" s="2" t="s">
        <v>16213</v>
      </c>
      <c r="F1292" s="3" t="s">
        <v>58</v>
      </c>
      <c r="G1292" s="3" t="s">
        <v>59</v>
      </c>
      <c r="H1292" s="3" t="s">
        <v>58</v>
      </c>
      <c r="I1292" s="3" t="s">
        <v>58</v>
      </c>
      <c r="J1292" s="3" t="s">
        <v>60</v>
      </c>
      <c r="K1292" s="2" t="s">
        <v>16214</v>
      </c>
      <c r="L1292" s="2" t="s">
        <v>16215</v>
      </c>
      <c r="M1292" s="3" t="s">
        <v>1385</v>
      </c>
      <c r="N1292" s="2" t="s">
        <v>16216</v>
      </c>
      <c r="O1292" s="3" t="s">
        <v>63</v>
      </c>
      <c r="P1292" s="3" t="s">
        <v>214</v>
      </c>
      <c r="R1292" s="3" t="s">
        <v>65</v>
      </c>
      <c r="S1292" s="4">
        <v>7</v>
      </c>
      <c r="T1292" s="4">
        <v>7</v>
      </c>
      <c r="U1292" s="5" t="s">
        <v>16217</v>
      </c>
      <c r="V1292" s="5" t="s">
        <v>16217</v>
      </c>
      <c r="W1292" s="5" t="s">
        <v>16218</v>
      </c>
      <c r="X1292" s="5" t="s">
        <v>16218</v>
      </c>
      <c r="Y1292" s="4">
        <v>497</v>
      </c>
      <c r="Z1292" s="4">
        <v>469</v>
      </c>
      <c r="AA1292" s="4">
        <v>843</v>
      </c>
      <c r="AB1292" s="4">
        <v>4</v>
      </c>
      <c r="AC1292" s="4">
        <v>5</v>
      </c>
      <c r="AD1292" s="4">
        <v>19</v>
      </c>
      <c r="AE1292" s="4">
        <v>31</v>
      </c>
      <c r="AF1292" s="4">
        <v>7</v>
      </c>
      <c r="AG1292" s="4">
        <v>13</v>
      </c>
      <c r="AH1292" s="4">
        <v>5</v>
      </c>
      <c r="AI1292" s="4">
        <v>9</v>
      </c>
      <c r="AJ1292" s="4">
        <v>11</v>
      </c>
      <c r="AK1292" s="4">
        <v>18</v>
      </c>
      <c r="AL1292" s="4">
        <v>2</v>
      </c>
      <c r="AM1292" s="4">
        <v>3</v>
      </c>
      <c r="AN1292" s="4">
        <v>0</v>
      </c>
      <c r="AO1292" s="4">
        <v>0</v>
      </c>
      <c r="AP1292" s="3" t="s">
        <v>58</v>
      </c>
      <c r="AQ1292" s="3" t="s">
        <v>58</v>
      </c>
      <c r="AS1292" s="6" t="str">
        <f>HYPERLINK("https://creighton-primo.hosted.exlibrisgroup.com/primo-explore/search?tab=default_tab&amp;search_scope=EVERYTHING&amp;vid=01CRU&amp;lang=en_US&amp;offset=0&amp;query=any,contains,991003561979702656","Catalog Record")</f>
        <v>Catalog Record</v>
      </c>
      <c r="AT1292" s="6" t="str">
        <f>HYPERLINK("http://www.worldcat.org/oclc/1132982","WorldCat Record")</f>
        <v>WorldCat Record</v>
      </c>
      <c r="AU1292" s="3" t="s">
        <v>16219</v>
      </c>
      <c r="AV1292" s="3" t="s">
        <v>16220</v>
      </c>
      <c r="AW1292" s="3" t="s">
        <v>16221</v>
      </c>
      <c r="AX1292" s="3" t="s">
        <v>16221</v>
      </c>
      <c r="AY1292" s="3" t="s">
        <v>16222</v>
      </c>
      <c r="AZ1292" s="3" t="s">
        <v>73</v>
      </c>
      <c r="BC1292" s="3" t="s">
        <v>16223</v>
      </c>
      <c r="BD1292" s="3" t="s">
        <v>16224</v>
      </c>
    </row>
    <row r="1293" spans="1:56" ht="51" customHeight="1" x14ac:dyDescent="0.25">
      <c r="A1293" s="7" t="s">
        <v>58</v>
      </c>
      <c r="B1293" s="2" t="s">
        <v>16225</v>
      </c>
      <c r="C1293" s="2" t="s">
        <v>16226</v>
      </c>
      <c r="D1293" s="2" t="s">
        <v>16227</v>
      </c>
      <c r="F1293" s="3" t="s">
        <v>58</v>
      </c>
      <c r="G1293" s="3" t="s">
        <v>59</v>
      </c>
      <c r="H1293" s="3" t="s">
        <v>58</v>
      </c>
      <c r="I1293" s="3" t="s">
        <v>58</v>
      </c>
      <c r="J1293" s="3" t="s">
        <v>60</v>
      </c>
      <c r="K1293" s="2" t="s">
        <v>16228</v>
      </c>
      <c r="L1293" s="2" t="s">
        <v>16229</v>
      </c>
      <c r="M1293" s="3" t="s">
        <v>1385</v>
      </c>
      <c r="O1293" s="3" t="s">
        <v>63</v>
      </c>
      <c r="P1293" s="3" t="s">
        <v>411</v>
      </c>
      <c r="R1293" s="3" t="s">
        <v>65</v>
      </c>
      <c r="S1293" s="4">
        <v>6</v>
      </c>
      <c r="T1293" s="4">
        <v>6</v>
      </c>
      <c r="U1293" s="5" t="s">
        <v>16230</v>
      </c>
      <c r="V1293" s="5" t="s">
        <v>16230</v>
      </c>
      <c r="W1293" s="5" t="s">
        <v>16218</v>
      </c>
      <c r="X1293" s="5" t="s">
        <v>16218</v>
      </c>
      <c r="Y1293" s="4">
        <v>262</v>
      </c>
      <c r="Z1293" s="4">
        <v>247</v>
      </c>
      <c r="AA1293" s="4">
        <v>316</v>
      </c>
      <c r="AB1293" s="4">
        <v>3</v>
      </c>
      <c r="AC1293" s="4">
        <v>3</v>
      </c>
      <c r="AD1293" s="4">
        <v>8</v>
      </c>
      <c r="AE1293" s="4">
        <v>10</v>
      </c>
      <c r="AF1293" s="4">
        <v>2</v>
      </c>
      <c r="AG1293" s="4">
        <v>4</v>
      </c>
      <c r="AH1293" s="4">
        <v>3</v>
      </c>
      <c r="AI1293" s="4">
        <v>4</v>
      </c>
      <c r="AJ1293" s="4">
        <v>4</v>
      </c>
      <c r="AK1293" s="4">
        <v>4</v>
      </c>
      <c r="AL1293" s="4">
        <v>2</v>
      </c>
      <c r="AM1293" s="4">
        <v>2</v>
      </c>
      <c r="AN1293" s="4">
        <v>0</v>
      </c>
      <c r="AO1293" s="4">
        <v>0</v>
      </c>
      <c r="AP1293" s="3" t="s">
        <v>58</v>
      </c>
      <c r="AQ1293" s="3" t="s">
        <v>58</v>
      </c>
      <c r="AS1293" s="6" t="str">
        <f>HYPERLINK("https://creighton-primo.hosted.exlibrisgroup.com/primo-explore/search?tab=default_tab&amp;search_scope=EVERYTHING&amp;vid=01CRU&amp;lang=en_US&amp;offset=0&amp;query=any,contains,991003442709702656","Catalog Record")</f>
        <v>Catalog Record</v>
      </c>
      <c r="AT1293" s="6" t="str">
        <f>HYPERLINK("http://www.worldcat.org/oclc/978985","WorldCat Record")</f>
        <v>WorldCat Record</v>
      </c>
      <c r="AU1293" s="3" t="s">
        <v>16231</v>
      </c>
      <c r="AV1293" s="3" t="s">
        <v>16232</v>
      </c>
      <c r="AW1293" s="3" t="s">
        <v>16233</v>
      </c>
      <c r="AX1293" s="3" t="s">
        <v>16233</v>
      </c>
      <c r="AY1293" s="3" t="s">
        <v>16234</v>
      </c>
      <c r="AZ1293" s="3" t="s">
        <v>73</v>
      </c>
      <c r="BB1293" s="3" t="s">
        <v>16235</v>
      </c>
      <c r="BC1293" s="3" t="s">
        <v>16236</v>
      </c>
      <c r="BD1293" s="3" t="s">
        <v>16237</v>
      </c>
    </row>
    <row r="1294" spans="1:56" ht="51" customHeight="1" x14ac:dyDescent="0.25">
      <c r="A1294" s="7" t="s">
        <v>58</v>
      </c>
      <c r="B1294" s="2" t="s">
        <v>16238</v>
      </c>
      <c r="C1294" s="2" t="s">
        <v>16239</v>
      </c>
      <c r="D1294" s="2" t="s">
        <v>16240</v>
      </c>
      <c r="F1294" s="3" t="s">
        <v>58</v>
      </c>
      <c r="G1294" s="3" t="s">
        <v>59</v>
      </c>
      <c r="H1294" s="3" t="s">
        <v>58</v>
      </c>
      <c r="I1294" s="3" t="s">
        <v>58</v>
      </c>
      <c r="J1294" s="3" t="s">
        <v>60</v>
      </c>
      <c r="K1294" s="2" t="s">
        <v>16241</v>
      </c>
      <c r="L1294" s="2" t="s">
        <v>16242</v>
      </c>
      <c r="M1294" s="3" t="s">
        <v>1357</v>
      </c>
      <c r="O1294" s="3" t="s">
        <v>63</v>
      </c>
      <c r="P1294" s="3" t="s">
        <v>214</v>
      </c>
      <c r="R1294" s="3" t="s">
        <v>65</v>
      </c>
      <c r="S1294" s="4">
        <v>9</v>
      </c>
      <c r="T1294" s="4">
        <v>9</v>
      </c>
      <c r="U1294" s="5" t="s">
        <v>817</v>
      </c>
      <c r="V1294" s="5" t="s">
        <v>817</v>
      </c>
      <c r="W1294" s="5" t="s">
        <v>14853</v>
      </c>
      <c r="X1294" s="5" t="s">
        <v>14853</v>
      </c>
      <c r="Y1294" s="4">
        <v>843</v>
      </c>
      <c r="Z1294" s="4">
        <v>693</v>
      </c>
      <c r="AA1294" s="4">
        <v>693</v>
      </c>
      <c r="AB1294" s="4">
        <v>4</v>
      </c>
      <c r="AC1294" s="4">
        <v>4</v>
      </c>
      <c r="AD1294" s="4">
        <v>34</v>
      </c>
      <c r="AE1294" s="4">
        <v>34</v>
      </c>
      <c r="AF1294" s="4">
        <v>13</v>
      </c>
      <c r="AG1294" s="4">
        <v>13</v>
      </c>
      <c r="AH1294" s="4">
        <v>9</v>
      </c>
      <c r="AI1294" s="4">
        <v>9</v>
      </c>
      <c r="AJ1294" s="4">
        <v>18</v>
      </c>
      <c r="AK1294" s="4">
        <v>18</v>
      </c>
      <c r="AL1294" s="4">
        <v>3</v>
      </c>
      <c r="AM1294" s="4">
        <v>3</v>
      </c>
      <c r="AN1294" s="4">
        <v>0</v>
      </c>
      <c r="AO1294" s="4">
        <v>0</v>
      </c>
      <c r="AP1294" s="3" t="s">
        <v>58</v>
      </c>
      <c r="AQ1294" s="3" t="s">
        <v>58</v>
      </c>
      <c r="AS1294" s="6" t="str">
        <f>HYPERLINK("https://creighton-primo.hosted.exlibrisgroup.com/primo-explore/search?tab=default_tab&amp;search_scope=EVERYTHING&amp;vid=01CRU&amp;lang=en_US&amp;offset=0&amp;query=any,contains,991000632709702656","Catalog Record")</f>
        <v>Catalog Record</v>
      </c>
      <c r="AT1294" s="6" t="str">
        <f>HYPERLINK("http://www.worldcat.org/oclc/106346","WorldCat Record")</f>
        <v>WorldCat Record</v>
      </c>
      <c r="AU1294" s="3" t="s">
        <v>16243</v>
      </c>
      <c r="AV1294" s="3" t="s">
        <v>16244</v>
      </c>
      <c r="AW1294" s="3" t="s">
        <v>16245</v>
      </c>
      <c r="AX1294" s="3" t="s">
        <v>16245</v>
      </c>
      <c r="AY1294" s="3" t="s">
        <v>16246</v>
      </c>
      <c r="AZ1294" s="3" t="s">
        <v>73</v>
      </c>
      <c r="BB1294" s="3" t="s">
        <v>16247</v>
      </c>
      <c r="BC1294" s="3" t="s">
        <v>16248</v>
      </c>
      <c r="BD1294" s="3" t="s">
        <v>16249</v>
      </c>
    </row>
    <row r="1295" spans="1:56" ht="51" customHeight="1" x14ac:dyDescent="0.25">
      <c r="A1295" s="7" t="s">
        <v>58</v>
      </c>
      <c r="B1295" s="2" t="s">
        <v>16250</v>
      </c>
      <c r="C1295" s="2" t="s">
        <v>16251</v>
      </c>
      <c r="D1295" s="2" t="s">
        <v>16252</v>
      </c>
      <c r="F1295" s="3" t="s">
        <v>58</v>
      </c>
      <c r="G1295" s="3" t="s">
        <v>59</v>
      </c>
      <c r="H1295" s="3" t="s">
        <v>58</v>
      </c>
      <c r="I1295" s="3" t="s">
        <v>58</v>
      </c>
      <c r="J1295" s="3" t="s">
        <v>60</v>
      </c>
      <c r="K1295" s="2" t="s">
        <v>16253</v>
      </c>
      <c r="L1295" s="2" t="s">
        <v>16254</v>
      </c>
      <c r="M1295" s="3" t="s">
        <v>2132</v>
      </c>
      <c r="O1295" s="3" t="s">
        <v>63</v>
      </c>
      <c r="P1295" s="3" t="s">
        <v>354</v>
      </c>
      <c r="R1295" s="3" t="s">
        <v>65</v>
      </c>
      <c r="S1295" s="4">
        <v>7</v>
      </c>
      <c r="T1295" s="4">
        <v>7</v>
      </c>
      <c r="U1295" s="5" t="s">
        <v>3310</v>
      </c>
      <c r="V1295" s="5" t="s">
        <v>3310</v>
      </c>
      <c r="W1295" s="5" t="s">
        <v>16126</v>
      </c>
      <c r="X1295" s="5" t="s">
        <v>16126</v>
      </c>
      <c r="Y1295" s="4">
        <v>819</v>
      </c>
      <c r="Z1295" s="4">
        <v>692</v>
      </c>
      <c r="AA1295" s="4">
        <v>841</v>
      </c>
      <c r="AB1295" s="4">
        <v>7</v>
      </c>
      <c r="AC1295" s="4">
        <v>7</v>
      </c>
      <c r="AD1295" s="4">
        <v>39</v>
      </c>
      <c r="AE1295" s="4">
        <v>42</v>
      </c>
      <c r="AF1295" s="4">
        <v>16</v>
      </c>
      <c r="AG1295" s="4">
        <v>18</v>
      </c>
      <c r="AH1295" s="4">
        <v>8</v>
      </c>
      <c r="AI1295" s="4">
        <v>10</v>
      </c>
      <c r="AJ1295" s="4">
        <v>21</v>
      </c>
      <c r="AK1295" s="4">
        <v>21</v>
      </c>
      <c r="AL1295" s="4">
        <v>6</v>
      </c>
      <c r="AM1295" s="4">
        <v>6</v>
      </c>
      <c r="AN1295" s="4">
        <v>0</v>
      </c>
      <c r="AO1295" s="4">
        <v>0</v>
      </c>
      <c r="AP1295" s="3" t="s">
        <v>58</v>
      </c>
      <c r="AQ1295" s="3" t="s">
        <v>58</v>
      </c>
      <c r="AS1295" s="6" t="str">
        <f>HYPERLINK("https://creighton-primo.hosted.exlibrisgroup.com/primo-explore/search?tab=default_tab&amp;search_scope=EVERYTHING&amp;vid=01CRU&amp;lang=en_US&amp;offset=0&amp;query=any,contains,991002715799702656","Catalog Record")</f>
        <v>Catalog Record</v>
      </c>
      <c r="AT1295" s="6" t="str">
        <f>HYPERLINK("http://www.worldcat.org/oclc/411247","WorldCat Record")</f>
        <v>WorldCat Record</v>
      </c>
      <c r="AU1295" s="3" t="s">
        <v>16255</v>
      </c>
      <c r="AV1295" s="3" t="s">
        <v>16256</v>
      </c>
      <c r="AW1295" s="3" t="s">
        <v>16257</v>
      </c>
      <c r="AX1295" s="3" t="s">
        <v>16257</v>
      </c>
      <c r="AY1295" s="3" t="s">
        <v>16258</v>
      </c>
      <c r="AZ1295" s="3" t="s">
        <v>73</v>
      </c>
      <c r="BC1295" s="3" t="s">
        <v>16259</v>
      </c>
      <c r="BD1295" s="3" t="s">
        <v>16260</v>
      </c>
    </row>
    <row r="1296" spans="1:56" ht="51" customHeight="1" x14ac:dyDescent="0.25">
      <c r="A1296" s="7" t="s">
        <v>58</v>
      </c>
      <c r="B1296" s="2" t="s">
        <v>16261</v>
      </c>
      <c r="C1296" s="2" t="s">
        <v>16262</v>
      </c>
      <c r="D1296" s="2" t="s">
        <v>16263</v>
      </c>
      <c r="F1296" s="3" t="s">
        <v>58</v>
      </c>
      <c r="G1296" s="3" t="s">
        <v>59</v>
      </c>
      <c r="H1296" s="3" t="s">
        <v>58</v>
      </c>
      <c r="I1296" s="3" t="s">
        <v>58</v>
      </c>
      <c r="J1296" s="3" t="s">
        <v>60</v>
      </c>
      <c r="K1296" s="2" t="s">
        <v>16264</v>
      </c>
      <c r="L1296" s="2" t="s">
        <v>16265</v>
      </c>
      <c r="M1296" s="3" t="s">
        <v>382</v>
      </c>
      <c r="O1296" s="3" t="s">
        <v>63</v>
      </c>
      <c r="P1296" s="3" t="s">
        <v>451</v>
      </c>
      <c r="R1296" s="3" t="s">
        <v>65</v>
      </c>
      <c r="S1296" s="4">
        <v>3</v>
      </c>
      <c r="T1296" s="4">
        <v>3</v>
      </c>
      <c r="U1296" s="5" t="s">
        <v>16230</v>
      </c>
      <c r="V1296" s="5" t="s">
        <v>16230</v>
      </c>
      <c r="W1296" s="5" t="s">
        <v>16266</v>
      </c>
      <c r="X1296" s="5" t="s">
        <v>16266</v>
      </c>
      <c r="Y1296" s="4">
        <v>98</v>
      </c>
      <c r="Z1296" s="4">
        <v>82</v>
      </c>
      <c r="AA1296" s="4">
        <v>1449</v>
      </c>
      <c r="AB1296" s="4">
        <v>3</v>
      </c>
      <c r="AC1296" s="4">
        <v>16</v>
      </c>
      <c r="AD1296" s="4">
        <v>4</v>
      </c>
      <c r="AE1296" s="4">
        <v>37</v>
      </c>
      <c r="AF1296" s="4">
        <v>0</v>
      </c>
      <c r="AG1296" s="4">
        <v>11</v>
      </c>
      <c r="AH1296" s="4">
        <v>1</v>
      </c>
      <c r="AI1296" s="4">
        <v>6</v>
      </c>
      <c r="AJ1296" s="4">
        <v>1</v>
      </c>
      <c r="AK1296" s="4">
        <v>10</v>
      </c>
      <c r="AL1296" s="4">
        <v>2</v>
      </c>
      <c r="AM1296" s="4">
        <v>14</v>
      </c>
      <c r="AN1296" s="4">
        <v>0</v>
      </c>
      <c r="AO1296" s="4">
        <v>1</v>
      </c>
      <c r="AP1296" s="3" t="s">
        <v>58</v>
      </c>
      <c r="AQ1296" s="3" t="s">
        <v>58</v>
      </c>
      <c r="AS1296" s="6" t="str">
        <f>HYPERLINK("https://creighton-primo.hosted.exlibrisgroup.com/primo-explore/search?tab=default_tab&amp;search_scope=EVERYTHING&amp;vid=01CRU&amp;lang=en_US&amp;offset=0&amp;query=any,contains,991003687389702656","Catalog Record")</f>
        <v>Catalog Record</v>
      </c>
      <c r="AT1296" s="6" t="str">
        <f>HYPERLINK("http://www.worldcat.org/oclc/40609155","WorldCat Record")</f>
        <v>WorldCat Record</v>
      </c>
      <c r="AU1296" s="3" t="s">
        <v>16267</v>
      </c>
      <c r="AV1296" s="3" t="s">
        <v>16268</v>
      </c>
      <c r="AW1296" s="3" t="s">
        <v>16269</v>
      </c>
      <c r="AX1296" s="3" t="s">
        <v>16269</v>
      </c>
      <c r="AY1296" s="3" t="s">
        <v>16270</v>
      </c>
      <c r="AZ1296" s="3" t="s">
        <v>73</v>
      </c>
      <c r="BB1296" s="3" t="s">
        <v>16271</v>
      </c>
      <c r="BC1296" s="3" t="s">
        <v>16272</v>
      </c>
      <c r="BD1296" s="3" t="s">
        <v>16273</v>
      </c>
    </row>
    <row r="1297" spans="1:56" ht="51" customHeight="1" x14ac:dyDescent="0.25">
      <c r="A1297" s="7" t="s">
        <v>58</v>
      </c>
      <c r="B1297" s="2" t="s">
        <v>16274</v>
      </c>
      <c r="C1297" s="2" t="s">
        <v>16275</v>
      </c>
      <c r="D1297" s="2" t="s">
        <v>16276</v>
      </c>
      <c r="F1297" s="3" t="s">
        <v>58</v>
      </c>
      <c r="G1297" s="3" t="s">
        <v>59</v>
      </c>
      <c r="H1297" s="3" t="s">
        <v>58</v>
      </c>
      <c r="I1297" s="3" t="s">
        <v>58</v>
      </c>
      <c r="J1297" s="3" t="s">
        <v>60</v>
      </c>
      <c r="K1297" s="2" t="s">
        <v>16277</v>
      </c>
      <c r="L1297" s="2" t="s">
        <v>16278</v>
      </c>
      <c r="M1297" s="3" t="s">
        <v>337</v>
      </c>
      <c r="N1297" s="2" t="s">
        <v>338</v>
      </c>
      <c r="O1297" s="3" t="s">
        <v>63</v>
      </c>
      <c r="P1297" s="3" t="s">
        <v>214</v>
      </c>
      <c r="R1297" s="3" t="s">
        <v>65</v>
      </c>
      <c r="S1297" s="4">
        <v>2</v>
      </c>
      <c r="T1297" s="4">
        <v>2</v>
      </c>
      <c r="U1297" s="5" t="s">
        <v>16279</v>
      </c>
      <c r="V1297" s="5" t="s">
        <v>16279</v>
      </c>
      <c r="W1297" s="5" t="s">
        <v>16280</v>
      </c>
      <c r="X1297" s="5" t="s">
        <v>16280</v>
      </c>
      <c r="Y1297" s="4">
        <v>689</v>
      </c>
      <c r="Z1297" s="4">
        <v>653</v>
      </c>
      <c r="AA1297" s="4">
        <v>745</v>
      </c>
      <c r="AB1297" s="4">
        <v>9</v>
      </c>
      <c r="AC1297" s="4">
        <v>10</v>
      </c>
      <c r="AD1297" s="4">
        <v>19</v>
      </c>
      <c r="AE1297" s="4">
        <v>20</v>
      </c>
      <c r="AF1297" s="4">
        <v>5</v>
      </c>
      <c r="AG1297" s="4">
        <v>5</v>
      </c>
      <c r="AH1297" s="4">
        <v>6</v>
      </c>
      <c r="AI1297" s="4">
        <v>6</v>
      </c>
      <c r="AJ1297" s="4">
        <v>8</v>
      </c>
      <c r="AK1297" s="4">
        <v>8</v>
      </c>
      <c r="AL1297" s="4">
        <v>5</v>
      </c>
      <c r="AM1297" s="4">
        <v>6</v>
      </c>
      <c r="AN1297" s="4">
        <v>0</v>
      </c>
      <c r="AO1297" s="4">
        <v>0</v>
      </c>
      <c r="AP1297" s="3" t="s">
        <v>58</v>
      </c>
      <c r="AQ1297" s="3" t="s">
        <v>68</v>
      </c>
      <c r="AR1297" s="6" t="str">
        <f>HYPERLINK("http://catalog.hathitrust.org/Record/004239259","HathiTrust Record")</f>
        <v>HathiTrust Record</v>
      </c>
      <c r="AS1297" s="6" t="str">
        <f>HYPERLINK("https://creighton-primo.hosted.exlibrisgroup.com/primo-explore/search?tab=default_tab&amp;search_scope=EVERYTHING&amp;vid=01CRU&amp;lang=en_US&amp;offset=0&amp;query=any,contains,991003769369702656","Catalog Record")</f>
        <v>Catalog Record</v>
      </c>
      <c r="AT1297" s="6" t="str">
        <f>HYPERLINK("http://www.worldcat.org/oclc/48162972","WorldCat Record")</f>
        <v>WorldCat Record</v>
      </c>
      <c r="AU1297" s="3" t="s">
        <v>16281</v>
      </c>
      <c r="AV1297" s="3" t="s">
        <v>16282</v>
      </c>
      <c r="AW1297" s="3" t="s">
        <v>16283</v>
      </c>
      <c r="AX1297" s="3" t="s">
        <v>16283</v>
      </c>
      <c r="AY1297" s="3" t="s">
        <v>16284</v>
      </c>
      <c r="AZ1297" s="3" t="s">
        <v>73</v>
      </c>
      <c r="BB1297" s="3" t="s">
        <v>16285</v>
      </c>
      <c r="BC1297" s="3" t="s">
        <v>16286</v>
      </c>
      <c r="BD1297" s="3" t="s">
        <v>16287</v>
      </c>
    </row>
    <row r="1298" spans="1:56" ht="51" customHeight="1" x14ac:dyDescent="0.25">
      <c r="A1298" s="7" t="s">
        <v>58</v>
      </c>
      <c r="B1298" s="2" t="s">
        <v>16288</v>
      </c>
      <c r="C1298" s="2" t="s">
        <v>16289</v>
      </c>
      <c r="D1298" s="2" t="s">
        <v>16290</v>
      </c>
      <c r="F1298" s="3" t="s">
        <v>58</v>
      </c>
      <c r="G1298" s="3" t="s">
        <v>59</v>
      </c>
      <c r="H1298" s="3" t="s">
        <v>58</v>
      </c>
      <c r="I1298" s="3" t="s">
        <v>58</v>
      </c>
      <c r="J1298" s="3" t="s">
        <v>60</v>
      </c>
      <c r="K1298" s="2" t="s">
        <v>16291</v>
      </c>
      <c r="L1298" s="2" t="s">
        <v>16292</v>
      </c>
      <c r="M1298" s="3" t="s">
        <v>538</v>
      </c>
      <c r="O1298" s="3" t="s">
        <v>63</v>
      </c>
      <c r="P1298" s="3" t="s">
        <v>1933</v>
      </c>
      <c r="R1298" s="3" t="s">
        <v>65</v>
      </c>
      <c r="S1298" s="4">
        <v>6</v>
      </c>
      <c r="T1298" s="4">
        <v>6</v>
      </c>
      <c r="U1298" s="5" t="s">
        <v>3310</v>
      </c>
      <c r="V1298" s="5" t="s">
        <v>3310</v>
      </c>
      <c r="W1298" s="5" t="s">
        <v>16126</v>
      </c>
      <c r="X1298" s="5" t="s">
        <v>16126</v>
      </c>
      <c r="Y1298" s="4">
        <v>662</v>
      </c>
      <c r="Z1298" s="4">
        <v>593</v>
      </c>
      <c r="AA1298" s="4">
        <v>847</v>
      </c>
      <c r="AB1298" s="4">
        <v>6</v>
      </c>
      <c r="AC1298" s="4">
        <v>8</v>
      </c>
      <c r="AD1298" s="4">
        <v>43</v>
      </c>
      <c r="AE1298" s="4">
        <v>49</v>
      </c>
      <c r="AF1298" s="4">
        <v>15</v>
      </c>
      <c r="AG1298" s="4">
        <v>20</v>
      </c>
      <c r="AH1298" s="4">
        <v>10</v>
      </c>
      <c r="AI1298" s="4">
        <v>10</v>
      </c>
      <c r="AJ1298" s="4">
        <v>21</v>
      </c>
      <c r="AK1298" s="4">
        <v>22</v>
      </c>
      <c r="AL1298" s="4">
        <v>5</v>
      </c>
      <c r="AM1298" s="4">
        <v>6</v>
      </c>
      <c r="AN1298" s="4">
        <v>4</v>
      </c>
      <c r="AO1298" s="4">
        <v>4</v>
      </c>
      <c r="AP1298" s="3" t="s">
        <v>58</v>
      </c>
      <c r="AQ1298" s="3" t="s">
        <v>68</v>
      </c>
      <c r="AR1298" s="6" t="str">
        <f>HYPERLINK("http://catalog.hathitrust.org/Record/001254976","HathiTrust Record")</f>
        <v>HathiTrust Record</v>
      </c>
      <c r="AS1298" s="6" t="str">
        <f>HYPERLINK("https://creighton-primo.hosted.exlibrisgroup.com/primo-explore/search?tab=default_tab&amp;search_scope=EVERYTHING&amp;vid=01CRU&amp;lang=en_US&amp;offset=0&amp;query=any,contains,991005439179702656","Catalog Record")</f>
        <v>Catalog Record</v>
      </c>
      <c r="AT1298" s="6" t="str">
        <f>HYPERLINK("http://www.worldcat.org/oclc/6383","WorldCat Record")</f>
        <v>WorldCat Record</v>
      </c>
      <c r="AU1298" s="3" t="s">
        <v>16293</v>
      </c>
      <c r="AV1298" s="3" t="s">
        <v>16294</v>
      </c>
      <c r="AW1298" s="3" t="s">
        <v>16295</v>
      </c>
      <c r="AX1298" s="3" t="s">
        <v>16295</v>
      </c>
      <c r="AY1298" s="3" t="s">
        <v>16296</v>
      </c>
      <c r="AZ1298" s="3" t="s">
        <v>73</v>
      </c>
      <c r="BC1298" s="3" t="s">
        <v>16297</v>
      </c>
      <c r="BD1298" s="3" t="s">
        <v>16298</v>
      </c>
    </row>
    <row r="1299" spans="1:56" ht="51" customHeight="1" x14ac:dyDescent="0.25">
      <c r="A1299" s="7" t="s">
        <v>58</v>
      </c>
      <c r="B1299" s="2" t="s">
        <v>16299</v>
      </c>
      <c r="C1299" s="2" t="s">
        <v>16300</v>
      </c>
      <c r="D1299" s="2" t="s">
        <v>16301</v>
      </c>
      <c r="F1299" s="3" t="s">
        <v>58</v>
      </c>
      <c r="G1299" s="3" t="s">
        <v>59</v>
      </c>
      <c r="H1299" s="3" t="s">
        <v>58</v>
      </c>
      <c r="I1299" s="3" t="s">
        <v>58</v>
      </c>
      <c r="J1299" s="3" t="s">
        <v>60</v>
      </c>
      <c r="K1299" s="2" t="s">
        <v>16302</v>
      </c>
      <c r="L1299" s="2" t="s">
        <v>16303</v>
      </c>
      <c r="M1299" s="3" t="s">
        <v>249</v>
      </c>
      <c r="O1299" s="3" t="s">
        <v>63</v>
      </c>
      <c r="P1299" s="3" t="s">
        <v>816</v>
      </c>
      <c r="Q1299" s="2" t="s">
        <v>16304</v>
      </c>
      <c r="R1299" s="3" t="s">
        <v>65</v>
      </c>
      <c r="S1299" s="4">
        <v>1</v>
      </c>
      <c r="T1299" s="4">
        <v>1</v>
      </c>
      <c r="U1299" s="5" t="s">
        <v>16305</v>
      </c>
      <c r="V1299" s="5" t="s">
        <v>16305</v>
      </c>
      <c r="W1299" s="5" t="s">
        <v>2034</v>
      </c>
      <c r="X1299" s="5" t="s">
        <v>2034</v>
      </c>
      <c r="Y1299" s="4">
        <v>880</v>
      </c>
      <c r="Z1299" s="4">
        <v>758</v>
      </c>
      <c r="AA1299" s="4">
        <v>886</v>
      </c>
      <c r="AB1299" s="4">
        <v>7</v>
      </c>
      <c r="AC1299" s="4">
        <v>7</v>
      </c>
      <c r="AD1299" s="4">
        <v>36</v>
      </c>
      <c r="AE1299" s="4">
        <v>41</v>
      </c>
      <c r="AF1299" s="4">
        <v>15</v>
      </c>
      <c r="AG1299" s="4">
        <v>16</v>
      </c>
      <c r="AH1299" s="4">
        <v>9</v>
      </c>
      <c r="AI1299" s="4">
        <v>9</v>
      </c>
      <c r="AJ1299" s="4">
        <v>14</v>
      </c>
      <c r="AK1299" s="4">
        <v>19</v>
      </c>
      <c r="AL1299" s="4">
        <v>6</v>
      </c>
      <c r="AM1299" s="4">
        <v>6</v>
      </c>
      <c r="AN1299" s="4">
        <v>0</v>
      </c>
      <c r="AO1299" s="4">
        <v>0</v>
      </c>
      <c r="AP1299" s="3" t="s">
        <v>58</v>
      </c>
      <c r="AQ1299" s="3" t="s">
        <v>68</v>
      </c>
      <c r="AR1299" s="6" t="str">
        <f>HYPERLINK("http://catalog.hathitrust.org/Record/001255001","HathiTrust Record")</f>
        <v>HathiTrust Record</v>
      </c>
      <c r="AS1299" s="6" t="str">
        <f>HYPERLINK("https://creighton-primo.hosted.exlibrisgroup.com/primo-explore/search?tab=default_tab&amp;search_scope=EVERYTHING&amp;vid=01CRU&amp;lang=en_US&amp;offset=0&amp;query=any,contains,991002183899702656","Catalog Record")</f>
        <v>Catalog Record</v>
      </c>
      <c r="AT1299" s="6" t="str">
        <f>HYPERLINK("http://www.worldcat.org/oclc/279619","WorldCat Record")</f>
        <v>WorldCat Record</v>
      </c>
      <c r="AU1299" s="3" t="s">
        <v>16306</v>
      </c>
      <c r="AV1299" s="3" t="s">
        <v>16307</v>
      </c>
      <c r="AW1299" s="3" t="s">
        <v>16308</v>
      </c>
      <c r="AX1299" s="3" t="s">
        <v>16308</v>
      </c>
      <c r="AY1299" s="3" t="s">
        <v>16309</v>
      </c>
      <c r="AZ1299" s="3" t="s">
        <v>73</v>
      </c>
      <c r="BC1299" s="3" t="s">
        <v>16310</v>
      </c>
      <c r="BD1299" s="3" t="s">
        <v>16311</v>
      </c>
    </row>
    <row r="1300" spans="1:56" ht="51" customHeight="1" x14ac:dyDescent="0.25">
      <c r="A1300" s="7" t="s">
        <v>58</v>
      </c>
      <c r="B1300" s="2" t="s">
        <v>16312</v>
      </c>
      <c r="C1300" s="2" t="s">
        <v>16313</v>
      </c>
      <c r="D1300" s="2" t="s">
        <v>16314</v>
      </c>
      <c r="F1300" s="3" t="s">
        <v>58</v>
      </c>
      <c r="G1300" s="3" t="s">
        <v>59</v>
      </c>
      <c r="H1300" s="3" t="s">
        <v>58</v>
      </c>
      <c r="I1300" s="3" t="s">
        <v>58</v>
      </c>
      <c r="J1300" s="3" t="s">
        <v>60</v>
      </c>
      <c r="L1300" s="2" t="s">
        <v>16315</v>
      </c>
      <c r="M1300" s="3" t="s">
        <v>261</v>
      </c>
      <c r="O1300" s="3" t="s">
        <v>63</v>
      </c>
      <c r="P1300" s="3" t="s">
        <v>16098</v>
      </c>
      <c r="R1300" s="3" t="s">
        <v>65</v>
      </c>
      <c r="S1300" s="4">
        <v>1</v>
      </c>
      <c r="T1300" s="4">
        <v>1</v>
      </c>
      <c r="U1300" s="5" t="s">
        <v>16316</v>
      </c>
      <c r="V1300" s="5" t="s">
        <v>16316</v>
      </c>
      <c r="W1300" s="5" t="s">
        <v>11927</v>
      </c>
      <c r="X1300" s="5" t="s">
        <v>11927</v>
      </c>
      <c r="Y1300" s="4">
        <v>453</v>
      </c>
      <c r="Z1300" s="4">
        <v>328</v>
      </c>
      <c r="AA1300" s="4">
        <v>330</v>
      </c>
      <c r="AB1300" s="4">
        <v>3</v>
      </c>
      <c r="AC1300" s="4">
        <v>3</v>
      </c>
      <c r="AD1300" s="4">
        <v>16</v>
      </c>
      <c r="AE1300" s="4">
        <v>16</v>
      </c>
      <c r="AF1300" s="4">
        <v>4</v>
      </c>
      <c r="AG1300" s="4">
        <v>4</v>
      </c>
      <c r="AH1300" s="4">
        <v>7</v>
      </c>
      <c r="AI1300" s="4">
        <v>7</v>
      </c>
      <c r="AJ1300" s="4">
        <v>7</v>
      </c>
      <c r="AK1300" s="4">
        <v>7</v>
      </c>
      <c r="AL1300" s="4">
        <v>2</v>
      </c>
      <c r="AM1300" s="4">
        <v>2</v>
      </c>
      <c r="AN1300" s="4">
        <v>0</v>
      </c>
      <c r="AO1300" s="4">
        <v>0</v>
      </c>
      <c r="AP1300" s="3" t="s">
        <v>58</v>
      </c>
      <c r="AQ1300" s="3" t="s">
        <v>68</v>
      </c>
      <c r="AR1300" s="6" t="str">
        <f>HYPERLINK("http://catalog.hathitrust.org/Record/000026224","HathiTrust Record")</f>
        <v>HathiTrust Record</v>
      </c>
      <c r="AS1300" s="6" t="str">
        <f>HYPERLINK("https://creighton-primo.hosted.exlibrisgroup.com/primo-explore/search?tab=default_tab&amp;search_scope=EVERYTHING&amp;vid=01CRU&amp;lang=en_US&amp;offset=0&amp;query=any,contains,991003818649702656","Catalog Record")</f>
        <v>Catalog Record</v>
      </c>
      <c r="AT1300" s="6" t="str">
        <f>HYPERLINK("http://www.worldcat.org/oclc/1551953","WorldCat Record")</f>
        <v>WorldCat Record</v>
      </c>
      <c r="AU1300" s="3" t="s">
        <v>16317</v>
      </c>
      <c r="AV1300" s="3" t="s">
        <v>16318</v>
      </c>
      <c r="AW1300" s="3" t="s">
        <v>16319</v>
      </c>
      <c r="AX1300" s="3" t="s">
        <v>16319</v>
      </c>
      <c r="AY1300" s="3" t="s">
        <v>16320</v>
      </c>
      <c r="AZ1300" s="3" t="s">
        <v>73</v>
      </c>
      <c r="BB1300" s="3" t="s">
        <v>16321</v>
      </c>
      <c r="BC1300" s="3" t="s">
        <v>16322</v>
      </c>
      <c r="BD1300" s="3" t="s">
        <v>16323</v>
      </c>
    </row>
    <row r="1301" spans="1:56" ht="51" customHeight="1" x14ac:dyDescent="0.25">
      <c r="A1301" s="7" t="s">
        <v>58</v>
      </c>
      <c r="B1301" s="2" t="s">
        <v>16324</v>
      </c>
      <c r="C1301" s="2" t="s">
        <v>16325</v>
      </c>
      <c r="D1301" s="2" t="s">
        <v>16326</v>
      </c>
      <c r="F1301" s="3" t="s">
        <v>58</v>
      </c>
      <c r="G1301" s="3" t="s">
        <v>59</v>
      </c>
      <c r="H1301" s="3" t="s">
        <v>58</v>
      </c>
      <c r="I1301" s="3" t="s">
        <v>58</v>
      </c>
      <c r="J1301" s="3" t="s">
        <v>60</v>
      </c>
      <c r="K1301" s="2" t="s">
        <v>16327</v>
      </c>
      <c r="L1301" s="2" t="s">
        <v>16328</v>
      </c>
      <c r="M1301" s="3" t="s">
        <v>1385</v>
      </c>
      <c r="O1301" s="3" t="s">
        <v>63</v>
      </c>
      <c r="P1301" s="3" t="s">
        <v>16098</v>
      </c>
      <c r="R1301" s="3" t="s">
        <v>65</v>
      </c>
      <c r="S1301" s="4">
        <v>6</v>
      </c>
      <c r="T1301" s="4">
        <v>6</v>
      </c>
      <c r="U1301" s="5" t="s">
        <v>16329</v>
      </c>
      <c r="V1301" s="5" t="s">
        <v>16329</v>
      </c>
      <c r="W1301" s="5" t="s">
        <v>11927</v>
      </c>
      <c r="X1301" s="5" t="s">
        <v>11927</v>
      </c>
      <c r="Y1301" s="4">
        <v>563</v>
      </c>
      <c r="Z1301" s="4">
        <v>391</v>
      </c>
      <c r="AA1301" s="4">
        <v>393</v>
      </c>
      <c r="AB1301" s="4">
        <v>3</v>
      </c>
      <c r="AC1301" s="4">
        <v>3</v>
      </c>
      <c r="AD1301" s="4">
        <v>19</v>
      </c>
      <c r="AE1301" s="4">
        <v>19</v>
      </c>
      <c r="AF1301" s="4">
        <v>5</v>
      </c>
      <c r="AG1301" s="4">
        <v>5</v>
      </c>
      <c r="AH1301" s="4">
        <v>9</v>
      </c>
      <c r="AI1301" s="4">
        <v>9</v>
      </c>
      <c r="AJ1301" s="4">
        <v>10</v>
      </c>
      <c r="AK1301" s="4">
        <v>10</v>
      </c>
      <c r="AL1301" s="4">
        <v>2</v>
      </c>
      <c r="AM1301" s="4">
        <v>2</v>
      </c>
      <c r="AN1301" s="4">
        <v>0</v>
      </c>
      <c r="AO1301" s="4">
        <v>0</v>
      </c>
      <c r="AP1301" s="3" t="s">
        <v>58</v>
      </c>
      <c r="AQ1301" s="3" t="s">
        <v>68</v>
      </c>
      <c r="AR1301" s="6" t="str">
        <f>HYPERLINK("http://catalog.hathitrust.org/Record/000017566","HathiTrust Record")</f>
        <v>HathiTrust Record</v>
      </c>
      <c r="AS1301" s="6" t="str">
        <f>HYPERLINK("https://creighton-primo.hosted.exlibrisgroup.com/primo-explore/search?tab=default_tab&amp;search_scope=EVERYTHING&amp;vid=01CRU&amp;lang=en_US&amp;offset=0&amp;query=any,contains,991003617299702656","Catalog Record")</f>
        <v>Catalog Record</v>
      </c>
      <c r="AT1301" s="6" t="str">
        <f>HYPERLINK("http://www.worldcat.org/oclc/1202638","WorldCat Record")</f>
        <v>WorldCat Record</v>
      </c>
      <c r="AU1301" s="3" t="s">
        <v>16330</v>
      </c>
      <c r="AV1301" s="3" t="s">
        <v>16331</v>
      </c>
      <c r="AW1301" s="3" t="s">
        <v>16332</v>
      </c>
      <c r="AX1301" s="3" t="s">
        <v>16332</v>
      </c>
      <c r="AY1301" s="3" t="s">
        <v>16333</v>
      </c>
      <c r="AZ1301" s="3" t="s">
        <v>73</v>
      </c>
      <c r="BB1301" s="3" t="s">
        <v>16334</v>
      </c>
      <c r="BC1301" s="3" t="s">
        <v>16335</v>
      </c>
      <c r="BD1301" s="3" t="s">
        <v>16336</v>
      </c>
    </row>
    <row r="1302" spans="1:56" ht="51" customHeight="1" x14ac:dyDescent="0.25">
      <c r="A1302" s="7" t="s">
        <v>58</v>
      </c>
      <c r="B1302" s="2" t="s">
        <v>16337</v>
      </c>
      <c r="C1302" s="2" t="s">
        <v>16338</v>
      </c>
      <c r="D1302" s="2" t="s">
        <v>16339</v>
      </c>
      <c r="F1302" s="3" t="s">
        <v>58</v>
      </c>
      <c r="G1302" s="3" t="s">
        <v>59</v>
      </c>
      <c r="H1302" s="3" t="s">
        <v>58</v>
      </c>
      <c r="I1302" s="3" t="s">
        <v>58</v>
      </c>
      <c r="J1302" s="3" t="s">
        <v>60</v>
      </c>
      <c r="K1302" s="2" t="s">
        <v>16137</v>
      </c>
      <c r="L1302" s="2" t="s">
        <v>16340</v>
      </c>
      <c r="M1302" s="3" t="s">
        <v>16341</v>
      </c>
      <c r="O1302" s="3" t="s">
        <v>63</v>
      </c>
      <c r="P1302" s="3" t="s">
        <v>584</v>
      </c>
      <c r="R1302" s="3" t="s">
        <v>65</v>
      </c>
      <c r="S1302" s="4">
        <v>2</v>
      </c>
      <c r="T1302" s="4">
        <v>2</v>
      </c>
      <c r="U1302" s="5" t="s">
        <v>3917</v>
      </c>
      <c r="V1302" s="5" t="s">
        <v>3917</v>
      </c>
      <c r="W1302" s="5" t="s">
        <v>11927</v>
      </c>
      <c r="X1302" s="5" t="s">
        <v>11927</v>
      </c>
      <c r="Y1302" s="4">
        <v>168</v>
      </c>
      <c r="Z1302" s="4">
        <v>121</v>
      </c>
      <c r="AA1302" s="4">
        <v>178</v>
      </c>
      <c r="AB1302" s="4">
        <v>3</v>
      </c>
      <c r="AC1302" s="4">
        <v>4</v>
      </c>
      <c r="AD1302" s="4">
        <v>6</v>
      </c>
      <c r="AE1302" s="4">
        <v>9</v>
      </c>
      <c r="AF1302" s="4">
        <v>1</v>
      </c>
      <c r="AG1302" s="4">
        <v>2</v>
      </c>
      <c r="AH1302" s="4">
        <v>1</v>
      </c>
      <c r="AI1302" s="4">
        <v>2</v>
      </c>
      <c r="AJ1302" s="4">
        <v>3</v>
      </c>
      <c r="AK1302" s="4">
        <v>4</v>
      </c>
      <c r="AL1302" s="4">
        <v>2</v>
      </c>
      <c r="AM1302" s="4">
        <v>3</v>
      </c>
      <c r="AN1302" s="4">
        <v>0</v>
      </c>
      <c r="AO1302" s="4">
        <v>0</v>
      </c>
      <c r="AP1302" s="3" t="s">
        <v>68</v>
      </c>
      <c r="AQ1302" s="3" t="s">
        <v>58</v>
      </c>
      <c r="AR1302" s="6" t="str">
        <f>HYPERLINK("http://catalog.hathitrust.org/Record/001255021","HathiTrust Record")</f>
        <v>HathiTrust Record</v>
      </c>
      <c r="AS1302" s="6" t="str">
        <f>HYPERLINK("https://creighton-primo.hosted.exlibrisgroup.com/primo-explore/search?tab=default_tab&amp;search_scope=EVERYTHING&amp;vid=01CRU&amp;lang=en_US&amp;offset=0&amp;query=any,contains,991004136509702656","Catalog Record")</f>
        <v>Catalog Record</v>
      </c>
      <c r="AT1302" s="6" t="str">
        <f>HYPERLINK("http://www.worldcat.org/oclc/2488136","WorldCat Record")</f>
        <v>WorldCat Record</v>
      </c>
      <c r="AU1302" s="3" t="s">
        <v>16342</v>
      </c>
      <c r="AV1302" s="3" t="s">
        <v>16343</v>
      </c>
      <c r="AW1302" s="3" t="s">
        <v>16344</v>
      </c>
      <c r="AX1302" s="3" t="s">
        <v>16344</v>
      </c>
      <c r="AY1302" s="3" t="s">
        <v>16345</v>
      </c>
      <c r="AZ1302" s="3" t="s">
        <v>73</v>
      </c>
      <c r="BC1302" s="3" t="s">
        <v>16346</v>
      </c>
      <c r="BD1302" s="3" t="s">
        <v>16347</v>
      </c>
    </row>
    <row r="1303" spans="1:56" ht="51" customHeight="1" x14ac:dyDescent="0.25">
      <c r="A1303" s="7" t="s">
        <v>58</v>
      </c>
      <c r="B1303" s="2" t="s">
        <v>16348</v>
      </c>
      <c r="C1303" s="2" t="s">
        <v>16349</v>
      </c>
      <c r="D1303" s="2" t="s">
        <v>16350</v>
      </c>
      <c r="E1303" s="3" t="s">
        <v>210</v>
      </c>
      <c r="F1303" s="3" t="s">
        <v>68</v>
      </c>
      <c r="G1303" s="3" t="s">
        <v>59</v>
      </c>
      <c r="H1303" s="3" t="s">
        <v>58</v>
      </c>
      <c r="I1303" s="3" t="s">
        <v>58</v>
      </c>
      <c r="J1303" s="3" t="s">
        <v>60</v>
      </c>
      <c r="K1303" s="2" t="s">
        <v>16137</v>
      </c>
      <c r="L1303" s="2" t="s">
        <v>16351</v>
      </c>
      <c r="M1303" s="3" t="s">
        <v>16164</v>
      </c>
      <c r="O1303" s="3" t="s">
        <v>63</v>
      </c>
      <c r="P1303" s="3" t="s">
        <v>214</v>
      </c>
      <c r="R1303" s="3" t="s">
        <v>65</v>
      </c>
      <c r="S1303" s="4">
        <v>2</v>
      </c>
      <c r="T1303" s="4">
        <v>4</v>
      </c>
      <c r="U1303" s="5" t="s">
        <v>3917</v>
      </c>
      <c r="V1303" s="5" t="s">
        <v>3917</v>
      </c>
      <c r="W1303" s="5" t="s">
        <v>2034</v>
      </c>
      <c r="X1303" s="5" t="s">
        <v>2034</v>
      </c>
      <c r="Y1303" s="4">
        <v>268</v>
      </c>
      <c r="Z1303" s="4">
        <v>219</v>
      </c>
      <c r="AA1303" s="4">
        <v>323</v>
      </c>
      <c r="AB1303" s="4">
        <v>2</v>
      </c>
      <c r="AC1303" s="4">
        <v>5</v>
      </c>
      <c r="AD1303" s="4">
        <v>7</v>
      </c>
      <c r="AE1303" s="4">
        <v>16</v>
      </c>
      <c r="AF1303" s="4">
        <v>3</v>
      </c>
      <c r="AG1303" s="4">
        <v>4</v>
      </c>
      <c r="AH1303" s="4">
        <v>2</v>
      </c>
      <c r="AI1303" s="4">
        <v>4</v>
      </c>
      <c r="AJ1303" s="4">
        <v>3</v>
      </c>
      <c r="AK1303" s="4">
        <v>7</v>
      </c>
      <c r="AL1303" s="4">
        <v>1</v>
      </c>
      <c r="AM1303" s="4">
        <v>3</v>
      </c>
      <c r="AN1303" s="4">
        <v>0</v>
      </c>
      <c r="AO1303" s="4">
        <v>2</v>
      </c>
      <c r="AP1303" s="3" t="s">
        <v>68</v>
      </c>
      <c r="AQ1303" s="3" t="s">
        <v>58</v>
      </c>
      <c r="AR1303" s="6" t="str">
        <f>HYPERLINK("http://catalog.hathitrust.org/Record/000448816","HathiTrust Record")</f>
        <v>HathiTrust Record</v>
      </c>
      <c r="AS1303" s="6" t="str">
        <f>HYPERLINK("https://creighton-primo.hosted.exlibrisgroup.com/primo-explore/search?tab=default_tab&amp;search_scope=EVERYTHING&amp;vid=01CRU&amp;lang=en_US&amp;offset=0&amp;query=any,contains,991003695859702656","Catalog Record")</f>
        <v>Catalog Record</v>
      </c>
      <c r="AT1303" s="6" t="str">
        <f>HYPERLINK("http://www.worldcat.org/oclc/1328182","WorldCat Record")</f>
        <v>WorldCat Record</v>
      </c>
      <c r="AU1303" s="3" t="s">
        <v>16352</v>
      </c>
      <c r="AV1303" s="3" t="s">
        <v>16353</v>
      </c>
      <c r="AW1303" s="3" t="s">
        <v>16354</v>
      </c>
      <c r="AX1303" s="3" t="s">
        <v>16354</v>
      </c>
      <c r="AY1303" s="3" t="s">
        <v>16355</v>
      </c>
      <c r="AZ1303" s="3" t="s">
        <v>73</v>
      </c>
      <c r="BC1303" s="3" t="s">
        <v>16356</v>
      </c>
      <c r="BD1303" s="3" t="s">
        <v>16357</v>
      </c>
    </row>
    <row r="1304" spans="1:56" ht="51" customHeight="1" x14ac:dyDescent="0.25">
      <c r="A1304" s="7" t="s">
        <v>58</v>
      </c>
      <c r="B1304" s="2" t="s">
        <v>16348</v>
      </c>
      <c r="C1304" s="2" t="s">
        <v>16349</v>
      </c>
      <c r="D1304" s="2" t="s">
        <v>16350</v>
      </c>
      <c r="E1304" s="3" t="s">
        <v>223</v>
      </c>
      <c r="F1304" s="3" t="s">
        <v>68</v>
      </c>
      <c r="G1304" s="3" t="s">
        <v>59</v>
      </c>
      <c r="H1304" s="3" t="s">
        <v>58</v>
      </c>
      <c r="I1304" s="3" t="s">
        <v>58</v>
      </c>
      <c r="J1304" s="3" t="s">
        <v>60</v>
      </c>
      <c r="K1304" s="2" t="s">
        <v>16137</v>
      </c>
      <c r="L1304" s="2" t="s">
        <v>16351</v>
      </c>
      <c r="M1304" s="3" t="s">
        <v>16164</v>
      </c>
      <c r="O1304" s="3" t="s">
        <v>63</v>
      </c>
      <c r="P1304" s="3" t="s">
        <v>214</v>
      </c>
      <c r="R1304" s="3" t="s">
        <v>65</v>
      </c>
      <c r="S1304" s="4">
        <v>2</v>
      </c>
      <c r="T1304" s="4">
        <v>4</v>
      </c>
      <c r="U1304" s="5" t="s">
        <v>3917</v>
      </c>
      <c r="V1304" s="5" t="s">
        <v>3917</v>
      </c>
      <c r="W1304" s="5" t="s">
        <v>2034</v>
      </c>
      <c r="X1304" s="5" t="s">
        <v>2034</v>
      </c>
      <c r="Y1304" s="4">
        <v>268</v>
      </c>
      <c r="Z1304" s="4">
        <v>219</v>
      </c>
      <c r="AA1304" s="4">
        <v>323</v>
      </c>
      <c r="AB1304" s="4">
        <v>2</v>
      </c>
      <c r="AC1304" s="4">
        <v>5</v>
      </c>
      <c r="AD1304" s="4">
        <v>7</v>
      </c>
      <c r="AE1304" s="4">
        <v>16</v>
      </c>
      <c r="AF1304" s="4">
        <v>3</v>
      </c>
      <c r="AG1304" s="4">
        <v>4</v>
      </c>
      <c r="AH1304" s="4">
        <v>2</v>
      </c>
      <c r="AI1304" s="4">
        <v>4</v>
      </c>
      <c r="AJ1304" s="4">
        <v>3</v>
      </c>
      <c r="AK1304" s="4">
        <v>7</v>
      </c>
      <c r="AL1304" s="4">
        <v>1</v>
      </c>
      <c r="AM1304" s="4">
        <v>3</v>
      </c>
      <c r="AN1304" s="4">
        <v>0</v>
      </c>
      <c r="AO1304" s="4">
        <v>2</v>
      </c>
      <c r="AP1304" s="3" t="s">
        <v>68</v>
      </c>
      <c r="AQ1304" s="3" t="s">
        <v>58</v>
      </c>
      <c r="AR1304" s="6" t="str">
        <f>HYPERLINK("http://catalog.hathitrust.org/Record/000448816","HathiTrust Record")</f>
        <v>HathiTrust Record</v>
      </c>
      <c r="AS1304" s="6" t="str">
        <f>HYPERLINK("https://creighton-primo.hosted.exlibrisgroup.com/primo-explore/search?tab=default_tab&amp;search_scope=EVERYTHING&amp;vid=01CRU&amp;lang=en_US&amp;offset=0&amp;query=any,contains,991003695859702656","Catalog Record")</f>
        <v>Catalog Record</v>
      </c>
      <c r="AT1304" s="6" t="str">
        <f>HYPERLINK("http://www.worldcat.org/oclc/1328182","WorldCat Record")</f>
        <v>WorldCat Record</v>
      </c>
      <c r="AU1304" s="3" t="s">
        <v>16352</v>
      </c>
      <c r="AV1304" s="3" t="s">
        <v>16353</v>
      </c>
      <c r="AW1304" s="3" t="s">
        <v>16354</v>
      </c>
      <c r="AX1304" s="3" t="s">
        <v>16354</v>
      </c>
      <c r="AY1304" s="3" t="s">
        <v>16355</v>
      </c>
      <c r="AZ1304" s="3" t="s">
        <v>73</v>
      </c>
      <c r="BC1304" s="3" t="s">
        <v>16358</v>
      </c>
      <c r="BD1304" s="3" t="s">
        <v>16359</v>
      </c>
    </row>
    <row r="1305" spans="1:56" ht="51" customHeight="1" x14ac:dyDescent="0.25">
      <c r="A1305" s="7" t="s">
        <v>58</v>
      </c>
      <c r="B1305" s="2" t="s">
        <v>16360</v>
      </c>
      <c r="C1305" s="2" t="s">
        <v>16361</v>
      </c>
      <c r="D1305" s="2" t="s">
        <v>16362</v>
      </c>
      <c r="F1305" s="3" t="s">
        <v>58</v>
      </c>
      <c r="G1305" s="3" t="s">
        <v>59</v>
      </c>
      <c r="H1305" s="3" t="s">
        <v>58</v>
      </c>
      <c r="I1305" s="3" t="s">
        <v>58</v>
      </c>
      <c r="J1305" s="3" t="s">
        <v>60</v>
      </c>
      <c r="K1305" s="2" t="s">
        <v>16137</v>
      </c>
      <c r="L1305" s="2" t="s">
        <v>16363</v>
      </c>
      <c r="M1305" s="3" t="s">
        <v>16364</v>
      </c>
      <c r="O1305" s="3" t="s">
        <v>63</v>
      </c>
      <c r="P1305" s="3" t="s">
        <v>571</v>
      </c>
      <c r="R1305" s="3" t="s">
        <v>65</v>
      </c>
      <c r="S1305" s="4">
        <v>4</v>
      </c>
      <c r="T1305" s="4">
        <v>4</v>
      </c>
      <c r="U1305" s="5" t="s">
        <v>3917</v>
      </c>
      <c r="V1305" s="5" t="s">
        <v>3917</v>
      </c>
      <c r="W1305" s="5" t="s">
        <v>2034</v>
      </c>
      <c r="X1305" s="5" t="s">
        <v>2034</v>
      </c>
      <c r="Y1305" s="4">
        <v>220</v>
      </c>
      <c r="Z1305" s="4">
        <v>177</v>
      </c>
      <c r="AA1305" s="4">
        <v>184</v>
      </c>
      <c r="AB1305" s="4">
        <v>2</v>
      </c>
      <c r="AC1305" s="4">
        <v>2</v>
      </c>
      <c r="AD1305" s="4">
        <v>6</v>
      </c>
      <c r="AE1305" s="4">
        <v>6</v>
      </c>
      <c r="AF1305" s="4">
        <v>3</v>
      </c>
      <c r="AG1305" s="4">
        <v>3</v>
      </c>
      <c r="AH1305" s="4">
        <v>1</v>
      </c>
      <c r="AI1305" s="4">
        <v>1</v>
      </c>
      <c r="AJ1305" s="4">
        <v>3</v>
      </c>
      <c r="AK1305" s="4">
        <v>3</v>
      </c>
      <c r="AL1305" s="4">
        <v>1</v>
      </c>
      <c r="AM1305" s="4">
        <v>1</v>
      </c>
      <c r="AN1305" s="4">
        <v>0</v>
      </c>
      <c r="AO1305" s="4">
        <v>0</v>
      </c>
      <c r="AP1305" s="3" t="s">
        <v>68</v>
      </c>
      <c r="AQ1305" s="3" t="s">
        <v>58</v>
      </c>
      <c r="AR1305" s="6" t="str">
        <f>HYPERLINK("http://catalog.hathitrust.org/Record/000321090","HathiTrust Record")</f>
        <v>HathiTrust Record</v>
      </c>
      <c r="AS1305" s="6" t="str">
        <f>HYPERLINK("https://creighton-primo.hosted.exlibrisgroup.com/primo-explore/search?tab=default_tab&amp;search_scope=EVERYTHING&amp;vid=01CRU&amp;lang=en_US&amp;offset=0&amp;query=any,contains,991003847119702656","Catalog Record")</f>
        <v>Catalog Record</v>
      </c>
      <c r="AT1305" s="6" t="str">
        <f>HYPERLINK("http://www.worldcat.org/oclc/1633041","WorldCat Record")</f>
        <v>WorldCat Record</v>
      </c>
      <c r="AU1305" s="3" t="s">
        <v>16365</v>
      </c>
      <c r="AV1305" s="3" t="s">
        <v>16366</v>
      </c>
      <c r="AW1305" s="3" t="s">
        <v>16367</v>
      </c>
      <c r="AX1305" s="3" t="s">
        <v>16367</v>
      </c>
      <c r="AY1305" s="3" t="s">
        <v>16368</v>
      </c>
      <c r="AZ1305" s="3" t="s">
        <v>73</v>
      </c>
      <c r="BC1305" s="3" t="s">
        <v>16369</v>
      </c>
      <c r="BD1305" s="3" t="s">
        <v>16370</v>
      </c>
    </row>
    <row r="1306" spans="1:56" ht="51" customHeight="1" x14ac:dyDescent="0.25">
      <c r="A1306" s="7" t="s">
        <v>58</v>
      </c>
      <c r="B1306" s="2" t="s">
        <v>16371</v>
      </c>
      <c r="C1306" s="2" t="s">
        <v>16372</v>
      </c>
      <c r="D1306" s="2" t="s">
        <v>16373</v>
      </c>
      <c r="F1306" s="3" t="s">
        <v>58</v>
      </c>
      <c r="G1306" s="3" t="s">
        <v>59</v>
      </c>
      <c r="H1306" s="3" t="s">
        <v>58</v>
      </c>
      <c r="I1306" s="3" t="s">
        <v>58</v>
      </c>
      <c r="J1306" s="3" t="s">
        <v>60</v>
      </c>
      <c r="K1306" s="2" t="s">
        <v>16137</v>
      </c>
      <c r="L1306" s="2" t="s">
        <v>16374</v>
      </c>
      <c r="M1306" s="3" t="s">
        <v>16375</v>
      </c>
      <c r="O1306" s="3" t="s">
        <v>63</v>
      </c>
      <c r="P1306" s="3" t="s">
        <v>5757</v>
      </c>
      <c r="R1306" s="3" t="s">
        <v>65</v>
      </c>
      <c r="S1306" s="4">
        <v>3</v>
      </c>
      <c r="T1306" s="4">
        <v>3</v>
      </c>
      <c r="U1306" s="5" t="s">
        <v>16376</v>
      </c>
      <c r="V1306" s="5" t="s">
        <v>16376</v>
      </c>
      <c r="W1306" s="5" t="s">
        <v>14853</v>
      </c>
      <c r="X1306" s="5" t="s">
        <v>14853</v>
      </c>
      <c r="Y1306" s="4">
        <v>219</v>
      </c>
      <c r="Z1306" s="4">
        <v>196</v>
      </c>
      <c r="AA1306" s="4">
        <v>319</v>
      </c>
      <c r="AB1306" s="4">
        <v>3</v>
      </c>
      <c r="AC1306" s="4">
        <v>5</v>
      </c>
      <c r="AD1306" s="4">
        <v>10</v>
      </c>
      <c r="AE1306" s="4">
        <v>14</v>
      </c>
      <c r="AF1306" s="4">
        <v>1</v>
      </c>
      <c r="AG1306" s="4">
        <v>1</v>
      </c>
      <c r="AH1306" s="4">
        <v>3</v>
      </c>
      <c r="AI1306" s="4">
        <v>4</v>
      </c>
      <c r="AJ1306" s="4">
        <v>6</v>
      </c>
      <c r="AK1306" s="4">
        <v>6</v>
      </c>
      <c r="AL1306" s="4">
        <v>2</v>
      </c>
      <c r="AM1306" s="4">
        <v>3</v>
      </c>
      <c r="AN1306" s="4">
        <v>0</v>
      </c>
      <c r="AO1306" s="4">
        <v>2</v>
      </c>
      <c r="AP1306" s="3" t="s">
        <v>68</v>
      </c>
      <c r="AQ1306" s="3" t="s">
        <v>58</v>
      </c>
      <c r="AR1306" s="6" t="str">
        <f>HYPERLINK("http://catalog.hathitrust.org/Record/001255022","HathiTrust Record")</f>
        <v>HathiTrust Record</v>
      </c>
      <c r="AS1306" s="6" t="str">
        <f>HYPERLINK("https://creighton-primo.hosted.exlibrisgroup.com/primo-explore/search?tab=default_tab&amp;search_scope=EVERYTHING&amp;vid=01CRU&amp;lang=en_US&amp;offset=0&amp;query=any,contains,991002420989702656","Catalog Record")</f>
        <v>Catalog Record</v>
      </c>
      <c r="AT1306" s="6" t="str">
        <f>HYPERLINK("http://www.worldcat.org/oclc/342773","WorldCat Record")</f>
        <v>WorldCat Record</v>
      </c>
      <c r="AU1306" s="3" t="s">
        <v>16377</v>
      </c>
      <c r="AV1306" s="3" t="s">
        <v>16378</v>
      </c>
      <c r="AW1306" s="3" t="s">
        <v>16379</v>
      </c>
      <c r="AX1306" s="3" t="s">
        <v>16379</v>
      </c>
      <c r="AY1306" s="3" t="s">
        <v>16380</v>
      </c>
      <c r="AZ1306" s="3" t="s">
        <v>73</v>
      </c>
      <c r="BC1306" s="3" t="s">
        <v>16381</v>
      </c>
      <c r="BD1306" s="3" t="s">
        <v>16382</v>
      </c>
    </row>
    <row r="1307" spans="1:56" ht="51" customHeight="1" x14ac:dyDescent="0.25">
      <c r="A1307" s="7" t="s">
        <v>58</v>
      </c>
      <c r="B1307" s="2" t="s">
        <v>16383</v>
      </c>
      <c r="C1307" s="2" t="s">
        <v>16384</v>
      </c>
      <c r="D1307" s="2" t="s">
        <v>16385</v>
      </c>
      <c r="F1307" s="3" t="s">
        <v>58</v>
      </c>
      <c r="G1307" s="3" t="s">
        <v>59</v>
      </c>
      <c r="H1307" s="3" t="s">
        <v>58</v>
      </c>
      <c r="I1307" s="3" t="s">
        <v>58</v>
      </c>
      <c r="J1307" s="3" t="s">
        <v>60</v>
      </c>
      <c r="K1307" s="2" t="s">
        <v>15952</v>
      </c>
      <c r="L1307" s="2" t="s">
        <v>16386</v>
      </c>
      <c r="M1307" s="3" t="s">
        <v>1385</v>
      </c>
      <c r="O1307" s="3" t="s">
        <v>63</v>
      </c>
      <c r="P1307" s="3" t="s">
        <v>1917</v>
      </c>
      <c r="R1307" s="3" t="s">
        <v>65</v>
      </c>
      <c r="S1307" s="4">
        <v>6</v>
      </c>
      <c r="T1307" s="4">
        <v>6</v>
      </c>
      <c r="U1307" s="5" t="s">
        <v>7792</v>
      </c>
      <c r="V1307" s="5" t="s">
        <v>7792</v>
      </c>
      <c r="W1307" s="5" t="s">
        <v>11927</v>
      </c>
      <c r="X1307" s="5" t="s">
        <v>11927</v>
      </c>
      <c r="Y1307" s="4">
        <v>633</v>
      </c>
      <c r="Z1307" s="4">
        <v>520</v>
      </c>
      <c r="AA1307" s="4">
        <v>526</v>
      </c>
      <c r="AB1307" s="4">
        <v>6</v>
      </c>
      <c r="AC1307" s="4">
        <v>6</v>
      </c>
      <c r="AD1307" s="4">
        <v>26</v>
      </c>
      <c r="AE1307" s="4">
        <v>26</v>
      </c>
      <c r="AF1307" s="4">
        <v>7</v>
      </c>
      <c r="AG1307" s="4">
        <v>7</v>
      </c>
      <c r="AH1307" s="4">
        <v>6</v>
      </c>
      <c r="AI1307" s="4">
        <v>6</v>
      </c>
      <c r="AJ1307" s="4">
        <v>14</v>
      </c>
      <c r="AK1307" s="4">
        <v>14</v>
      </c>
      <c r="AL1307" s="4">
        <v>5</v>
      </c>
      <c r="AM1307" s="4">
        <v>5</v>
      </c>
      <c r="AN1307" s="4">
        <v>0</v>
      </c>
      <c r="AO1307" s="4">
        <v>0</v>
      </c>
      <c r="AP1307" s="3" t="s">
        <v>58</v>
      </c>
      <c r="AQ1307" s="3" t="s">
        <v>68</v>
      </c>
      <c r="AR1307" s="6" t="str">
        <f>HYPERLINK("http://catalog.hathitrust.org/Record/000019362","HathiTrust Record")</f>
        <v>HathiTrust Record</v>
      </c>
      <c r="AS1307" s="6" t="str">
        <f>HYPERLINK("https://creighton-primo.hosted.exlibrisgroup.com/primo-explore/search?tab=default_tab&amp;search_scope=EVERYTHING&amp;vid=01CRU&amp;lang=en_US&amp;offset=0&amp;query=any,contains,991003624119702656","Catalog Record")</f>
        <v>Catalog Record</v>
      </c>
      <c r="AT1307" s="6" t="str">
        <f>HYPERLINK("http://www.worldcat.org/oclc/1214440","WorldCat Record")</f>
        <v>WorldCat Record</v>
      </c>
      <c r="AU1307" s="3" t="s">
        <v>16387</v>
      </c>
      <c r="AV1307" s="3" t="s">
        <v>16388</v>
      </c>
      <c r="AW1307" s="3" t="s">
        <v>16389</v>
      </c>
      <c r="AX1307" s="3" t="s">
        <v>16389</v>
      </c>
      <c r="AY1307" s="3" t="s">
        <v>16390</v>
      </c>
      <c r="AZ1307" s="3" t="s">
        <v>73</v>
      </c>
      <c r="BB1307" s="3" t="s">
        <v>16391</v>
      </c>
      <c r="BC1307" s="3" t="s">
        <v>16392</v>
      </c>
      <c r="BD1307" s="3" t="s">
        <v>16393</v>
      </c>
    </row>
    <row r="1308" spans="1:56" ht="51" customHeight="1" x14ac:dyDescent="0.25">
      <c r="A1308" s="7" t="s">
        <v>58</v>
      </c>
      <c r="B1308" s="2" t="s">
        <v>16394</v>
      </c>
      <c r="C1308" s="2" t="s">
        <v>16395</v>
      </c>
      <c r="D1308" s="2" t="s">
        <v>16396</v>
      </c>
      <c r="F1308" s="3" t="s">
        <v>58</v>
      </c>
      <c r="G1308" s="3" t="s">
        <v>59</v>
      </c>
      <c r="H1308" s="3" t="s">
        <v>58</v>
      </c>
      <c r="I1308" s="3" t="s">
        <v>58</v>
      </c>
      <c r="J1308" s="3" t="s">
        <v>60</v>
      </c>
      <c r="K1308" s="2" t="s">
        <v>16397</v>
      </c>
      <c r="L1308" s="2" t="s">
        <v>16398</v>
      </c>
      <c r="M1308" s="3" t="s">
        <v>731</v>
      </c>
      <c r="O1308" s="3" t="s">
        <v>63</v>
      </c>
      <c r="P1308" s="3" t="s">
        <v>214</v>
      </c>
      <c r="R1308" s="3" t="s">
        <v>65</v>
      </c>
      <c r="S1308" s="4">
        <v>1</v>
      </c>
      <c r="T1308" s="4">
        <v>1</v>
      </c>
      <c r="U1308" s="5" t="s">
        <v>16329</v>
      </c>
      <c r="V1308" s="5" t="s">
        <v>16329</v>
      </c>
      <c r="W1308" s="5" t="s">
        <v>11927</v>
      </c>
      <c r="X1308" s="5" t="s">
        <v>11927</v>
      </c>
      <c r="Y1308" s="4">
        <v>625</v>
      </c>
      <c r="Z1308" s="4">
        <v>520</v>
      </c>
      <c r="AA1308" s="4">
        <v>650</v>
      </c>
      <c r="AB1308" s="4">
        <v>5</v>
      </c>
      <c r="AC1308" s="4">
        <v>7</v>
      </c>
      <c r="AD1308" s="4">
        <v>25</v>
      </c>
      <c r="AE1308" s="4">
        <v>33</v>
      </c>
      <c r="AF1308" s="4">
        <v>12</v>
      </c>
      <c r="AG1308" s="4">
        <v>14</v>
      </c>
      <c r="AH1308" s="4">
        <v>4</v>
      </c>
      <c r="AI1308" s="4">
        <v>7</v>
      </c>
      <c r="AJ1308" s="4">
        <v>11</v>
      </c>
      <c r="AK1308" s="4">
        <v>14</v>
      </c>
      <c r="AL1308" s="4">
        <v>4</v>
      </c>
      <c r="AM1308" s="4">
        <v>6</v>
      </c>
      <c r="AN1308" s="4">
        <v>0</v>
      </c>
      <c r="AO1308" s="4">
        <v>0</v>
      </c>
      <c r="AP1308" s="3" t="s">
        <v>58</v>
      </c>
      <c r="AQ1308" s="3" t="s">
        <v>68</v>
      </c>
      <c r="AR1308" s="6" t="str">
        <f>HYPERLINK("http://catalog.hathitrust.org/Record/001255050","HathiTrust Record")</f>
        <v>HathiTrust Record</v>
      </c>
      <c r="AS1308" s="6" t="str">
        <f>HYPERLINK("https://creighton-primo.hosted.exlibrisgroup.com/primo-explore/search?tab=default_tab&amp;search_scope=EVERYTHING&amp;vid=01CRU&amp;lang=en_US&amp;offset=0&amp;query=any,contains,991003747549702656","Catalog Record")</f>
        <v>Catalog Record</v>
      </c>
      <c r="AT1308" s="6" t="str">
        <f>HYPERLINK("http://www.worldcat.org/oclc/1419969","WorldCat Record")</f>
        <v>WorldCat Record</v>
      </c>
      <c r="AU1308" s="3" t="s">
        <v>16399</v>
      </c>
      <c r="AV1308" s="3" t="s">
        <v>16400</v>
      </c>
      <c r="AW1308" s="3" t="s">
        <v>16401</v>
      </c>
      <c r="AX1308" s="3" t="s">
        <v>16401</v>
      </c>
      <c r="AY1308" s="3" t="s">
        <v>16402</v>
      </c>
      <c r="AZ1308" s="3" t="s">
        <v>73</v>
      </c>
      <c r="BC1308" s="3" t="s">
        <v>16403</v>
      </c>
      <c r="BD1308" s="3" t="s">
        <v>16404</v>
      </c>
    </row>
    <row r="1309" spans="1:56" ht="51" customHeight="1" x14ac:dyDescent="0.25">
      <c r="A1309" s="7" t="s">
        <v>58</v>
      </c>
      <c r="B1309" s="2" t="s">
        <v>16405</v>
      </c>
      <c r="C1309" s="2" t="s">
        <v>16406</v>
      </c>
      <c r="D1309" s="2" t="s">
        <v>16407</v>
      </c>
      <c r="F1309" s="3" t="s">
        <v>58</v>
      </c>
      <c r="G1309" s="3" t="s">
        <v>59</v>
      </c>
      <c r="H1309" s="3" t="s">
        <v>58</v>
      </c>
      <c r="I1309" s="3" t="s">
        <v>58</v>
      </c>
      <c r="J1309" s="3" t="s">
        <v>60</v>
      </c>
      <c r="K1309" s="2" t="s">
        <v>16408</v>
      </c>
      <c r="L1309" s="2" t="s">
        <v>16409</v>
      </c>
      <c r="M1309" s="3" t="s">
        <v>2706</v>
      </c>
      <c r="O1309" s="3" t="s">
        <v>63</v>
      </c>
      <c r="P1309" s="3" t="s">
        <v>214</v>
      </c>
      <c r="R1309" s="3" t="s">
        <v>65</v>
      </c>
      <c r="S1309" s="4">
        <v>2</v>
      </c>
      <c r="T1309" s="4">
        <v>2</v>
      </c>
      <c r="U1309" s="5" t="s">
        <v>16410</v>
      </c>
      <c r="V1309" s="5" t="s">
        <v>16410</v>
      </c>
      <c r="W1309" s="5" t="s">
        <v>16411</v>
      </c>
      <c r="X1309" s="5" t="s">
        <v>16411</v>
      </c>
      <c r="Y1309" s="4">
        <v>385</v>
      </c>
      <c r="Z1309" s="4">
        <v>324</v>
      </c>
      <c r="AA1309" s="4">
        <v>419</v>
      </c>
      <c r="AB1309" s="4">
        <v>3</v>
      </c>
      <c r="AC1309" s="4">
        <v>5</v>
      </c>
      <c r="AD1309" s="4">
        <v>15</v>
      </c>
      <c r="AE1309" s="4">
        <v>21</v>
      </c>
      <c r="AF1309" s="4">
        <v>7</v>
      </c>
      <c r="AG1309" s="4">
        <v>10</v>
      </c>
      <c r="AH1309" s="4">
        <v>2</v>
      </c>
      <c r="AI1309" s="4">
        <v>3</v>
      </c>
      <c r="AJ1309" s="4">
        <v>6</v>
      </c>
      <c r="AK1309" s="4">
        <v>10</v>
      </c>
      <c r="AL1309" s="4">
        <v>2</v>
      </c>
      <c r="AM1309" s="4">
        <v>3</v>
      </c>
      <c r="AN1309" s="4">
        <v>0</v>
      </c>
      <c r="AO1309" s="4">
        <v>0</v>
      </c>
      <c r="AP1309" s="3" t="s">
        <v>58</v>
      </c>
      <c r="AQ1309" s="3" t="s">
        <v>58</v>
      </c>
      <c r="AR1309" s="6" t="str">
        <f>HYPERLINK("http://catalog.hathitrust.org/Record/001255055","HathiTrust Record")</f>
        <v>HathiTrust Record</v>
      </c>
      <c r="AS1309" s="6" t="str">
        <f>HYPERLINK("https://creighton-primo.hosted.exlibrisgroup.com/primo-explore/search?tab=default_tab&amp;search_scope=EVERYTHING&amp;vid=01CRU&amp;lang=en_US&amp;offset=0&amp;query=any,contains,991003518439702656","Catalog Record")</f>
        <v>Catalog Record</v>
      </c>
      <c r="AT1309" s="6" t="str">
        <f>HYPERLINK("http://www.worldcat.org/oclc/1077134","WorldCat Record")</f>
        <v>WorldCat Record</v>
      </c>
      <c r="AU1309" s="3" t="s">
        <v>16412</v>
      </c>
      <c r="AV1309" s="3" t="s">
        <v>16413</v>
      </c>
      <c r="AW1309" s="3" t="s">
        <v>16414</v>
      </c>
      <c r="AX1309" s="3" t="s">
        <v>16414</v>
      </c>
      <c r="AY1309" s="3" t="s">
        <v>16415</v>
      </c>
      <c r="AZ1309" s="3" t="s">
        <v>73</v>
      </c>
      <c r="BC1309" s="3" t="s">
        <v>16416</v>
      </c>
      <c r="BD1309" s="3" t="s">
        <v>16417</v>
      </c>
    </row>
    <row r="1310" spans="1:56" ht="51" customHeight="1" x14ac:dyDescent="0.25">
      <c r="A1310" s="7" t="s">
        <v>58</v>
      </c>
      <c r="B1310" s="2" t="s">
        <v>16418</v>
      </c>
      <c r="C1310" s="2" t="s">
        <v>16419</v>
      </c>
      <c r="D1310" s="2" t="s">
        <v>16420</v>
      </c>
      <c r="F1310" s="3" t="s">
        <v>58</v>
      </c>
      <c r="G1310" s="3" t="s">
        <v>59</v>
      </c>
      <c r="H1310" s="3" t="s">
        <v>58</v>
      </c>
      <c r="I1310" s="3" t="s">
        <v>58</v>
      </c>
      <c r="J1310" s="3" t="s">
        <v>60</v>
      </c>
      <c r="L1310" s="2" t="s">
        <v>16421</v>
      </c>
      <c r="M1310" s="3" t="s">
        <v>1399</v>
      </c>
      <c r="N1310" s="2" t="s">
        <v>338</v>
      </c>
      <c r="O1310" s="3" t="s">
        <v>63</v>
      </c>
      <c r="P1310" s="3" t="s">
        <v>1837</v>
      </c>
      <c r="R1310" s="3" t="s">
        <v>65</v>
      </c>
      <c r="S1310" s="4">
        <v>3</v>
      </c>
      <c r="T1310" s="4">
        <v>3</v>
      </c>
      <c r="U1310" s="5" t="s">
        <v>16422</v>
      </c>
      <c r="V1310" s="5" t="s">
        <v>16422</v>
      </c>
      <c r="W1310" s="5" t="s">
        <v>5064</v>
      </c>
      <c r="X1310" s="5" t="s">
        <v>5064</v>
      </c>
      <c r="Y1310" s="4">
        <v>301</v>
      </c>
      <c r="Z1310" s="4">
        <v>225</v>
      </c>
      <c r="AA1310" s="4">
        <v>232</v>
      </c>
      <c r="AB1310" s="4">
        <v>3</v>
      </c>
      <c r="AC1310" s="4">
        <v>3</v>
      </c>
      <c r="AD1310" s="4">
        <v>10</v>
      </c>
      <c r="AE1310" s="4">
        <v>10</v>
      </c>
      <c r="AF1310" s="4">
        <v>1</v>
      </c>
      <c r="AG1310" s="4">
        <v>1</v>
      </c>
      <c r="AH1310" s="4">
        <v>4</v>
      </c>
      <c r="AI1310" s="4">
        <v>4</v>
      </c>
      <c r="AJ1310" s="4">
        <v>4</v>
      </c>
      <c r="AK1310" s="4">
        <v>4</v>
      </c>
      <c r="AL1310" s="4">
        <v>2</v>
      </c>
      <c r="AM1310" s="4">
        <v>2</v>
      </c>
      <c r="AN1310" s="4">
        <v>0</v>
      </c>
      <c r="AO1310" s="4">
        <v>0</v>
      </c>
      <c r="AP1310" s="3" t="s">
        <v>58</v>
      </c>
      <c r="AQ1310" s="3" t="s">
        <v>68</v>
      </c>
      <c r="AR1310" s="6" t="str">
        <f>HYPERLINK("http://catalog.hathitrust.org/Record/000929937","HathiTrust Record")</f>
        <v>HathiTrust Record</v>
      </c>
      <c r="AS1310" s="6" t="str">
        <f>HYPERLINK("https://creighton-primo.hosted.exlibrisgroup.com/primo-explore/search?tab=default_tab&amp;search_scope=EVERYTHING&amp;vid=01CRU&amp;lang=en_US&amp;offset=0&amp;query=any,contains,991001142619702656","Catalog Record")</f>
        <v>Catalog Record</v>
      </c>
      <c r="AT1310" s="6" t="str">
        <f>HYPERLINK("http://www.worldcat.org/oclc/16754124","WorldCat Record")</f>
        <v>WorldCat Record</v>
      </c>
      <c r="AU1310" s="3" t="s">
        <v>16423</v>
      </c>
      <c r="AV1310" s="3" t="s">
        <v>16424</v>
      </c>
      <c r="AW1310" s="3" t="s">
        <v>16425</v>
      </c>
      <c r="AX1310" s="3" t="s">
        <v>16425</v>
      </c>
      <c r="AY1310" s="3" t="s">
        <v>16426</v>
      </c>
      <c r="AZ1310" s="3" t="s">
        <v>73</v>
      </c>
      <c r="BB1310" s="3" t="s">
        <v>16427</v>
      </c>
      <c r="BC1310" s="3" t="s">
        <v>16428</v>
      </c>
      <c r="BD1310" s="3" t="s">
        <v>16429</v>
      </c>
    </row>
    <row r="1311" spans="1:56" ht="51" customHeight="1" x14ac:dyDescent="0.25">
      <c r="A1311" s="7" t="s">
        <v>58</v>
      </c>
      <c r="B1311" s="2" t="s">
        <v>16430</v>
      </c>
      <c r="C1311" s="2" t="s">
        <v>16431</v>
      </c>
      <c r="D1311" s="2" t="s">
        <v>16432</v>
      </c>
      <c r="F1311" s="3" t="s">
        <v>58</v>
      </c>
      <c r="G1311" s="3" t="s">
        <v>59</v>
      </c>
      <c r="H1311" s="3" t="s">
        <v>58</v>
      </c>
      <c r="I1311" s="3" t="s">
        <v>58</v>
      </c>
      <c r="J1311" s="3" t="s">
        <v>60</v>
      </c>
      <c r="K1311" s="2" t="s">
        <v>16433</v>
      </c>
      <c r="L1311" s="2" t="s">
        <v>16434</v>
      </c>
      <c r="M1311" s="3" t="s">
        <v>101</v>
      </c>
      <c r="O1311" s="3" t="s">
        <v>63</v>
      </c>
      <c r="P1311" s="3" t="s">
        <v>214</v>
      </c>
      <c r="R1311" s="3" t="s">
        <v>65</v>
      </c>
      <c r="S1311" s="4">
        <v>1</v>
      </c>
      <c r="T1311" s="4">
        <v>1</v>
      </c>
      <c r="U1311" s="5" t="s">
        <v>10105</v>
      </c>
      <c r="V1311" s="5" t="s">
        <v>10105</v>
      </c>
      <c r="W1311" s="5" t="s">
        <v>14853</v>
      </c>
      <c r="X1311" s="5" t="s">
        <v>14853</v>
      </c>
      <c r="Y1311" s="4">
        <v>321</v>
      </c>
      <c r="Z1311" s="4">
        <v>289</v>
      </c>
      <c r="AA1311" s="4">
        <v>367</v>
      </c>
      <c r="AB1311" s="4">
        <v>2</v>
      </c>
      <c r="AC1311" s="4">
        <v>4</v>
      </c>
      <c r="AD1311" s="4">
        <v>11</v>
      </c>
      <c r="AE1311" s="4">
        <v>13</v>
      </c>
      <c r="AF1311" s="4">
        <v>3</v>
      </c>
      <c r="AG1311" s="4">
        <v>3</v>
      </c>
      <c r="AH1311" s="4">
        <v>4</v>
      </c>
      <c r="AI1311" s="4">
        <v>4</v>
      </c>
      <c r="AJ1311" s="4">
        <v>7</v>
      </c>
      <c r="AK1311" s="4">
        <v>7</v>
      </c>
      <c r="AL1311" s="4">
        <v>1</v>
      </c>
      <c r="AM1311" s="4">
        <v>3</v>
      </c>
      <c r="AN1311" s="4">
        <v>0</v>
      </c>
      <c r="AO1311" s="4">
        <v>0</v>
      </c>
      <c r="AP1311" s="3" t="s">
        <v>58</v>
      </c>
      <c r="AQ1311" s="3" t="s">
        <v>58</v>
      </c>
      <c r="AS1311" s="6" t="str">
        <f>HYPERLINK("https://creighton-primo.hosted.exlibrisgroup.com/primo-explore/search?tab=default_tab&amp;search_scope=EVERYTHING&amp;vid=01CRU&amp;lang=en_US&amp;offset=0&amp;query=any,contains,991000478879702656","Catalog Record")</f>
        <v>Catalog Record</v>
      </c>
      <c r="AT1311" s="6" t="str">
        <f>HYPERLINK("http://www.worldcat.org/oclc/11044575","WorldCat Record")</f>
        <v>WorldCat Record</v>
      </c>
      <c r="AU1311" s="3" t="s">
        <v>16435</v>
      </c>
      <c r="AV1311" s="3" t="s">
        <v>16436</v>
      </c>
      <c r="AW1311" s="3" t="s">
        <v>16437</v>
      </c>
      <c r="AX1311" s="3" t="s">
        <v>16437</v>
      </c>
      <c r="AY1311" s="3" t="s">
        <v>16438</v>
      </c>
      <c r="AZ1311" s="3" t="s">
        <v>73</v>
      </c>
      <c r="BB1311" s="3" t="s">
        <v>16439</v>
      </c>
      <c r="BC1311" s="3" t="s">
        <v>16440</v>
      </c>
      <c r="BD1311" s="3" t="s">
        <v>16441</v>
      </c>
    </row>
    <row r="1312" spans="1:56" ht="51" customHeight="1" x14ac:dyDescent="0.25">
      <c r="A1312" s="7" t="s">
        <v>58</v>
      </c>
      <c r="B1312" s="2" t="s">
        <v>16442</v>
      </c>
      <c r="C1312" s="2" t="s">
        <v>16443</v>
      </c>
      <c r="D1312" s="2" t="s">
        <v>16444</v>
      </c>
      <c r="F1312" s="3" t="s">
        <v>58</v>
      </c>
      <c r="G1312" s="3" t="s">
        <v>59</v>
      </c>
      <c r="H1312" s="3" t="s">
        <v>58</v>
      </c>
      <c r="I1312" s="3" t="s">
        <v>58</v>
      </c>
      <c r="J1312" s="3" t="s">
        <v>60</v>
      </c>
      <c r="L1312" s="2" t="s">
        <v>16445</v>
      </c>
      <c r="M1312" s="3" t="s">
        <v>800</v>
      </c>
      <c r="O1312" s="3" t="s">
        <v>63</v>
      </c>
      <c r="P1312" s="3" t="s">
        <v>214</v>
      </c>
      <c r="R1312" s="3" t="s">
        <v>65</v>
      </c>
      <c r="S1312" s="4">
        <v>1</v>
      </c>
      <c r="T1312" s="4">
        <v>1</v>
      </c>
      <c r="U1312" s="5" t="s">
        <v>16411</v>
      </c>
      <c r="V1312" s="5" t="s">
        <v>16411</v>
      </c>
      <c r="W1312" s="5" t="s">
        <v>16446</v>
      </c>
      <c r="X1312" s="5" t="s">
        <v>16446</v>
      </c>
      <c r="Y1312" s="4">
        <v>483</v>
      </c>
      <c r="Z1312" s="4">
        <v>371</v>
      </c>
      <c r="AA1312" s="4">
        <v>391</v>
      </c>
      <c r="AB1312" s="4">
        <v>5</v>
      </c>
      <c r="AC1312" s="4">
        <v>5</v>
      </c>
      <c r="AD1312" s="4">
        <v>18</v>
      </c>
      <c r="AE1312" s="4">
        <v>20</v>
      </c>
      <c r="AF1312" s="4">
        <v>4</v>
      </c>
      <c r="AG1312" s="4">
        <v>4</v>
      </c>
      <c r="AH1312" s="4">
        <v>4</v>
      </c>
      <c r="AI1312" s="4">
        <v>4</v>
      </c>
      <c r="AJ1312" s="4">
        <v>10</v>
      </c>
      <c r="AK1312" s="4">
        <v>10</v>
      </c>
      <c r="AL1312" s="4">
        <v>4</v>
      </c>
      <c r="AM1312" s="4">
        <v>4</v>
      </c>
      <c r="AN1312" s="4">
        <v>0</v>
      </c>
      <c r="AO1312" s="4">
        <v>2</v>
      </c>
      <c r="AP1312" s="3" t="s">
        <v>58</v>
      </c>
      <c r="AQ1312" s="3" t="s">
        <v>68</v>
      </c>
      <c r="AR1312" s="6" t="str">
        <f>HYPERLINK("http://catalog.hathitrust.org/Record/002983901","HathiTrust Record")</f>
        <v>HathiTrust Record</v>
      </c>
      <c r="AS1312" s="6" t="str">
        <f>HYPERLINK("https://creighton-primo.hosted.exlibrisgroup.com/primo-explore/search?tab=default_tab&amp;search_scope=EVERYTHING&amp;vid=01CRU&amp;lang=en_US&amp;offset=0&amp;query=any,contains,991002415579702656","Catalog Record")</f>
        <v>Catalog Record</v>
      </c>
      <c r="AT1312" s="6" t="str">
        <f>HYPERLINK("http://www.worldcat.org/oclc/31434830","WorldCat Record")</f>
        <v>WorldCat Record</v>
      </c>
      <c r="AU1312" s="3" t="s">
        <v>16447</v>
      </c>
      <c r="AV1312" s="3" t="s">
        <v>16448</v>
      </c>
      <c r="AW1312" s="3" t="s">
        <v>16449</v>
      </c>
      <c r="AX1312" s="3" t="s">
        <v>16449</v>
      </c>
      <c r="AY1312" s="3" t="s">
        <v>16450</v>
      </c>
      <c r="AZ1312" s="3" t="s">
        <v>73</v>
      </c>
      <c r="BB1312" s="3" t="s">
        <v>16451</v>
      </c>
      <c r="BC1312" s="3" t="s">
        <v>16452</v>
      </c>
      <c r="BD1312" s="3" t="s">
        <v>16453</v>
      </c>
    </row>
    <row r="1313" spans="1:56" ht="51" customHeight="1" x14ac:dyDescent="0.25">
      <c r="A1313" s="7" t="s">
        <v>58</v>
      </c>
      <c r="B1313" s="2" t="s">
        <v>16454</v>
      </c>
      <c r="C1313" s="2" t="s">
        <v>16455</v>
      </c>
      <c r="D1313" s="2" t="s">
        <v>16456</v>
      </c>
      <c r="F1313" s="3" t="s">
        <v>58</v>
      </c>
      <c r="G1313" s="3" t="s">
        <v>59</v>
      </c>
      <c r="H1313" s="3" t="s">
        <v>58</v>
      </c>
      <c r="I1313" s="3" t="s">
        <v>58</v>
      </c>
      <c r="J1313" s="3" t="s">
        <v>60</v>
      </c>
      <c r="L1313" s="2" t="s">
        <v>16457</v>
      </c>
      <c r="M1313" s="3" t="s">
        <v>898</v>
      </c>
      <c r="O1313" s="3" t="s">
        <v>63</v>
      </c>
      <c r="P1313" s="3" t="s">
        <v>214</v>
      </c>
      <c r="Q1313" s="2" t="s">
        <v>16458</v>
      </c>
      <c r="R1313" s="3" t="s">
        <v>65</v>
      </c>
      <c r="S1313" s="4">
        <v>1</v>
      </c>
      <c r="T1313" s="4">
        <v>1</v>
      </c>
      <c r="U1313" s="5" t="s">
        <v>16459</v>
      </c>
      <c r="V1313" s="5" t="s">
        <v>16459</v>
      </c>
      <c r="W1313" s="5" t="s">
        <v>16459</v>
      </c>
      <c r="X1313" s="5" t="s">
        <v>16459</v>
      </c>
      <c r="Y1313" s="4">
        <v>343</v>
      </c>
      <c r="Z1313" s="4">
        <v>220</v>
      </c>
      <c r="AA1313" s="4">
        <v>426</v>
      </c>
      <c r="AB1313" s="4">
        <v>2</v>
      </c>
      <c r="AC1313" s="4">
        <v>3</v>
      </c>
      <c r="AD1313" s="4">
        <v>9</v>
      </c>
      <c r="AE1313" s="4">
        <v>20</v>
      </c>
      <c r="AF1313" s="4">
        <v>2</v>
      </c>
      <c r="AG1313" s="4">
        <v>8</v>
      </c>
      <c r="AH1313" s="4">
        <v>3</v>
      </c>
      <c r="AI1313" s="4">
        <v>5</v>
      </c>
      <c r="AJ1313" s="4">
        <v>7</v>
      </c>
      <c r="AK1313" s="4">
        <v>11</v>
      </c>
      <c r="AL1313" s="4">
        <v>1</v>
      </c>
      <c r="AM1313" s="4">
        <v>2</v>
      </c>
      <c r="AN1313" s="4">
        <v>0</v>
      </c>
      <c r="AO1313" s="4">
        <v>0</v>
      </c>
      <c r="AP1313" s="3" t="s">
        <v>58</v>
      </c>
      <c r="AQ1313" s="3" t="s">
        <v>68</v>
      </c>
      <c r="AR1313" s="6" t="str">
        <f>HYPERLINK("http://catalog.hathitrust.org/Record/005136757","HathiTrust Record")</f>
        <v>HathiTrust Record</v>
      </c>
      <c r="AS1313" s="6" t="str">
        <f>HYPERLINK("https://creighton-primo.hosted.exlibrisgroup.com/primo-explore/search?tab=default_tab&amp;search_scope=EVERYTHING&amp;vid=01CRU&amp;lang=en_US&amp;offset=0&amp;query=any,contains,991005157769702656","Catalog Record")</f>
        <v>Catalog Record</v>
      </c>
      <c r="AT1313" s="6" t="str">
        <f>HYPERLINK("http://www.worldcat.org/oclc/61478715","WorldCat Record")</f>
        <v>WorldCat Record</v>
      </c>
      <c r="AU1313" s="3" t="s">
        <v>16460</v>
      </c>
      <c r="AV1313" s="3" t="s">
        <v>16461</v>
      </c>
      <c r="AW1313" s="3" t="s">
        <v>16462</v>
      </c>
      <c r="AX1313" s="3" t="s">
        <v>16462</v>
      </c>
      <c r="AY1313" s="3" t="s">
        <v>16463</v>
      </c>
      <c r="AZ1313" s="3" t="s">
        <v>73</v>
      </c>
      <c r="BB1313" s="3" t="s">
        <v>16464</v>
      </c>
      <c r="BC1313" s="3" t="s">
        <v>16465</v>
      </c>
      <c r="BD1313" s="3" t="s">
        <v>16466</v>
      </c>
    </row>
    <row r="1314" spans="1:56" ht="51" customHeight="1" x14ac:dyDescent="0.25">
      <c r="A1314" s="7" t="s">
        <v>58</v>
      </c>
      <c r="B1314" s="2" t="s">
        <v>16467</v>
      </c>
      <c r="C1314" s="2" t="s">
        <v>16468</v>
      </c>
      <c r="D1314" s="2" t="s">
        <v>16469</v>
      </c>
      <c r="F1314" s="3" t="s">
        <v>58</v>
      </c>
      <c r="G1314" s="3" t="s">
        <v>59</v>
      </c>
      <c r="H1314" s="3" t="s">
        <v>58</v>
      </c>
      <c r="I1314" s="3" t="s">
        <v>58</v>
      </c>
      <c r="J1314" s="3" t="s">
        <v>60</v>
      </c>
      <c r="K1314" s="2" t="s">
        <v>16470</v>
      </c>
      <c r="L1314" s="2" t="s">
        <v>16471</v>
      </c>
      <c r="M1314" s="3" t="s">
        <v>898</v>
      </c>
      <c r="O1314" s="3" t="s">
        <v>63</v>
      </c>
      <c r="P1314" s="3" t="s">
        <v>214</v>
      </c>
      <c r="R1314" s="3" t="s">
        <v>65</v>
      </c>
      <c r="S1314" s="4">
        <v>1</v>
      </c>
      <c r="T1314" s="4">
        <v>1</v>
      </c>
      <c r="U1314" s="5" t="s">
        <v>16472</v>
      </c>
      <c r="V1314" s="5" t="s">
        <v>16472</v>
      </c>
      <c r="W1314" s="5" t="s">
        <v>16472</v>
      </c>
      <c r="X1314" s="5" t="s">
        <v>16472</v>
      </c>
      <c r="Y1314" s="4">
        <v>370</v>
      </c>
      <c r="Z1314" s="4">
        <v>319</v>
      </c>
      <c r="AA1314" s="4">
        <v>320</v>
      </c>
      <c r="AB1314" s="4">
        <v>2</v>
      </c>
      <c r="AC1314" s="4">
        <v>2</v>
      </c>
      <c r="AD1314" s="4">
        <v>9</v>
      </c>
      <c r="AE1314" s="4">
        <v>9</v>
      </c>
      <c r="AF1314" s="4">
        <v>3</v>
      </c>
      <c r="AG1314" s="4">
        <v>3</v>
      </c>
      <c r="AH1314" s="4">
        <v>2</v>
      </c>
      <c r="AI1314" s="4">
        <v>2</v>
      </c>
      <c r="AJ1314" s="4">
        <v>6</v>
      </c>
      <c r="AK1314" s="4">
        <v>6</v>
      </c>
      <c r="AL1314" s="4">
        <v>0</v>
      </c>
      <c r="AM1314" s="4">
        <v>0</v>
      </c>
      <c r="AN1314" s="4">
        <v>1</v>
      </c>
      <c r="AO1314" s="4">
        <v>1</v>
      </c>
      <c r="AP1314" s="3" t="s">
        <v>58</v>
      </c>
      <c r="AQ1314" s="3" t="s">
        <v>68</v>
      </c>
      <c r="AR1314" s="6" t="str">
        <f>HYPERLINK("http://catalog.hathitrust.org/Record/005229246","HathiTrust Record")</f>
        <v>HathiTrust Record</v>
      </c>
      <c r="AS1314" s="6" t="str">
        <f>HYPERLINK("https://creighton-primo.hosted.exlibrisgroup.com/primo-explore/search?tab=default_tab&amp;search_scope=EVERYTHING&amp;vid=01CRU&amp;lang=en_US&amp;offset=0&amp;query=any,contains,991004972339702656","Catalog Record")</f>
        <v>Catalog Record</v>
      </c>
      <c r="AT1314" s="6" t="str">
        <f>HYPERLINK("http://www.worldcat.org/oclc/65207043","WorldCat Record")</f>
        <v>WorldCat Record</v>
      </c>
      <c r="AU1314" s="3" t="s">
        <v>16473</v>
      </c>
      <c r="AV1314" s="3" t="s">
        <v>16474</v>
      </c>
      <c r="AW1314" s="3" t="s">
        <v>16475</v>
      </c>
      <c r="AX1314" s="3" t="s">
        <v>16475</v>
      </c>
      <c r="AY1314" s="3" t="s">
        <v>16476</v>
      </c>
      <c r="AZ1314" s="3" t="s">
        <v>73</v>
      </c>
      <c r="BB1314" s="3" t="s">
        <v>16477</v>
      </c>
      <c r="BC1314" s="3" t="s">
        <v>16478</v>
      </c>
      <c r="BD1314" s="3" t="s">
        <v>16479</v>
      </c>
    </row>
    <row r="1315" spans="1:56" ht="51" customHeight="1" x14ac:dyDescent="0.25">
      <c r="A1315" s="7" t="s">
        <v>58</v>
      </c>
      <c r="B1315" s="2" t="s">
        <v>16480</v>
      </c>
      <c r="C1315" s="2" t="s">
        <v>16481</v>
      </c>
      <c r="D1315" s="2" t="s">
        <v>16482</v>
      </c>
      <c r="F1315" s="3" t="s">
        <v>58</v>
      </c>
      <c r="G1315" s="3" t="s">
        <v>59</v>
      </c>
      <c r="H1315" s="3" t="s">
        <v>58</v>
      </c>
      <c r="I1315" s="3" t="s">
        <v>58</v>
      </c>
      <c r="J1315" s="3" t="s">
        <v>60</v>
      </c>
      <c r="K1315" s="2" t="s">
        <v>16483</v>
      </c>
      <c r="L1315" s="2" t="s">
        <v>16484</v>
      </c>
      <c r="M1315" s="3" t="s">
        <v>138</v>
      </c>
      <c r="O1315" s="3" t="s">
        <v>63</v>
      </c>
      <c r="P1315" s="3" t="s">
        <v>214</v>
      </c>
      <c r="R1315" s="3" t="s">
        <v>65</v>
      </c>
      <c r="S1315" s="4">
        <v>2</v>
      </c>
      <c r="T1315" s="4">
        <v>2</v>
      </c>
      <c r="U1315" s="5" t="s">
        <v>16485</v>
      </c>
      <c r="V1315" s="5" t="s">
        <v>16485</v>
      </c>
      <c r="W1315" s="5" t="s">
        <v>14853</v>
      </c>
      <c r="X1315" s="5" t="s">
        <v>14853</v>
      </c>
      <c r="Y1315" s="4">
        <v>564</v>
      </c>
      <c r="Z1315" s="4">
        <v>459</v>
      </c>
      <c r="AA1315" s="4">
        <v>464</v>
      </c>
      <c r="AB1315" s="4">
        <v>4</v>
      </c>
      <c r="AC1315" s="4">
        <v>4</v>
      </c>
      <c r="AD1315" s="4">
        <v>21</v>
      </c>
      <c r="AE1315" s="4">
        <v>21</v>
      </c>
      <c r="AF1315" s="4">
        <v>7</v>
      </c>
      <c r="AG1315" s="4">
        <v>7</v>
      </c>
      <c r="AH1315" s="4">
        <v>9</v>
      </c>
      <c r="AI1315" s="4">
        <v>9</v>
      </c>
      <c r="AJ1315" s="4">
        <v>8</v>
      </c>
      <c r="AK1315" s="4">
        <v>8</v>
      </c>
      <c r="AL1315" s="4">
        <v>3</v>
      </c>
      <c r="AM1315" s="4">
        <v>3</v>
      </c>
      <c r="AN1315" s="4">
        <v>0</v>
      </c>
      <c r="AO1315" s="4">
        <v>0</v>
      </c>
      <c r="AP1315" s="3" t="s">
        <v>58</v>
      </c>
      <c r="AQ1315" s="3" t="s">
        <v>58</v>
      </c>
      <c r="AS1315" s="6" t="str">
        <f>HYPERLINK("https://creighton-primo.hosted.exlibrisgroup.com/primo-explore/search?tab=default_tab&amp;search_scope=EVERYTHING&amp;vid=01CRU&amp;lang=en_US&amp;offset=0&amp;query=any,contains,991005212849702656","Catalog Record")</f>
        <v>Catalog Record</v>
      </c>
      <c r="AT1315" s="6" t="str">
        <f>HYPERLINK("http://www.worldcat.org/oclc/8170832","WorldCat Record")</f>
        <v>WorldCat Record</v>
      </c>
      <c r="AU1315" s="3" t="s">
        <v>16486</v>
      </c>
      <c r="AV1315" s="3" t="s">
        <v>16487</v>
      </c>
      <c r="AW1315" s="3" t="s">
        <v>16488</v>
      </c>
      <c r="AX1315" s="3" t="s">
        <v>16488</v>
      </c>
      <c r="AY1315" s="3" t="s">
        <v>16489</v>
      </c>
      <c r="AZ1315" s="3" t="s">
        <v>73</v>
      </c>
      <c r="BB1315" s="3" t="s">
        <v>16490</v>
      </c>
      <c r="BC1315" s="3" t="s">
        <v>16491</v>
      </c>
      <c r="BD1315" s="3" t="s">
        <v>16492</v>
      </c>
    </row>
    <row r="1316" spans="1:56" ht="51" customHeight="1" x14ac:dyDescent="0.25">
      <c r="A1316" s="7" t="s">
        <v>58</v>
      </c>
      <c r="B1316" s="2" t="s">
        <v>16493</v>
      </c>
      <c r="C1316" s="2" t="s">
        <v>16494</v>
      </c>
      <c r="D1316" s="2" t="s">
        <v>16495</v>
      </c>
      <c r="F1316" s="3" t="s">
        <v>58</v>
      </c>
      <c r="G1316" s="3" t="s">
        <v>59</v>
      </c>
      <c r="H1316" s="3" t="s">
        <v>58</v>
      </c>
      <c r="I1316" s="3" t="s">
        <v>58</v>
      </c>
      <c r="J1316" s="3" t="s">
        <v>60</v>
      </c>
      <c r="K1316" s="2" t="s">
        <v>16496</v>
      </c>
      <c r="L1316" s="2" t="s">
        <v>16497</v>
      </c>
      <c r="M1316" s="3" t="s">
        <v>2326</v>
      </c>
      <c r="O1316" s="3" t="s">
        <v>63</v>
      </c>
      <c r="P1316" s="3" t="s">
        <v>214</v>
      </c>
      <c r="Q1316" s="2" t="s">
        <v>16498</v>
      </c>
      <c r="R1316" s="3" t="s">
        <v>65</v>
      </c>
      <c r="S1316" s="4">
        <v>1</v>
      </c>
      <c r="T1316" s="4">
        <v>1</v>
      </c>
      <c r="U1316" s="5" t="s">
        <v>12720</v>
      </c>
      <c r="V1316" s="5" t="s">
        <v>12720</v>
      </c>
      <c r="W1316" s="5" t="s">
        <v>12720</v>
      </c>
      <c r="X1316" s="5" t="s">
        <v>12720</v>
      </c>
      <c r="Y1316" s="4">
        <v>86</v>
      </c>
      <c r="Z1316" s="4">
        <v>76</v>
      </c>
      <c r="AA1316" s="4">
        <v>83</v>
      </c>
      <c r="AB1316" s="4">
        <v>1</v>
      </c>
      <c r="AC1316" s="4">
        <v>1</v>
      </c>
      <c r="AD1316" s="4">
        <v>6</v>
      </c>
      <c r="AE1316" s="4">
        <v>6</v>
      </c>
      <c r="AF1316" s="4">
        <v>1</v>
      </c>
      <c r="AG1316" s="4">
        <v>1</v>
      </c>
      <c r="AH1316" s="4">
        <v>2</v>
      </c>
      <c r="AI1316" s="4">
        <v>2</v>
      </c>
      <c r="AJ1316" s="4">
        <v>4</v>
      </c>
      <c r="AK1316" s="4">
        <v>4</v>
      </c>
      <c r="AL1316" s="4">
        <v>0</v>
      </c>
      <c r="AM1316" s="4">
        <v>0</v>
      </c>
      <c r="AN1316" s="4">
        <v>2</v>
      </c>
      <c r="AO1316" s="4">
        <v>2</v>
      </c>
      <c r="AP1316" s="3" t="s">
        <v>58</v>
      </c>
      <c r="AQ1316" s="3" t="s">
        <v>58</v>
      </c>
      <c r="AS1316" s="6" t="str">
        <f>HYPERLINK("https://creighton-primo.hosted.exlibrisgroup.com/primo-explore/search?tab=default_tab&amp;search_scope=EVERYTHING&amp;vid=01CRU&amp;lang=en_US&amp;offset=0&amp;query=any,contains,991000387999702656","Catalog Record")</f>
        <v>Catalog Record</v>
      </c>
      <c r="AT1316" s="6" t="str">
        <f>HYPERLINK("http://www.worldcat.org/oclc/489236663","WorldCat Record")</f>
        <v>WorldCat Record</v>
      </c>
      <c r="AU1316" s="3" t="s">
        <v>16499</v>
      </c>
      <c r="AV1316" s="3" t="s">
        <v>16500</v>
      </c>
      <c r="AW1316" s="3" t="s">
        <v>16501</v>
      </c>
      <c r="AX1316" s="3" t="s">
        <v>16501</v>
      </c>
      <c r="AY1316" s="3" t="s">
        <v>16502</v>
      </c>
      <c r="AZ1316" s="3" t="s">
        <v>73</v>
      </c>
      <c r="BB1316" s="3" t="s">
        <v>16503</v>
      </c>
      <c r="BC1316" s="3" t="s">
        <v>16504</v>
      </c>
      <c r="BD1316" s="3" t="s">
        <v>16505</v>
      </c>
    </row>
    <row r="1317" spans="1:56" ht="51" customHeight="1" x14ac:dyDescent="0.25">
      <c r="A1317" s="7" t="s">
        <v>58</v>
      </c>
      <c r="B1317" s="2" t="s">
        <v>16506</v>
      </c>
      <c r="C1317" s="2" t="s">
        <v>16507</v>
      </c>
      <c r="D1317" s="2" t="s">
        <v>16508</v>
      </c>
      <c r="F1317" s="3" t="s">
        <v>58</v>
      </c>
      <c r="G1317" s="3" t="s">
        <v>59</v>
      </c>
      <c r="H1317" s="3" t="s">
        <v>58</v>
      </c>
      <c r="I1317" s="3" t="s">
        <v>58</v>
      </c>
      <c r="J1317" s="3" t="s">
        <v>60</v>
      </c>
      <c r="L1317" s="2" t="s">
        <v>16509</v>
      </c>
      <c r="M1317" s="3" t="s">
        <v>1784</v>
      </c>
      <c r="O1317" s="3" t="s">
        <v>63</v>
      </c>
      <c r="P1317" s="3" t="s">
        <v>816</v>
      </c>
      <c r="R1317" s="3" t="s">
        <v>65</v>
      </c>
      <c r="S1317" s="4">
        <v>5</v>
      </c>
      <c r="T1317" s="4">
        <v>5</v>
      </c>
      <c r="U1317" s="5" t="s">
        <v>16510</v>
      </c>
      <c r="V1317" s="5" t="s">
        <v>16510</v>
      </c>
      <c r="W1317" s="5" t="s">
        <v>14853</v>
      </c>
      <c r="X1317" s="5" t="s">
        <v>14853</v>
      </c>
      <c r="Y1317" s="4">
        <v>300</v>
      </c>
      <c r="Z1317" s="4">
        <v>243</v>
      </c>
      <c r="AA1317" s="4">
        <v>251</v>
      </c>
      <c r="AB1317" s="4">
        <v>4</v>
      </c>
      <c r="AC1317" s="4">
        <v>4</v>
      </c>
      <c r="AD1317" s="4">
        <v>10</v>
      </c>
      <c r="AE1317" s="4">
        <v>10</v>
      </c>
      <c r="AF1317" s="4">
        <v>1</v>
      </c>
      <c r="AG1317" s="4">
        <v>1</v>
      </c>
      <c r="AH1317" s="4">
        <v>2</v>
      </c>
      <c r="AI1317" s="4">
        <v>2</v>
      </c>
      <c r="AJ1317" s="4">
        <v>4</v>
      </c>
      <c r="AK1317" s="4">
        <v>4</v>
      </c>
      <c r="AL1317" s="4">
        <v>3</v>
      </c>
      <c r="AM1317" s="4">
        <v>3</v>
      </c>
      <c r="AN1317" s="4">
        <v>0</v>
      </c>
      <c r="AO1317" s="4">
        <v>0</v>
      </c>
      <c r="AP1317" s="3" t="s">
        <v>58</v>
      </c>
      <c r="AQ1317" s="3" t="s">
        <v>68</v>
      </c>
      <c r="AR1317" s="6" t="str">
        <f>HYPERLINK("http://catalog.hathitrust.org/Record/000256408","HathiTrust Record")</f>
        <v>HathiTrust Record</v>
      </c>
      <c r="AS1317" s="6" t="str">
        <f>HYPERLINK("https://creighton-primo.hosted.exlibrisgroup.com/primo-explore/search?tab=default_tab&amp;search_scope=EVERYTHING&amp;vid=01CRU&amp;lang=en_US&amp;offset=0&amp;query=any,contains,991004658969702656","Catalog Record")</f>
        <v>Catalog Record</v>
      </c>
      <c r="AT1317" s="6" t="str">
        <f>HYPERLINK("http://www.worldcat.org/oclc/4496166","WorldCat Record")</f>
        <v>WorldCat Record</v>
      </c>
      <c r="AU1317" s="3" t="s">
        <v>16511</v>
      </c>
      <c r="AV1317" s="3" t="s">
        <v>16512</v>
      </c>
      <c r="AW1317" s="3" t="s">
        <v>16513</v>
      </c>
      <c r="AX1317" s="3" t="s">
        <v>16513</v>
      </c>
      <c r="AY1317" s="3" t="s">
        <v>16514</v>
      </c>
      <c r="AZ1317" s="3" t="s">
        <v>73</v>
      </c>
      <c r="BB1317" s="3" t="s">
        <v>16515</v>
      </c>
      <c r="BC1317" s="3" t="s">
        <v>16516</v>
      </c>
      <c r="BD1317" s="3" t="s">
        <v>16517</v>
      </c>
    </row>
    <row r="1318" spans="1:56" ht="51" customHeight="1" x14ac:dyDescent="0.25">
      <c r="A1318" s="7" t="s">
        <v>58</v>
      </c>
      <c r="B1318" s="2" t="s">
        <v>16518</v>
      </c>
      <c r="C1318" s="2" t="s">
        <v>16519</v>
      </c>
      <c r="D1318" s="2" t="s">
        <v>16520</v>
      </c>
      <c r="F1318" s="3" t="s">
        <v>58</v>
      </c>
      <c r="G1318" s="3" t="s">
        <v>59</v>
      </c>
      <c r="H1318" s="3" t="s">
        <v>58</v>
      </c>
      <c r="I1318" s="3" t="s">
        <v>58</v>
      </c>
      <c r="J1318" s="3" t="s">
        <v>60</v>
      </c>
      <c r="L1318" s="2" t="s">
        <v>16521</v>
      </c>
      <c r="M1318" s="3" t="s">
        <v>196</v>
      </c>
      <c r="O1318" s="3" t="s">
        <v>63</v>
      </c>
      <c r="P1318" s="3" t="s">
        <v>214</v>
      </c>
      <c r="R1318" s="3" t="s">
        <v>65</v>
      </c>
      <c r="S1318" s="4">
        <v>2</v>
      </c>
      <c r="T1318" s="4">
        <v>2</v>
      </c>
      <c r="U1318" s="5" t="s">
        <v>16522</v>
      </c>
      <c r="V1318" s="5" t="s">
        <v>16522</v>
      </c>
      <c r="W1318" s="5" t="s">
        <v>16523</v>
      </c>
      <c r="X1318" s="5" t="s">
        <v>16523</v>
      </c>
      <c r="Y1318" s="4">
        <v>479</v>
      </c>
      <c r="Z1318" s="4">
        <v>391</v>
      </c>
      <c r="AA1318" s="4">
        <v>397</v>
      </c>
      <c r="AB1318" s="4">
        <v>3</v>
      </c>
      <c r="AC1318" s="4">
        <v>3</v>
      </c>
      <c r="AD1318" s="4">
        <v>17</v>
      </c>
      <c r="AE1318" s="4">
        <v>18</v>
      </c>
      <c r="AF1318" s="4">
        <v>3</v>
      </c>
      <c r="AG1318" s="4">
        <v>4</v>
      </c>
      <c r="AH1318" s="4">
        <v>6</v>
      </c>
      <c r="AI1318" s="4">
        <v>6</v>
      </c>
      <c r="AJ1318" s="4">
        <v>9</v>
      </c>
      <c r="AK1318" s="4">
        <v>10</v>
      </c>
      <c r="AL1318" s="4">
        <v>2</v>
      </c>
      <c r="AM1318" s="4">
        <v>2</v>
      </c>
      <c r="AN1318" s="4">
        <v>0</v>
      </c>
      <c r="AO1318" s="4">
        <v>0</v>
      </c>
      <c r="AP1318" s="3" t="s">
        <v>58</v>
      </c>
      <c r="AQ1318" s="3" t="s">
        <v>58</v>
      </c>
      <c r="AS1318" s="6" t="str">
        <f>HYPERLINK("https://creighton-primo.hosted.exlibrisgroup.com/primo-explore/search?tab=default_tab&amp;search_scope=EVERYTHING&amp;vid=01CRU&amp;lang=en_US&amp;offset=0&amp;query=any,contains,991002560329702656","Catalog Record")</f>
        <v>Catalog Record</v>
      </c>
      <c r="AT1318" s="6" t="str">
        <f>HYPERLINK("http://www.worldcat.org/oclc/33277338","WorldCat Record")</f>
        <v>WorldCat Record</v>
      </c>
      <c r="AU1318" s="3" t="s">
        <v>16524</v>
      </c>
      <c r="AV1318" s="3" t="s">
        <v>16525</v>
      </c>
      <c r="AW1318" s="3" t="s">
        <v>16526</v>
      </c>
      <c r="AX1318" s="3" t="s">
        <v>16526</v>
      </c>
      <c r="AY1318" s="3" t="s">
        <v>16527</v>
      </c>
      <c r="AZ1318" s="3" t="s">
        <v>73</v>
      </c>
      <c r="BB1318" s="3" t="s">
        <v>16528</v>
      </c>
      <c r="BC1318" s="3" t="s">
        <v>16529</v>
      </c>
      <c r="BD1318" s="3" t="s">
        <v>16530</v>
      </c>
    </row>
    <row r="1319" spans="1:56" ht="51" customHeight="1" x14ac:dyDescent="0.25">
      <c r="A1319" s="7" t="s">
        <v>58</v>
      </c>
      <c r="B1319" s="2" t="s">
        <v>16531</v>
      </c>
      <c r="C1319" s="2" t="s">
        <v>16532</v>
      </c>
      <c r="D1319" s="2" t="s">
        <v>16533</v>
      </c>
      <c r="F1319" s="3" t="s">
        <v>58</v>
      </c>
      <c r="G1319" s="3" t="s">
        <v>59</v>
      </c>
      <c r="H1319" s="3" t="s">
        <v>58</v>
      </c>
      <c r="I1319" s="3" t="s">
        <v>58</v>
      </c>
      <c r="J1319" s="3" t="s">
        <v>60</v>
      </c>
      <c r="L1319" s="2" t="s">
        <v>16534</v>
      </c>
      <c r="M1319" s="3" t="s">
        <v>855</v>
      </c>
      <c r="O1319" s="3" t="s">
        <v>63</v>
      </c>
      <c r="P1319" s="3" t="s">
        <v>411</v>
      </c>
      <c r="R1319" s="3" t="s">
        <v>65</v>
      </c>
      <c r="S1319" s="4">
        <v>1</v>
      </c>
      <c r="T1319" s="4">
        <v>1</v>
      </c>
      <c r="U1319" s="5" t="s">
        <v>16510</v>
      </c>
      <c r="V1319" s="5" t="s">
        <v>16510</v>
      </c>
      <c r="W1319" s="5" t="s">
        <v>16535</v>
      </c>
      <c r="X1319" s="5" t="s">
        <v>16535</v>
      </c>
      <c r="Y1319" s="4">
        <v>117</v>
      </c>
      <c r="Z1319" s="4">
        <v>97</v>
      </c>
      <c r="AA1319" s="4">
        <v>98</v>
      </c>
      <c r="AB1319" s="4">
        <v>1</v>
      </c>
      <c r="AC1319" s="4">
        <v>1</v>
      </c>
      <c r="AD1319" s="4">
        <v>7</v>
      </c>
      <c r="AE1319" s="4">
        <v>7</v>
      </c>
      <c r="AF1319" s="4">
        <v>2</v>
      </c>
      <c r="AG1319" s="4">
        <v>2</v>
      </c>
      <c r="AH1319" s="4">
        <v>4</v>
      </c>
      <c r="AI1319" s="4">
        <v>4</v>
      </c>
      <c r="AJ1319" s="4">
        <v>4</v>
      </c>
      <c r="AK1319" s="4">
        <v>4</v>
      </c>
      <c r="AL1319" s="4">
        <v>0</v>
      </c>
      <c r="AM1319" s="4">
        <v>0</v>
      </c>
      <c r="AN1319" s="4">
        <v>0</v>
      </c>
      <c r="AO1319" s="4">
        <v>0</v>
      </c>
      <c r="AP1319" s="3" t="s">
        <v>58</v>
      </c>
      <c r="AQ1319" s="3" t="s">
        <v>68</v>
      </c>
      <c r="AR1319" s="6" t="str">
        <f>HYPERLINK("http://catalog.hathitrust.org/Record/002737974","HathiTrust Record")</f>
        <v>HathiTrust Record</v>
      </c>
      <c r="AS1319" s="6" t="str">
        <f>HYPERLINK("https://creighton-primo.hosted.exlibrisgroup.com/primo-explore/search?tab=default_tab&amp;search_scope=EVERYTHING&amp;vid=01CRU&amp;lang=en_US&amp;offset=0&amp;query=any,contains,991002098679702656","Catalog Record")</f>
        <v>Catalog Record</v>
      </c>
      <c r="AT1319" s="6" t="str">
        <f>HYPERLINK("http://www.worldcat.org/oclc/26931170","WorldCat Record")</f>
        <v>WorldCat Record</v>
      </c>
      <c r="AU1319" s="3" t="s">
        <v>16536</v>
      </c>
      <c r="AV1319" s="3" t="s">
        <v>16537</v>
      </c>
      <c r="AW1319" s="3" t="s">
        <v>16538</v>
      </c>
      <c r="AX1319" s="3" t="s">
        <v>16538</v>
      </c>
      <c r="AY1319" s="3" t="s">
        <v>16539</v>
      </c>
      <c r="AZ1319" s="3" t="s">
        <v>73</v>
      </c>
      <c r="BB1319" s="3" t="s">
        <v>16540</v>
      </c>
      <c r="BC1319" s="3" t="s">
        <v>16541</v>
      </c>
      <c r="BD1319" s="3" t="s">
        <v>16542</v>
      </c>
    </row>
    <row r="1320" spans="1:56" ht="51" customHeight="1" x14ac:dyDescent="0.25">
      <c r="A1320" s="7" t="s">
        <v>58</v>
      </c>
      <c r="B1320" s="2" t="s">
        <v>16543</v>
      </c>
      <c r="C1320" s="2" t="s">
        <v>16544</v>
      </c>
      <c r="D1320" s="2" t="s">
        <v>16545</v>
      </c>
      <c r="F1320" s="3" t="s">
        <v>58</v>
      </c>
      <c r="G1320" s="3" t="s">
        <v>59</v>
      </c>
      <c r="H1320" s="3" t="s">
        <v>58</v>
      </c>
      <c r="I1320" s="3" t="s">
        <v>58</v>
      </c>
      <c r="J1320" s="3" t="s">
        <v>60</v>
      </c>
      <c r="K1320" s="2" t="s">
        <v>16546</v>
      </c>
      <c r="L1320" s="2" t="s">
        <v>16547</v>
      </c>
      <c r="M1320" s="3" t="s">
        <v>337</v>
      </c>
      <c r="N1320" s="2" t="s">
        <v>16548</v>
      </c>
      <c r="O1320" s="3" t="s">
        <v>63</v>
      </c>
      <c r="P1320" s="3" t="s">
        <v>2061</v>
      </c>
      <c r="R1320" s="3" t="s">
        <v>65</v>
      </c>
      <c r="S1320" s="4">
        <v>1</v>
      </c>
      <c r="T1320" s="4">
        <v>1</v>
      </c>
      <c r="U1320" s="5" t="s">
        <v>16549</v>
      </c>
      <c r="V1320" s="5" t="s">
        <v>16549</v>
      </c>
      <c r="W1320" s="5" t="s">
        <v>16549</v>
      </c>
      <c r="X1320" s="5" t="s">
        <v>16549</v>
      </c>
      <c r="Y1320" s="4">
        <v>15</v>
      </c>
      <c r="Z1320" s="4">
        <v>14</v>
      </c>
      <c r="AA1320" s="4">
        <v>14</v>
      </c>
      <c r="AB1320" s="4">
        <v>1</v>
      </c>
      <c r="AC1320" s="4">
        <v>1</v>
      </c>
      <c r="AD1320" s="4">
        <v>0</v>
      </c>
      <c r="AE1320" s="4">
        <v>0</v>
      </c>
      <c r="AF1320" s="4">
        <v>0</v>
      </c>
      <c r="AG1320" s="4">
        <v>0</v>
      </c>
      <c r="AH1320" s="4">
        <v>0</v>
      </c>
      <c r="AI1320" s="4">
        <v>0</v>
      </c>
      <c r="AJ1320" s="4">
        <v>0</v>
      </c>
      <c r="AK1320" s="4">
        <v>0</v>
      </c>
      <c r="AL1320" s="4">
        <v>0</v>
      </c>
      <c r="AM1320" s="4">
        <v>0</v>
      </c>
      <c r="AN1320" s="4">
        <v>0</v>
      </c>
      <c r="AO1320" s="4">
        <v>0</v>
      </c>
      <c r="AP1320" s="3" t="s">
        <v>58</v>
      </c>
      <c r="AQ1320" s="3" t="s">
        <v>58</v>
      </c>
      <c r="AS1320" s="6" t="str">
        <f>HYPERLINK("https://creighton-primo.hosted.exlibrisgroup.com/primo-explore/search?tab=default_tab&amp;search_scope=EVERYTHING&amp;vid=01CRU&amp;lang=en_US&amp;offset=0&amp;query=any,contains,991004766689702656","Catalog Record")</f>
        <v>Catalog Record</v>
      </c>
      <c r="AT1320" s="6" t="str">
        <f>HYPERLINK("http://www.worldcat.org/oclc/55040401","WorldCat Record")</f>
        <v>WorldCat Record</v>
      </c>
      <c r="AU1320" s="3" t="s">
        <v>16550</v>
      </c>
      <c r="AV1320" s="3" t="s">
        <v>16551</v>
      </c>
      <c r="AW1320" s="3" t="s">
        <v>16552</v>
      </c>
      <c r="AX1320" s="3" t="s">
        <v>16552</v>
      </c>
      <c r="AY1320" s="3" t="s">
        <v>16553</v>
      </c>
      <c r="AZ1320" s="3" t="s">
        <v>73</v>
      </c>
      <c r="BB1320" s="3" t="s">
        <v>16554</v>
      </c>
      <c r="BC1320" s="3" t="s">
        <v>16555</v>
      </c>
      <c r="BD1320" s="3" t="s">
        <v>16556</v>
      </c>
    </row>
    <row r="1321" spans="1:56" ht="51" customHeight="1" x14ac:dyDescent="0.25">
      <c r="A1321" s="7" t="s">
        <v>58</v>
      </c>
      <c r="B1321" s="2" t="s">
        <v>16557</v>
      </c>
      <c r="C1321" s="2" t="s">
        <v>16558</v>
      </c>
      <c r="D1321" s="2" t="s">
        <v>16559</v>
      </c>
      <c r="F1321" s="3" t="s">
        <v>58</v>
      </c>
      <c r="G1321" s="3" t="s">
        <v>59</v>
      </c>
      <c r="H1321" s="3" t="s">
        <v>58</v>
      </c>
      <c r="I1321" s="3" t="s">
        <v>58</v>
      </c>
      <c r="J1321" s="3" t="s">
        <v>60</v>
      </c>
      <c r="K1321" s="2" t="s">
        <v>16560</v>
      </c>
      <c r="L1321" s="2" t="s">
        <v>16561</v>
      </c>
      <c r="M1321" s="3" t="s">
        <v>2295</v>
      </c>
      <c r="O1321" s="3" t="s">
        <v>63</v>
      </c>
      <c r="P1321" s="3" t="s">
        <v>64</v>
      </c>
      <c r="R1321" s="3" t="s">
        <v>65</v>
      </c>
      <c r="S1321" s="4">
        <v>2</v>
      </c>
      <c r="T1321" s="4">
        <v>2</v>
      </c>
      <c r="U1321" s="5" t="s">
        <v>16562</v>
      </c>
      <c r="V1321" s="5" t="s">
        <v>16562</v>
      </c>
      <c r="W1321" s="5" t="s">
        <v>16563</v>
      </c>
      <c r="X1321" s="5" t="s">
        <v>16563</v>
      </c>
      <c r="Y1321" s="4">
        <v>269</v>
      </c>
      <c r="Z1321" s="4">
        <v>205</v>
      </c>
      <c r="AA1321" s="4">
        <v>484</v>
      </c>
      <c r="AB1321" s="4">
        <v>1</v>
      </c>
      <c r="AC1321" s="4">
        <v>2</v>
      </c>
      <c r="AD1321" s="4">
        <v>3</v>
      </c>
      <c r="AE1321" s="4">
        <v>6</v>
      </c>
      <c r="AF1321" s="4">
        <v>0</v>
      </c>
      <c r="AG1321" s="4">
        <v>2</v>
      </c>
      <c r="AH1321" s="4">
        <v>1</v>
      </c>
      <c r="AI1321" s="4">
        <v>2</v>
      </c>
      <c r="AJ1321" s="4">
        <v>3</v>
      </c>
      <c r="AK1321" s="4">
        <v>3</v>
      </c>
      <c r="AL1321" s="4">
        <v>0</v>
      </c>
      <c r="AM1321" s="4">
        <v>1</v>
      </c>
      <c r="AN1321" s="4">
        <v>0</v>
      </c>
      <c r="AO1321" s="4">
        <v>0</v>
      </c>
      <c r="AP1321" s="3" t="s">
        <v>58</v>
      </c>
      <c r="AQ1321" s="3" t="s">
        <v>58</v>
      </c>
      <c r="AS1321" s="6" t="str">
        <f>HYPERLINK("https://creighton-primo.hosted.exlibrisgroup.com/primo-explore/search?tab=default_tab&amp;search_scope=EVERYTHING&amp;vid=01CRU&amp;lang=en_US&amp;offset=0&amp;query=any,contains,991004313479702656","Catalog Record")</f>
        <v>Catalog Record</v>
      </c>
      <c r="AT1321" s="6" t="str">
        <f>HYPERLINK("http://www.worldcat.org/oclc/54536539","WorldCat Record")</f>
        <v>WorldCat Record</v>
      </c>
      <c r="AU1321" s="3" t="s">
        <v>16564</v>
      </c>
      <c r="AV1321" s="3" t="s">
        <v>16565</v>
      </c>
      <c r="AW1321" s="3" t="s">
        <v>16566</v>
      </c>
      <c r="AX1321" s="3" t="s">
        <v>16566</v>
      </c>
      <c r="AY1321" s="3" t="s">
        <v>16567</v>
      </c>
      <c r="AZ1321" s="3" t="s">
        <v>73</v>
      </c>
      <c r="BB1321" s="3" t="s">
        <v>16568</v>
      </c>
      <c r="BC1321" s="3" t="s">
        <v>16569</v>
      </c>
      <c r="BD1321" s="3" t="s">
        <v>16570</v>
      </c>
    </row>
    <row r="1322" spans="1:56" ht="51" customHeight="1" x14ac:dyDescent="0.25">
      <c r="A1322" s="7" t="s">
        <v>58</v>
      </c>
      <c r="B1322" s="2" t="s">
        <v>16571</v>
      </c>
      <c r="C1322" s="2" t="s">
        <v>16572</v>
      </c>
      <c r="D1322" s="2" t="s">
        <v>16573</v>
      </c>
      <c r="F1322" s="3" t="s">
        <v>58</v>
      </c>
      <c r="G1322" s="3" t="s">
        <v>59</v>
      </c>
      <c r="H1322" s="3" t="s">
        <v>58</v>
      </c>
      <c r="I1322" s="3" t="s">
        <v>58</v>
      </c>
      <c r="J1322" s="3" t="s">
        <v>60</v>
      </c>
      <c r="K1322" s="2" t="s">
        <v>16574</v>
      </c>
      <c r="L1322" s="2" t="s">
        <v>16575</v>
      </c>
      <c r="M1322" s="3" t="s">
        <v>855</v>
      </c>
      <c r="N1322" s="2" t="s">
        <v>338</v>
      </c>
      <c r="O1322" s="3" t="s">
        <v>63</v>
      </c>
      <c r="P1322" s="3" t="s">
        <v>214</v>
      </c>
      <c r="R1322" s="3" t="s">
        <v>65</v>
      </c>
      <c r="S1322" s="4">
        <v>4</v>
      </c>
      <c r="T1322" s="4">
        <v>4</v>
      </c>
      <c r="U1322" s="5" t="s">
        <v>16576</v>
      </c>
      <c r="V1322" s="5" t="s">
        <v>16576</v>
      </c>
      <c r="W1322" s="5" t="s">
        <v>16577</v>
      </c>
      <c r="X1322" s="5" t="s">
        <v>16577</v>
      </c>
      <c r="Y1322" s="4">
        <v>608</v>
      </c>
      <c r="Z1322" s="4">
        <v>558</v>
      </c>
      <c r="AA1322" s="4">
        <v>605</v>
      </c>
      <c r="AB1322" s="4">
        <v>4</v>
      </c>
      <c r="AC1322" s="4">
        <v>4</v>
      </c>
      <c r="AD1322" s="4">
        <v>14</v>
      </c>
      <c r="AE1322" s="4">
        <v>20</v>
      </c>
      <c r="AF1322" s="4">
        <v>3</v>
      </c>
      <c r="AG1322" s="4">
        <v>5</v>
      </c>
      <c r="AH1322" s="4">
        <v>5</v>
      </c>
      <c r="AI1322" s="4">
        <v>6</v>
      </c>
      <c r="AJ1322" s="4">
        <v>7</v>
      </c>
      <c r="AK1322" s="4">
        <v>11</v>
      </c>
      <c r="AL1322" s="4">
        <v>2</v>
      </c>
      <c r="AM1322" s="4">
        <v>2</v>
      </c>
      <c r="AN1322" s="4">
        <v>0</v>
      </c>
      <c r="AO1322" s="4">
        <v>0</v>
      </c>
      <c r="AP1322" s="3" t="s">
        <v>58</v>
      </c>
      <c r="AQ1322" s="3" t="s">
        <v>68</v>
      </c>
      <c r="AR1322" s="6" t="str">
        <f>HYPERLINK("http://catalog.hathitrust.org/Record/002635740","HathiTrust Record")</f>
        <v>HathiTrust Record</v>
      </c>
      <c r="AS1322" s="6" t="str">
        <f>HYPERLINK("https://creighton-primo.hosted.exlibrisgroup.com/primo-explore/search?tab=default_tab&amp;search_scope=EVERYTHING&amp;vid=01CRU&amp;lang=en_US&amp;offset=0&amp;query=any,contains,991002074289702656","Catalog Record")</f>
        <v>Catalog Record</v>
      </c>
      <c r="AT1322" s="6" t="str">
        <f>HYPERLINK("http://www.worldcat.org/oclc/26587440","WorldCat Record")</f>
        <v>WorldCat Record</v>
      </c>
      <c r="AU1322" s="3" t="s">
        <v>16578</v>
      </c>
      <c r="AV1322" s="3" t="s">
        <v>16579</v>
      </c>
      <c r="AW1322" s="3" t="s">
        <v>16580</v>
      </c>
      <c r="AX1322" s="3" t="s">
        <v>16580</v>
      </c>
      <c r="AY1322" s="3" t="s">
        <v>16581</v>
      </c>
      <c r="AZ1322" s="3" t="s">
        <v>73</v>
      </c>
      <c r="BB1322" s="3" t="s">
        <v>16582</v>
      </c>
      <c r="BC1322" s="3" t="s">
        <v>16583</v>
      </c>
      <c r="BD1322" s="3" t="s">
        <v>16584</v>
      </c>
    </row>
    <row r="1323" spans="1:56" ht="51" customHeight="1" x14ac:dyDescent="0.25">
      <c r="A1323" s="7" t="s">
        <v>58</v>
      </c>
      <c r="B1323" s="2" t="s">
        <v>16585</v>
      </c>
      <c r="C1323" s="2" t="s">
        <v>16586</v>
      </c>
      <c r="D1323" s="2" t="s">
        <v>16587</v>
      </c>
      <c r="F1323" s="3" t="s">
        <v>58</v>
      </c>
      <c r="G1323" s="3" t="s">
        <v>59</v>
      </c>
      <c r="H1323" s="3" t="s">
        <v>58</v>
      </c>
      <c r="I1323" s="3" t="s">
        <v>58</v>
      </c>
      <c r="J1323" s="3" t="s">
        <v>60</v>
      </c>
      <c r="K1323" s="2" t="s">
        <v>16588</v>
      </c>
      <c r="L1323" s="2" t="s">
        <v>16589</v>
      </c>
      <c r="M1323" s="3" t="s">
        <v>2186</v>
      </c>
      <c r="O1323" s="3" t="s">
        <v>63</v>
      </c>
      <c r="P1323" s="3" t="s">
        <v>3109</v>
      </c>
      <c r="Q1323" s="2" t="s">
        <v>16590</v>
      </c>
      <c r="R1323" s="3" t="s">
        <v>65</v>
      </c>
      <c r="S1323" s="4">
        <v>2</v>
      </c>
      <c r="T1323" s="4">
        <v>2</v>
      </c>
      <c r="U1323" s="5" t="s">
        <v>16591</v>
      </c>
      <c r="V1323" s="5" t="s">
        <v>16591</v>
      </c>
      <c r="W1323" s="5" t="s">
        <v>16592</v>
      </c>
      <c r="X1323" s="5" t="s">
        <v>16592</v>
      </c>
      <c r="Y1323" s="4">
        <v>304</v>
      </c>
      <c r="Z1323" s="4">
        <v>235</v>
      </c>
      <c r="AA1323" s="4">
        <v>358</v>
      </c>
      <c r="AB1323" s="4">
        <v>5</v>
      </c>
      <c r="AC1323" s="4">
        <v>5</v>
      </c>
      <c r="AD1323" s="4">
        <v>13</v>
      </c>
      <c r="AE1323" s="4">
        <v>19</v>
      </c>
      <c r="AF1323" s="4">
        <v>2</v>
      </c>
      <c r="AG1323" s="4">
        <v>4</v>
      </c>
      <c r="AH1323" s="4">
        <v>4</v>
      </c>
      <c r="AI1323" s="4">
        <v>8</v>
      </c>
      <c r="AJ1323" s="4">
        <v>5</v>
      </c>
      <c r="AK1323" s="4">
        <v>7</v>
      </c>
      <c r="AL1323" s="4">
        <v>4</v>
      </c>
      <c r="AM1323" s="4">
        <v>4</v>
      </c>
      <c r="AN1323" s="4">
        <v>0</v>
      </c>
      <c r="AO1323" s="4">
        <v>0</v>
      </c>
      <c r="AP1323" s="3" t="s">
        <v>58</v>
      </c>
      <c r="AQ1323" s="3" t="s">
        <v>68</v>
      </c>
      <c r="AR1323" s="6" t="str">
        <f>HYPERLINK("http://catalog.hathitrust.org/Record/005419455","HathiTrust Record")</f>
        <v>HathiTrust Record</v>
      </c>
      <c r="AS1323" s="6" t="str">
        <f>HYPERLINK("https://creighton-primo.hosted.exlibrisgroup.com/primo-explore/search?tab=default_tab&amp;search_scope=EVERYTHING&amp;vid=01CRU&amp;lang=en_US&amp;offset=0&amp;query=any,contains,991005046009702656","Catalog Record")</f>
        <v>Catalog Record</v>
      </c>
      <c r="AT1323" s="6" t="str">
        <f>HYPERLINK("http://www.worldcat.org/oclc/70258930","WorldCat Record")</f>
        <v>WorldCat Record</v>
      </c>
      <c r="AU1323" s="3" t="s">
        <v>16593</v>
      </c>
      <c r="AV1323" s="3" t="s">
        <v>16594</v>
      </c>
      <c r="AW1323" s="3" t="s">
        <v>16595</v>
      </c>
      <c r="AX1323" s="3" t="s">
        <v>16595</v>
      </c>
      <c r="AY1323" s="3" t="s">
        <v>16596</v>
      </c>
      <c r="AZ1323" s="3" t="s">
        <v>73</v>
      </c>
      <c r="BB1323" s="3" t="s">
        <v>16597</v>
      </c>
      <c r="BC1323" s="3" t="s">
        <v>16598</v>
      </c>
      <c r="BD1323" s="3" t="s">
        <v>16599</v>
      </c>
    </row>
    <row r="1324" spans="1:56" ht="51" customHeight="1" x14ac:dyDescent="0.25">
      <c r="A1324" s="7" t="s">
        <v>58</v>
      </c>
      <c r="B1324" s="2" t="s">
        <v>16600</v>
      </c>
      <c r="C1324" s="2" t="s">
        <v>16601</v>
      </c>
      <c r="D1324" s="2" t="s">
        <v>16602</v>
      </c>
      <c r="F1324" s="3" t="s">
        <v>58</v>
      </c>
      <c r="G1324" s="3" t="s">
        <v>59</v>
      </c>
      <c r="H1324" s="3" t="s">
        <v>58</v>
      </c>
      <c r="I1324" s="3" t="s">
        <v>58</v>
      </c>
      <c r="J1324" s="3" t="s">
        <v>60</v>
      </c>
      <c r="L1324" s="2" t="s">
        <v>16603</v>
      </c>
      <c r="M1324" s="3" t="s">
        <v>382</v>
      </c>
      <c r="N1324" s="2" t="s">
        <v>16604</v>
      </c>
      <c r="O1324" s="3" t="s">
        <v>16605</v>
      </c>
      <c r="P1324" s="3" t="s">
        <v>16606</v>
      </c>
      <c r="Q1324" s="2" t="s">
        <v>16607</v>
      </c>
      <c r="R1324" s="3" t="s">
        <v>65</v>
      </c>
      <c r="S1324" s="4">
        <v>1</v>
      </c>
      <c r="T1324" s="4">
        <v>1</v>
      </c>
      <c r="U1324" s="5" t="s">
        <v>16608</v>
      </c>
      <c r="V1324" s="5" t="s">
        <v>16608</v>
      </c>
      <c r="W1324" s="5" t="s">
        <v>16608</v>
      </c>
      <c r="X1324" s="5" t="s">
        <v>16608</v>
      </c>
      <c r="Y1324" s="4">
        <v>44</v>
      </c>
      <c r="Z1324" s="4">
        <v>28</v>
      </c>
      <c r="AA1324" s="4">
        <v>29</v>
      </c>
      <c r="AB1324" s="4">
        <v>1</v>
      </c>
      <c r="AC1324" s="4">
        <v>1</v>
      </c>
      <c r="AD1324" s="4">
        <v>0</v>
      </c>
      <c r="AE1324" s="4">
        <v>0</v>
      </c>
      <c r="AF1324" s="4">
        <v>0</v>
      </c>
      <c r="AG1324" s="4">
        <v>0</v>
      </c>
      <c r="AH1324" s="4">
        <v>0</v>
      </c>
      <c r="AI1324" s="4">
        <v>0</v>
      </c>
      <c r="AJ1324" s="4">
        <v>0</v>
      </c>
      <c r="AK1324" s="4">
        <v>0</v>
      </c>
      <c r="AL1324" s="4">
        <v>0</v>
      </c>
      <c r="AM1324" s="4">
        <v>0</v>
      </c>
      <c r="AN1324" s="4">
        <v>0</v>
      </c>
      <c r="AO1324" s="4">
        <v>0</v>
      </c>
      <c r="AP1324" s="3" t="s">
        <v>58</v>
      </c>
      <c r="AQ1324" s="3" t="s">
        <v>68</v>
      </c>
      <c r="AR1324" s="6" t="str">
        <f>HYPERLINK("http://catalog.hathitrust.org/Record/003594790","HathiTrust Record")</f>
        <v>HathiTrust Record</v>
      </c>
      <c r="AS1324" s="6" t="str">
        <f>HYPERLINK("https://creighton-primo.hosted.exlibrisgroup.com/primo-explore/search?tab=default_tab&amp;search_scope=EVERYTHING&amp;vid=01CRU&amp;lang=en_US&amp;offset=0&amp;query=any,contains,991005074589702656","Catalog Record")</f>
        <v>Catalog Record</v>
      </c>
      <c r="AT1324" s="6" t="str">
        <f>HYPERLINK("http://www.worldcat.org/oclc/42627163","WorldCat Record")</f>
        <v>WorldCat Record</v>
      </c>
      <c r="AU1324" s="3" t="s">
        <v>16609</v>
      </c>
      <c r="AV1324" s="3" t="s">
        <v>16610</v>
      </c>
      <c r="AW1324" s="3" t="s">
        <v>16611</v>
      </c>
      <c r="AX1324" s="3" t="s">
        <v>16611</v>
      </c>
      <c r="AY1324" s="3" t="s">
        <v>16612</v>
      </c>
      <c r="AZ1324" s="3" t="s">
        <v>73</v>
      </c>
      <c r="BB1324" s="3" t="s">
        <v>16613</v>
      </c>
      <c r="BC1324" s="3" t="s">
        <v>16614</v>
      </c>
      <c r="BD1324" s="3" t="s">
        <v>16615</v>
      </c>
    </row>
    <row r="1325" spans="1:56" ht="51" customHeight="1" x14ac:dyDescent="0.25">
      <c r="A1325" s="7" t="s">
        <v>58</v>
      </c>
      <c r="B1325" s="2" t="s">
        <v>16616</v>
      </c>
      <c r="C1325" s="2" t="s">
        <v>16617</v>
      </c>
      <c r="D1325" s="2" t="s">
        <v>16618</v>
      </c>
      <c r="F1325" s="3" t="s">
        <v>58</v>
      </c>
      <c r="G1325" s="3" t="s">
        <v>59</v>
      </c>
      <c r="H1325" s="3" t="s">
        <v>58</v>
      </c>
      <c r="I1325" s="3" t="s">
        <v>58</v>
      </c>
      <c r="J1325" s="3" t="s">
        <v>60</v>
      </c>
      <c r="K1325" s="2" t="s">
        <v>16619</v>
      </c>
      <c r="L1325" s="2" t="s">
        <v>16620</v>
      </c>
      <c r="M1325" s="3" t="s">
        <v>138</v>
      </c>
      <c r="O1325" s="3" t="s">
        <v>63</v>
      </c>
      <c r="P1325" s="3" t="s">
        <v>2061</v>
      </c>
      <c r="Q1325" s="2" t="s">
        <v>16621</v>
      </c>
      <c r="R1325" s="3" t="s">
        <v>65</v>
      </c>
      <c r="S1325" s="4">
        <v>7</v>
      </c>
      <c r="T1325" s="4">
        <v>7</v>
      </c>
      <c r="U1325" s="5" t="s">
        <v>16622</v>
      </c>
      <c r="V1325" s="5" t="s">
        <v>16622</v>
      </c>
      <c r="W1325" s="5" t="s">
        <v>14853</v>
      </c>
      <c r="X1325" s="5" t="s">
        <v>14853</v>
      </c>
      <c r="Y1325" s="4">
        <v>359</v>
      </c>
      <c r="Z1325" s="4">
        <v>245</v>
      </c>
      <c r="AA1325" s="4">
        <v>251</v>
      </c>
      <c r="AB1325" s="4">
        <v>2</v>
      </c>
      <c r="AC1325" s="4">
        <v>2</v>
      </c>
      <c r="AD1325" s="4">
        <v>13</v>
      </c>
      <c r="AE1325" s="4">
        <v>13</v>
      </c>
      <c r="AF1325" s="4">
        <v>6</v>
      </c>
      <c r="AG1325" s="4">
        <v>6</v>
      </c>
      <c r="AH1325" s="4">
        <v>2</v>
      </c>
      <c r="AI1325" s="4">
        <v>2</v>
      </c>
      <c r="AJ1325" s="4">
        <v>8</v>
      </c>
      <c r="AK1325" s="4">
        <v>8</v>
      </c>
      <c r="AL1325" s="4">
        <v>1</v>
      </c>
      <c r="AM1325" s="4">
        <v>1</v>
      </c>
      <c r="AN1325" s="4">
        <v>0</v>
      </c>
      <c r="AO1325" s="4">
        <v>0</v>
      </c>
      <c r="AP1325" s="3" t="s">
        <v>58</v>
      </c>
      <c r="AQ1325" s="3" t="s">
        <v>68</v>
      </c>
      <c r="AR1325" s="6" t="str">
        <f>HYPERLINK("http://catalog.hathitrust.org/Record/000268910","HathiTrust Record")</f>
        <v>HathiTrust Record</v>
      </c>
      <c r="AS1325" s="6" t="str">
        <f>HYPERLINK("https://creighton-primo.hosted.exlibrisgroup.com/primo-explore/search?tab=default_tab&amp;search_scope=EVERYTHING&amp;vid=01CRU&amp;lang=en_US&amp;offset=0&amp;query=any,contains,991000058039702656","Catalog Record")</f>
        <v>Catalog Record</v>
      </c>
      <c r="AT1325" s="6" t="str">
        <f>HYPERLINK("http://www.worldcat.org/oclc/8712663","WorldCat Record")</f>
        <v>WorldCat Record</v>
      </c>
      <c r="AU1325" s="3" t="s">
        <v>16623</v>
      </c>
      <c r="AV1325" s="3" t="s">
        <v>16624</v>
      </c>
      <c r="AW1325" s="3" t="s">
        <v>16625</v>
      </c>
      <c r="AX1325" s="3" t="s">
        <v>16625</v>
      </c>
      <c r="AY1325" s="3" t="s">
        <v>16626</v>
      </c>
      <c r="AZ1325" s="3" t="s">
        <v>73</v>
      </c>
      <c r="BB1325" s="3" t="s">
        <v>16627</v>
      </c>
      <c r="BC1325" s="3" t="s">
        <v>16628</v>
      </c>
      <c r="BD1325" s="3" t="s">
        <v>16629</v>
      </c>
    </row>
    <row r="1326" spans="1:56" ht="51" customHeight="1" x14ac:dyDescent="0.25">
      <c r="A1326" s="7" t="s">
        <v>58</v>
      </c>
      <c r="B1326" s="2" t="s">
        <v>16630</v>
      </c>
      <c r="C1326" s="2" t="s">
        <v>16631</v>
      </c>
      <c r="D1326" s="2" t="s">
        <v>16632</v>
      </c>
      <c r="F1326" s="3" t="s">
        <v>58</v>
      </c>
      <c r="G1326" s="3" t="s">
        <v>59</v>
      </c>
      <c r="H1326" s="3" t="s">
        <v>58</v>
      </c>
      <c r="I1326" s="3" t="s">
        <v>58</v>
      </c>
      <c r="J1326" s="3" t="s">
        <v>60</v>
      </c>
      <c r="K1326" s="2" t="s">
        <v>16633</v>
      </c>
      <c r="L1326" s="2" t="s">
        <v>16634</v>
      </c>
      <c r="M1326" s="3" t="s">
        <v>524</v>
      </c>
      <c r="O1326" s="3" t="s">
        <v>63</v>
      </c>
      <c r="P1326" s="3" t="s">
        <v>3109</v>
      </c>
      <c r="R1326" s="3" t="s">
        <v>65</v>
      </c>
      <c r="S1326" s="4">
        <v>5</v>
      </c>
      <c r="T1326" s="4">
        <v>5</v>
      </c>
      <c r="U1326" s="5" t="s">
        <v>16622</v>
      </c>
      <c r="V1326" s="5" t="s">
        <v>16622</v>
      </c>
      <c r="W1326" s="5" t="s">
        <v>14853</v>
      </c>
      <c r="X1326" s="5" t="s">
        <v>14853</v>
      </c>
      <c r="Y1326" s="4">
        <v>454</v>
      </c>
      <c r="Z1326" s="4">
        <v>378</v>
      </c>
      <c r="AA1326" s="4">
        <v>459</v>
      </c>
      <c r="AB1326" s="4">
        <v>3</v>
      </c>
      <c r="AC1326" s="4">
        <v>3</v>
      </c>
      <c r="AD1326" s="4">
        <v>16</v>
      </c>
      <c r="AE1326" s="4">
        <v>20</v>
      </c>
      <c r="AF1326" s="4">
        <v>5</v>
      </c>
      <c r="AG1326" s="4">
        <v>6</v>
      </c>
      <c r="AH1326" s="4">
        <v>4</v>
      </c>
      <c r="AI1326" s="4">
        <v>6</v>
      </c>
      <c r="AJ1326" s="4">
        <v>12</v>
      </c>
      <c r="AK1326" s="4">
        <v>15</v>
      </c>
      <c r="AL1326" s="4">
        <v>2</v>
      </c>
      <c r="AM1326" s="4">
        <v>2</v>
      </c>
      <c r="AN1326" s="4">
        <v>0</v>
      </c>
      <c r="AO1326" s="4">
        <v>0</v>
      </c>
      <c r="AP1326" s="3" t="s">
        <v>58</v>
      </c>
      <c r="AQ1326" s="3" t="s">
        <v>68</v>
      </c>
      <c r="AR1326" s="6" t="str">
        <f>HYPERLINK("http://catalog.hathitrust.org/Record/000394876","HathiTrust Record")</f>
        <v>HathiTrust Record</v>
      </c>
      <c r="AS1326" s="6" t="str">
        <f>HYPERLINK("https://creighton-primo.hosted.exlibrisgroup.com/primo-explore/search?tab=default_tab&amp;search_scope=EVERYTHING&amp;vid=01CRU&amp;lang=en_US&amp;offset=0&amp;query=any,contains,991000760179702656","Catalog Record")</f>
        <v>Catalog Record</v>
      </c>
      <c r="AT1326" s="6" t="str">
        <f>HYPERLINK("http://www.worldcat.org/oclc/12972607","WorldCat Record")</f>
        <v>WorldCat Record</v>
      </c>
      <c r="AU1326" s="3" t="s">
        <v>16635</v>
      </c>
      <c r="AV1326" s="3" t="s">
        <v>16636</v>
      </c>
      <c r="AW1326" s="3" t="s">
        <v>16637</v>
      </c>
      <c r="AX1326" s="3" t="s">
        <v>16637</v>
      </c>
      <c r="AY1326" s="3" t="s">
        <v>16638</v>
      </c>
      <c r="AZ1326" s="3" t="s">
        <v>73</v>
      </c>
      <c r="BB1326" s="3" t="s">
        <v>16639</v>
      </c>
      <c r="BC1326" s="3" t="s">
        <v>16640</v>
      </c>
      <c r="BD1326" s="3" t="s">
        <v>16641</v>
      </c>
    </row>
    <row r="1327" spans="1:56" ht="51" customHeight="1" x14ac:dyDescent="0.25">
      <c r="A1327" s="7" t="s">
        <v>58</v>
      </c>
      <c r="B1327" s="2" t="s">
        <v>16642</v>
      </c>
      <c r="C1327" s="2" t="s">
        <v>16643</v>
      </c>
      <c r="D1327" s="2" t="s">
        <v>16644</v>
      </c>
      <c r="F1327" s="3" t="s">
        <v>58</v>
      </c>
      <c r="G1327" s="3" t="s">
        <v>59</v>
      </c>
      <c r="H1327" s="3" t="s">
        <v>58</v>
      </c>
      <c r="I1327" s="3" t="s">
        <v>58</v>
      </c>
      <c r="J1327" s="3" t="s">
        <v>60</v>
      </c>
      <c r="K1327" s="2" t="s">
        <v>16645</v>
      </c>
      <c r="L1327" s="2" t="s">
        <v>16646</v>
      </c>
      <c r="M1327" s="3" t="s">
        <v>353</v>
      </c>
      <c r="O1327" s="3" t="s">
        <v>63</v>
      </c>
      <c r="P1327" s="3" t="s">
        <v>214</v>
      </c>
      <c r="R1327" s="3" t="s">
        <v>65</v>
      </c>
      <c r="S1327" s="4">
        <v>4</v>
      </c>
      <c r="T1327" s="4">
        <v>4</v>
      </c>
      <c r="U1327" s="5" t="s">
        <v>7792</v>
      </c>
      <c r="V1327" s="5" t="s">
        <v>7792</v>
      </c>
      <c r="W1327" s="5" t="s">
        <v>14853</v>
      </c>
      <c r="X1327" s="5" t="s">
        <v>14853</v>
      </c>
      <c r="Y1327" s="4">
        <v>556</v>
      </c>
      <c r="Z1327" s="4">
        <v>449</v>
      </c>
      <c r="AA1327" s="4">
        <v>457</v>
      </c>
      <c r="AB1327" s="4">
        <v>4</v>
      </c>
      <c r="AC1327" s="4">
        <v>4</v>
      </c>
      <c r="AD1327" s="4">
        <v>29</v>
      </c>
      <c r="AE1327" s="4">
        <v>29</v>
      </c>
      <c r="AF1327" s="4">
        <v>9</v>
      </c>
      <c r="AG1327" s="4">
        <v>9</v>
      </c>
      <c r="AH1327" s="4">
        <v>9</v>
      </c>
      <c r="AI1327" s="4">
        <v>9</v>
      </c>
      <c r="AJ1327" s="4">
        <v>18</v>
      </c>
      <c r="AK1327" s="4">
        <v>18</v>
      </c>
      <c r="AL1327" s="4">
        <v>3</v>
      </c>
      <c r="AM1327" s="4">
        <v>3</v>
      </c>
      <c r="AN1327" s="4">
        <v>0</v>
      </c>
      <c r="AO1327" s="4">
        <v>0</v>
      </c>
      <c r="AP1327" s="3" t="s">
        <v>58</v>
      </c>
      <c r="AQ1327" s="3" t="s">
        <v>58</v>
      </c>
      <c r="AS1327" s="6" t="str">
        <f>HYPERLINK("https://creighton-primo.hosted.exlibrisgroup.com/primo-explore/search?tab=default_tab&amp;search_scope=EVERYTHING&amp;vid=01CRU&amp;lang=en_US&amp;offset=0&amp;query=any,contains,991000897599702656","Catalog Record")</f>
        <v>Catalog Record</v>
      </c>
      <c r="AT1327" s="6" t="str">
        <f>HYPERLINK("http://www.worldcat.org/oclc/14002068","WorldCat Record")</f>
        <v>WorldCat Record</v>
      </c>
      <c r="AU1327" s="3" t="s">
        <v>16647</v>
      </c>
      <c r="AV1327" s="3" t="s">
        <v>16648</v>
      </c>
      <c r="AW1327" s="3" t="s">
        <v>16649</v>
      </c>
      <c r="AX1327" s="3" t="s">
        <v>16649</v>
      </c>
      <c r="AY1327" s="3" t="s">
        <v>16650</v>
      </c>
      <c r="AZ1327" s="3" t="s">
        <v>73</v>
      </c>
      <c r="BB1327" s="3" t="s">
        <v>16651</v>
      </c>
      <c r="BC1327" s="3" t="s">
        <v>16652</v>
      </c>
      <c r="BD1327" s="3" t="s">
        <v>16653</v>
      </c>
    </row>
    <row r="1328" spans="1:56" ht="51" customHeight="1" x14ac:dyDescent="0.25">
      <c r="A1328" s="7" t="s">
        <v>58</v>
      </c>
      <c r="B1328" s="2" t="s">
        <v>16654</v>
      </c>
      <c r="C1328" s="2" t="s">
        <v>16655</v>
      </c>
      <c r="D1328" s="2" t="s">
        <v>16656</v>
      </c>
      <c r="F1328" s="3" t="s">
        <v>58</v>
      </c>
      <c r="G1328" s="3" t="s">
        <v>59</v>
      </c>
      <c r="H1328" s="3" t="s">
        <v>58</v>
      </c>
      <c r="I1328" s="3" t="s">
        <v>58</v>
      </c>
      <c r="J1328" s="3" t="s">
        <v>60</v>
      </c>
      <c r="K1328" s="2" t="s">
        <v>16657</v>
      </c>
      <c r="L1328" s="2" t="s">
        <v>16658</v>
      </c>
      <c r="M1328" s="3" t="s">
        <v>552</v>
      </c>
      <c r="O1328" s="3" t="s">
        <v>63</v>
      </c>
      <c r="P1328" s="3" t="s">
        <v>214</v>
      </c>
      <c r="R1328" s="3" t="s">
        <v>65</v>
      </c>
      <c r="S1328" s="4">
        <v>7</v>
      </c>
      <c r="T1328" s="4">
        <v>7</v>
      </c>
      <c r="U1328" s="5" t="s">
        <v>15174</v>
      </c>
      <c r="V1328" s="5" t="s">
        <v>15174</v>
      </c>
      <c r="W1328" s="5" t="s">
        <v>5684</v>
      </c>
      <c r="X1328" s="5" t="s">
        <v>5684</v>
      </c>
      <c r="Y1328" s="4">
        <v>306</v>
      </c>
      <c r="Z1328" s="4">
        <v>219</v>
      </c>
      <c r="AA1328" s="4">
        <v>232</v>
      </c>
      <c r="AB1328" s="4">
        <v>2</v>
      </c>
      <c r="AC1328" s="4">
        <v>2</v>
      </c>
      <c r="AD1328" s="4">
        <v>12</v>
      </c>
      <c r="AE1328" s="4">
        <v>12</v>
      </c>
      <c r="AF1328" s="4">
        <v>2</v>
      </c>
      <c r="AG1328" s="4">
        <v>2</v>
      </c>
      <c r="AH1328" s="4">
        <v>3</v>
      </c>
      <c r="AI1328" s="4">
        <v>3</v>
      </c>
      <c r="AJ1328" s="4">
        <v>10</v>
      </c>
      <c r="AK1328" s="4">
        <v>10</v>
      </c>
      <c r="AL1328" s="4">
        <v>1</v>
      </c>
      <c r="AM1328" s="4">
        <v>1</v>
      </c>
      <c r="AN1328" s="4">
        <v>0</v>
      </c>
      <c r="AO1328" s="4">
        <v>0</v>
      </c>
      <c r="AP1328" s="3" t="s">
        <v>58</v>
      </c>
      <c r="AQ1328" s="3" t="s">
        <v>68</v>
      </c>
      <c r="AR1328" s="6" t="str">
        <f>HYPERLINK("http://catalog.hathitrust.org/Record/002427970","HathiTrust Record")</f>
        <v>HathiTrust Record</v>
      </c>
      <c r="AS1328" s="6" t="str">
        <f>HYPERLINK("https://creighton-primo.hosted.exlibrisgroup.com/primo-explore/search?tab=default_tab&amp;search_scope=EVERYTHING&amp;vid=01CRU&amp;lang=en_US&amp;offset=0&amp;query=any,contains,991001619219702656","Catalog Record")</f>
        <v>Catalog Record</v>
      </c>
      <c r="AT1328" s="6" t="str">
        <f>HYPERLINK("http://www.worldcat.org/oclc/20800516","WorldCat Record")</f>
        <v>WorldCat Record</v>
      </c>
      <c r="AU1328" s="3" t="s">
        <v>16659</v>
      </c>
      <c r="AV1328" s="3" t="s">
        <v>16660</v>
      </c>
      <c r="AW1328" s="3" t="s">
        <v>16661</v>
      </c>
      <c r="AX1328" s="3" t="s">
        <v>16661</v>
      </c>
      <c r="AY1328" s="3" t="s">
        <v>16662</v>
      </c>
      <c r="AZ1328" s="3" t="s">
        <v>73</v>
      </c>
      <c r="BB1328" s="3" t="s">
        <v>16663</v>
      </c>
      <c r="BC1328" s="3" t="s">
        <v>16664</v>
      </c>
      <c r="BD1328" s="3" t="s">
        <v>16665</v>
      </c>
    </row>
    <row r="1329" spans="1:56" ht="51" customHeight="1" x14ac:dyDescent="0.25">
      <c r="A1329" s="7" t="s">
        <v>58</v>
      </c>
      <c r="B1329" s="2" t="s">
        <v>16666</v>
      </c>
      <c r="C1329" s="2" t="s">
        <v>16667</v>
      </c>
      <c r="D1329" s="2" t="s">
        <v>16668</v>
      </c>
      <c r="F1329" s="3" t="s">
        <v>58</v>
      </c>
      <c r="G1329" s="3" t="s">
        <v>59</v>
      </c>
      <c r="H1329" s="3" t="s">
        <v>58</v>
      </c>
      <c r="I1329" s="3" t="s">
        <v>58</v>
      </c>
      <c r="J1329" s="3" t="s">
        <v>60</v>
      </c>
      <c r="K1329" s="2" t="s">
        <v>16669</v>
      </c>
      <c r="L1329" s="2" t="s">
        <v>16670</v>
      </c>
      <c r="M1329" s="3" t="s">
        <v>898</v>
      </c>
      <c r="N1329" s="2" t="s">
        <v>338</v>
      </c>
      <c r="O1329" s="3" t="s">
        <v>63</v>
      </c>
      <c r="P1329" s="3" t="s">
        <v>214</v>
      </c>
      <c r="R1329" s="3" t="s">
        <v>65</v>
      </c>
      <c r="S1329" s="4">
        <v>3</v>
      </c>
      <c r="T1329" s="4">
        <v>3</v>
      </c>
      <c r="U1329" s="5" t="s">
        <v>12916</v>
      </c>
      <c r="V1329" s="5" t="s">
        <v>12916</v>
      </c>
      <c r="W1329" s="5" t="s">
        <v>16671</v>
      </c>
      <c r="X1329" s="5" t="s">
        <v>16671</v>
      </c>
      <c r="Y1329" s="4">
        <v>896</v>
      </c>
      <c r="Z1329" s="4">
        <v>824</v>
      </c>
      <c r="AA1329" s="4">
        <v>934</v>
      </c>
      <c r="AB1329" s="4">
        <v>7</v>
      </c>
      <c r="AC1329" s="4">
        <v>7</v>
      </c>
      <c r="AD1329" s="4">
        <v>24</v>
      </c>
      <c r="AE1329" s="4">
        <v>26</v>
      </c>
      <c r="AF1329" s="4">
        <v>10</v>
      </c>
      <c r="AG1329" s="4">
        <v>10</v>
      </c>
      <c r="AH1329" s="4">
        <v>6</v>
      </c>
      <c r="AI1329" s="4">
        <v>6</v>
      </c>
      <c r="AJ1329" s="4">
        <v>11</v>
      </c>
      <c r="AK1329" s="4">
        <v>13</v>
      </c>
      <c r="AL1329" s="4">
        <v>4</v>
      </c>
      <c r="AM1329" s="4">
        <v>4</v>
      </c>
      <c r="AN1329" s="4">
        <v>0</v>
      </c>
      <c r="AO1329" s="4">
        <v>0</v>
      </c>
      <c r="AP1329" s="3" t="s">
        <v>58</v>
      </c>
      <c r="AQ1329" s="3" t="s">
        <v>58</v>
      </c>
      <c r="AS1329" s="6" t="str">
        <f>HYPERLINK("https://creighton-primo.hosted.exlibrisgroup.com/primo-explore/search?tab=default_tab&amp;search_scope=EVERYTHING&amp;vid=01CRU&amp;lang=en_US&amp;offset=0&amp;query=any,contains,991004957379702656","Catalog Record")</f>
        <v>Catalog Record</v>
      </c>
      <c r="AT1329" s="6" t="str">
        <f>HYPERLINK("http://www.worldcat.org/oclc/65064707","WorldCat Record")</f>
        <v>WorldCat Record</v>
      </c>
      <c r="AU1329" s="3" t="s">
        <v>16672</v>
      </c>
      <c r="AV1329" s="3" t="s">
        <v>16673</v>
      </c>
      <c r="AW1329" s="3" t="s">
        <v>16674</v>
      </c>
      <c r="AX1329" s="3" t="s">
        <v>16674</v>
      </c>
      <c r="AY1329" s="3" t="s">
        <v>16675</v>
      </c>
      <c r="AZ1329" s="3" t="s">
        <v>73</v>
      </c>
      <c r="BB1329" s="3" t="s">
        <v>16676</v>
      </c>
      <c r="BC1329" s="3" t="s">
        <v>16677</v>
      </c>
      <c r="BD1329" s="3" t="s">
        <v>16678</v>
      </c>
    </row>
    <row r="1330" spans="1:56" ht="51" customHeight="1" x14ac:dyDescent="0.25">
      <c r="A1330" s="7" t="s">
        <v>58</v>
      </c>
      <c r="B1330" s="2" t="s">
        <v>16679</v>
      </c>
      <c r="C1330" s="2" t="s">
        <v>16680</v>
      </c>
      <c r="D1330" s="2" t="s">
        <v>16681</v>
      </c>
      <c r="F1330" s="3" t="s">
        <v>58</v>
      </c>
      <c r="G1330" s="3" t="s">
        <v>59</v>
      </c>
      <c r="H1330" s="3" t="s">
        <v>58</v>
      </c>
      <c r="I1330" s="3" t="s">
        <v>58</v>
      </c>
      <c r="J1330" s="3" t="s">
        <v>60</v>
      </c>
      <c r="L1330" s="2" t="s">
        <v>16682</v>
      </c>
      <c r="M1330" s="3" t="s">
        <v>1061</v>
      </c>
      <c r="O1330" s="3" t="s">
        <v>63</v>
      </c>
      <c r="P1330" s="3" t="s">
        <v>584</v>
      </c>
      <c r="Q1330" s="2" t="s">
        <v>16683</v>
      </c>
      <c r="R1330" s="3" t="s">
        <v>65</v>
      </c>
      <c r="S1330" s="4">
        <v>2</v>
      </c>
      <c r="T1330" s="4">
        <v>2</v>
      </c>
      <c r="U1330" s="5" t="s">
        <v>10342</v>
      </c>
      <c r="V1330" s="5" t="s">
        <v>10342</v>
      </c>
      <c r="W1330" s="5" t="s">
        <v>16684</v>
      </c>
      <c r="X1330" s="5" t="s">
        <v>16684</v>
      </c>
      <c r="Y1330" s="4">
        <v>283</v>
      </c>
      <c r="Z1330" s="4">
        <v>211</v>
      </c>
      <c r="AA1330" s="4">
        <v>234</v>
      </c>
      <c r="AB1330" s="4">
        <v>2</v>
      </c>
      <c r="AC1330" s="4">
        <v>2</v>
      </c>
      <c r="AD1330" s="4">
        <v>9</v>
      </c>
      <c r="AE1330" s="4">
        <v>9</v>
      </c>
      <c r="AF1330" s="4">
        <v>3</v>
      </c>
      <c r="AG1330" s="4">
        <v>3</v>
      </c>
      <c r="AH1330" s="4">
        <v>3</v>
      </c>
      <c r="AI1330" s="4">
        <v>3</v>
      </c>
      <c r="AJ1330" s="4">
        <v>6</v>
      </c>
      <c r="AK1330" s="4">
        <v>6</v>
      </c>
      <c r="AL1330" s="4">
        <v>1</v>
      </c>
      <c r="AM1330" s="4">
        <v>1</v>
      </c>
      <c r="AN1330" s="4">
        <v>0</v>
      </c>
      <c r="AO1330" s="4">
        <v>0</v>
      </c>
      <c r="AP1330" s="3" t="s">
        <v>58</v>
      </c>
      <c r="AQ1330" s="3" t="s">
        <v>58</v>
      </c>
      <c r="AS1330" s="6" t="str">
        <f>HYPERLINK("https://creighton-primo.hosted.exlibrisgroup.com/primo-explore/search?tab=default_tab&amp;search_scope=EVERYTHING&amp;vid=01CRU&amp;lang=en_US&amp;offset=0&amp;query=any,contains,991002754379702656","Catalog Record")</f>
        <v>Catalog Record</v>
      </c>
      <c r="AT1330" s="6" t="str">
        <f>HYPERLINK("http://www.worldcat.org/oclc/36133265","WorldCat Record")</f>
        <v>WorldCat Record</v>
      </c>
      <c r="AU1330" s="3" t="s">
        <v>16685</v>
      </c>
      <c r="AV1330" s="3" t="s">
        <v>16686</v>
      </c>
      <c r="AW1330" s="3" t="s">
        <v>16687</v>
      </c>
      <c r="AX1330" s="3" t="s">
        <v>16687</v>
      </c>
      <c r="AY1330" s="3" t="s">
        <v>16688</v>
      </c>
      <c r="AZ1330" s="3" t="s">
        <v>73</v>
      </c>
      <c r="BB1330" s="3" t="s">
        <v>16689</v>
      </c>
      <c r="BC1330" s="3" t="s">
        <v>16690</v>
      </c>
      <c r="BD1330" s="3" t="s">
        <v>16691</v>
      </c>
    </row>
    <row r="1331" spans="1:56" ht="51" customHeight="1" x14ac:dyDescent="0.25">
      <c r="A1331" s="7" t="s">
        <v>58</v>
      </c>
      <c r="B1331" s="2" t="s">
        <v>16692</v>
      </c>
      <c r="C1331" s="2" t="s">
        <v>16693</v>
      </c>
      <c r="D1331" s="2" t="s">
        <v>16694</v>
      </c>
      <c r="F1331" s="3" t="s">
        <v>58</v>
      </c>
      <c r="G1331" s="3" t="s">
        <v>59</v>
      </c>
      <c r="H1331" s="3" t="s">
        <v>58</v>
      </c>
      <c r="I1331" s="3" t="s">
        <v>58</v>
      </c>
      <c r="J1331" s="3" t="s">
        <v>60</v>
      </c>
      <c r="K1331" s="2" t="s">
        <v>16695</v>
      </c>
      <c r="L1331" s="2" t="s">
        <v>16696</v>
      </c>
      <c r="M1331" s="3" t="s">
        <v>1091</v>
      </c>
      <c r="O1331" s="3" t="s">
        <v>63</v>
      </c>
      <c r="P1331" s="3" t="s">
        <v>1837</v>
      </c>
      <c r="R1331" s="3" t="s">
        <v>65</v>
      </c>
      <c r="S1331" s="4">
        <v>2</v>
      </c>
      <c r="T1331" s="4">
        <v>2</v>
      </c>
      <c r="U1331" s="5" t="s">
        <v>16697</v>
      </c>
      <c r="V1331" s="5" t="s">
        <v>16697</v>
      </c>
      <c r="W1331" s="5" t="s">
        <v>16698</v>
      </c>
      <c r="X1331" s="5" t="s">
        <v>16698</v>
      </c>
      <c r="Y1331" s="4">
        <v>410</v>
      </c>
      <c r="Z1331" s="4">
        <v>339</v>
      </c>
      <c r="AA1331" s="4">
        <v>370</v>
      </c>
      <c r="AB1331" s="4">
        <v>5</v>
      </c>
      <c r="AC1331" s="4">
        <v>5</v>
      </c>
      <c r="AD1331" s="4">
        <v>21</v>
      </c>
      <c r="AE1331" s="4">
        <v>23</v>
      </c>
      <c r="AF1331" s="4">
        <v>8</v>
      </c>
      <c r="AG1331" s="4">
        <v>10</v>
      </c>
      <c r="AH1331" s="4">
        <v>5</v>
      </c>
      <c r="AI1331" s="4">
        <v>6</v>
      </c>
      <c r="AJ1331" s="4">
        <v>11</v>
      </c>
      <c r="AK1331" s="4">
        <v>12</v>
      </c>
      <c r="AL1331" s="4">
        <v>3</v>
      </c>
      <c r="AM1331" s="4">
        <v>3</v>
      </c>
      <c r="AN1331" s="4">
        <v>0</v>
      </c>
      <c r="AO1331" s="4">
        <v>0</v>
      </c>
      <c r="AP1331" s="3" t="s">
        <v>58</v>
      </c>
      <c r="AQ1331" s="3" t="s">
        <v>58</v>
      </c>
      <c r="AS1331" s="6" t="str">
        <f>HYPERLINK("https://creighton-primo.hosted.exlibrisgroup.com/primo-explore/search?tab=default_tab&amp;search_scope=EVERYTHING&amp;vid=01CRU&amp;lang=en_US&amp;offset=0&amp;query=any,contains,991005157549702656","Catalog Record")</f>
        <v>Catalog Record</v>
      </c>
      <c r="AT1331" s="6" t="str">
        <f>HYPERLINK("http://www.worldcat.org/oclc/44676159","WorldCat Record")</f>
        <v>WorldCat Record</v>
      </c>
      <c r="AU1331" s="3" t="s">
        <v>16699</v>
      </c>
      <c r="AV1331" s="3" t="s">
        <v>16700</v>
      </c>
      <c r="AW1331" s="3" t="s">
        <v>16701</v>
      </c>
      <c r="AX1331" s="3" t="s">
        <v>16701</v>
      </c>
      <c r="AY1331" s="3" t="s">
        <v>16702</v>
      </c>
      <c r="AZ1331" s="3" t="s">
        <v>73</v>
      </c>
      <c r="BB1331" s="3" t="s">
        <v>16703</v>
      </c>
      <c r="BC1331" s="3" t="s">
        <v>16704</v>
      </c>
      <c r="BD1331" s="3" t="s">
        <v>16705</v>
      </c>
    </row>
    <row r="1332" spans="1:56" ht="51" customHeight="1" x14ac:dyDescent="0.25">
      <c r="A1332" s="7" t="s">
        <v>58</v>
      </c>
      <c r="B1332" s="2" t="s">
        <v>16706</v>
      </c>
      <c r="C1332" s="2" t="s">
        <v>16707</v>
      </c>
      <c r="D1332" s="2" t="s">
        <v>16708</v>
      </c>
      <c r="F1332" s="3" t="s">
        <v>58</v>
      </c>
      <c r="G1332" s="3" t="s">
        <v>59</v>
      </c>
      <c r="H1332" s="3" t="s">
        <v>58</v>
      </c>
      <c r="I1332" s="3" t="s">
        <v>58</v>
      </c>
      <c r="J1332" s="3" t="s">
        <v>60</v>
      </c>
      <c r="K1332" s="2" t="s">
        <v>16709</v>
      </c>
      <c r="L1332" s="2" t="s">
        <v>16710</v>
      </c>
      <c r="M1332" s="3" t="s">
        <v>83</v>
      </c>
      <c r="O1332" s="3" t="s">
        <v>63</v>
      </c>
      <c r="P1332" s="3" t="s">
        <v>16711</v>
      </c>
      <c r="R1332" s="3" t="s">
        <v>65</v>
      </c>
      <c r="S1332" s="4">
        <v>2</v>
      </c>
      <c r="T1332" s="4">
        <v>2</v>
      </c>
      <c r="U1332" s="5" t="s">
        <v>16712</v>
      </c>
      <c r="V1332" s="5" t="s">
        <v>16712</v>
      </c>
      <c r="W1332" s="5" t="s">
        <v>10968</v>
      </c>
      <c r="X1332" s="5" t="s">
        <v>10968</v>
      </c>
      <c r="Y1332" s="4">
        <v>419</v>
      </c>
      <c r="Z1332" s="4">
        <v>337</v>
      </c>
      <c r="AA1332" s="4">
        <v>347</v>
      </c>
      <c r="AB1332" s="4">
        <v>4</v>
      </c>
      <c r="AC1332" s="4">
        <v>4</v>
      </c>
      <c r="AD1332" s="4">
        <v>15</v>
      </c>
      <c r="AE1332" s="4">
        <v>16</v>
      </c>
      <c r="AF1332" s="4">
        <v>4</v>
      </c>
      <c r="AG1332" s="4">
        <v>4</v>
      </c>
      <c r="AH1332" s="4">
        <v>2</v>
      </c>
      <c r="AI1332" s="4">
        <v>3</v>
      </c>
      <c r="AJ1332" s="4">
        <v>8</v>
      </c>
      <c r="AK1332" s="4">
        <v>9</v>
      </c>
      <c r="AL1332" s="4">
        <v>3</v>
      </c>
      <c r="AM1332" s="4">
        <v>3</v>
      </c>
      <c r="AN1332" s="4">
        <v>0</v>
      </c>
      <c r="AO1332" s="4">
        <v>0</v>
      </c>
      <c r="AP1332" s="3" t="s">
        <v>58</v>
      </c>
      <c r="AQ1332" s="3" t="s">
        <v>68</v>
      </c>
      <c r="AR1332" s="6" t="str">
        <f>HYPERLINK("http://catalog.hathitrust.org/Record/000741465","HathiTrust Record")</f>
        <v>HathiTrust Record</v>
      </c>
      <c r="AS1332" s="6" t="str">
        <f>HYPERLINK("https://creighton-primo.hosted.exlibrisgroup.com/primo-explore/search?tab=default_tab&amp;search_scope=EVERYTHING&amp;vid=01CRU&amp;lang=en_US&amp;offset=0&amp;query=any,contains,991004086129702656","Catalog Record")</f>
        <v>Catalog Record</v>
      </c>
      <c r="AT1332" s="6" t="str">
        <f>HYPERLINK("http://www.worldcat.org/oclc/2332133","WorldCat Record")</f>
        <v>WorldCat Record</v>
      </c>
      <c r="AU1332" s="3" t="s">
        <v>16713</v>
      </c>
      <c r="AV1332" s="3" t="s">
        <v>16714</v>
      </c>
      <c r="AW1332" s="3" t="s">
        <v>16715</v>
      </c>
      <c r="AX1332" s="3" t="s">
        <v>16715</v>
      </c>
      <c r="AY1332" s="3" t="s">
        <v>16716</v>
      </c>
      <c r="AZ1332" s="3" t="s">
        <v>73</v>
      </c>
      <c r="BC1332" s="3" t="s">
        <v>16717</v>
      </c>
      <c r="BD1332" s="3" t="s">
        <v>16718</v>
      </c>
    </row>
    <row r="1333" spans="1:56" ht="51" customHeight="1" x14ac:dyDescent="0.25">
      <c r="A1333" s="7" t="s">
        <v>58</v>
      </c>
      <c r="B1333" s="2" t="s">
        <v>16719</v>
      </c>
      <c r="C1333" s="2" t="s">
        <v>16720</v>
      </c>
      <c r="D1333" s="2" t="s">
        <v>16721</v>
      </c>
      <c r="F1333" s="3" t="s">
        <v>58</v>
      </c>
      <c r="G1333" s="3" t="s">
        <v>59</v>
      </c>
      <c r="H1333" s="3" t="s">
        <v>58</v>
      </c>
      <c r="I1333" s="3" t="s">
        <v>58</v>
      </c>
      <c r="J1333" s="3" t="s">
        <v>60</v>
      </c>
      <c r="L1333" s="2" t="s">
        <v>16722</v>
      </c>
      <c r="M1333" s="3" t="s">
        <v>2214</v>
      </c>
      <c r="O1333" s="3" t="s">
        <v>63</v>
      </c>
      <c r="P1333" s="3" t="s">
        <v>786</v>
      </c>
      <c r="Q1333" s="2" t="s">
        <v>16723</v>
      </c>
      <c r="R1333" s="3" t="s">
        <v>65</v>
      </c>
      <c r="S1333" s="4">
        <v>1</v>
      </c>
      <c r="T1333" s="4">
        <v>1</v>
      </c>
      <c r="U1333" s="5" t="s">
        <v>6024</v>
      </c>
      <c r="V1333" s="5" t="s">
        <v>6024</v>
      </c>
      <c r="W1333" s="5" t="s">
        <v>6024</v>
      </c>
      <c r="X1333" s="5" t="s">
        <v>6024</v>
      </c>
      <c r="Y1333" s="4">
        <v>171</v>
      </c>
      <c r="Z1333" s="4">
        <v>116</v>
      </c>
      <c r="AA1333" s="4">
        <v>116</v>
      </c>
      <c r="AB1333" s="4">
        <v>1</v>
      </c>
      <c r="AC1333" s="4">
        <v>1</v>
      </c>
      <c r="AD1333" s="4">
        <v>8</v>
      </c>
      <c r="AE1333" s="4">
        <v>8</v>
      </c>
      <c r="AF1333" s="4">
        <v>4</v>
      </c>
      <c r="AG1333" s="4">
        <v>4</v>
      </c>
      <c r="AH1333" s="4">
        <v>3</v>
      </c>
      <c r="AI1333" s="4">
        <v>3</v>
      </c>
      <c r="AJ1333" s="4">
        <v>6</v>
      </c>
      <c r="AK1333" s="4">
        <v>6</v>
      </c>
      <c r="AL1333" s="4">
        <v>0</v>
      </c>
      <c r="AM1333" s="4">
        <v>0</v>
      </c>
      <c r="AN1333" s="4">
        <v>0</v>
      </c>
      <c r="AO1333" s="4">
        <v>0</v>
      </c>
      <c r="AP1333" s="3" t="s">
        <v>58</v>
      </c>
      <c r="AQ1333" s="3" t="s">
        <v>58</v>
      </c>
      <c r="AS1333" s="6" t="str">
        <f>HYPERLINK("https://creighton-primo.hosted.exlibrisgroup.com/primo-explore/search?tab=default_tab&amp;search_scope=EVERYTHING&amp;vid=01CRU&amp;lang=en_US&amp;offset=0&amp;query=any,contains,991005196319702656","Catalog Record")</f>
        <v>Catalog Record</v>
      </c>
      <c r="AT1333" s="6" t="str">
        <f>HYPERLINK("http://www.worldcat.org/oclc/62273928","WorldCat Record")</f>
        <v>WorldCat Record</v>
      </c>
      <c r="AU1333" s="3" t="s">
        <v>16724</v>
      </c>
      <c r="AV1333" s="3" t="s">
        <v>16725</v>
      </c>
      <c r="AW1333" s="3" t="s">
        <v>16726</v>
      </c>
      <c r="AX1333" s="3" t="s">
        <v>16726</v>
      </c>
      <c r="AY1333" s="3" t="s">
        <v>16727</v>
      </c>
      <c r="AZ1333" s="3" t="s">
        <v>73</v>
      </c>
      <c r="BB1333" s="3" t="s">
        <v>16728</v>
      </c>
      <c r="BC1333" s="3" t="s">
        <v>16729</v>
      </c>
      <c r="BD1333" s="3" t="s">
        <v>16730</v>
      </c>
    </row>
    <row r="1334" spans="1:56" ht="51" customHeight="1" x14ac:dyDescent="0.25">
      <c r="A1334" s="7" t="s">
        <v>58</v>
      </c>
      <c r="B1334" s="2" t="s">
        <v>16731</v>
      </c>
      <c r="C1334" s="2" t="s">
        <v>16732</v>
      </c>
      <c r="D1334" s="2" t="s">
        <v>16733</v>
      </c>
      <c r="F1334" s="3" t="s">
        <v>58</v>
      </c>
      <c r="G1334" s="3" t="s">
        <v>59</v>
      </c>
      <c r="H1334" s="3" t="s">
        <v>58</v>
      </c>
      <c r="I1334" s="3" t="s">
        <v>58</v>
      </c>
      <c r="J1334" s="3" t="s">
        <v>60</v>
      </c>
      <c r="K1334" s="2" t="s">
        <v>16734</v>
      </c>
      <c r="L1334" s="2" t="s">
        <v>16735</v>
      </c>
      <c r="M1334" s="3" t="s">
        <v>12203</v>
      </c>
      <c r="N1334" s="2" t="s">
        <v>13327</v>
      </c>
      <c r="O1334" s="3" t="s">
        <v>63</v>
      </c>
      <c r="P1334" s="3" t="s">
        <v>214</v>
      </c>
      <c r="R1334" s="3" t="s">
        <v>65</v>
      </c>
      <c r="S1334" s="4">
        <v>2</v>
      </c>
      <c r="T1334" s="4">
        <v>2</v>
      </c>
      <c r="U1334" s="5" t="s">
        <v>16736</v>
      </c>
      <c r="V1334" s="5" t="s">
        <v>16736</v>
      </c>
      <c r="W1334" s="5" t="s">
        <v>11664</v>
      </c>
      <c r="X1334" s="5" t="s">
        <v>11664</v>
      </c>
      <c r="Y1334" s="4">
        <v>864</v>
      </c>
      <c r="Z1334" s="4">
        <v>831</v>
      </c>
      <c r="AA1334" s="4">
        <v>1252</v>
      </c>
      <c r="AB1334" s="4">
        <v>4</v>
      </c>
      <c r="AC1334" s="4">
        <v>5</v>
      </c>
      <c r="AD1334" s="4">
        <v>28</v>
      </c>
      <c r="AE1334" s="4">
        <v>40</v>
      </c>
      <c r="AF1334" s="4">
        <v>12</v>
      </c>
      <c r="AG1334" s="4">
        <v>19</v>
      </c>
      <c r="AH1334" s="4">
        <v>6</v>
      </c>
      <c r="AI1334" s="4">
        <v>9</v>
      </c>
      <c r="AJ1334" s="4">
        <v>14</v>
      </c>
      <c r="AK1334" s="4">
        <v>21</v>
      </c>
      <c r="AL1334" s="4">
        <v>2</v>
      </c>
      <c r="AM1334" s="4">
        <v>3</v>
      </c>
      <c r="AN1334" s="4">
        <v>0</v>
      </c>
      <c r="AO1334" s="4">
        <v>0</v>
      </c>
      <c r="AP1334" s="3" t="s">
        <v>58</v>
      </c>
      <c r="AQ1334" s="3" t="s">
        <v>58</v>
      </c>
      <c r="AS1334" s="6" t="str">
        <f>HYPERLINK("https://creighton-primo.hosted.exlibrisgroup.com/primo-explore/search?tab=default_tab&amp;search_scope=EVERYTHING&amp;vid=01CRU&amp;lang=en_US&amp;offset=0&amp;query=any,contains,991002499799702656","Catalog Record")</f>
        <v>Catalog Record</v>
      </c>
      <c r="AT1334" s="6" t="str">
        <f>HYPERLINK("http://www.worldcat.org/oclc/364164","WorldCat Record")</f>
        <v>WorldCat Record</v>
      </c>
      <c r="AU1334" s="3" t="s">
        <v>16737</v>
      </c>
      <c r="AV1334" s="3" t="s">
        <v>16738</v>
      </c>
      <c r="AW1334" s="3" t="s">
        <v>16739</v>
      </c>
      <c r="AX1334" s="3" t="s">
        <v>16739</v>
      </c>
      <c r="AY1334" s="3" t="s">
        <v>16740</v>
      </c>
      <c r="AZ1334" s="3" t="s">
        <v>73</v>
      </c>
      <c r="BC1334" s="3" t="s">
        <v>16741</v>
      </c>
      <c r="BD1334" s="3" t="s">
        <v>16742</v>
      </c>
    </row>
    <row r="1335" spans="1:56" ht="51" customHeight="1" x14ac:dyDescent="0.25">
      <c r="A1335" s="7" t="s">
        <v>58</v>
      </c>
      <c r="B1335" s="2" t="s">
        <v>16743</v>
      </c>
      <c r="C1335" s="2" t="s">
        <v>16744</v>
      </c>
      <c r="D1335" s="2" t="s">
        <v>16745</v>
      </c>
      <c r="E1335" s="3" t="s">
        <v>691</v>
      </c>
      <c r="F1335" s="3" t="s">
        <v>68</v>
      </c>
      <c r="G1335" s="3" t="s">
        <v>59</v>
      </c>
      <c r="H1335" s="3" t="s">
        <v>58</v>
      </c>
      <c r="I1335" s="3" t="s">
        <v>58</v>
      </c>
      <c r="J1335" s="3" t="s">
        <v>60</v>
      </c>
      <c r="K1335" s="2" t="s">
        <v>16746</v>
      </c>
      <c r="L1335" s="2" t="s">
        <v>16747</v>
      </c>
      <c r="M1335" s="3" t="s">
        <v>898</v>
      </c>
      <c r="O1335" s="3" t="s">
        <v>63</v>
      </c>
      <c r="P1335" s="3" t="s">
        <v>197</v>
      </c>
      <c r="Q1335" s="2" t="s">
        <v>16748</v>
      </c>
      <c r="R1335" s="3" t="s">
        <v>65</v>
      </c>
      <c r="S1335" s="4">
        <v>1</v>
      </c>
      <c r="T1335" s="4">
        <v>3</v>
      </c>
      <c r="U1335" s="5" t="s">
        <v>8740</v>
      </c>
      <c r="V1335" s="5" t="s">
        <v>8740</v>
      </c>
      <c r="W1335" s="5" t="s">
        <v>8740</v>
      </c>
      <c r="X1335" s="5" t="s">
        <v>8740</v>
      </c>
      <c r="Y1335" s="4">
        <v>450</v>
      </c>
      <c r="Z1335" s="4">
        <v>430</v>
      </c>
      <c r="AA1335" s="4">
        <v>437</v>
      </c>
      <c r="AB1335" s="4">
        <v>5</v>
      </c>
      <c r="AC1335" s="4">
        <v>5</v>
      </c>
      <c r="AD1335" s="4">
        <v>22</v>
      </c>
      <c r="AE1335" s="4">
        <v>22</v>
      </c>
      <c r="AF1335" s="4">
        <v>6</v>
      </c>
      <c r="AG1335" s="4">
        <v>6</v>
      </c>
      <c r="AH1335" s="4">
        <v>6</v>
      </c>
      <c r="AI1335" s="4">
        <v>6</v>
      </c>
      <c r="AJ1335" s="4">
        <v>12</v>
      </c>
      <c r="AK1335" s="4">
        <v>12</v>
      </c>
      <c r="AL1335" s="4">
        <v>4</v>
      </c>
      <c r="AM1335" s="4">
        <v>4</v>
      </c>
      <c r="AN1335" s="4">
        <v>0</v>
      </c>
      <c r="AO1335" s="4">
        <v>0</v>
      </c>
      <c r="AP1335" s="3" t="s">
        <v>58</v>
      </c>
      <c r="AQ1335" s="3" t="s">
        <v>58</v>
      </c>
      <c r="AS1335" s="6" t="str">
        <f>HYPERLINK("https://creighton-primo.hosted.exlibrisgroup.com/primo-explore/search?tab=default_tab&amp;search_scope=EVERYTHING&amp;vid=01CRU&amp;lang=en_US&amp;offset=0&amp;query=any,contains,991005169069702656","Catalog Record")</f>
        <v>Catalog Record</v>
      </c>
      <c r="AT1335" s="6" t="str">
        <f>HYPERLINK("http://www.worldcat.org/oclc/86175692","WorldCat Record")</f>
        <v>WorldCat Record</v>
      </c>
      <c r="AU1335" s="3" t="s">
        <v>16749</v>
      </c>
      <c r="AV1335" s="3" t="s">
        <v>16750</v>
      </c>
      <c r="AW1335" s="3" t="s">
        <v>16751</v>
      </c>
      <c r="AX1335" s="3" t="s">
        <v>16751</v>
      </c>
      <c r="AY1335" s="3" t="s">
        <v>16752</v>
      </c>
      <c r="AZ1335" s="3" t="s">
        <v>73</v>
      </c>
      <c r="BB1335" s="3" t="s">
        <v>16753</v>
      </c>
      <c r="BC1335" s="3" t="s">
        <v>16754</v>
      </c>
      <c r="BD1335" s="3" t="s">
        <v>16755</v>
      </c>
    </row>
    <row r="1336" spans="1:56" ht="51" customHeight="1" x14ac:dyDescent="0.25">
      <c r="A1336" s="7" t="s">
        <v>58</v>
      </c>
      <c r="B1336" s="2" t="s">
        <v>16743</v>
      </c>
      <c r="C1336" s="2" t="s">
        <v>16744</v>
      </c>
      <c r="D1336" s="2" t="s">
        <v>16745</v>
      </c>
      <c r="E1336" s="3" t="s">
        <v>16756</v>
      </c>
      <c r="F1336" s="3" t="s">
        <v>68</v>
      </c>
      <c r="G1336" s="3" t="s">
        <v>59</v>
      </c>
      <c r="H1336" s="3" t="s">
        <v>58</v>
      </c>
      <c r="I1336" s="3" t="s">
        <v>58</v>
      </c>
      <c r="J1336" s="3" t="s">
        <v>60</v>
      </c>
      <c r="K1336" s="2" t="s">
        <v>16746</v>
      </c>
      <c r="L1336" s="2" t="s">
        <v>16747</v>
      </c>
      <c r="M1336" s="3" t="s">
        <v>898</v>
      </c>
      <c r="O1336" s="3" t="s">
        <v>63</v>
      </c>
      <c r="P1336" s="3" t="s">
        <v>197</v>
      </c>
      <c r="Q1336" s="2" t="s">
        <v>16748</v>
      </c>
      <c r="R1336" s="3" t="s">
        <v>65</v>
      </c>
      <c r="S1336" s="4">
        <v>1</v>
      </c>
      <c r="T1336" s="4">
        <v>3</v>
      </c>
      <c r="U1336" s="5" t="s">
        <v>8740</v>
      </c>
      <c r="V1336" s="5" t="s">
        <v>8740</v>
      </c>
      <c r="W1336" s="5" t="s">
        <v>8740</v>
      </c>
      <c r="X1336" s="5" t="s">
        <v>8740</v>
      </c>
      <c r="Y1336" s="4">
        <v>450</v>
      </c>
      <c r="Z1336" s="4">
        <v>430</v>
      </c>
      <c r="AA1336" s="4">
        <v>437</v>
      </c>
      <c r="AB1336" s="4">
        <v>5</v>
      </c>
      <c r="AC1336" s="4">
        <v>5</v>
      </c>
      <c r="AD1336" s="4">
        <v>22</v>
      </c>
      <c r="AE1336" s="4">
        <v>22</v>
      </c>
      <c r="AF1336" s="4">
        <v>6</v>
      </c>
      <c r="AG1336" s="4">
        <v>6</v>
      </c>
      <c r="AH1336" s="4">
        <v>6</v>
      </c>
      <c r="AI1336" s="4">
        <v>6</v>
      </c>
      <c r="AJ1336" s="4">
        <v>12</v>
      </c>
      <c r="AK1336" s="4">
        <v>12</v>
      </c>
      <c r="AL1336" s="4">
        <v>4</v>
      </c>
      <c r="AM1336" s="4">
        <v>4</v>
      </c>
      <c r="AN1336" s="4">
        <v>0</v>
      </c>
      <c r="AO1336" s="4">
        <v>0</v>
      </c>
      <c r="AP1336" s="3" t="s">
        <v>58</v>
      </c>
      <c r="AQ1336" s="3" t="s">
        <v>58</v>
      </c>
      <c r="AS1336" s="6" t="str">
        <f>HYPERLINK("https://creighton-primo.hosted.exlibrisgroup.com/primo-explore/search?tab=default_tab&amp;search_scope=EVERYTHING&amp;vid=01CRU&amp;lang=en_US&amp;offset=0&amp;query=any,contains,991005169069702656","Catalog Record")</f>
        <v>Catalog Record</v>
      </c>
      <c r="AT1336" s="6" t="str">
        <f>HYPERLINK("http://www.worldcat.org/oclc/86175692","WorldCat Record")</f>
        <v>WorldCat Record</v>
      </c>
      <c r="AU1336" s="3" t="s">
        <v>16749</v>
      </c>
      <c r="AV1336" s="3" t="s">
        <v>16750</v>
      </c>
      <c r="AW1336" s="3" t="s">
        <v>16751</v>
      </c>
      <c r="AX1336" s="3" t="s">
        <v>16751</v>
      </c>
      <c r="AY1336" s="3" t="s">
        <v>16752</v>
      </c>
      <c r="AZ1336" s="3" t="s">
        <v>73</v>
      </c>
      <c r="BB1336" s="3" t="s">
        <v>16753</v>
      </c>
      <c r="BC1336" s="3" t="s">
        <v>16757</v>
      </c>
      <c r="BD1336" s="3" t="s">
        <v>16758</v>
      </c>
    </row>
    <row r="1337" spans="1:56" ht="51" customHeight="1" x14ac:dyDescent="0.25">
      <c r="A1337" s="7" t="s">
        <v>58</v>
      </c>
      <c r="B1337" s="2" t="s">
        <v>16743</v>
      </c>
      <c r="C1337" s="2" t="s">
        <v>16744</v>
      </c>
      <c r="D1337" s="2" t="s">
        <v>16745</v>
      </c>
      <c r="E1337" s="3" t="s">
        <v>1412</v>
      </c>
      <c r="F1337" s="3" t="s">
        <v>68</v>
      </c>
      <c r="G1337" s="3" t="s">
        <v>59</v>
      </c>
      <c r="H1337" s="3" t="s">
        <v>58</v>
      </c>
      <c r="I1337" s="3" t="s">
        <v>58</v>
      </c>
      <c r="J1337" s="3" t="s">
        <v>60</v>
      </c>
      <c r="K1337" s="2" t="s">
        <v>16746</v>
      </c>
      <c r="L1337" s="2" t="s">
        <v>16747</v>
      </c>
      <c r="M1337" s="3" t="s">
        <v>898</v>
      </c>
      <c r="O1337" s="3" t="s">
        <v>63</v>
      </c>
      <c r="P1337" s="3" t="s">
        <v>197</v>
      </c>
      <c r="Q1337" s="2" t="s">
        <v>16748</v>
      </c>
      <c r="R1337" s="3" t="s">
        <v>65</v>
      </c>
      <c r="S1337" s="4">
        <v>1</v>
      </c>
      <c r="T1337" s="4">
        <v>3</v>
      </c>
      <c r="U1337" s="5" t="s">
        <v>8740</v>
      </c>
      <c r="V1337" s="5" t="s">
        <v>8740</v>
      </c>
      <c r="W1337" s="5" t="s">
        <v>8740</v>
      </c>
      <c r="X1337" s="5" t="s">
        <v>8740</v>
      </c>
      <c r="Y1337" s="4">
        <v>450</v>
      </c>
      <c r="Z1337" s="4">
        <v>430</v>
      </c>
      <c r="AA1337" s="4">
        <v>437</v>
      </c>
      <c r="AB1337" s="4">
        <v>5</v>
      </c>
      <c r="AC1337" s="4">
        <v>5</v>
      </c>
      <c r="AD1337" s="4">
        <v>22</v>
      </c>
      <c r="AE1337" s="4">
        <v>22</v>
      </c>
      <c r="AF1337" s="4">
        <v>6</v>
      </c>
      <c r="AG1337" s="4">
        <v>6</v>
      </c>
      <c r="AH1337" s="4">
        <v>6</v>
      </c>
      <c r="AI1337" s="4">
        <v>6</v>
      </c>
      <c r="AJ1337" s="4">
        <v>12</v>
      </c>
      <c r="AK1337" s="4">
        <v>12</v>
      </c>
      <c r="AL1337" s="4">
        <v>4</v>
      </c>
      <c r="AM1337" s="4">
        <v>4</v>
      </c>
      <c r="AN1337" s="4">
        <v>0</v>
      </c>
      <c r="AO1337" s="4">
        <v>0</v>
      </c>
      <c r="AP1337" s="3" t="s">
        <v>58</v>
      </c>
      <c r="AQ1337" s="3" t="s">
        <v>58</v>
      </c>
      <c r="AS1337" s="6" t="str">
        <f>HYPERLINK("https://creighton-primo.hosted.exlibrisgroup.com/primo-explore/search?tab=default_tab&amp;search_scope=EVERYTHING&amp;vid=01CRU&amp;lang=en_US&amp;offset=0&amp;query=any,contains,991005169069702656","Catalog Record")</f>
        <v>Catalog Record</v>
      </c>
      <c r="AT1337" s="6" t="str">
        <f>HYPERLINK("http://www.worldcat.org/oclc/86175692","WorldCat Record")</f>
        <v>WorldCat Record</v>
      </c>
      <c r="AU1337" s="3" t="s">
        <v>16749</v>
      </c>
      <c r="AV1337" s="3" t="s">
        <v>16750</v>
      </c>
      <c r="AW1337" s="3" t="s">
        <v>16751</v>
      </c>
      <c r="AX1337" s="3" t="s">
        <v>16751</v>
      </c>
      <c r="AY1337" s="3" t="s">
        <v>16752</v>
      </c>
      <c r="AZ1337" s="3" t="s">
        <v>73</v>
      </c>
      <c r="BB1337" s="3" t="s">
        <v>16753</v>
      </c>
      <c r="BC1337" s="3" t="s">
        <v>16759</v>
      </c>
      <c r="BD1337" s="3" t="s">
        <v>16760</v>
      </c>
    </row>
    <row r="1338" spans="1:56" ht="51" customHeight="1" x14ac:dyDescent="0.25">
      <c r="A1338" s="7" t="s">
        <v>58</v>
      </c>
      <c r="B1338" s="2" t="s">
        <v>16761</v>
      </c>
      <c r="C1338" s="2" t="s">
        <v>16762</v>
      </c>
      <c r="D1338" s="2" t="s">
        <v>16763</v>
      </c>
      <c r="F1338" s="3" t="s">
        <v>58</v>
      </c>
      <c r="G1338" s="3" t="s">
        <v>59</v>
      </c>
      <c r="H1338" s="3" t="s">
        <v>58</v>
      </c>
      <c r="I1338" s="3" t="s">
        <v>58</v>
      </c>
      <c r="J1338" s="3" t="s">
        <v>60</v>
      </c>
      <c r="K1338" s="2" t="s">
        <v>16764</v>
      </c>
      <c r="L1338" s="2" t="s">
        <v>16765</v>
      </c>
      <c r="M1338" s="3" t="s">
        <v>898</v>
      </c>
      <c r="O1338" s="3" t="s">
        <v>63</v>
      </c>
      <c r="P1338" s="3" t="s">
        <v>197</v>
      </c>
      <c r="Q1338" s="2" t="s">
        <v>16766</v>
      </c>
      <c r="R1338" s="3" t="s">
        <v>65</v>
      </c>
      <c r="S1338" s="4">
        <v>2</v>
      </c>
      <c r="T1338" s="4">
        <v>2</v>
      </c>
      <c r="U1338" s="5" t="s">
        <v>16767</v>
      </c>
      <c r="V1338" s="5" t="s">
        <v>16767</v>
      </c>
      <c r="W1338" s="5" t="s">
        <v>16768</v>
      </c>
      <c r="X1338" s="5" t="s">
        <v>16768</v>
      </c>
      <c r="Y1338" s="4">
        <v>688</v>
      </c>
      <c r="Z1338" s="4">
        <v>653</v>
      </c>
      <c r="AA1338" s="4">
        <v>660</v>
      </c>
      <c r="AB1338" s="4">
        <v>8</v>
      </c>
      <c r="AC1338" s="4">
        <v>8</v>
      </c>
      <c r="AD1338" s="4">
        <v>33</v>
      </c>
      <c r="AE1338" s="4">
        <v>33</v>
      </c>
      <c r="AF1338" s="4">
        <v>16</v>
      </c>
      <c r="AG1338" s="4">
        <v>16</v>
      </c>
      <c r="AH1338" s="4">
        <v>6</v>
      </c>
      <c r="AI1338" s="4">
        <v>6</v>
      </c>
      <c r="AJ1338" s="4">
        <v>12</v>
      </c>
      <c r="AK1338" s="4">
        <v>12</v>
      </c>
      <c r="AL1338" s="4">
        <v>7</v>
      </c>
      <c r="AM1338" s="4">
        <v>7</v>
      </c>
      <c r="AN1338" s="4">
        <v>0</v>
      </c>
      <c r="AO1338" s="4">
        <v>0</v>
      </c>
      <c r="AP1338" s="3" t="s">
        <v>58</v>
      </c>
      <c r="AQ1338" s="3" t="s">
        <v>68</v>
      </c>
      <c r="AR1338" s="6" t="str">
        <f>HYPERLINK("http://catalog.hathitrust.org/Record/005546989","HathiTrust Record")</f>
        <v>HathiTrust Record</v>
      </c>
      <c r="AS1338" s="6" t="str">
        <f>HYPERLINK("https://creighton-primo.hosted.exlibrisgroup.com/primo-explore/search?tab=default_tab&amp;search_scope=EVERYTHING&amp;vid=01CRU&amp;lang=en_US&amp;offset=0&amp;query=any,contains,991005056939702656","Catalog Record")</f>
        <v>Catalog Record</v>
      </c>
      <c r="AT1338" s="6" t="str">
        <f>HYPERLINK("http://www.worldcat.org/oclc/82172538","WorldCat Record")</f>
        <v>WorldCat Record</v>
      </c>
      <c r="AU1338" s="3" t="s">
        <v>16769</v>
      </c>
      <c r="AV1338" s="3" t="s">
        <v>16770</v>
      </c>
      <c r="AW1338" s="3" t="s">
        <v>16771</v>
      </c>
      <c r="AX1338" s="3" t="s">
        <v>16771</v>
      </c>
      <c r="AY1338" s="3" t="s">
        <v>16772</v>
      </c>
      <c r="AZ1338" s="3" t="s">
        <v>73</v>
      </c>
      <c r="BB1338" s="3" t="s">
        <v>16773</v>
      </c>
      <c r="BC1338" s="3" t="s">
        <v>16774</v>
      </c>
      <c r="BD1338" s="3" t="s">
        <v>16775</v>
      </c>
    </row>
    <row r="1339" spans="1:56" ht="51" customHeight="1" x14ac:dyDescent="0.25">
      <c r="A1339" s="7" t="s">
        <v>58</v>
      </c>
      <c r="B1339" s="2" t="s">
        <v>16776</v>
      </c>
      <c r="C1339" s="2" t="s">
        <v>16777</v>
      </c>
      <c r="D1339" s="2" t="s">
        <v>16778</v>
      </c>
      <c r="F1339" s="3" t="s">
        <v>58</v>
      </c>
      <c r="G1339" s="3" t="s">
        <v>59</v>
      </c>
      <c r="H1339" s="3" t="s">
        <v>58</v>
      </c>
      <c r="I1339" s="3" t="s">
        <v>58</v>
      </c>
      <c r="J1339" s="3" t="s">
        <v>60</v>
      </c>
      <c r="K1339" s="2" t="s">
        <v>16779</v>
      </c>
      <c r="L1339" s="2" t="s">
        <v>16780</v>
      </c>
      <c r="M1339" s="3" t="s">
        <v>1091</v>
      </c>
      <c r="O1339" s="3" t="s">
        <v>63</v>
      </c>
      <c r="P1339" s="3" t="s">
        <v>214</v>
      </c>
      <c r="Q1339" s="2" t="s">
        <v>16781</v>
      </c>
      <c r="R1339" s="3" t="s">
        <v>65</v>
      </c>
      <c r="S1339" s="4">
        <v>1</v>
      </c>
      <c r="T1339" s="4">
        <v>1</v>
      </c>
      <c r="U1339" s="5" t="s">
        <v>5648</v>
      </c>
      <c r="V1339" s="5" t="s">
        <v>5648</v>
      </c>
      <c r="W1339" s="5" t="s">
        <v>5648</v>
      </c>
      <c r="X1339" s="5" t="s">
        <v>5648</v>
      </c>
      <c r="Y1339" s="4">
        <v>65</v>
      </c>
      <c r="Z1339" s="4">
        <v>56</v>
      </c>
      <c r="AA1339" s="4">
        <v>58</v>
      </c>
      <c r="AB1339" s="4">
        <v>1</v>
      </c>
      <c r="AC1339" s="4">
        <v>1</v>
      </c>
      <c r="AD1339" s="4">
        <v>5</v>
      </c>
      <c r="AE1339" s="4">
        <v>5</v>
      </c>
      <c r="AF1339" s="4">
        <v>2</v>
      </c>
      <c r="AG1339" s="4">
        <v>2</v>
      </c>
      <c r="AH1339" s="4">
        <v>2</v>
      </c>
      <c r="AI1339" s="4">
        <v>2</v>
      </c>
      <c r="AJ1339" s="4">
        <v>4</v>
      </c>
      <c r="AK1339" s="4">
        <v>4</v>
      </c>
      <c r="AL1339" s="4">
        <v>0</v>
      </c>
      <c r="AM1339" s="4">
        <v>0</v>
      </c>
      <c r="AN1339" s="4">
        <v>0</v>
      </c>
      <c r="AO1339" s="4">
        <v>0</v>
      </c>
      <c r="AP1339" s="3" t="s">
        <v>58</v>
      </c>
      <c r="AQ1339" s="3" t="s">
        <v>68</v>
      </c>
      <c r="AR1339" s="6" t="str">
        <f>HYPERLINK("http://catalog.hathitrust.org/Record/005019098","HathiTrust Record")</f>
        <v>HathiTrust Record</v>
      </c>
      <c r="AS1339" s="6" t="str">
        <f>HYPERLINK("https://creighton-primo.hosted.exlibrisgroup.com/primo-explore/search?tab=default_tab&amp;search_scope=EVERYTHING&amp;vid=01CRU&amp;lang=en_US&amp;offset=0&amp;query=any,contains,991003874599702656","Catalog Record")</f>
        <v>Catalog Record</v>
      </c>
      <c r="AT1339" s="6" t="str">
        <f>HYPERLINK("http://www.worldcat.org/oclc/48460659","WorldCat Record")</f>
        <v>WorldCat Record</v>
      </c>
      <c r="AU1339" s="3" t="s">
        <v>16782</v>
      </c>
      <c r="AV1339" s="3" t="s">
        <v>16783</v>
      </c>
      <c r="AW1339" s="3" t="s">
        <v>16784</v>
      </c>
      <c r="AX1339" s="3" t="s">
        <v>16784</v>
      </c>
      <c r="AY1339" s="3" t="s">
        <v>16785</v>
      </c>
      <c r="AZ1339" s="3" t="s">
        <v>73</v>
      </c>
      <c r="BB1339" s="3" t="s">
        <v>16786</v>
      </c>
      <c r="BC1339" s="3" t="s">
        <v>16787</v>
      </c>
      <c r="BD1339" s="3" t="s">
        <v>16788</v>
      </c>
    </row>
    <row r="1340" spans="1:56" ht="51" customHeight="1" x14ac:dyDescent="0.25">
      <c r="A1340" s="7" t="s">
        <v>58</v>
      </c>
      <c r="B1340" s="2" t="s">
        <v>16789</v>
      </c>
      <c r="C1340" s="2" t="s">
        <v>16790</v>
      </c>
      <c r="D1340" s="2" t="s">
        <v>16791</v>
      </c>
      <c r="F1340" s="3" t="s">
        <v>58</v>
      </c>
      <c r="G1340" s="3" t="s">
        <v>59</v>
      </c>
      <c r="H1340" s="3" t="s">
        <v>58</v>
      </c>
      <c r="I1340" s="3" t="s">
        <v>58</v>
      </c>
      <c r="J1340" s="3" t="s">
        <v>60</v>
      </c>
      <c r="K1340" s="2" t="s">
        <v>16792</v>
      </c>
      <c r="L1340" s="2" t="s">
        <v>16793</v>
      </c>
      <c r="M1340" s="3" t="s">
        <v>83</v>
      </c>
      <c r="O1340" s="3" t="s">
        <v>63</v>
      </c>
      <c r="P1340" s="3" t="s">
        <v>2630</v>
      </c>
      <c r="Q1340" s="2" t="s">
        <v>16794</v>
      </c>
      <c r="R1340" s="3" t="s">
        <v>65</v>
      </c>
      <c r="S1340" s="4">
        <v>3</v>
      </c>
      <c r="T1340" s="4">
        <v>3</v>
      </c>
      <c r="U1340" s="5" t="s">
        <v>16795</v>
      </c>
      <c r="V1340" s="5" t="s">
        <v>16795</v>
      </c>
      <c r="W1340" s="5" t="s">
        <v>16796</v>
      </c>
      <c r="X1340" s="5" t="s">
        <v>16796</v>
      </c>
      <c r="Y1340" s="4">
        <v>417</v>
      </c>
      <c r="Z1340" s="4">
        <v>332</v>
      </c>
      <c r="AA1340" s="4">
        <v>351</v>
      </c>
      <c r="AB1340" s="4">
        <v>3</v>
      </c>
      <c r="AC1340" s="4">
        <v>3</v>
      </c>
      <c r="AD1340" s="4">
        <v>13</v>
      </c>
      <c r="AE1340" s="4">
        <v>13</v>
      </c>
      <c r="AF1340" s="4">
        <v>2</v>
      </c>
      <c r="AG1340" s="4">
        <v>2</v>
      </c>
      <c r="AH1340" s="4">
        <v>5</v>
      </c>
      <c r="AI1340" s="4">
        <v>5</v>
      </c>
      <c r="AJ1340" s="4">
        <v>7</v>
      </c>
      <c r="AK1340" s="4">
        <v>7</v>
      </c>
      <c r="AL1340" s="4">
        <v>2</v>
      </c>
      <c r="AM1340" s="4">
        <v>2</v>
      </c>
      <c r="AN1340" s="4">
        <v>0</v>
      </c>
      <c r="AO1340" s="4">
        <v>0</v>
      </c>
      <c r="AP1340" s="3" t="s">
        <v>58</v>
      </c>
      <c r="AQ1340" s="3" t="s">
        <v>68</v>
      </c>
      <c r="AR1340" s="6" t="str">
        <f>HYPERLINK("http://catalog.hathitrust.org/Record/000091567","HathiTrust Record")</f>
        <v>HathiTrust Record</v>
      </c>
      <c r="AS1340" s="6" t="str">
        <f>HYPERLINK("https://creighton-primo.hosted.exlibrisgroup.com/primo-explore/search?tab=default_tab&amp;search_scope=EVERYTHING&amp;vid=01CRU&amp;lang=en_US&amp;offset=0&amp;query=any,contains,991004690769702656","Catalog Record")</f>
        <v>Catalog Record</v>
      </c>
      <c r="AT1340" s="6" t="str">
        <f>HYPERLINK("http://www.worldcat.org/oclc/3609286","WorldCat Record")</f>
        <v>WorldCat Record</v>
      </c>
      <c r="AU1340" s="3" t="s">
        <v>16797</v>
      </c>
      <c r="AV1340" s="3" t="s">
        <v>16798</v>
      </c>
      <c r="AW1340" s="3" t="s">
        <v>16799</v>
      </c>
      <c r="AX1340" s="3" t="s">
        <v>16799</v>
      </c>
      <c r="AY1340" s="3" t="s">
        <v>16800</v>
      </c>
      <c r="AZ1340" s="3" t="s">
        <v>73</v>
      </c>
      <c r="BB1340" s="3" t="s">
        <v>16801</v>
      </c>
      <c r="BC1340" s="3" t="s">
        <v>16802</v>
      </c>
      <c r="BD1340" s="3" t="s">
        <v>16803</v>
      </c>
    </row>
    <row r="1341" spans="1:56" ht="51" customHeight="1" x14ac:dyDescent="0.25">
      <c r="A1341" s="7" t="s">
        <v>58</v>
      </c>
      <c r="B1341" s="2" t="s">
        <v>16804</v>
      </c>
      <c r="C1341" s="2" t="s">
        <v>16805</v>
      </c>
      <c r="D1341" s="2" t="s">
        <v>16806</v>
      </c>
      <c r="F1341" s="3" t="s">
        <v>58</v>
      </c>
      <c r="G1341" s="3" t="s">
        <v>59</v>
      </c>
      <c r="H1341" s="3" t="s">
        <v>58</v>
      </c>
      <c r="I1341" s="3" t="s">
        <v>58</v>
      </c>
      <c r="J1341" s="3" t="s">
        <v>60</v>
      </c>
      <c r="K1341" s="2" t="s">
        <v>16807</v>
      </c>
      <c r="L1341" s="2" t="s">
        <v>16808</v>
      </c>
      <c r="M1341" s="3" t="s">
        <v>538</v>
      </c>
      <c r="O1341" s="3" t="s">
        <v>63</v>
      </c>
      <c r="P1341" s="3" t="s">
        <v>354</v>
      </c>
      <c r="R1341" s="3" t="s">
        <v>65</v>
      </c>
      <c r="S1341" s="4">
        <v>1</v>
      </c>
      <c r="T1341" s="4">
        <v>1</v>
      </c>
      <c r="U1341" s="5" t="s">
        <v>16329</v>
      </c>
      <c r="V1341" s="5" t="s">
        <v>16329</v>
      </c>
      <c r="W1341" s="5" t="s">
        <v>16074</v>
      </c>
      <c r="X1341" s="5" t="s">
        <v>16074</v>
      </c>
      <c r="Y1341" s="4">
        <v>803</v>
      </c>
      <c r="Z1341" s="4">
        <v>681</v>
      </c>
      <c r="AA1341" s="4">
        <v>836</v>
      </c>
      <c r="AB1341" s="4">
        <v>7</v>
      </c>
      <c r="AC1341" s="4">
        <v>7</v>
      </c>
      <c r="AD1341" s="4">
        <v>40</v>
      </c>
      <c r="AE1341" s="4">
        <v>45</v>
      </c>
      <c r="AF1341" s="4">
        <v>15</v>
      </c>
      <c r="AG1341" s="4">
        <v>18</v>
      </c>
      <c r="AH1341" s="4">
        <v>7</v>
      </c>
      <c r="AI1341" s="4">
        <v>9</v>
      </c>
      <c r="AJ1341" s="4">
        <v>16</v>
      </c>
      <c r="AK1341" s="4">
        <v>19</v>
      </c>
      <c r="AL1341" s="4">
        <v>5</v>
      </c>
      <c r="AM1341" s="4">
        <v>5</v>
      </c>
      <c r="AN1341" s="4">
        <v>5</v>
      </c>
      <c r="AO1341" s="4">
        <v>5</v>
      </c>
      <c r="AP1341" s="3" t="s">
        <v>58</v>
      </c>
      <c r="AQ1341" s="3" t="s">
        <v>58</v>
      </c>
      <c r="AS1341" s="6" t="str">
        <f>HYPERLINK("https://creighton-primo.hosted.exlibrisgroup.com/primo-explore/search?tab=default_tab&amp;search_scope=EVERYTHING&amp;vid=01CRU&amp;lang=en_US&amp;offset=0&amp;query=any,contains,991000135669702656","Catalog Record")</f>
        <v>Catalog Record</v>
      </c>
      <c r="AT1341" s="6" t="str">
        <f>HYPERLINK("http://www.worldcat.org/oclc/56179","WorldCat Record")</f>
        <v>WorldCat Record</v>
      </c>
      <c r="AU1341" s="3" t="s">
        <v>16809</v>
      </c>
      <c r="AV1341" s="3" t="s">
        <v>16810</v>
      </c>
      <c r="AW1341" s="3" t="s">
        <v>16811</v>
      </c>
      <c r="AX1341" s="3" t="s">
        <v>16811</v>
      </c>
      <c r="AY1341" s="3" t="s">
        <v>16812</v>
      </c>
      <c r="AZ1341" s="3" t="s">
        <v>73</v>
      </c>
      <c r="BB1341" s="3" t="s">
        <v>16813</v>
      </c>
      <c r="BC1341" s="3" t="s">
        <v>16814</v>
      </c>
      <c r="BD1341" s="3" t="s">
        <v>16815</v>
      </c>
    </row>
    <row r="1342" spans="1:56" ht="51" customHeight="1" x14ac:dyDescent="0.25">
      <c r="A1342" s="7" t="s">
        <v>58</v>
      </c>
      <c r="B1342" s="2" t="s">
        <v>16816</v>
      </c>
      <c r="C1342" s="2" t="s">
        <v>16817</v>
      </c>
      <c r="D1342" s="2" t="s">
        <v>16818</v>
      </c>
      <c r="F1342" s="3" t="s">
        <v>58</v>
      </c>
      <c r="G1342" s="3" t="s">
        <v>59</v>
      </c>
      <c r="H1342" s="3" t="s">
        <v>58</v>
      </c>
      <c r="I1342" s="3" t="s">
        <v>58</v>
      </c>
      <c r="J1342" s="3" t="s">
        <v>60</v>
      </c>
      <c r="K1342" s="2" t="s">
        <v>16819</v>
      </c>
      <c r="L1342" s="2" t="s">
        <v>16820</v>
      </c>
      <c r="M1342" s="3" t="s">
        <v>1399</v>
      </c>
      <c r="O1342" s="3" t="s">
        <v>63</v>
      </c>
      <c r="P1342" s="3" t="s">
        <v>2061</v>
      </c>
      <c r="R1342" s="3" t="s">
        <v>65</v>
      </c>
      <c r="S1342" s="4">
        <v>2</v>
      </c>
      <c r="T1342" s="4">
        <v>2</v>
      </c>
      <c r="U1342" s="5" t="s">
        <v>16821</v>
      </c>
      <c r="V1342" s="5" t="s">
        <v>16821</v>
      </c>
      <c r="W1342" s="5" t="s">
        <v>14853</v>
      </c>
      <c r="X1342" s="5" t="s">
        <v>14853</v>
      </c>
      <c r="Y1342" s="4">
        <v>1714</v>
      </c>
      <c r="Z1342" s="4">
        <v>1565</v>
      </c>
      <c r="AA1342" s="4">
        <v>1822</v>
      </c>
      <c r="AB1342" s="4">
        <v>10</v>
      </c>
      <c r="AC1342" s="4">
        <v>13</v>
      </c>
      <c r="AD1342" s="4">
        <v>34</v>
      </c>
      <c r="AE1342" s="4">
        <v>45</v>
      </c>
      <c r="AF1342" s="4">
        <v>16</v>
      </c>
      <c r="AG1342" s="4">
        <v>22</v>
      </c>
      <c r="AH1342" s="4">
        <v>5</v>
      </c>
      <c r="AI1342" s="4">
        <v>9</v>
      </c>
      <c r="AJ1342" s="4">
        <v>15</v>
      </c>
      <c r="AK1342" s="4">
        <v>18</v>
      </c>
      <c r="AL1342" s="4">
        <v>5</v>
      </c>
      <c r="AM1342" s="4">
        <v>8</v>
      </c>
      <c r="AN1342" s="4">
        <v>0</v>
      </c>
      <c r="AO1342" s="4">
        <v>0</v>
      </c>
      <c r="AP1342" s="3" t="s">
        <v>58</v>
      </c>
      <c r="AQ1342" s="3" t="s">
        <v>58</v>
      </c>
      <c r="AS1342" s="6" t="str">
        <f>HYPERLINK("https://creighton-primo.hosted.exlibrisgroup.com/primo-explore/search?tab=default_tab&amp;search_scope=EVERYTHING&amp;vid=01CRU&amp;lang=en_US&amp;offset=0&amp;query=any,contains,991001125509702656","Catalog Record")</f>
        <v>Catalog Record</v>
      </c>
      <c r="AT1342" s="6" t="str">
        <f>HYPERLINK("http://www.worldcat.org/oclc/16648147","WorldCat Record")</f>
        <v>WorldCat Record</v>
      </c>
      <c r="AU1342" s="3" t="s">
        <v>16822</v>
      </c>
      <c r="AV1342" s="3" t="s">
        <v>16823</v>
      </c>
      <c r="AW1342" s="3" t="s">
        <v>16824</v>
      </c>
      <c r="AX1342" s="3" t="s">
        <v>16824</v>
      </c>
      <c r="AY1342" s="3" t="s">
        <v>16825</v>
      </c>
      <c r="AZ1342" s="3" t="s">
        <v>73</v>
      </c>
      <c r="BB1342" s="3" t="s">
        <v>16826</v>
      </c>
      <c r="BC1342" s="3" t="s">
        <v>16827</v>
      </c>
      <c r="BD1342" s="3" t="s">
        <v>16828</v>
      </c>
    </row>
    <row r="1343" spans="1:56" ht="51" customHeight="1" x14ac:dyDescent="0.25">
      <c r="A1343" s="7" t="s">
        <v>58</v>
      </c>
      <c r="B1343" s="2" t="s">
        <v>16829</v>
      </c>
      <c r="C1343" s="2" t="s">
        <v>16830</v>
      </c>
      <c r="D1343" s="2" t="s">
        <v>16831</v>
      </c>
      <c r="F1343" s="3" t="s">
        <v>58</v>
      </c>
      <c r="G1343" s="3" t="s">
        <v>59</v>
      </c>
      <c r="H1343" s="3" t="s">
        <v>58</v>
      </c>
      <c r="I1343" s="3" t="s">
        <v>58</v>
      </c>
      <c r="J1343" s="3" t="s">
        <v>60</v>
      </c>
      <c r="K1343" s="2" t="s">
        <v>16832</v>
      </c>
      <c r="L1343" s="2" t="s">
        <v>10341</v>
      </c>
      <c r="M1343" s="3" t="s">
        <v>397</v>
      </c>
      <c r="O1343" s="3" t="s">
        <v>63</v>
      </c>
      <c r="P1343" s="3" t="s">
        <v>214</v>
      </c>
      <c r="R1343" s="3" t="s">
        <v>65</v>
      </c>
      <c r="S1343" s="4">
        <v>1</v>
      </c>
      <c r="T1343" s="4">
        <v>1</v>
      </c>
      <c r="U1343" s="5" t="s">
        <v>16833</v>
      </c>
      <c r="V1343" s="5" t="s">
        <v>16833</v>
      </c>
      <c r="W1343" s="5" t="s">
        <v>14853</v>
      </c>
      <c r="X1343" s="5" t="s">
        <v>14853</v>
      </c>
      <c r="Y1343" s="4">
        <v>345</v>
      </c>
      <c r="Z1343" s="4">
        <v>310</v>
      </c>
      <c r="AA1343" s="4">
        <v>371</v>
      </c>
      <c r="AB1343" s="4">
        <v>3</v>
      </c>
      <c r="AC1343" s="4">
        <v>4</v>
      </c>
      <c r="AD1343" s="4">
        <v>18</v>
      </c>
      <c r="AE1343" s="4">
        <v>19</v>
      </c>
      <c r="AF1343" s="4">
        <v>6</v>
      </c>
      <c r="AG1343" s="4">
        <v>6</v>
      </c>
      <c r="AH1343" s="4">
        <v>5</v>
      </c>
      <c r="AI1343" s="4">
        <v>5</v>
      </c>
      <c r="AJ1343" s="4">
        <v>10</v>
      </c>
      <c r="AK1343" s="4">
        <v>10</v>
      </c>
      <c r="AL1343" s="4">
        <v>2</v>
      </c>
      <c r="AM1343" s="4">
        <v>3</v>
      </c>
      <c r="AN1343" s="4">
        <v>0</v>
      </c>
      <c r="AO1343" s="4">
        <v>0</v>
      </c>
      <c r="AP1343" s="3" t="s">
        <v>58</v>
      </c>
      <c r="AQ1343" s="3" t="s">
        <v>58</v>
      </c>
      <c r="AS1343" s="6" t="str">
        <f>HYPERLINK("https://creighton-primo.hosted.exlibrisgroup.com/primo-explore/search?tab=default_tab&amp;search_scope=EVERYTHING&amp;vid=01CRU&amp;lang=en_US&amp;offset=0&amp;query=any,contains,991000488159702656","Catalog Record")</f>
        <v>Catalog Record</v>
      </c>
      <c r="AT1343" s="6" t="str">
        <f>HYPERLINK("http://www.worldcat.org/oclc/11090229","WorldCat Record")</f>
        <v>WorldCat Record</v>
      </c>
      <c r="AU1343" s="3" t="s">
        <v>16834</v>
      </c>
      <c r="AV1343" s="3" t="s">
        <v>16835</v>
      </c>
      <c r="AW1343" s="3" t="s">
        <v>16836</v>
      </c>
      <c r="AX1343" s="3" t="s">
        <v>16836</v>
      </c>
      <c r="AY1343" s="3" t="s">
        <v>16837</v>
      </c>
      <c r="AZ1343" s="3" t="s">
        <v>73</v>
      </c>
      <c r="BB1343" s="3" t="s">
        <v>16838</v>
      </c>
      <c r="BC1343" s="3" t="s">
        <v>16839</v>
      </c>
      <c r="BD1343" s="3" t="s">
        <v>16840</v>
      </c>
    </row>
    <row r="1344" spans="1:56" ht="51" customHeight="1" x14ac:dyDescent="0.25">
      <c r="A1344" s="7" t="s">
        <v>58</v>
      </c>
      <c r="B1344" s="2" t="s">
        <v>16841</v>
      </c>
      <c r="C1344" s="2" t="s">
        <v>16842</v>
      </c>
      <c r="D1344" s="2" t="s">
        <v>16843</v>
      </c>
      <c r="F1344" s="3" t="s">
        <v>58</v>
      </c>
      <c r="G1344" s="3" t="s">
        <v>59</v>
      </c>
      <c r="H1344" s="3" t="s">
        <v>58</v>
      </c>
      <c r="I1344" s="3" t="s">
        <v>58</v>
      </c>
      <c r="J1344" s="3" t="s">
        <v>60</v>
      </c>
      <c r="K1344" s="2" t="s">
        <v>16844</v>
      </c>
      <c r="L1344" s="2" t="s">
        <v>16845</v>
      </c>
      <c r="M1344" s="3" t="s">
        <v>653</v>
      </c>
      <c r="O1344" s="3" t="s">
        <v>63</v>
      </c>
      <c r="P1344" s="3" t="s">
        <v>214</v>
      </c>
      <c r="Q1344" s="2" t="s">
        <v>16846</v>
      </c>
      <c r="R1344" s="3" t="s">
        <v>65</v>
      </c>
      <c r="S1344" s="4">
        <v>10</v>
      </c>
      <c r="T1344" s="4">
        <v>10</v>
      </c>
      <c r="U1344" s="5" t="s">
        <v>16833</v>
      </c>
      <c r="V1344" s="5" t="s">
        <v>16833</v>
      </c>
      <c r="W1344" s="5" t="s">
        <v>3297</v>
      </c>
      <c r="X1344" s="5" t="s">
        <v>3297</v>
      </c>
      <c r="Y1344" s="4">
        <v>185</v>
      </c>
      <c r="Z1344" s="4">
        <v>161</v>
      </c>
      <c r="AA1344" s="4">
        <v>188</v>
      </c>
      <c r="AB1344" s="4">
        <v>4</v>
      </c>
      <c r="AC1344" s="4">
        <v>4</v>
      </c>
      <c r="AD1344" s="4">
        <v>10</v>
      </c>
      <c r="AE1344" s="4">
        <v>10</v>
      </c>
      <c r="AF1344" s="4">
        <v>3</v>
      </c>
      <c r="AG1344" s="4">
        <v>3</v>
      </c>
      <c r="AH1344" s="4">
        <v>1</v>
      </c>
      <c r="AI1344" s="4">
        <v>1</v>
      </c>
      <c r="AJ1344" s="4">
        <v>5</v>
      </c>
      <c r="AK1344" s="4">
        <v>5</v>
      </c>
      <c r="AL1344" s="4">
        <v>3</v>
      </c>
      <c r="AM1344" s="4">
        <v>3</v>
      </c>
      <c r="AN1344" s="4">
        <v>0</v>
      </c>
      <c r="AO1344" s="4">
        <v>0</v>
      </c>
      <c r="AP1344" s="3" t="s">
        <v>58</v>
      </c>
      <c r="AQ1344" s="3" t="s">
        <v>58</v>
      </c>
      <c r="AS1344" s="6" t="str">
        <f>HYPERLINK("https://creighton-primo.hosted.exlibrisgroup.com/primo-explore/search?tab=default_tab&amp;search_scope=EVERYTHING&amp;vid=01CRU&amp;lang=en_US&amp;offset=0&amp;query=any,contains,991001908839702656","Catalog Record")</f>
        <v>Catalog Record</v>
      </c>
      <c r="AT1344" s="6" t="str">
        <f>HYPERLINK("http://www.worldcat.org/oclc/24107784","WorldCat Record")</f>
        <v>WorldCat Record</v>
      </c>
      <c r="AU1344" s="3" t="s">
        <v>16847</v>
      </c>
      <c r="AV1344" s="3" t="s">
        <v>16848</v>
      </c>
      <c r="AW1344" s="3" t="s">
        <v>16849</v>
      </c>
      <c r="AX1344" s="3" t="s">
        <v>16849</v>
      </c>
      <c r="AY1344" s="3" t="s">
        <v>16850</v>
      </c>
      <c r="AZ1344" s="3" t="s">
        <v>73</v>
      </c>
      <c r="BB1344" s="3" t="s">
        <v>16851</v>
      </c>
      <c r="BC1344" s="3" t="s">
        <v>16852</v>
      </c>
      <c r="BD1344" s="3" t="s">
        <v>16853</v>
      </c>
    </row>
    <row r="1345" spans="1:56" ht="51" customHeight="1" x14ac:dyDescent="0.25">
      <c r="A1345" s="7" t="s">
        <v>58</v>
      </c>
      <c r="B1345" s="2" t="s">
        <v>16854</v>
      </c>
      <c r="C1345" s="2" t="s">
        <v>16855</v>
      </c>
      <c r="D1345" s="2" t="s">
        <v>16856</v>
      </c>
      <c r="F1345" s="3" t="s">
        <v>58</v>
      </c>
      <c r="G1345" s="3" t="s">
        <v>59</v>
      </c>
      <c r="H1345" s="3" t="s">
        <v>58</v>
      </c>
      <c r="I1345" s="3" t="s">
        <v>58</v>
      </c>
      <c r="J1345" s="3" t="s">
        <v>60</v>
      </c>
      <c r="K1345" s="2" t="s">
        <v>16857</v>
      </c>
      <c r="L1345" s="2" t="s">
        <v>16858</v>
      </c>
      <c r="M1345" s="3" t="s">
        <v>4023</v>
      </c>
      <c r="N1345" s="2" t="s">
        <v>16859</v>
      </c>
      <c r="O1345" s="3" t="s">
        <v>63</v>
      </c>
      <c r="P1345" s="3" t="s">
        <v>816</v>
      </c>
      <c r="R1345" s="3" t="s">
        <v>65</v>
      </c>
      <c r="S1345" s="4">
        <v>2</v>
      </c>
      <c r="T1345" s="4">
        <v>2</v>
      </c>
      <c r="U1345" s="5" t="s">
        <v>16860</v>
      </c>
      <c r="V1345" s="5" t="s">
        <v>16860</v>
      </c>
      <c r="W1345" s="5" t="s">
        <v>16861</v>
      </c>
      <c r="X1345" s="5" t="s">
        <v>16861</v>
      </c>
      <c r="Y1345" s="4">
        <v>960</v>
      </c>
      <c r="Z1345" s="4">
        <v>913</v>
      </c>
      <c r="AA1345" s="4">
        <v>1075</v>
      </c>
      <c r="AB1345" s="4">
        <v>6</v>
      </c>
      <c r="AC1345" s="4">
        <v>7</v>
      </c>
      <c r="AD1345" s="4">
        <v>32</v>
      </c>
      <c r="AE1345" s="4">
        <v>38</v>
      </c>
      <c r="AF1345" s="4">
        <v>16</v>
      </c>
      <c r="AG1345" s="4">
        <v>18</v>
      </c>
      <c r="AH1345" s="4">
        <v>7</v>
      </c>
      <c r="AI1345" s="4">
        <v>9</v>
      </c>
      <c r="AJ1345" s="4">
        <v>11</v>
      </c>
      <c r="AK1345" s="4">
        <v>14</v>
      </c>
      <c r="AL1345" s="4">
        <v>5</v>
      </c>
      <c r="AM1345" s="4">
        <v>6</v>
      </c>
      <c r="AN1345" s="4">
        <v>0</v>
      </c>
      <c r="AO1345" s="4">
        <v>0</v>
      </c>
      <c r="AP1345" s="3" t="s">
        <v>58</v>
      </c>
      <c r="AQ1345" s="3" t="s">
        <v>58</v>
      </c>
      <c r="AS1345" s="6" t="str">
        <f>HYPERLINK("https://creighton-primo.hosted.exlibrisgroup.com/primo-explore/search?tab=default_tab&amp;search_scope=EVERYTHING&amp;vid=01CRU&amp;lang=en_US&amp;offset=0&amp;query=any,contains,991004486069702656","Catalog Record")</f>
        <v>Catalog Record</v>
      </c>
      <c r="AT1345" s="6" t="str">
        <f>HYPERLINK("http://www.worldcat.org/oclc/57211315","WorldCat Record")</f>
        <v>WorldCat Record</v>
      </c>
      <c r="AU1345" s="3" t="s">
        <v>16862</v>
      </c>
      <c r="AV1345" s="3" t="s">
        <v>16863</v>
      </c>
      <c r="AW1345" s="3" t="s">
        <v>16864</v>
      </c>
      <c r="AX1345" s="3" t="s">
        <v>16864</v>
      </c>
      <c r="AY1345" s="3" t="s">
        <v>16865</v>
      </c>
      <c r="AZ1345" s="3" t="s">
        <v>73</v>
      </c>
      <c r="BB1345" s="3" t="s">
        <v>16866</v>
      </c>
      <c r="BC1345" s="3" t="s">
        <v>16867</v>
      </c>
      <c r="BD1345" s="3" t="s">
        <v>16868</v>
      </c>
    </row>
    <row r="1346" spans="1:56" ht="51" customHeight="1" x14ac:dyDescent="0.25">
      <c r="A1346" s="7" t="s">
        <v>58</v>
      </c>
      <c r="B1346" s="2" t="s">
        <v>16869</v>
      </c>
      <c r="C1346" s="2" t="s">
        <v>16870</v>
      </c>
      <c r="D1346" s="2" t="s">
        <v>16871</v>
      </c>
      <c r="F1346" s="3" t="s">
        <v>58</v>
      </c>
      <c r="G1346" s="3" t="s">
        <v>59</v>
      </c>
      <c r="H1346" s="3" t="s">
        <v>58</v>
      </c>
      <c r="I1346" s="3" t="s">
        <v>58</v>
      </c>
      <c r="J1346" s="3" t="s">
        <v>60</v>
      </c>
      <c r="K1346" s="2" t="s">
        <v>16872</v>
      </c>
      <c r="L1346" s="2" t="s">
        <v>16873</v>
      </c>
      <c r="M1346" s="3" t="s">
        <v>479</v>
      </c>
      <c r="O1346" s="3" t="s">
        <v>63</v>
      </c>
      <c r="P1346" s="3" t="s">
        <v>214</v>
      </c>
      <c r="Q1346" s="2" t="s">
        <v>801</v>
      </c>
      <c r="R1346" s="3" t="s">
        <v>65</v>
      </c>
      <c r="S1346" s="4">
        <v>6</v>
      </c>
      <c r="T1346" s="4">
        <v>6</v>
      </c>
      <c r="U1346" s="5" t="s">
        <v>16874</v>
      </c>
      <c r="V1346" s="5" t="s">
        <v>16874</v>
      </c>
      <c r="W1346" s="5" t="s">
        <v>16875</v>
      </c>
      <c r="X1346" s="5" t="s">
        <v>16875</v>
      </c>
      <c r="Y1346" s="4">
        <v>105</v>
      </c>
      <c r="Z1346" s="4">
        <v>94</v>
      </c>
      <c r="AA1346" s="4">
        <v>403</v>
      </c>
      <c r="AB1346" s="4">
        <v>1</v>
      </c>
      <c r="AC1346" s="4">
        <v>3</v>
      </c>
      <c r="AD1346" s="4">
        <v>2</v>
      </c>
      <c r="AE1346" s="4">
        <v>13</v>
      </c>
      <c r="AF1346" s="4">
        <v>1</v>
      </c>
      <c r="AG1346" s="4">
        <v>3</v>
      </c>
      <c r="AH1346" s="4">
        <v>1</v>
      </c>
      <c r="AI1346" s="4">
        <v>5</v>
      </c>
      <c r="AJ1346" s="4">
        <v>1</v>
      </c>
      <c r="AK1346" s="4">
        <v>6</v>
      </c>
      <c r="AL1346" s="4">
        <v>0</v>
      </c>
      <c r="AM1346" s="4">
        <v>2</v>
      </c>
      <c r="AN1346" s="4">
        <v>0</v>
      </c>
      <c r="AO1346" s="4">
        <v>0</v>
      </c>
      <c r="AP1346" s="3" t="s">
        <v>58</v>
      </c>
      <c r="AQ1346" s="3" t="s">
        <v>68</v>
      </c>
      <c r="AR1346" s="6" t="str">
        <f>HYPERLINK("http://catalog.hathitrust.org/Record/006044753","HathiTrust Record")</f>
        <v>HathiTrust Record</v>
      </c>
      <c r="AS1346" s="6" t="str">
        <f>HYPERLINK("https://creighton-primo.hosted.exlibrisgroup.com/primo-explore/search?tab=default_tab&amp;search_scope=EVERYTHING&amp;vid=01CRU&amp;lang=en_US&amp;offset=0&amp;query=any,contains,991002283009702656","Catalog Record")</f>
        <v>Catalog Record</v>
      </c>
      <c r="AT1346" s="6" t="str">
        <f>HYPERLINK("http://www.worldcat.org/oclc/29597321","WorldCat Record")</f>
        <v>WorldCat Record</v>
      </c>
      <c r="AU1346" s="3" t="s">
        <v>16876</v>
      </c>
      <c r="AV1346" s="3" t="s">
        <v>16877</v>
      </c>
      <c r="AW1346" s="3" t="s">
        <v>16878</v>
      </c>
      <c r="AX1346" s="3" t="s">
        <v>16878</v>
      </c>
      <c r="AY1346" s="3" t="s">
        <v>16879</v>
      </c>
      <c r="AZ1346" s="3" t="s">
        <v>73</v>
      </c>
      <c r="BB1346" s="3" t="s">
        <v>16880</v>
      </c>
      <c r="BC1346" s="3" t="s">
        <v>16881</v>
      </c>
      <c r="BD1346" s="3" t="s">
        <v>16882</v>
      </c>
    </row>
    <row r="1347" spans="1:56" ht="51" customHeight="1" x14ac:dyDescent="0.25">
      <c r="A1347" s="7" t="s">
        <v>58</v>
      </c>
      <c r="B1347" s="2" t="s">
        <v>16883</v>
      </c>
      <c r="C1347" s="2" t="s">
        <v>16884</v>
      </c>
      <c r="D1347" s="2" t="s">
        <v>16885</v>
      </c>
      <c r="F1347" s="3" t="s">
        <v>58</v>
      </c>
      <c r="G1347" s="3" t="s">
        <v>59</v>
      </c>
      <c r="H1347" s="3" t="s">
        <v>58</v>
      </c>
      <c r="I1347" s="3" t="s">
        <v>58</v>
      </c>
      <c r="J1347" s="3" t="s">
        <v>60</v>
      </c>
      <c r="K1347" s="2" t="s">
        <v>16886</v>
      </c>
      <c r="L1347" s="2" t="s">
        <v>3458</v>
      </c>
      <c r="M1347" s="3" t="s">
        <v>524</v>
      </c>
      <c r="O1347" s="3" t="s">
        <v>63</v>
      </c>
      <c r="P1347" s="3" t="s">
        <v>214</v>
      </c>
      <c r="R1347" s="3" t="s">
        <v>65</v>
      </c>
      <c r="S1347" s="4">
        <v>1</v>
      </c>
      <c r="T1347" s="4">
        <v>1</v>
      </c>
      <c r="U1347" s="5" t="s">
        <v>16887</v>
      </c>
      <c r="V1347" s="5" t="s">
        <v>16887</v>
      </c>
      <c r="W1347" s="5" t="s">
        <v>14853</v>
      </c>
      <c r="X1347" s="5" t="s">
        <v>14853</v>
      </c>
      <c r="Y1347" s="4">
        <v>252</v>
      </c>
      <c r="Z1347" s="4">
        <v>229</v>
      </c>
      <c r="AA1347" s="4">
        <v>315</v>
      </c>
      <c r="AB1347" s="4">
        <v>1</v>
      </c>
      <c r="AC1347" s="4">
        <v>3</v>
      </c>
      <c r="AD1347" s="4">
        <v>10</v>
      </c>
      <c r="AE1347" s="4">
        <v>14</v>
      </c>
      <c r="AF1347" s="4">
        <v>4</v>
      </c>
      <c r="AG1347" s="4">
        <v>5</v>
      </c>
      <c r="AH1347" s="4">
        <v>3</v>
      </c>
      <c r="AI1347" s="4">
        <v>4</v>
      </c>
      <c r="AJ1347" s="4">
        <v>4</v>
      </c>
      <c r="AK1347" s="4">
        <v>6</v>
      </c>
      <c r="AL1347" s="4">
        <v>0</v>
      </c>
      <c r="AM1347" s="4">
        <v>2</v>
      </c>
      <c r="AN1347" s="4">
        <v>0</v>
      </c>
      <c r="AO1347" s="4">
        <v>0</v>
      </c>
      <c r="AP1347" s="3" t="s">
        <v>58</v>
      </c>
      <c r="AQ1347" s="3" t="s">
        <v>58</v>
      </c>
      <c r="AS1347" s="6" t="str">
        <f>HYPERLINK("https://creighton-primo.hosted.exlibrisgroup.com/primo-explore/search?tab=default_tab&amp;search_scope=EVERYTHING&amp;vid=01CRU&amp;lang=en_US&amp;offset=0&amp;query=any,contains,991000756269702656","Catalog Record")</f>
        <v>Catalog Record</v>
      </c>
      <c r="AT1347" s="6" t="str">
        <f>HYPERLINK("http://www.worldcat.org/oclc/12947773","WorldCat Record")</f>
        <v>WorldCat Record</v>
      </c>
      <c r="AU1347" s="3" t="s">
        <v>16888</v>
      </c>
      <c r="AV1347" s="3" t="s">
        <v>16889</v>
      </c>
      <c r="AW1347" s="3" t="s">
        <v>16890</v>
      </c>
      <c r="AX1347" s="3" t="s">
        <v>16890</v>
      </c>
      <c r="AY1347" s="3" t="s">
        <v>16891</v>
      </c>
      <c r="AZ1347" s="3" t="s">
        <v>73</v>
      </c>
      <c r="BB1347" s="3" t="s">
        <v>16892</v>
      </c>
      <c r="BC1347" s="3" t="s">
        <v>16893</v>
      </c>
      <c r="BD1347" s="3" t="s">
        <v>16894</v>
      </c>
    </row>
    <row r="1348" spans="1:56" ht="51" customHeight="1" x14ac:dyDescent="0.25">
      <c r="A1348" s="7" t="s">
        <v>58</v>
      </c>
      <c r="B1348" s="2" t="s">
        <v>16895</v>
      </c>
      <c r="C1348" s="2" t="s">
        <v>16896</v>
      </c>
      <c r="D1348" s="2" t="s">
        <v>16897</v>
      </c>
      <c r="F1348" s="3" t="s">
        <v>58</v>
      </c>
      <c r="G1348" s="3" t="s">
        <v>59</v>
      </c>
      <c r="H1348" s="3" t="s">
        <v>58</v>
      </c>
      <c r="I1348" s="3" t="s">
        <v>58</v>
      </c>
      <c r="J1348" s="3" t="s">
        <v>60</v>
      </c>
      <c r="K1348" s="2" t="s">
        <v>16898</v>
      </c>
      <c r="L1348" s="2" t="s">
        <v>16899</v>
      </c>
      <c r="M1348" s="3" t="s">
        <v>101</v>
      </c>
      <c r="O1348" s="3" t="s">
        <v>63</v>
      </c>
      <c r="P1348" s="3" t="s">
        <v>816</v>
      </c>
      <c r="R1348" s="3" t="s">
        <v>65</v>
      </c>
      <c r="S1348" s="4">
        <v>9</v>
      </c>
      <c r="T1348" s="4">
        <v>9</v>
      </c>
      <c r="U1348" s="5" t="s">
        <v>2824</v>
      </c>
      <c r="V1348" s="5" t="s">
        <v>2824</v>
      </c>
      <c r="W1348" s="5" t="s">
        <v>2799</v>
      </c>
      <c r="X1348" s="5" t="s">
        <v>2799</v>
      </c>
      <c r="Y1348" s="4">
        <v>858</v>
      </c>
      <c r="Z1348" s="4">
        <v>769</v>
      </c>
      <c r="AA1348" s="4">
        <v>806</v>
      </c>
      <c r="AB1348" s="4">
        <v>4</v>
      </c>
      <c r="AC1348" s="4">
        <v>5</v>
      </c>
      <c r="AD1348" s="4">
        <v>31</v>
      </c>
      <c r="AE1348" s="4">
        <v>32</v>
      </c>
      <c r="AF1348" s="4">
        <v>15</v>
      </c>
      <c r="AG1348" s="4">
        <v>15</v>
      </c>
      <c r="AH1348" s="4">
        <v>7</v>
      </c>
      <c r="AI1348" s="4">
        <v>7</v>
      </c>
      <c r="AJ1348" s="4">
        <v>15</v>
      </c>
      <c r="AK1348" s="4">
        <v>15</v>
      </c>
      <c r="AL1348" s="4">
        <v>3</v>
      </c>
      <c r="AM1348" s="4">
        <v>4</v>
      </c>
      <c r="AN1348" s="4">
        <v>0</v>
      </c>
      <c r="AO1348" s="4">
        <v>0</v>
      </c>
      <c r="AP1348" s="3" t="s">
        <v>58</v>
      </c>
      <c r="AQ1348" s="3" t="s">
        <v>68</v>
      </c>
      <c r="AR1348" s="6" t="str">
        <f>HYPERLINK("http://catalog.hathitrust.org/Record/000119992","HathiTrust Record")</f>
        <v>HathiTrust Record</v>
      </c>
      <c r="AS1348" s="6" t="str">
        <f>HYPERLINK("https://creighton-primo.hosted.exlibrisgroup.com/primo-explore/search?tab=default_tab&amp;search_scope=EVERYTHING&amp;vid=01CRU&amp;lang=en_US&amp;offset=0&amp;query=any,contains,991000394509702656","Catalog Record")</f>
        <v>Catalog Record</v>
      </c>
      <c r="AT1348" s="6" t="str">
        <f>HYPERLINK("http://www.worldcat.org/oclc/10560044","WorldCat Record")</f>
        <v>WorldCat Record</v>
      </c>
      <c r="AU1348" s="3" t="s">
        <v>16900</v>
      </c>
      <c r="AV1348" s="3" t="s">
        <v>16901</v>
      </c>
      <c r="AW1348" s="3" t="s">
        <v>16902</v>
      </c>
      <c r="AX1348" s="3" t="s">
        <v>16902</v>
      </c>
      <c r="AY1348" s="3" t="s">
        <v>16903</v>
      </c>
      <c r="AZ1348" s="3" t="s">
        <v>73</v>
      </c>
      <c r="BB1348" s="3" t="s">
        <v>16904</v>
      </c>
      <c r="BC1348" s="3" t="s">
        <v>16905</v>
      </c>
      <c r="BD1348" s="3" t="s">
        <v>16906</v>
      </c>
    </row>
    <row r="1349" spans="1:56" ht="51" customHeight="1" x14ac:dyDescent="0.25">
      <c r="A1349" s="7" t="s">
        <v>58</v>
      </c>
      <c r="B1349" s="2" t="s">
        <v>16907</v>
      </c>
      <c r="C1349" s="2" t="s">
        <v>16908</v>
      </c>
      <c r="D1349" s="2" t="s">
        <v>16909</v>
      </c>
      <c r="F1349" s="3" t="s">
        <v>58</v>
      </c>
      <c r="G1349" s="3" t="s">
        <v>59</v>
      </c>
      <c r="H1349" s="3" t="s">
        <v>58</v>
      </c>
      <c r="I1349" s="3" t="s">
        <v>58</v>
      </c>
      <c r="J1349" s="3" t="s">
        <v>60</v>
      </c>
      <c r="L1349" s="2" t="s">
        <v>16910</v>
      </c>
      <c r="M1349" s="3" t="s">
        <v>154</v>
      </c>
      <c r="O1349" s="3" t="s">
        <v>63</v>
      </c>
      <c r="P1349" s="3" t="s">
        <v>354</v>
      </c>
      <c r="R1349" s="3" t="s">
        <v>65</v>
      </c>
      <c r="S1349" s="4">
        <v>12</v>
      </c>
      <c r="T1349" s="4">
        <v>12</v>
      </c>
      <c r="U1349" s="5" t="s">
        <v>2824</v>
      </c>
      <c r="V1349" s="5" t="s">
        <v>2824</v>
      </c>
      <c r="W1349" s="5" t="s">
        <v>8993</v>
      </c>
      <c r="X1349" s="5" t="s">
        <v>8993</v>
      </c>
      <c r="Y1349" s="4">
        <v>813</v>
      </c>
      <c r="Z1349" s="4">
        <v>679</v>
      </c>
      <c r="AA1349" s="4">
        <v>1088</v>
      </c>
      <c r="AB1349" s="4">
        <v>7</v>
      </c>
      <c r="AC1349" s="4">
        <v>12</v>
      </c>
      <c r="AD1349" s="4">
        <v>33</v>
      </c>
      <c r="AE1349" s="4">
        <v>50</v>
      </c>
      <c r="AF1349" s="4">
        <v>11</v>
      </c>
      <c r="AG1349" s="4">
        <v>19</v>
      </c>
      <c r="AH1349" s="4">
        <v>8</v>
      </c>
      <c r="AI1349" s="4">
        <v>11</v>
      </c>
      <c r="AJ1349" s="4">
        <v>14</v>
      </c>
      <c r="AK1349" s="4">
        <v>19</v>
      </c>
      <c r="AL1349" s="4">
        <v>6</v>
      </c>
      <c r="AM1349" s="4">
        <v>10</v>
      </c>
      <c r="AN1349" s="4">
        <v>1</v>
      </c>
      <c r="AO1349" s="4">
        <v>2</v>
      </c>
      <c r="AP1349" s="3" t="s">
        <v>58</v>
      </c>
      <c r="AQ1349" s="3" t="s">
        <v>58</v>
      </c>
      <c r="AS1349" s="6" t="str">
        <f>HYPERLINK("https://creighton-primo.hosted.exlibrisgroup.com/primo-explore/search?tab=default_tab&amp;search_scope=EVERYTHING&amp;vid=01CRU&amp;lang=en_US&amp;offset=0&amp;query=any,contains,991001387389702656","Catalog Record")</f>
        <v>Catalog Record</v>
      </c>
      <c r="AT1349" s="6" t="str">
        <f>HYPERLINK("http://www.worldcat.org/oclc/18739271","WorldCat Record")</f>
        <v>WorldCat Record</v>
      </c>
      <c r="AU1349" s="3" t="s">
        <v>16911</v>
      </c>
      <c r="AV1349" s="3" t="s">
        <v>16912</v>
      </c>
      <c r="AW1349" s="3" t="s">
        <v>16913</v>
      </c>
      <c r="AX1349" s="3" t="s">
        <v>16913</v>
      </c>
      <c r="AY1349" s="3" t="s">
        <v>16914</v>
      </c>
      <c r="AZ1349" s="3" t="s">
        <v>73</v>
      </c>
      <c r="BB1349" s="3" t="s">
        <v>16915</v>
      </c>
      <c r="BC1349" s="3" t="s">
        <v>16916</v>
      </c>
      <c r="BD1349" s="3" t="s">
        <v>16917</v>
      </c>
    </row>
    <row r="1350" spans="1:56" ht="51" customHeight="1" x14ac:dyDescent="0.25">
      <c r="A1350" s="7" t="s">
        <v>58</v>
      </c>
      <c r="B1350" s="2" t="s">
        <v>16918</v>
      </c>
      <c r="C1350" s="2" t="s">
        <v>16919</v>
      </c>
      <c r="D1350" s="2" t="s">
        <v>16920</v>
      </c>
      <c r="F1350" s="3" t="s">
        <v>58</v>
      </c>
      <c r="G1350" s="3" t="s">
        <v>59</v>
      </c>
      <c r="H1350" s="3" t="s">
        <v>58</v>
      </c>
      <c r="I1350" s="3" t="s">
        <v>58</v>
      </c>
      <c r="J1350" s="3" t="s">
        <v>60</v>
      </c>
      <c r="K1350" s="2" t="s">
        <v>16921</v>
      </c>
      <c r="L1350" s="2" t="s">
        <v>16922</v>
      </c>
      <c r="M1350" s="3" t="s">
        <v>423</v>
      </c>
      <c r="N1350" s="2" t="s">
        <v>338</v>
      </c>
      <c r="O1350" s="3" t="s">
        <v>63</v>
      </c>
      <c r="P1350" s="3" t="s">
        <v>214</v>
      </c>
      <c r="R1350" s="3" t="s">
        <v>65</v>
      </c>
      <c r="S1350" s="4">
        <v>5</v>
      </c>
      <c r="T1350" s="4">
        <v>5</v>
      </c>
      <c r="U1350" s="5" t="s">
        <v>1747</v>
      </c>
      <c r="V1350" s="5" t="s">
        <v>1747</v>
      </c>
      <c r="W1350" s="5" t="s">
        <v>16923</v>
      </c>
      <c r="X1350" s="5" t="s">
        <v>16923</v>
      </c>
      <c r="Y1350" s="4">
        <v>949</v>
      </c>
      <c r="Z1350" s="4">
        <v>858</v>
      </c>
      <c r="AA1350" s="4">
        <v>929</v>
      </c>
      <c r="AB1350" s="4">
        <v>6</v>
      </c>
      <c r="AC1350" s="4">
        <v>6</v>
      </c>
      <c r="AD1350" s="4">
        <v>29</v>
      </c>
      <c r="AE1350" s="4">
        <v>29</v>
      </c>
      <c r="AF1350" s="4">
        <v>10</v>
      </c>
      <c r="AG1350" s="4">
        <v>10</v>
      </c>
      <c r="AH1350" s="4">
        <v>7</v>
      </c>
      <c r="AI1350" s="4">
        <v>7</v>
      </c>
      <c r="AJ1350" s="4">
        <v>16</v>
      </c>
      <c r="AK1350" s="4">
        <v>16</v>
      </c>
      <c r="AL1350" s="4">
        <v>4</v>
      </c>
      <c r="AM1350" s="4">
        <v>4</v>
      </c>
      <c r="AN1350" s="4">
        <v>0</v>
      </c>
      <c r="AO1350" s="4">
        <v>0</v>
      </c>
      <c r="AP1350" s="3" t="s">
        <v>58</v>
      </c>
      <c r="AQ1350" s="3" t="s">
        <v>68</v>
      </c>
      <c r="AR1350" s="6" t="str">
        <f>HYPERLINK("http://catalog.hathitrust.org/Record/003997266","HathiTrust Record")</f>
        <v>HathiTrust Record</v>
      </c>
      <c r="AS1350" s="6" t="str">
        <f>HYPERLINK("https://creighton-primo.hosted.exlibrisgroup.com/primo-explore/search?tab=default_tab&amp;search_scope=EVERYTHING&amp;vid=01CRU&amp;lang=en_US&amp;offset=0&amp;query=any,contains,991002930289702656","Catalog Record")</f>
        <v>Catalog Record</v>
      </c>
      <c r="AT1350" s="6" t="str">
        <f>HYPERLINK("http://www.worldcat.org/oclc/38964260","WorldCat Record")</f>
        <v>WorldCat Record</v>
      </c>
      <c r="AU1350" s="3" t="s">
        <v>16924</v>
      </c>
      <c r="AV1350" s="3" t="s">
        <v>16925</v>
      </c>
      <c r="AW1350" s="3" t="s">
        <v>16926</v>
      </c>
      <c r="AX1350" s="3" t="s">
        <v>16926</v>
      </c>
      <c r="AY1350" s="3" t="s">
        <v>16927</v>
      </c>
      <c r="AZ1350" s="3" t="s">
        <v>73</v>
      </c>
      <c r="BB1350" s="3" t="s">
        <v>16928</v>
      </c>
      <c r="BC1350" s="3" t="s">
        <v>16929</v>
      </c>
      <c r="BD1350" s="3" t="s">
        <v>16930</v>
      </c>
    </row>
    <row r="1351" spans="1:56" ht="51" customHeight="1" x14ac:dyDescent="0.25">
      <c r="A1351" s="7" t="s">
        <v>58</v>
      </c>
      <c r="B1351" s="2" t="s">
        <v>16931</v>
      </c>
      <c r="C1351" s="2" t="s">
        <v>16932</v>
      </c>
      <c r="D1351" s="2" t="s">
        <v>16933</v>
      </c>
      <c r="F1351" s="3" t="s">
        <v>58</v>
      </c>
      <c r="G1351" s="3" t="s">
        <v>59</v>
      </c>
      <c r="H1351" s="3" t="s">
        <v>68</v>
      </c>
      <c r="I1351" s="3" t="s">
        <v>58</v>
      </c>
      <c r="J1351" s="3" t="s">
        <v>60</v>
      </c>
      <c r="L1351" s="2" t="s">
        <v>1075</v>
      </c>
      <c r="M1351" s="3" t="s">
        <v>196</v>
      </c>
      <c r="O1351" s="3" t="s">
        <v>63</v>
      </c>
      <c r="P1351" s="3" t="s">
        <v>214</v>
      </c>
      <c r="Q1351" s="2" t="s">
        <v>16934</v>
      </c>
      <c r="R1351" s="3" t="s">
        <v>65</v>
      </c>
      <c r="S1351" s="4">
        <v>1</v>
      </c>
      <c r="T1351" s="4">
        <v>1</v>
      </c>
      <c r="U1351" s="5" t="s">
        <v>11257</v>
      </c>
      <c r="V1351" s="5" t="s">
        <v>11257</v>
      </c>
      <c r="W1351" s="5" t="s">
        <v>5998</v>
      </c>
      <c r="X1351" s="5" t="s">
        <v>5998</v>
      </c>
      <c r="Y1351" s="4">
        <v>484</v>
      </c>
      <c r="Z1351" s="4">
        <v>327</v>
      </c>
      <c r="AA1351" s="4">
        <v>343</v>
      </c>
      <c r="AB1351" s="4">
        <v>4</v>
      </c>
      <c r="AC1351" s="4">
        <v>4</v>
      </c>
      <c r="AD1351" s="4">
        <v>19</v>
      </c>
      <c r="AE1351" s="4">
        <v>19</v>
      </c>
      <c r="AF1351" s="4">
        <v>5</v>
      </c>
      <c r="AG1351" s="4">
        <v>5</v>
      </c>
      <c r="AH1351" s="4">
        <v>6</v>
      </c>
      <c r="AI1351" s="4">
        <v>6</v>
      </c>
      <c r="AJ1351" s="4">
        <v>11</v>
      </c>
      <c r="AK1351" s="4">
        <v>11</v>
      </c>
      <c r="AL1351" s="4">
        <v>2</v>
      </c>
      <c r="AM1351" s="4">
        <v>2</v>
      </c>
      <c r="AN1351" s="4">
        <v>0</v>
      </c>
      <c r="AO1351" s="4">
        <v>0</v>
      </c>
      <c r="AP1351" s="3" t="s">
        <v>58</v>
      </c>
      <c r="AQ1351" s="3" t="s">
        <v>58</v>
      </c>
      <c r="AS1351" s="6" t="str">
        <f>HYPERLINK("https://creighton-primo.hosted.exlibrisgroup.com/primo-explore/search?tab=default_tab&amp;search_scope=EVERYTHING&amp;vid=01CRU&amp;lang=en_US&amp;offset=0&amp;query=any,contains,991001668539702656","Catalog Record")</f>
        <v>Catalog Record</v>
      </c>
      <c r="AT1351" s="6" t="str">
        <f>HYPERLINK("http://www.worldcat.org/oclc/33047184","WorldCat Record")</f>
        <v>WorldCat Record</v>
      </c>
      <c r="AU1351" s="3" t="s">
        <v>16935</v>
      </c>
      <c r="AV1351" s="3" t="s">
        <v>16936</v>
      </c>
      <c r="AW1351" s="3" t="s">
        <v>16937</v>
      </c>
      <c r="AX1351" s="3" t="s">
        <v>16937</v>
      </c>
      <c r="AY1351" s="3" t="s">
        <v>16938</v>
      </c>
      <c r="AZ1351" s="3" t="s">
        <v>73</v>
      </c>
      <c r="BB1351" s="3" t="s">
        <v>16939</v>
      </c>
      <c r="BC1351" s="3" t="s">
        <v>16940</v>
      </c>
      <c r="BD1351" s="3" t="s">
        <v>16941</v>
      </c>
    </row>
    <row r="1352" spans="1:56" ht="51" customHeight="1" x14ac:dyDescent="0.25">
      <c r="A1352" s="7" t="s">
        <v>58</v>
      </c>
      <c r="B1352" s="2" t="s">
        <v>16942</v>
      </c>
      <c r="C1352" s="2" t="s">
        <v>16943</v>
      </c>
      <c r="D1352" s="2" t="s">
        <v>16944</v>
      </c>
      <c r="F1352" s="3" t="s">
        <v>58</v>
      </c>
      <c r="G1352" s="3" t="s">
        <v>59</v>
      </c>
      <c r="H1352" s="3" t="s">
        <v>58</v>
      </c>
      <c r="I1352" s="3" t="s">
        <v>58</v>
      </c>
      <c r="J1352" s="3" t="s">
        <v>60</v>
      </c>
      <c r="K1352" s="2" t="s">
        <v>16945</v>
      </c>
      <c r="L1352" s="2" t="s">
        <v>16946</v>
      </c>
      <c r="M1352" s="3" t="s">
        <v>101</v>
      </c>
      <c r="O1352" s="3" t="s">
        <v>63</v>
      </c>
      <c r="P1352" s="3" t="s">
        <v>584</v>
      </c>
      <c r="R1352" s="3" t="s">
        <v>65</v>
      </c>
      <c r="S1352" s="4">
        <v>1</v>
      </c>
      <c r="T1352" s="4">
        <v>1</v>
      </c>
      <c r="U1352" s="5" t="s">
        <v>4879</v>
      </c>
      <c r="V1352" s="5" t="s">
        <v>4879</v>
      </c>
      <c r="W1352" s="5" t="s">
        <v>14853</v>
      </c>
      <c r="X1352" s="5" t="s">
        <v>14853</v>
      </c>
      <c r="Y1352" s="4">
        <v>291</v>
      </c>
      <c r="Z1352" s="4">
        <v>201</v>
      </c>
      <c r="AA1352" s="4">
        <v>208</v>
      </c>
      <c r="AB1352" s="4">
        <v>2</v>
      </c>
      <c r="AC1352" s="4">
        <v>2</v>
      </c>
      <c r="AD1352" s="4">
        <v>7</v>
      </c>
      <c r="AE1352" s="4">
        <v>7</v>
      </c>
      <c r="AF1352" s="4">
        <v>2</v>
      </c>
      <c r="AG1352" s="4">
        <v>2</v>
      </c>
      <c r="AH1352" s="4">
        <v>4</v>
      </c>
      <c r="AI1352" s="4">
        <v>4</v>
      </c>
      <c r="AJ1352" s="4">
        <v>2</v>
      </c>
      <c r="AK1352" s="4">
        <v>2</v>
      </c>
      <c r="AL1352" s="4">
        <v>1</v>
      </c>
      <c r="AM1352" s="4">
        <v>1</v>
      </c>
      <c r="AN1352" s="4">
        <v>0</v>
      </c>
      <c r="AO1352" s="4">
        <v>0</v>
      </c>
      <c r="AP1352" s="3" t="s">
        <v>58</v>
      </c>
      <c r="AQ1352" s="3" t="s">
        <v>68</v>
      </c>
      <c r="AR1352" s="6" t="str">
        <f>HYPERLINK("http://catalog.hathitrust.org/Record/000656186","HathiTrust Record")</f>
        <v>HathiTrust Record</v>
      </c>
      <c r="AS1352" s="6" t="str">
        <f>HYPERLINK("https://creighton-primo.hosted.exlibrisgroup.com/primo-explore/search?tab=default_tab&amp;search_scope=EVERYTHING&amp;vid=01CRU&amp;lang=en_US&amp;offset=0&amp;query=any,contains,991000540869702656","Catalog Record")</f>
        <v>Catalog Record</v>
      </c>
      <c r="AT1352" s="6" t="str">
        <f>HYPERLINK("http://www.worldcat.org/oclc/11482614","WorldCat Record")</f>
        <v>WorldCat Record</v>
      </c>
      <c r="AU1352" s="3" t="s">
        <v>16947</v>
      </c>
      <c r="AV1352" s="3" t="s">
        <v>16948</v>
      </c>
      <c r="AW1352" s="3" t="s">
        <v>16949</v>
      </c>
      <c r="AX1352" s="3" t="s">
        <v>16949</v>
      </c>
      <c r="AY1352" s="3" t="s">
        <v>16950</v>
      </c>
      <c r="AZ1352" s="3" t="s">
        <v>73</v>
      </c>
      <c r="BB1352" s="3" t="s">
        <v>16951</v>
      </c>
      <c r="BC1352" s="3" t="s">
        <v>16952</v>
      </c>
      <c r="BD1352" s="3" t="s">
        <v>16953</v>
      </c>
    </row>
    <row r="1353" spans="1:56" ht="51" customHeight="1" x14ac:dyDescent="0.25">
      <c r="A1353" s="7" t="s">
        <v>58</v>
      </c>
      <c r="B1353" s="2" t="s">
        <v>16954</v>
      </c>
      <c r="C1353" s="2" t="s">
        <v>16955</v>
      </c>
      <c r="D1353" s="2" t="s">
        <v>16956</v>
      </c>
      <c r="F1353" s="3" t="s">
        <v>58</v>
      </c>
      <c r="G1353" s="3" t="s">
        <v>59</v>
      </c>
      <c r="H1353" s="3" t="s">
        <v>58</v>
      </c>
      <c r="I1353" s="3" t="s">
        <v>58</v>
      </c>
      <c r="J1353" s="3" t="s">
        <v>60</v>
      </c>
      <c r="L1353" s="2" t="s">
        <v>16957</v>
      </c>
      <c r="M1353" s="3" t="s">
        <v>479</v>
      </c>
      <c r="N1353" s="2" t="s">
        <v>338</v>
      </c>
      <c r="O1353" s="3" t="s">
        <v>63</v>
      </c>
      <c r="P1353" s="3" t="s">
        <v>16958</v>
      </c>
      <c r="R1353" s="3" t="s">
        <v>65</v>
      </c>
      <c r="S1353" s="4">
        <v>9</v>
      </c>
      <c r="T1353" s="4">
        <v>9</v>
      </c>
      <c r="U1353" s="5" t="s">
        <v>16959</v>
      </c>
      <c r="V1353" s="5" t="s">
        <v>16959</v>
      </c>
      <c r="W1353" s="5" t="s">
        <v>16960</v>
      </c>
      <c r="X1353" s="5" t="s">
        <v>16960</v>
      </c>
      <c r="Y1353" s="4">
        <v>543</v>
      </c>
      <c r="Z1353" s="4">
        <v>497</v>
      </c>
      <c r="AA1353" s="4">
        <v>500</v>
      </c>
      <c r="AB1353" s="4">
        <v>4</v>
      </c>
      <c r="AC1353" s="4">
        <v>4</v>
      </c>
      <c r="AD1353" s="4">
        <v>11</v>
      </c>
      <c r="AE1353" s="4">
        <v>11</v>
      </c>
      <c r="AF1353" s="4">
        <v>5</v>
      </c>
      <c r="AG1353" s="4">
        <v>5</v>
      </c>
      <c r="AH1353" s="4">
        <v>2</v>
      </c>
      <c r="AI1353" s="4">
        <v>2</v>
      </c>
      <c r="AJ1353" s="4">
        <v>6</v>
      </c>
      <c r="AK1353" s="4">
        <v>6</v>
      </c>
      <c r="AL1353" s="4">
        <v>2</v>
      </c>
      <c r="AM1353" s="4">
        <v>2</v>
      </c>
      <c r="AN1353" s="4">
        <v>0</v>
      </c>
      <c r="AO1353" s="4">
        <v>0</v>
      </c>
      <c r="AP1353" s="3" t="s">
        <v>58</v>
      </c>
      <c r="AQ1353" s="3" t="s">
        <v>68</v>
      </c>
      <c r="AR1353" s="6" t="str">
        <f>HYPERLINK("http://catalog.hathitrust.org/Record/003020862","HathiTrust Record")</f>
        <v>HathiTrust Record</v>
      </c>
      <c r="AS1353" s="6" t="str">
        <f>HYPERLINK("https://creighton-primo.hosted.exlibrisgroup.com/primo-explore/search?tab=default_tab&amp;search_scope=EVERYTHING&amp;vid=01CRU&amp;lang=en_US&amp;offset=0&amp;query=any,contains,991002417459702656","Catalog Record")</f>
        <v>Catalog Record</v>
      </c>
      <c r="AT1353" s="6" t="str">
        <f>HYPERLINK("http://www.worldcat.org/oclc/31441385","WorldCat Record")</f>
        <v>WorldCat Record</v>
      </c>
      <c r="AU1353" s="3" t="s">
        <v>16961</v>
      </c>
      <c r="AV1353" s="3" t="s">
        <v>16962</v>
      </c>
      <c r="AW1353" s="3" t="s">
        <v>16963</v>
      </c>
      <c r="AX1353" s="3" t="s">
        <v>16963</v>
      </c>
      <c r="AY1353" s="3" t="s">
        <v>16964</v>
      </c>
      <c r="AZ1353" s="3" t="s">
        <v>73</v>
      </c>
      <c r="BB1353" s="3" t="s">
        <v>16965</v>
      </c>
      <c r="BC1353" s="3" t="s">
        <v>16966</v>
      </c>
      <c r="BD1353" s="3" t="s">
        <v>16967</v>
      </c>
    </row>
    <row r="1354" spans="1:56" ht="51" customHeight="1" x14ac:dyDescent="0.25">
      <c r="A1354" s="7" t="s">
        <v>58</v>
      </c>
      <c r="B1354" s="2" t="s">
        <v>16968</v>
      </c>
      <c r="C1354" s="2" t="s">
        <v>16969</v>
      </c>
      <c r="D1354" s="2" t="s">
        <v>16970</v>
      </c>
      <c r="F1354" s="3" t="s">
        <v>58</v>
      </c>
      <c r="G1354" s="3" t="s">
        <v>59</v>
      </c>
      <c r="H1354" s="3" t="s">
        <v>58</v>
      </c>
      <c r="I1354" s="3" t="s">
        <v>58</v>
      </c>
      <c r="J1354" s="3" t="s">
        <v>60</v>
      </c>
      <c r="K1354" s="2" t="s">
        <v>16971</v>
      </c>
      <c r="L1354" s="2" t="s">
        <v>16972</v>
      </c>
      <c r="M1354" s="3" t="s">
        <v>138</v>
      </c>
      <c r="O1354" s="3" t="s">
        <v>63</v>
      </c>
      <c r="P1354" s="3" t="s">
        <v>510</v>
      </c>
      <c r="R1354" s="3" t="s">
        <v>65</v>
      </c>
      <c r="S1354" s="4">
        <v>4</v>
      </c>
      <c r="T1354" s="4">
        <v>4</v>
      </c>
      <c r="U1354" s="5" t="s">
        <v>16973</v>
      </c>
      <c r="V1354" s="5" t="s">
        <v>16973</v>
      </c>
      <c r="W1354" s="5" t="s">
        <v>16974</v>
      </c>
      <c r="X1354" s="5" t="s">
        <v>16974</v>
      </c>
      <c r="Y1354" s="4">
        <v>436</v>
      </c>
      <c r="Z1354" s="4">
        <v>347</v>
      </c>
      <c r="AA1354" s="4">
        <v>349</v>
      </c>
      <c r="AB1354" s="4">
        <v>2</v>
      </c>
      <c r="AC1354" s="4">
        <v>2</v>
      </c>
      <c r="AD1354" s="4">
        <v>11</v>
      </c>
      <c r="AE1354" s="4">
        <v>11</v>
      </c>
      <c r="AF1354" s="4">
        <v>1</v>
      </c>
      <c r="AG1354" s="4">
        <v>1</v>
      </c>
      <c r="AH1354" s="4">
        <v>4</v>
      </c>
      <c r="AI1354" s="4">
        <v>4</v>
      </c>
      <c r="AJ1354" s="4">
        <v>8</v>
      </c>
      <c r="AK1354" s="4">
        <v>8</v>
      </c>
      <c r="AL1354" s="4">
        <v>1</v>
      </c>
      <c r="AM1354" s="4">
        <v>1</v>
      </c>
      <c r="AN1354" s="4">
        <v>0</v>
      </c>
      <c r="AO1354" s="4">
        <v>0</v>
      </c>
      <c r="AP1354" s="3" t="s">
        <v>58</v>
      </c>
      <c r="AQ1354" s="3" t="s">
        <v>58</v>
      </c>
      <c r="AS1354" s="6" t="str">
        <f>HYPERLINK("https://creighton-primo.hosted.exlibrisgroup.com/primo-explore/search?tab=default_tab&amp;search_scope=EVERYTHING&amp;vid=01CRU&amp;lang=en_US&amp;offset=0&amp;query=any,contains,991005138499702656","Catalog Record")</f>
        <v>Catalog Record</v>
      </c>
      <c r="AT1354" s="6" t="str">
        <f>HYPERLINK("http://www.worldcat.org/oclc/7596224","WorldCat Record")</f>
        <v>WorldCat Record</v>
      </c>
      <c r="AU1354" s="3" t="s">
        <v>16975</v>
      </c>
      <c r="AV1354" s="3" t="s">
        <v>16976</v>
      </c>
      <c r="AW1354" s="3" t="s">
        <v>16977</v>
      </c>
      <c r="AX1354" s="3" t="s">
        <v>16977</v>
      </c>
      <c r="AY1354" s="3" t="s">
        <v>16978</v>
      </c>
      <c r="AZ1354" s="3" t="s">
        <v>73</v>
      </c>
      <c r="BB1354" s="3" t="s">
        <v>16979</v>
      </c>
      <c r="BC1354" s="3" t="s">
        <v>16980</v>
      </c>
      <c r="BD1354" s="3" t="s">
        <v>16981</v>
      </c>
    </row>
    <row r="1355" spans="1:56" ht="51" customHeight="1" x14ac:dyDescent="0.25">
      <c r="A1355" s="7" t="s">
        <v>58</v>
      </c>
      <c r="B1355" s="2" t="s">
        <v>16982</v>
      </c>
      <c r="C1355" s="2" t="s">
        <v>16983</v>
      </c>
      <c r="D1355" s="2" t="s">
        <v>16984</v>
      </c>
      <c r="F1355" s="3" t="s">
        <v>58</v>
      </c>
      <c r="G1355" s="3" t="s">
        <v>59</v>
      </c>
      <c r="H1355" s="3" t="s">
        <v>58</v>
      </c>
      <c r="I1355" s="3" t="s">
        <v>58</v>
      </c>
      <c r="J1355" s="3" t="s">
        <v>60</v>
      </c>
      <c r="K1355" s="2" t="s">
        <v>16985</v>
      </c>
      <c r="L1355" s="2" t="s">
        <v>16986</v>
      </c>
      <c r="M1355" s="3" t="s">
        <v>842</v>
      </c>
      <c r="O1355" s="3" t="s">
        <v>63</v>
      </c>
      <c r="P1355" s="3" t="s">
        <v>816</v>
      </c>
      <c r="Q1355" s="2" t="s">
        <v>16987</v>
      </c>
      <c r="R1355" s="3" t="s">
        <v>65</v>
      </c>
      <c r="S1355" s="4">
        <v>11</v>
      </c>
      <c r="T1355" s="4">
        <v>11</v>
      </c>
      <c r="U1355" s="5" t="s">
        <v>16988</v>
      </c>
      <c r="V1355" s="5" t="s">
        <v>16988</v>
      </c>
      <c r="W1355" s="5" t="s">
        <v>5408</v>
      </c>
      <c r="X1355" s="5" t="s">
        <v>5408</v>
      </c>
      <c r="Y1355" s="4">
        <v>2058</v>
      </c>
      <c r="Z1355" s="4">
        <v>1944</v>
      </c>
      <c r="AA1355" s="4">
        <v>1961</v>
      </c>
      <c r="AB1355" s="4">
        <v>18</v>
      </c>
      <c r="AC1355" s="4">
        <v>18</v>
      </c>
      <c r="AD1355" s="4">
        <v>28</v>
      </c>
      <c r="AE1355" s="4">
        <v>30</v>
      </c>
      <c r="AF1355" s="4">
        <v>12</v>
      </c>
      <c r="AG1355" s="4">
        <v>13</v>
      </c>
      <c r="AH1355" s="4">
        <v>6</v>
      </c>
      <c r="AI1355" s="4">
        <v>7</v>
      </c>
      <c r="AJ1355" s="4">
        <v>14</v>
      </c>
      <c r="AK1355" s="4">
        <v>14</v>
      </c>
      <c r="AL1355" s="4">
        <v>2</v>
      </c>
      <c r="AM1355" s="4">
        <v>2</v>
      </c>
      <c r="AN1355" s="4">
        <v>0</v>
      </c>
      <c r="AO1355" s="4">
        <v>0</v>
      </c>
      <c r="AP1355" s="3" t="s">
        <v>58</v>
      </c>
      <c r="AQ1355" s="3" t="s">
        <v>58</v>
      </c>
      <c r="AS1355" s="6" t="str">
        <f>HYPERLINK("https://creighton-primo.hosted.exlibrisgroup.com/primo-explore/search?tab=default_tab&amp;search_scope=EVERYTHING&amp;vid=01CRU&amp;lang=en_US&amp;offset=0&amp;query=any,contains,991005182799702656","Catalog Record")</f>
        <v>Catalog Record</v>
      </c>
      <c r="AT1355" s="6" t="str">
        <f>HYPERLINK("http://www.worldcat.org/oclc/7947415","WorldCat Record")</f>
        <v>WorldCat Record</v>
      </c>
      <c r="AU1355" s="3" t="s">
        <v>16989</v>
      </c>
      <c r="AV1355" s="3" t="s">
        <v>16990</v>
      </c>
      <c r="AW1355" s="3" t="s">
        <v>16991</v>
      </c>
      <c r="AX1355" s="3" t="s">
        <v>16991</v>
      </c>
      <c r="AY1355" s="3" t="s">
        <v>16992</v>
      </c>
      <c r="AZ1355" s="3" t="s">
        <v>73</v>
      </c>
      <c r="BB1355" s="3" t="s">
        <v>16993</v>
      </c>
      <c r="BC1355" s="3" t="s">
        <v>16994</v>
      </c>
      <c r="BD1355" s="3" t="s">
        <v>16995</v>
      </c>
    </row>
    <row r="1356" spans="1:56" ht="51" customHeight="1" x14ac:dyDescent="0.25">
      <c r="A1356" s="7" t="s">
        <v>58</v>
      </c>
      <c r="B1356" s="2" t="s">
        <v>16996</v>
      </c>
      <c r="C1356" s="2" t="s">
        <v>16997</v>
      </c>
      <c r="D1356" s="2" t="s">
        <v>16998</v>
      </c>
      <c r="F1356" s="3" t="s">
        <v>58</v>
      </c>
      <c r="G1356" s="3" t="s">
        <v>59</v>
      </c>
      <c r="H1356" s="3" t="s">
        <v>58</v>
      </c>
      <c r="I1356" s="3" t="s">
        <v>58</v>
      </c>
      <c r="J1356" s="3" t="s">
        <v>60</v>
      </c>
      <c r="K1356" s="2" t="s">
        <v>16999</v>
      </c>
      <c r="L1356" s="2" t="s">
        <v>5770</v>
      </c>
      <c r="M1356" s="3" t="s">
        <v>337</v>
      </c>
      <c r="N1356" s="2" t="s">
        <v>338</v>
      </c>
      <c r="O1356" s="3" t="s">
        <v>63</v>
      </c>
      <c r="P1356" s="3" t="s">
        <v>1837</v>
      </c>
      <c r="R1356" s="3" t="s">
        <v>65</v>
      </c>
      <c r="S1356" s="4">
        <v>2</v>
      </c>
      <c r="T1356" s="4">
        <v>2</v>
      </c>
      <c r="U1356" s="5" t="s">
        <v>17000</v>
      </c>
      <c r="V1356" s="5" t="s">
        <v>17000</v>
      </c>
      <c r="W1356" s="5" t="s">
        <v>6012</v>
      </c>
      <c r="X1356" s="5" t="s">
        <v>6012</v>
      </c>
      <c r="Y1356" s="4">
        <v>307</v>
      </c>
      <c r="Z1356" s="4">
        <v>264</v>
      </c>
      <c r="AA1356" s="4">
        <v>276</v>
      </c>
      <c r="AB1356" s="4">
        <v>3</v>
      </c>
      <c r="AC1356" s="4">
        <v>3</v>
      </c>
      <c r="AD1356" s="4">
        <v>14</v>
      </c>
      <c r="AE1356" s="4">
        <v>15</v>
      </c>
      <c r="AF1356" s="4">
        <v>7</v>
      </c>
      <c r="AG1356" s="4">
        <v>7</v>
      </c>
      <c r="AH1356" s="4">
        <v>4</v>
      </c>
      <c r="AI1356" s="4">
        <v>4</v>
      </c>
      <c r="AJ1356" s="4">
        <v>7</v>
      </c>
      <c r="AK1356" s="4">
        <v>8</v>
      </c>
      <c r="AL1356" s="4">
        <v>2</v>
      </c>
      <c r="AM1356" s="4">
        <v>2</v>
      </c>
      <c r="AN1356" s="4">
        <v>0</v>
      </c>
      <c r="AO1356" s="4">
        <v>0</v>
      </c>
      <c r="AP1356" s="3" t="s">
        <v>58</v>
      </c>
      <c r="AQ1356" s="3" t="s">
        <v>68</v>
      </c>
      <c r="AR1356" s="6" t="str">
        <f>HYPERLINK("http://catalog.hathitrust.org/Record/004255296","HathiTrust Record")</f>
        <v>HathiTrust Record</v>
      </c>
      <c r="AS1356" s="6" t="str">
        <f>HYPERLINK("https://creighton-primo.hosted.exlibrisgroup.com/primo-explore/search?tab=default_tab&amp;search_scope=EVERYTHING&amp;vid=01CRU&amp;lang=en_US&amp;offset=0&amp;query=any,contains,991004189409702656","Catalog Record")</f>
        <v>Catalog Record</v>
      </c>
      <c r="AT1356" s="6" t="str">
        <f>HYPERLINK("http://www.worldcat.org/oclc/49225298","WorldCat Record")</f>
        <v>WorldCat Record</v>
      </c>
      <c r="AU1356" s="3" t="s">
        <v>17001</v>
      </c>
      <c r="AV1356" s="3" t="s">
        <v>17002</v>
      </c>
      <c r="AW1356" s="3" t="s">
        <v>17003</v>
      </c>
      <c r="AX1356" s="3" t="s">
        <v>17003</v>
      </c>
      <c r="AY1356" s="3" t="s">
        <v>17004</v>
      </c>
      <c r="AZ1356" s="3" t="s">
        <v>73</v>
      </c>
      <c r="BB1356" s="3" t="s">
        <v>17005</v>
      </c>
      <c r="BC1356" s="3" t="s">
        <v>17006</v>
      </c>
      <c r="BD1356" s="3" t="s">
        <v>17007</v>
      </c>
    </row>
    <row r="1357" spans="1:56" ht="51" customHeight="1" x14ac:dyDescent="0.25">
      <c r="A1357" s="7" t="s">
        <v>58</v>
      </c>
      <c r="B1357" s="2" t="s">
        <v>17008</v>
      </c>
      <c r="C1357" s="2" t="s">
        <v>17009</v>
      </c>
      <c r="D1357" s="2" t="s">
        <v>17010</v>
      </c>
      <c r="F1357" s="3" t="s">
        <v>58</v>
      </c>
      <c r="G1357" s="3" t="s">
        <v>59</v>
      </c>
      <c r="H1357" s="3" t="s">
        <v>58</v>
      </c>
      <c r="I1357" s="3" t="s">
        <v>58</v>
      </c>
      <c r="J1357" s="3" t="s">
        <v>60</v>
      </c>
      <c r="K1357" s="2" t="s">
        <v>17011</v>
      </c>
      <c r="L1357" s="2" t="s">
        <v>17012</v>
      </c>
      <c r="M1357" s="3" t="s">
        <v>524</v>
      </c>
      <c r="O1357" s="3" t="s">
        <v>63</v>
      </c>
      <c r="P1357" s="3" t="s">
        <v>816</v>
      </c>
      <c r="R1357" s="3" t="s">
        <v>65</v>
      </c>
      <c r="S1357" s="4">
        <v>1</v>
      </c>
      <c r="T1357" s="4">
        <v>1</v>
      </c>
      <c r="U1357" s="5" t="s">
        <v>3405</v>
      </c>
      <c r="V1357" s="5" t="s">
        <v>3405</v>
      </c>
      <c r="W1357" s="5" t="s">
        <v>17013</v>
      </c>
      <c r="X1357" s="5" t="s">
        <v>17013</v>
      </c>
      <c r="Y1357" s="4">
        <v>393</v>
      </c>
      <c r="Z1357" s="4">
        <v>354</v>
      </c>
      <c r="AA1357" s="4">
        <v>361</v>
      </c>
      <c r="AB1357" s="4">
        <v>2</v>
      </c>
      <c r="AC1357" s="4">
        <v>2</v>
      </c>
      <c r="AD1357" s="4">
        <v>18</v>
      </c>
      <c r="AE1357" s="4">
        <v>18</v>
      </c>
      <c r="AF1357" s="4">
        <v>6</v>
      </c>
      <c r="AG1357" s="4">
        <v>6</v>
      </c>
      <c r="AH1357" s="4">
        <v>6</v>
      </c>
      <c r="AI1357" s="4">
        <v>6</v>
      </c>
      <c r="AJ1357" s="4">
        <v>9</v>
      </c>
      <c r="AK1357" s="4">
        <v>9</v>
      </c>
      <c r="AL1357" s="4">
        <v>1</v>
      </c>
      <c r="AM1357" s="4">
        <v>1</v>
      </c>
      <c r="AN1357" s="4">
        <v>0</v>
      </c>
      <c r="AO1357" s="4">
        <v>0</v>
      </c>
      <c r="AP1357" s="3" t="s">
        <v>58</v>
      </c>
      <c r="AQ1357" s="3" t="s">
        <v>68</v>
      </c>
      <c r="AR1357" s="6" t="str">
        <f>HYPERLINK("http://catalog.hathitrust.org/Record/000400175","HathiTrust Record")</f>
        <v>HathiTrust Record</v>
      </c>
      <c r="AS1357" s="6" t="str">
        <f>HYPERLINK("https://creighton-primo.hosted.exlibrisgroup.com/primo-explore/search?tab=default_tab&amp;search_scope=EVERYTHING&amp;vid=01CRU&amp;lang=en_US&amp;offset=0&amp;query=any,contains,991000822199702656","Catalog Record")</f>
        <v>Catalog Record</v>
      </c>
      <c r="AT1357" s="6" t="str">
        <f>HYPERLINK("http://www.worldcat.org/oclc/13395879","WorldCat Record")</f>
        <v>WorldCat Record</v>
      </c>
      <c r="AU1357" s="3" t="s">
        <v>17014</v>
      </c>
      <c r="AV1357" s="3" t="s">
        <v>17015</v>
      </c>
      <c r="AW1357" s="3" t="s">
        <v>17016</v>
      </c>
      <c r="AX1357" s="3" t="s">
        <v>17016</v>
      </c>
      <c r="AY1357" s="3" t="s">
        <v>17017</v>
      </c>
      <c r="AZ1357" s="3" t="s">
        <v>73</v>
      </c>
      <c r="BB1357" s="3" t="s">
        <v>17018</v>
      </c>
      <c r="BC1357" s="3" t="s">
        <v>17019</v>
      </c>
      <c r="BD1357" s="3" t="s">
        <v>17020</v>
      </c>
    </row>
    <row r="1358" spans="1:56" ht="51" customHeight="1" x14ac:dyDescent="0.25">
      <c r="A1358" s="7" t="s">
        <v>58</v>
      </c>
      <c r="B1358" s="2" t="s">
        <v>17021</v>
      </c>
      <c r="C1358" s="2" t="s">
        <v>17022</v>
      </c>
      <c r="D1358" s="2" t="s">
        <v>17023</v>
      </c>
      <c r="F1358" s="3" t="s">
        <v>58</v>
      </c>
      <c r="G1358" s="3" t="s">
        <v>59</v>
      </c>
      <c r="H1358" s="3" t="s">
        <v>58</v>
      </c>
      <c r="I1358" s="3" t="s">
        <v>58</v>
      </c>
      <c r="J1358" s="3" t="s">
        <v>60</v>
      </c>
      <c r="K1358" s="2" t="s">
        <v>16985</v>
      </c>
      <c r="L1358" s="2" t="s">
        <v>16986</v>
      </c>
      <c r="M1358" s="3" t="s">
        <v>842</v>
      </c>
      <c r="O1358" s="3" t="s">
        <v>63</v>
      </c>
      <c r="P1358" s="3" t="s">
        <v>816</v>
      </c>
      <c r="Q1358" s="2" t="s">
        <v>16987</v>
      </c>
      <c r="R1358" s="3" t="s">
        <v>65</v>
      </c>
      <c r="S1358" s="4">
        <v>9</v>
      </c>
      <c r="T1358" s="4">
        <v>9</v>
      </c>
      <c r="U1358" s="5" t="s">
        <v>16988</v>
      </c>
      <c r="V1358" s="5" t="s">
        <v>16988</v>
      </c>
      <c r="W1358" s="5" t="s">
        <v>14853</v>
      </c>
      <c r="X1358" s="5" t="s">
        <v>14853</v>
      </c>
      <c r="Y1358" s="4">
        <v>1931</v>
      </c>
      <c r="Z1358" s="4">
        <v>1825</v>
      </c>
      <c r="AA1358" s="4">
        <v>1832</v>
      </c>
      <c r="AB1358" s="4">
        <v>17</v>
      </c>
      <c r="AC1358" s="4">
        <v>17</v>
      </c>
      <c r="AD1358" s="4">
        <v>23</v>
      </c>
      <c r="AE1358" s="4">
        <v>23</v>
      </c>
      <c r="AF1358" s="4">
        <v>7</v>
      </c>
      <c r="AG1358" s="4">
        <v>7</v>
      </c>
      <c r="AH1358" s="4">
        <v>6</v>
      </c>
      <c r="AI1358" s="4">
        <v>6</v>
      </c>
      <c r="AJ1358" s="4">
        <v>13</v>
      </c>
      <c r="AK1358" s="4">
        <v>13</v>
      </c>
      <c r="AL1358" s="4">
        <v>3</v>
      </c>
      <c r="AM1358" s="4">
        <v>3</v>
      </c>
      <c r="AN1358" s="4">
        <v>0</v>
      </c>
      <c r="AO1358" s="4">
        <v>0</v>
      </c>
      <c r="AP1358" s="3" t="s">
        <v>58</v>
      </c>
      <c r="AQ1358" s="3" t="s">
        <v>68</v>
      </c>
      <c r="AR1358" s="6" t="str">
        <f>HYPERLINK("http://catalog.hathitrust.org/Record/000764497","HathiTrust Record")</f>
        <v>HathiTrust Record</v>
      </c>
      <c r="AS1358" s="6" t="str">
        <f>HYPERLINK("https://creighton-primo.hosted.exlibrisgroup.com/primo-explore/search?tab=default_tab&amp;search_scope=EVERYTHING&amp;vid=01CRU&amp;lang=en_US&amp;offset=0&amp;query=any,contains,991005201379702656","Catalog Record")</f>
        <v>Catalog Record</v>
      </c>
      <c r="AT1358" s="6" t="str">
        <f>HYPERLINK("http://www.worldcat.org/oclc/8085591","WorldCat Record")</f>
        <v>WorldCat Record</v>
      </c>
      <c r="AU1358" s="3" t="s">
        <v>17024</v>
      </c>
      <c r="AV1358" s="3" t="s">
        <v>17025</v>
      </c>
      <c r="AW1358" s="3" t="s">
        <v>17026</v>
      </c>
      <c r="AX1358" s="3" t="s">
        <v>17026</v>
      </c>
      <c r="AY1358" s="3" t="s">
        <v>17027</v>
      </c>
      <c r="AZ1358" s="3" t="s">
        <v>73</v>
      </c>
      <c r="BB1358" s="3" t="s">
        <v>17028</v>
      </c>
      <c r="BC1358" s="3" t="s">
        <v>17029</v>
      </c>
      <c r="BD1358" s="3" t="s">
        <v>17030</v>
      </c>
    </row>
    <row r="1359" spans="1:56" ht="51" customHeight="1" x14ac:dyDescent="0.25">
      <c r="A1359" s="7" t="s">
        <v>58</v>
      </c>
      <c r="B1359" s="2" t="s">
        <v>17031</v>
      </c>
      <c r="C1359" s="2" t="s">
        <v>17032</v>
      </c>
      <c r="D1359" s="2" t="s">
        <v>17033</v>
      </c>
      <c r="F1359" s="3" t="s">
        <v>58</v>
      </c>
      <c r="G1359" s="3" t="s">
        <v>59</v>
      </c>
      <c r="H1359" s="3" t="s">
        <v>58</v>
      </c>
      <c r="I1359" s="3" t="s">
        <v>58</v>
      </c>
      <c r="J1359" s="3" t="s">
        <v>60</v>
      </c>
      <c r="K1359" s="2" t="s">
        <v>16985</v>
      </c>
      <c r="L1359" s="2" t="s">
        <v>17034</v>
      </c>
      <c r="M1359" s="3" t="s">
        <v>524</v>
      </c>
      <c r="O1359" s="3" t="s">
        <v>63</v>
      </c>
      <c r="P1359" s="3" t="s">
        <v>816</v>
      </c>
      <c r="Q1359" s="2" t="s">
        <v>16987</v>
      </c>
      <c r="R1359" s="3" t="s">
        <v>65</v>
      </c>
      <c r="S1359" s="4">
        <v>5</v>
      </c>
      <c r="T1359" s="4">
        <v>5</v>
      </c>
      <c r="U1359" s="5" t="s">
        <v>17035</v>
      </c>
      <c r="V1359" s="5" t="s">
        <v>17035</v>
      </c>
      <c r="W1359" s="5" t="s">
        <v>3486</v>
      </c>
      <c r="X1359" s="5" t="s">
        <v>3486</v>
      </c>
      <c r="Y1359" s="4">
        <v>1305</v>
      </c>
      <c r="Z1359" s="4">
        <v>1264</v>
      </c>
      <c r="AA1359" s="4">
        <v>1273</v>
      </c>
      <c r="AB1359" s="4">
        <v>12</v>
      </c>
      <c r="AC1359" s="4">
        <v>12</v>
      </c>
      <c r="AD1359" s="4">
        <v>15</v>
      </c>
      <c r="AE1359" s="4">
        <v>15</v>
      </c>
      <c r="AF1359" s="4">
        <v>6</v>
      </c>
      <c r="AG1359" s="4">
        <v>6</v>
      </c>
      <c r="AH1359" s="4">
        <v>3</v>
      </c>
      <c r="AI1359" s="4">
        <v>3</v>
      </c>
      <c r="AJ1359" s="4">
        <v>10</v>
      </c>
      <c r="AK1359" s="4">
        <v>10</v>
      </c>
      <c r="AL1359" s="4">
        <v>1</v>
      </c>
      <c r="AM1359" s="4">
        <v>1</v>
      </c>
      <c r="AN1359" s="4">
        <v>0</v>
      </c>
      <c r="AO1359" s="4">
        <v>0</v>
      </c>
      <c r="AP1359" s="3" t="s">
        <v>58</v>
      </c>
      <c r="AQ1359" s="3" t="s">
        <v>68</v>
      </c>
      <c r="AR1359" s="6" t="str">
        <f>HYPERLINK("http://catalog.hathitrust.org/Record/000823752","HathiTrust Record")</f>
        <v>HathiTrust Record</v>
      </c>
      <c r="AS1359" s="6" t="str">
        <f>HYPERLINK("https://creighton-primo.hosted.exlibrisgroup.com/primo-explore/search?tab=default_tab&amp;search_scope=EVERYTHING&amp;vid=01CRU&amp;lang=en_US&amp;offset=0&amp;query=any,contains,991000908259702656","Catalog Record")</f>
        <v>Catalog Record</v>
      </c>
      <c r="AT1359" s="6" t="str">
        <f>HYPERLINK("http://www.worldcat.org/oclc/14115298","WorldCat Record")</f>
        <v>WorldCat Record</v>
      </c>
      <c r="AU1359" s="3" t="s">
        <v>17036</v>
      </c>
      <c r="AV1359" s="3" t="s">
        <v>17037</v>
      </c>
      <c r="AW1359" s="3" t="s">
        <v>17038</v>
      </c>
      <c r="AX1359" s="3" t="s">
        <v>17038</v>
      </c>
      <c r="AY1359" s="3" t="s">
        <v>17039</v>
      </c>
      <c r="AZ1359" s="3" t="s">
        <v>73</v>
      </c>
      <c r="BB1359" s="3" t="s">
        <v>17040</v>
      </c>
      <c r="BC1359" s="3" t="s">
        <v>17041</v>
      </c>
      <c r="BD1359" s="3" t="s">
        <v>17042</v>
      </c>
    </row>
    <row r="1360" spans="1:56" ht="51" customHeight="1" x14ac:dyDescent="0.25">
      <c r="A1360" s="7" t="s">
        <v>58</v>
      </c>
      <c r="B1360" s="2" t="s">
        <v>17043</v>
      </c>
      <c r="C1360" s="2" t="s">
        <v>17044</v>
      </c>
      <c r="D1360" s="2" t="s">
        <v>17045</v>
      </c>
      <c r="F1360" s="3" t="s">
        <v>58</v>
      </c>
      <c r="G1360" s="3" t="s">
        <v>59</v>
      </c>
      <c r="H1360" s="3" t="s">
        <v>58</v>
      </c>
      <c r="I1360" s="3" t="s">
        <v>58</v>
      </c>
      <c r="J1360" s="3" t="s">
        <v>60</v>
      </c>
      <c r="K1360" s="2" t="s">
        <v>17046</v>
      </c>
      <c r="L1360" s="2" t="s">
        <v>17047</v>
      </c>
      <c r="M1360" s="3" t="s">
        <v>154</v>
      </c>
      <c r="N1360" s="2" t="s">
        <v>17048</v>
      </c>
      <c r="O1360" s="3" t="s">
        <v>63</v>
      </c>
      <c r="P1360" s="3" t="s">
        <v>214</v>
      </c>
      <c r="R1360" s="3" t="s">
        <v>65</v>
      </c>
      <c r="S1360" s="4">
        <v>5</v>
      </c>
      <c r="T1360" s="4">
        <v>5</v>
      </c>
      <c r="U1360" s="5" t="s">
        <v>17049</v>
      </c>
      <c r="V1360" s="5" t="s">
        <v>17049</v>
      </c>
      <c r="W1360" s="5" t="s">
        <v>17050</v>
      </c>
      <c r="X1360" s="5" t="s">
        <v>17050</v>
      </c>
      <c r="Y1360" s="4">
        <v>219</v>
      </c>
      <c r="Z1360" s="4">
        <v>180</v>
      </c>
      <c r="AA1360" s="4">
        <v>264</v>
      </c>
      <c r="AB1360" s="4">
        <v>2</v>
      </c>
      <c r="AC1360" s="4">
        <v>2</v>
      </c>
      <c r="AD1360" s="4">
        <v>5</v>
      </c>
      <c r="AE1360" s="4">
        <v>8</v>
      </c>
      <c r="AF1360" s="4">
        <v>2</v>
      </c>
      <c r="AG1360" s="4">
        <v>3</v>
      </c>
      <c r="AH1360" s="4">
        <v>1</v>
      </c>
      <c r="AI1360" s="4">
        <v>2</v>
      </c>
      <c r="AJ1360" s="4">
        <v>3</v>
      </c>
      <c r="AK1360" s="4">
        <v>5</v>
      </c>
      <c r="AL1360" s="4">
        <v>1</v>
      </c>
      <c r="AM1360" s="4">
        <v>1</v>
      </c>
      <c r="AN1360" s="4">
        <v>0</v>
      </c>
      <c r="AO1360" s="4">
        <v>0</v>
      </c>
      <c r="AP1360" s="3" t="s">
        <v>58</v>
      </c>
      <c r="AQ1360" s="3" t="s">
        <v>58</v>
      </c>
      <c r="AS1360" s="6" t="str">
        <f>HYPERLINK("https://creighton-primo.hosted.exlibrisgroup.com/primo-explore/search?tab=default_tab&amp;search_scope=EVERYTHING&amp;vid=01CRU&amp;lang=en_US&amp;offset=0&amp;query=any,contains,991001398169702656","Catalog Record")</f>
        <v>Catalog Record</v>
      </c>
      <c r="AT1360" s="6" t="str">
        <f>HYPERLINK("http://www.worldcat.org/oclc/18814034","WorldCat Record")</f>
        <v>WorldCat Record</v>
      </c>
      <c r="AU1360" s="3" t="s">
        <v>17051</v>
      </c>
      <c r="AV1360" s="3" t="s">
        <v>17052</v>
      </c>
      <c r="AW1360" s="3" t="s">
        <v>17053</v>
      </c>
      <c r="AX1360" s="3" t="s">
        <v>17053</v>
      </c>
      <c r="AY1360" s="3" t="s">
        <v>17054</v>
      </c>
      <c r="AZ1360" s="3" t="s">
        <v>73</v>
      </c>
      <c r="BB1360" s="3" t="s">
        <v>17055</v>
      </c>
      <c r="BC1360" s="3" t="s">
        <v>17056</v>
      </c>
      <c r="BD1360" s="3" t="s">
        <v>17057</v>
      </c>
    </row>
    <row r="1361" spans="1:56" ht="51" customHeight="1" x14ac:dyDescent="0.25">
      <c r="A1361" s="7" t="s">
        <v>58</v>
      </c>
      <c r="B1361" s="2" t="s">
        <v>17058</v>
      </c>
      <c r="C1361" s="2" t="s">
        <v>17059</v>
      </c>
      <c r="D1361" s="2" t="s">
        <v>17060</v>
      </c>
      <c r="F1361" s="3" t="s">
        <v>58</v>
      </c>
      <c r="G1361" s="3" t="s">
        <v>59</v>
      </c>
      <c r="H1361" s="3" t="s">
        <v>58</v>
      </c>
      <c r="I1361" s="3" t="s">
        <v>58</v>
      </c>
      <c r="J1361" s="3" t="s">
        <v>60</v>
      </c>
      <c r="K1361" s="2" t="s">
        <v>17061</v>
      </c>
      <c r="L1361" s="2" t="s">
        <v>17062</v>
      </c>
      <c r="M1361" s="3" t="s">
        <v>337</v>
      </c>
      <c r="O1361" s="3" t="s">
        <v>63</v>
      </c>
      <c r="P1361" s="3" t="s">
        <v>760</v>
      </c>
      <c r="Q1361" s="2" t="s">
        <v>17063</v>
      </c>
      <c r="R1361" s="3" t="s">
        <v>65</v>
      </c>
      <c r="S1361" s="4">
        <v>4</v>
      </c>
      <c r="T1361" s="4">
        <v>4</v>
      </c>
      <c r="U1361" s="5" t="s">
        <v>17064</v>
      </c>
      <c r="V1361" s="5" t="s">
        <v>17064</v>
      </c>
      <c r="W1361" s="5" t="s">
        <v>17065</v>
      </c>
      <c r="X1361" s="5" t="s">
        <v>17065</v>
      </c>
      <c r="Y1361" s="4">
        <v>464</v>
      </c>
      <c r="Z1361" s="4">
        <v>397</v>
      </c>
      <c r="AA1361" s="4">
        <v>406</v>
      </c>
      <c r="AB1361" s="4">
        <v>3</v>
      </c>
      <c r="AC1361" s="4">
        <v>3</v>
      </c>
      <c r="AD1361" s="4">
        <v>30</v>
      </c>
      <c r="AE1361" s="4">
        <v>30</v>
      </c>
      <c r="AF1361" s="4">
        <v>13</v>
      </c>
      <c r="AG1361" s="4">
        <v>13</v>
      </c>
      <c r="AH1361" s="4">
        <v>7</v>
      </c>
      <c r="AI1361" s="4">
        <v>7</v>
      </c>
      <c r="AJ1361" s="4">
        <v>17</v>
      </c>
      <c r="AK1361" s="4">
        <v>17</v>
      </c>
      <c r="AL1361" s="4">
        <v>2</v>
      </c>
      <c r="AM1361" s="4">
        <v>2</v>
      </c>
      <c r="AN1361" s="4">
        <v>0</v>
      </c>
      <c r="AO1361" s="4">
        <v>0</v>
      </c>
      <c r="AP1361" s="3" t="s">
        <v>68</v>
      </c>
      <c r="AQ1361" s="3" t="s">
        <v>58</v>
      </c>
      <c r="AR1361" s="6" t="str">
        <f>HYPERLINK("http://catalog.hathitrust.org/Record/004288142","HathiTrust Record")</f>
        <v>HathiTrust Record</v>
      </c>
      <c r="AS1361" s="6" t="str">
        <f>HYPERLINK("https://creighton-primo.hosted.exlibrisgroup.com/primo-explore/search?tab=default_tab&amp;search_scope=EVERYTHING&amp;vid=01CRU&amp;lang=en_US&amp;offset=0&amp;query=any,contains,991004060669702656","Catalog Record")</f>
        <v>Catalog Record</v>
      </c>
      <c r="AT1361" s="6" t="str">
        <f>HYPERLINK("http://www.worldcat.org/oclc/49225821","WorldCat Record")</f>
        <v>WorldCat Record</v>
      </c>
      <c r="AU1361" s="3" t="s">
        <v>17066</v>
      </c>
      <c r="AV1361" s="3" t="s">
        <v>17067</v>
      </c>
      <c r="AW1361" s="3" t="s">
        <v>17068</v>
      </c>
      <c r="AX1361" s="3" t="s">
        <v>17068</v>
      </c>
      <c r="AY1361" s="3" t="s">
        <v>17069</v>
      </c>
      <c r="AZ1361" s="3" t="s">
        <v>73</v>
      </c>
      <c r="BB1361" s="3" t="s">
        <v>17070</v>
      </c>
      <c r="BC1361" s="3" t="s">
        <v>17071</v>
      </c>
      <c r="BD1361" s="3" t="s">
        <v>17072</v>
      </c>
    </row>
    <row r="1362" spans="1:56" ht="51" customHeight="1" x14ac:dyDescent="0.25">
      <c r="A1362" s="7" t="s">
        <v>58</v>
      </c>
      <c r="B1362" s="2" t="s">
        <v>17073</v>
      </c>
      <c r="C1362" s="2" t="s">
        <v>17074</v>
      </c>
      <c r="D1362" s="2" t="s">
        <v>17075</v>
      </c>
      <c r="F1362" s="3" t="s">
        <v>58</v>
      </c>
      <c r="G1362" s="3" t="s">
        <v>59</v>
      </c>
      <c r="H1362" s="3" t="s">
        <v>58</v>
      </c>
      <c r="I1362" s="3" t="s">
        <v>58</v>
      </c>
      <c r="J1362" s="3" t="s">
        <v>60</v>
      </c>
      <c r="K1362" s="2" t="s">
        <v>17076</v>
      </c>
      <c r="L1362" s="2" t="s">
        <v>17077</v>
      </c>
      <c r="M1362" s="3" t="s">
        <v>353</v>
      </c>
      <c r="N1362" s="2" t="s">
        <v>338</v>
      </c>
      <c r="O1362" s="3" t="s">
        <v>63</v>
      </c>
      <c r="P1362" s="3" t="s">
        <v>214</v>
      </c>
      <c r="R1362" s="3" t="s">
        <v>65</v>
      </c>
      <c r="S1362" s="4">
        <v>5</v>
      </c>
      <c r="T1362" s="4">
        <v>5</v>
      </c>
      <c r="U1362" s="5" t="s">
        <v>17078</v>
      </c>
      <c r="V1362" s="5" t="s">
        <v>17078</v>
      </c>
      <c r="W1362" s="5" t="s">
        <v>14853</v>
      </c>
      <c r="X1362" s="5" t="s">
        <v>14853</v>
      </c>
      <c r="Y1362" s="4">
        <v>1065</v>
      </c>
      <c r="Z1362" s="4">
        <v>988</v>
      </c>
      <c r="AA1362" s="4">
        <v>1101</v>
      </c>
      <c r="AB1362" s="4">
        <v>3</v>
      </c>
      <c r="AC1362" s="4">
        <v>4</v>
      </c>
      <c r="AD1362" s="4">
        <v>34</v>
      </c>
      <c r="AE1362" s="4">
        <v>36</v>
      </c>
      <c r="AF1362" s="4">
        <v>15</v>
      </c>
      <c r="AG1362" s="4">
        <v>15</v>
      </c>
      <c r="AH1362" s="4">
        <v>9</v>
      </c>
      <c r="AI1362" s="4">
        <v>9</v>
      </c>
      <c r="AJ1362" s="4">
        <v>17</v>
      </c>
      <c r="AK1362" s="4">
        <v>18</v>
      </c>
      <c r="AL1362" s="4">
        <v>2</v>
      </c>
      <c r="AM1362" s="4">
        <v>3</v>
      </c>
      <c r="AN1362" s="4">
        <v>0</v>
      </c>
      <c r="AO1362" s="4">
        <v>0</v>
      </c>
      <c r="AP1362" s="3" t="s">
        <v>58</v>
      </c>
      <c r="AQ1362" s="3" t="s">
        <v>68</v>
      </c>
      <c r="AR1362" s="6" t="str">
        <f>HYPERLINK("http://catalog.hathitrust.org/Record/000812712","HathiTrust Record")</f>
        <v>HathiTrust Record</v>
      </c>
      <c r="AS1362" s="6" t="str">
        <f>HYPERLINK("https://creighton-primo.hosted.exlibrisgroup.com/primo-explore/search?tab=default_tab&amp;search_scope=EVERYTHING&amp;vid=01CRU&amp;lang=en_US&amp;offset=0&amp;query=any,contains,991001015919702656","Catalog Record")</f>
        <v>Catalog Record</v>
      </c>
      <c r="AT1362" s="6" t="str">
        <f>HYPERLINK("http://www.worldcat.org/oclc/15317660","WorldCat Record")</f>
        <v>WorldCat Record</v>
      </c>
      <c r="AU1362" s="3" t="s">
        <v>17079</v>
      </c>
      <c r="AV1362" s="3" t="s">
        <v>17080</v>
      </c>
      <c r="AW1362" s="3" t="s">
        <v>17081</v>
      </c>
      <c r="AX1362" s="3" t="s">
        <v>17081</v>
      </c>
      <c r="AY1362" s="3" t="s">
        <v>17082</v>
      </c>
      <c r="AZ1362" s="3" t="s">
        <v>73</v>
      </c>
      <c r="BB1362" s="3" t="s">
        <v>17083</v>
      </c>
      <c r="BC1362" s="3" t="s">
        <v>17084</v>
      </c>
      <c r="BD1362" s="3" t="s">
        <v>17085</v>
      </c>
    </row>
    <row r="1363" spans="1:56" ht="51" customHeight="1" x14ac:dyDescent="0.25">
      <c r="A1363" s="7" t="s">
        <v>58</v>
      </c>
      <c r="B1363" s="2" t="s">
        <v>17086</v>
      </c>
      <c r="C1363" s="2" t="s">
        <v>17087</v>
      </c>
      <c r="D1363" s="2" t="s">
        <v>17088</v>
      </c>
      <c r="F1363" s="3" t="s">
        <v>58</v>
      </c>
      <c r="G1363" s="3" t="s">
        <v>59</v>
      </c>
      <c r="H1363" s="3" t="s">
        <v>58</v>
      </c>
      <c r="I1363" s="3" t="s">
        <v>58</v>
      </c>
      <c r="J1363" s="3" t="s">
        <v>60</v>
      </c>
      <c r="K1363" s="2" t="s">
        <v>17089</v>
      </c>
      <c r="L1363" s="2" t="s">
        <v>5859</v>
      </c>
      <c r="M1363" s="3" t="s">
        <v>83</v>
      </c>
      <c r="O1363" s="3" t="s">
        <v>63</v>
      </c>
      <c r="P1363" s="3" t="s">
        <v>2061</v>
      </c>
      <c r="R1363" s="3" t="s">
        <v>65</v>
      </c>
      <c r="S1363" s="4">
        <v>5</v>
      </c>
      <c r="T1363" s="4">
        <v>5</v>
      </c>
      <c r="U1363" s="5" t="s">
        <v>17090</v>
      </c>
      <c r="V1363" s="5" t="s">
        <v>17090</v>
      </c>
      <c r="W1363" s="5" t="s">
        <v>14853</v>
      </c>
      <c r="X1363" s="5" t="s">
        <v>14853</v>
      </c>
      <c r="Y1363" s="4">
        <v>430</v>
      </c>
      <c r="Z1363" s="4">
        <v>378</v>
      </c>
      <c r="AA1363" s="4">
        <v>407</v>
      </c>
      <c r="AB1363" s="4">
        <v>3</v>
      </c>
      <c r="AC1363" s="4">
        <v>3</v>
      </c>
      <c r="AD1363" s="4">
        <v>14</v>
      </c>
      <c r="AE1363" s="4">
        <v>17</v>
      </c>
      <c r="AF1363" s="4">
        <v>4</v>
      </c>
      <c r="AG1363" s="4">
        <v>5</v>
      </c>
      <c r="AH1363" s="4">
        <v>4</v>
      </c>
      <c r="AI1363" s="4">
        <v>6</v>
      </c>
      <c r="AJ1363" s="4">
        <v>8</v>
      </c>
      <c r="AK1363" s="4">
        <v>10</v>
      </c>
      <c r="AL1363" s="4">
        <v>1</v>
      </c>
      <c r="AM1363" s="4">
        <v>1</v>
      </c>
      <c r="AN1363" s="4">
        <v>0</v>
      </c>
      <c r="AO1363" s="4">
        <v>0</v>
      </c>
      <c r="AP1363" s="3" t="s">
        <v>58</v>
      </c>
      <c r="AQ1363" s="3" t="s">
        <v>68</v>
      </c>
      <c r="AR1363" s="6" t="str">
        <f>HYPERLINK("http://catalog.hathitrust.org/Record/000135539","HathiTrust Record")</f>
        <v>HathiTrust Record</v>
      </c>
      <c r="AS1363" s="6" t="str">
        <f>HYPERLINK("https://creighton-primo.hosted.exlibrisgroup.com/primo-explore/search?tab=default_tab&amp;search_scope=EVERYTHING&amp;vid=01CRU&amp;lang=en_US&amp;offset=0&amp;query=any,contains,991004529379702656","Catalog Record")</f>
        <v>Catalog Record</v>
      </c>
      <c r="AT1363" s="6" t="str">
        <f>HYPERLINK("http://www.worldcat.org/oclc/3844653","WorldCat Record")</f>
        <v>WorldCat Record</v>
      </c>
      <c r="AU1363" s="3" t="s">
        <v>17091</v>
      </c>
      <c r="AV1363" s="3" t="s">
        <v>17092</v>
      </c>
      <c r="AW1363" s="3" t="s">
        <v>17093</v>
      </c>
      <c r="AX1363" s="3" t="s">
        <v>17093</v>
      </c>
      <c r="AY1363" s="3" t="s">
        <v>17094</v>
      </c>
      <c r="AZ1363" s="3" t="s">
        <v>73</v>
      </c>
      <c r="BB1363" s="3" t="s">
        <v>17095</v>
      </c>
      <c r="BC1363" s="3" t="s">
        <v>17096</v>
      </c>
      <c r="BD1363" s="3" t="s">
        <v>17097</v>
      </c>
    </row>
    <row r="1364" spans="1:56" ht="51" customHeight="1" x14ac:dyDescent="0.25">
      <c r="A1364" s="7" t="s">
        <v>58</v>
      </c>
      <c r="B1364" s="2" t="s">
        <v>17098</v>
      </c>
      <c r="C1364" s="2" t="s">
        <v>17099</v>
      </c>
      <c r="D1364" s="2" t="s">
        <v>17100</v>
      </c>
      <c r="F1364" s="3" t="s">
        <v>58</v>
      </c>
      <c r="G1364" s="3" t="s">
        <v>59</v>
      </c>
      <c r="H1364" s="3" t="s">
        <v>58</v>
      </c>
      <c r="I1364" s="3" t="s">
        <v>58</v>
      </c>
      <c r="J1364" s="3" t="s">
        <v>60</v>
      </c>
      <c r="K1364" s="2" t="s">
        <v>17101</v>
      </c>
      <c r="L1364" s="2" t="s">
        <v>17102</v>
      </c>
      <c r="M1364" s="3" t="s">
        <v>1061</v>
      </c>
      <c r="O1364" s="3" t="s">
        <v>63</v>
      </c>
      <c r="P1364" s="3" t="s">
        <v>437</v>
      </c>
      <c r="R1364" s="3" t="s">
        <v>65</v>
      </c>
      <c r="S1364" s="4">
        <v>3</v>
      </c>
      <c r="T1364" s="4">
        <v>3</v>
      </c>
      <c r="U1364" s="5" t="s">
        <v>1010</v>
      </c>
      <c r="V1364" s="5" t="s">
        <v>1010</v>
      </c>
      <c r="W1364" s="5" t="s">
        <v>384</v>
      </c>
      <c r="X1364" s="5" t="s">
        <v>384</v>
      </c>
      <c r="Y1364" s="4">
        <v>387</v>
      </c>
      <c r="Z1364" s="4">
        <v>338</v>
      </c>
      <c r="AA1364" s="4">
        <v>364</v>
      </c>
      <c r="AB1364" s="4">
        <v>4</v>
      </c>
      <c r="AC1364" s="4">
        <v>4</v>
      </c>
      <c r="AD1364" s="4">
        <v>17</v>
      </c>
      <c r="AE1364" s="4">
        <v>18</v>
      </c>
      <c r="AF1364" s="4">
        <v>7</v>
      </c>
      <c r="AG1364" s="4">
        <v>8</v>
      </c>
      <c r="AH1364" s="4">
        <v>5</v>
      </c>
      <c r="AI1364" s="4">
        <v>5</v>
      </c>
      <c r="AJ1364" s="4">
        <v>10</v>
      </c>
      <c r="AK1364" s="4">
        <v>11</v>
      </c>
      <c r="AL1364" s="4">
        <v>2</v>
      </c>
      <c r="AM1364" s="4">
        <v>2</v>
      </c>
      <c r="AN1364" s="4">
        <v>0</v>
      </c>
      <c r="AO1364" s="4">
        <v>0</v>
      </c>
      <c r="AP1364" s="3" t="s">
        <v>58</v>
      </c>
      <c r="AQ1364" s="3" t="s">
        <v>58</v>
      </c>
      <c r="AS1364" s="6" t="str">
        <f>HYPERLINK("https://creighton-primo.hosted.exlibrisgroup.com/primo-explore/search?tab=default_tab&amp;search_scope=EVERYTHING&amp;vid=01CRU&amp;lang=en_US&amp;offset=0&amp;query=any,contains,991002630979702656","Catalog Record")</f>
        <v>Catalog Record</v>
      </c>
      <c r="AT1364" s="6" t="str">
        <f>HYPERLINK("http://www.worldcat.org/oclc/34477151","WorldCat Record")</f>
        <v>WorldCat Record</v>
      </c>
      <c r="AU1364" s="3" t="s">
        <v>17103</v>
      </c>
      <c r="AV1364" s="3" t="s">
        <v>17104</v>
      </c>
      <c r="AW1364" s="3" t="s">
        <v>17105</v>
      </c>
      <c r="AX1364" s="3" t="s">
        <v>17105</v>
      </c>
      <c r="AY1364" s="3" t="s">
        <v>17106</v>
      </c>
      <c r="AZ1364" s="3" t="s">
        <v>73</v>
      </c>
      <c r="BB1364" s="3" t="s">
        <v>17107</v>
      </c>
      <c r="BC1364" s="3" t="s">
        <v>17108</v>
      </c>
      <c r="BD1364" s="3" t="s">
        <v>17109</v>
      </c>
    </row>
    <row r="1365" spans="1:56" ht="51" customHeight="1" x14ac:dyDescent="0.25">
      <c r="A1365" s="7" t="s">
        <v>58</v>
      </c>
      <c r="B1365" s="2" t="s">
        <v>17110</v>
      </c>
      <c r="C1365" s="2" t="s">
        <v>17111</v>
      </c>
      <c r="D1365" s="2" t="s">
        <v>17112</v>
      </c>
      <c r="F1365" s="3" t="s">
        <v>58</v>
      </c>
      <c r="G1365" s="3" t="s">
        <v>59</v>
      </c>
      <c r="H1365" s="3" t="s">
        <v>58</v>
      </c>
      <c r="I1365" s="3" t="s">
        <v>58</v>
      </c>
      <c r="J1365" s="3" t="s">
        <v>60</v>
      </c>
      <c r="K1365" s="2" t="s">
        <v>17113</v>
      </c>
      <c r="L1365" s="2" t="s">
        <v>17114</v>
      </c>
      <c r="M1365" s="3" t="s">
        <v>154</v>
      </c>
      <c r="N1365" s="2" t="s">
        <v>338</v>
      </c>
      <c r="O1365" s="3" t="s">
        <v>63</v>
      </c>
      <c r="P1365" s="3" t="s">
        <v>214</v>
      </c>
      <c r="R1365" s="3" t="s">
        <v>65</v>
      </c>
      <c r="S1365" s="4">
        <v>16</v>
      </c>
      <c r="T1365" s="4">
        <v>16</v>
      </c>
      <c r="U1365" s="5" t="s">
        <v>17115</v>
      </c>
      <c r="V1365" s="5" t="s">
        <v>17115</v>
      </c>
      <c r="W1365" s="5" t="s">
        <v>14853</v>
      </c>
      <c r="X1365" s="5" t="s">
        <v>14853</v>
      </c>
      <c r="Y1365" s="4">
        <v>1253</v>
      </c>
      <c r="Z1365" s="4">
        <v>1193</v>
      </c>
      <c r="AA1365" s="4">
        <v>1834</v>
      </c>
      <c r="AB1365" s="4">
        <v>11</v>
      </c>
      <c r="AC1365" s="4">
        <v>17</v>
      </c>
      <c r="AD1365" s="4">
        <v>29</v>
      </c>
      <c r="AE1365" s="4">
        <v>40</v>
      </c>
      <c r="AF1365" s="4">
        <v>11</v>
      </c>
      <c r="AG1365" s="4">
        <v>17</v>
      </c>
      <c r="AH1365" s="4">
        <v>6</v>
      </c>
      <c r="AI1365" s="4">
        <v>8</v>
      </c>
      <c r="AJ1365" s="4">
        <v>14</v>
      </c>
      <c r="AK1365" s="4">
        <v>17</v>
      </c>
      <c r="AL1365" s="4">
        <v>5</v>
      </c>
      <c r="AM1365" s="4">
        <v>7</v>
      </c>
      <c r="AN1365" s="4">
        <v>0</v>
      </c>
      <c r="AO1365" s="4">
        <v>0</v>
      </c>
      <c r="AP1365" s="3" t="s">
        <v>58</v>
      </c>
      <c r="AQ1365" s="3" t="s">
        <v>68</v>
      </c>
      <c r="AR1365" s="6" t="str">
        <f>HYPERLINK("http://catalog.hathitrust.org/Record/001303647","HathiTrust Record")</f>
        <v>HathiTrust Record</v>
      </c>
      <c r="AS1365" s="6" t="str">
        <f>HYPERLINK("https://creighton-primo.hosted.exlibrisgroup.com/primo-explore/search?tab=default_tab&amp;search_scope=EVERYTHING&amp;vid=01CRU&amp;lang=en_US&amp;offset=0&amp;query=any,contains,991001424879702656","Catalog Record")</f>
        <v>Catalog Record</v>
      </c>
      <c r="AT1365" s="6" t="str">
        <f>HYPERLINK("http://www.worldcat.org/oclc/18989662","WorldCat Record")</f>
        <v>WorldCat Record</v>
      </c>
      <c r="AU1365" s="3" t="s">
        <v>17116</v>
      </c>
      <c r="AV1365" s="3" t="s">
        <v>17117</v>
      </c>
      <c r="AW1365" s="3" t="s">
        <v>17118</v>
      </c>
      <c r="AX1365" s="3" t="s">
        <v>17118</v>
      </c>
      <c r="AY1365" s="3" t="s">
        <v>17119</v>
      </c>
      <c r="AZ1365" s="3" t="s">
        <v>73</v>
      </c>
      <c r="BB1365" s="3" t="s">
        <v>17120</v>
      </c>
      <c r="BC1365" s="3" t="s">
        <v>17121</v>
      </c>
      <c r="BD1365" s="3" t="s">
        <v>17122</v>
      </c>
    </row>
    <row r="1366" spans="1:56" ht="51" customHeight="1" x14ac:dyDescent="0.25">
      <c r="A1366" s="7" t="s">
        <v>58</v>
      </c>
      <c r="B1366" s="2" t="s">
        <v>17123</v>
      </c>
      <c r="C1366" s="2" t="s">
        <v>17124</v>
      </c>
      <c r="D1366" s="2" t="s">
        <v>17125</v>
      </c>
      <c r="F1366" s="3" t="s">
        <v>58</v>
      </c>
      <c r="G1366" s="3" t="s">
        <v>59</v>
      </c>
      <c r="H1366" s="3" t="s">
        <v>58</v>
      </c>
      <c r="I1366" s="3" t="s">
        <v>58</v>
      </c>
      <c r="J1366" s="3" t="s">
        <v>60</v>
      </c>
      <c r="K1366" s="2" t="s">
        <v>17126</v>
      </c>
      <c r="L1366" s="2" t="s">
        <v>17127</v>
      </c>
      <c r="M1366" s="3" t="s">
        <v>1091</v>
      </c>
      <c r="O1366" s="3" t="s">
        <v>63</v>
      </c>
      <c r="P1366" s="3" t="s">
        <v>584</v>
      </c>
      <c r="Q1366" s="2" t="s">
        <v>17128</v>
      </c>
      <c r="R1366" s="3" t="s">
        <v>65</v>
      </c>
      <c r="S1366" s="4">
        <v>7</v>
      </c>
      <c r="T1366" s="4">
        <v>7</v>
      </c>
      <c r="U1366" s="5" t="s">
        <v>17129</v>
      </c>
      <c r="V1366" s="5" t="s">
        <v>17129</v>
      </c>
      <c r="W1366" s="5" t="s">
        <v>9272</v>
      </c>
      <c r="X1366" s="5" t="s">
        <v>9272</v>
      </c>
      <c r="Y1366" s="4">
        <v>330</v>
      </c>
      <c r="Z1366" s="4">
        <v>257</v>
      </c>
      <c r="AA1366" s="4">
        <v>292</v>
      </c>
      <c r="AB1366" s="4">
        <v>2</v>
      </c>
      <c r="AC1366" s="4">
        <v>2</v>
      </c>
      <c r="AD1366" s="4">
        <v>13</v>
      </c>
      <c r="AE1366" s="4">
        <v>13</v>
      </c>
      <c r="AF1366" s="4">
        <v>4</v>
      </c>
      <c r="AG1366" s="4">
        <v>4</v>
      </c>
      <c r="AH1366" s="4">
        <v>5</v>
      </c>
      <c r="AI1366" s="4">
        <v>5</v>
      </c>
      <c r="AJ1366" s="4">
        <v>10</v>
      </c>
      <c r="AK1366" s="4">
        <v>10</v>
      </c>
      <c r="AL1366" s="4">
        <v>0</v>
      </c>
      <c r="AM1366" s="4">
        <v>0</v>
      </c>
      <c r="AN1366" s="4">
        <v>0</v>
      </c>
      <c r="AO1366" s="4">
        <v>0</v>
      </c>
      <c r="AP1366" s="3" t="s">
        <v>58</v>
      </c>
      <c r="AQ1366" s="3" t="s">
        <v>68</v>
      </c>
      <c r="AR1366" s="6" t="str">
        <f>HYPERLINK("http://catalog.hathitrust.org/Record/003576421","HathiTrust Record")</f>
        <v>HathiTrust Record</v>
      </c>
      <c r="AS1366" s="6" t="str">
        <f>HYPERLINK("https://creighton-primo.hosted.exlibrisgroup.com/primo-explore/search?tab=default_tab&amp;search_scope=EVERYTHING&amp;vid=01CRU&amp;lang=en_US&amp;offset=0&amp;query=any,contains,991003663589702656","Catalog Record")</f>
        <v>Catalog Record</v>
      </c>
      <c r="AT1366" s="6" t="str">
        <f>HYPERLINK("http://www.worldcat.org/oclc/46422184","WorldCat Record")</f>
        <v>WorldCat Record</v>
      </c>
      <c r="AU1366" s="3" t="s">
        <v>17130</v>
      </c>
      <c r="AV1366" s="3" t="s">
        <v>17131</v>
      </c>
      <c r="AW1366" s="3" t="s">
        <v>17132</v>
      </c>
      <c r="AX1366" s="3" t="s">
        <v>17132</v>
      </c>
      <c r="AY1366" s="3" t="s">
        <v>17133</v>
      </c>
      <c r="AZ1366" s="3" t="s">
        <v>73</v>
      </c>
      <c r="BB1366" s="3" t="s">
        <v>17134</v>
      </c>
      <c r="BC1366" s="3" t="s">
        <v>17135</v>
      </c>
      <c r="BD1366" s="3" t="s">
        <v>17136</v>
      </c>
    </row>
    <row r="1367" spans="1:56" ht="51" customHeight="1" x14ac:dyDescent="0.25">
      <c r="A1367" s="7" t="s">
        <v>58</v>
      </c>
      <c r="B1367" s="2" t="s">
        <v>17137</v>
      </c>
      <c r="C1367" s="2" t="s">
        <v>17138</v>
      </c>
      <c r="D1367" s="2" t="s">
        <v>17139</v>
      </c>
      <c r="F1367" s="3" t="s">
        <v>58</v>
      </c>
      <c r="G1367" s="3" t="s">
        <v>59</v>
      </c>
      <c r="H1367" s="3" t="s">
        <v>58</v>
      </c>
      <c r="I1367" s="3" t="s">
        <v>58</v>
      </c>
      <c r="J1367" s="3" t="s">
        <v>60</v>
      </c>
      <c r="K1367" s="2" t="s">
        <v>17140</v>
      </c>
      <c r="L1367" s="2" t="s">
        <v>17141</v>
      </c>
      <c r="M1367" s="3" t="s">
        <v>2214</v>
      </c>
      <c r="O1367" s="3" t="s">
        <v>63</v>
      </c>
      <c r="P1367" s="3" t="s">
        <v>214</v>
      </c>
      <c r="Q1367" s="2" t="s">
        <v>17142</v>
      </c>
      <c r="R1367" s="3" t="s">
        <v>65</v>
      </c>
      <c r="S1367" s="4">
        <v>9</v>
      </c>
      <c r="T1367" s="4">
        <v>9</v>
      </c>
      <c r="U1367" s="5" t="s">
        <v>17143</v>
      </c>
      <c r="V1367" s="5" t="s">
        <v>17143</v>
      </c>
      <c r="W1367" s="5" t="s">
        <v>17144</v>
      </c>
      <c r="X1367" s="5" t="s">
        <v>17144</v>
      </c>
      <c r="Y1367" s="4">
        <v>562</v>
      </c>
      <c r="Z1367" s="4">
        <v>464</v>
      </c>
      <c r="AA1367" s="4">
        <v>487</v>
      </c>
      <c r="AB1367" s="4">
        <v>4</v>
      </c>
      <c r="AC1367" s="4">
        <v>4</v>
      </c>
      <c r="AD1367" s="4">
        <v>16</v>
      </c>
      <c r="AE1367" s="4">
        <v>16</v>
      </c>
      <c r="AF1367" s="4">
        <v>5</v>
      </c>
      <c r="AG1367" s="4">
        <v>5</v>
      </c>
      <c r="AH1367" s="4">
        <v>3</v>
      </c>
      <c r="AI1367" s="4">
        <v>3</v>
      </c>
      <c r="AJ1367" s="4">
        <v>10</v>
      </c>
      <c r="AK1367" s="4">
        <v>10</v>
      </c>
      <c r="AL1367" s="4">
        <v>3</v>
      </c>
      <c r="AM1367" s="4">
        <v>3</v>
      </c>
      <c r="AN1367" s="4">
        <v>0</v>
      </c>
      <c r="AO1367" s="4">
        <v>0</v>
      </c>
      <c r="AP1367" s="3" t="s">
        <v>58</v>
      </c>
      <c r="AQ1367" s="3" t="s">
        <v>58</v>
      </c>
      <c r="AS1367" s="6" t="str">
        <f>HYPERLINK("https://creighton-primo.hosted.exlibrisgroup.com/primo-explore/search?tab=default_tab&amp;search_scope=EVERYTHING&amp;vid=01CRU&amp;lang=en_US&amp;offset=0&amp;query=any,contains,991004772409702656","Catalog Record")</f>
        <v>Catalog Record</v>
      </c>
      <c r="AT1367" s="6" t="str">
        <f>HYPERLINK("http://www.worldcat.org/oclc/56880068","WorldCat Record")</f>
        <v>WorldCat Record</v>
      </c>
      <c r="AU1367" s="3" t="s">
        <v>17145</v>
      </c>
      <c r="AV1367" s="3" t="s">
        <v>17146</v>
      </c>
      <c r="AW1367" s="3" t="s">
        <v>17147</v>
      </c>
      <c r="AX1367" s="3" t="s">
        <v>17147</v>
      </c>
      <c r="AY1367" s="3" t="s">
        <v>17148</v>
      </c>
      <c r="AZ1367" s="3" t="s">
        <v>73</v>
      </c>
      <c r="BB1367" s="3" t="s">
        <v>17149</v>
      </c>
      <c r="BC1367" s="3" t="s">
        <v>17150</v>
      </c>
      <c r="BD1367" s="3" t="s">
        <v>17151</v>
      </c>
    </row>
    <row r="1368" spans="1:56" ht="51" customHeight="1" x14ac:dyDescent="0.25">
      <c r="A1368" s="7" t="s">
        <v>58</v>
      </c>
      <c r="B1368" s="2" t="s">
        <v>17152</v>
      </c>
      <c r="C1368" s="2" t="s">
        <v>17153</v>
      </c>
      <c r="D1368" s="2" t="s">
        <v>17154</v>
      </c>
      <c r="F1368" s="3" t="s">
        <v>58</v>
      </c>
      <c r="G1368" s="3" t="s">
        <v>59</v>
      </c>
      <c r="H1368" s="3" t="s">
        <v>58</v>
      </c>
      <c r="I1368" s="3" t="s">
        <v>58</v>
      </c>
      <c r="J1368" s="3" t="s">
        <v>60</v>
      </c>
      <c r="K1368" s="2" t="s">
        <v>17155</v>
      </c>
      <c r="L1368" s="2" t="s">
        <v>17156</v>
      </c>
      <c r="M1368" s="3" t="s">
        <v>397</v>
      </c>
      <c r="O1368" s="3" t="s">
        <v>63</v>
      </c>
      <c r="P1368" s="3" t="s">
        <v>584</v>
      </c>
      <c r="R1368" s="3" t="s">
        <v>65</v>
      </c>
      <c r="S1368" s="4">
        <v>19</v>
      </c>
      <c r="T1368" s="4">
        <v>19</v>
      </c>
      <c r="U1368" s="5" t="s">
        <v>17157</v>
      </c>
      <c r="V1368" s="5" t="s">
        <v>17157</v>
      </c>
      <c r="W1368" s="5" t="s">
        <v>17158</v>
      </c>
      <c r="X1368" s="5" t="s">
        <v>17158</v>
      </c>
      <c r="Y1368" s="4">
        <v>122</v>
      </c>
      <c r="Z1368" s="4">
        <v>70</v>
      </c>
      <c r="AA1368" s="4">
        <v>408</v>
      </c>
      <c r="AB1368" s="4">
        <v>2</v>
      </c>
      <c r="AC1368" s="4">
        <v>7</v>
      </c>
      <c r="AD1368" s="4">
        <v>2</v>
      </c>
      <c r="AE1368" s="4">
        <v>6</v>
      </c>
      <c r="AF1368" s="4">
        <v>0</v>
      </c>
      <c r="AG1368" s="4">
        <v>2</v>
      </c>
      <c r="AH1368" s="4">
        <v>0</v>
      </c>
      <c r="AI1368" s="4">
        <v>1</v>
      </c>
      <c r="AJ1368" s="4">
        <v>1</v>
      </c>
      <c r="AK1368" s="4">
        <v>2</v>
      </c>
      <c r="AL1368" s="4">
        <v>1</v>
      </c>
      <c r="AM1368" s="4">
        <v>2</v>
      </c>
      <c r="AN1368" s="4">
        <v>0</v>
      </c>
      <c r="AO1368" s="4">
        <v>0</v>
      </c>
      <c r="AP1368" s="3" t="s">
        <v>58</v>
      </c>
      <c r="AQ1368" s="3" t="s">
        <v>68</v>
      </c>
      <c r="AR1368" s="6" t="str">
        <f>HYPERLINK("http://catalog.hathitrust.org/Record/000385600","HathiTrust Record")</f>
        <v>HathiTrust Record</v>
      </c>
      <c r="AS1368" s="6" t="str">
        <f>HYPERLINK("https://creighton-primo.hosted.exlibrisgroup.com/primo-explore/search?tab=default_tab&amp;search_scope=EVERYTHING&amp;vid=01CRU&amp;lang=en_US&amp;offset=0&amp;query=any,contains,991000697819702656","Catalog Record")</f>
        <v>Catalog Record</v>
      </c>
      <c r="AT1368" s="6" t="str">
        <f>HYPERLINK("http://www.worldcat.org/oclc/14932853","WorldCat Record")</f>
        <v>WorldCat Record</v>
      </c>
      <c r="AU1368" s="3" t="s">
        <v>17159</v>
      </c>
      <c r="AV1368" s="3" t="s">
        <v>17160</v>
      </c>
      <c r="AW1368" s="3" t="s">
        <v>17161</v>
      </c>
      <c r="AX1368" s="3" t="s">
        <v>17161</v>
      </c>
      <c r="AY1368" s="3" t="s">
        <v>17162</v>
      </c>
      <c r="AZ1368" s="3" t="s">
        <v>73</v>
      </c>
      <c r="BB1368" s="3" t="s">
        <v>17163</v>
      </c>
      <c r="BC1368" s="3" t="s">
        <v>17164</v>
      </c>
      <c r="BD1368" s="3" t="s">
        <v>17165</v>
      </c>
    </row>
    <row r="1369" spans="1:56" ht="51" customHeight="1" x14ac:dyDescent="0.25">
      <c r="A1369" s="7" t="s">
        <v>58</v>
      </c>
      <c r="B1369" s="2" t="s">
        <v>17166</v>
      </c>
      <c r="C1369" s="2" t="s">
        <v>17167</v>
      </c>
      <c r="D1369" s="2" t="s">
        <v>17168</v>
      </c>
      <c r="F1369" s="3" t="s">
        <v>58</v>
      </c>
      <c r="G1369" s="3" t="s">
        <v>59</v>
      </c>
      <c r="H1369" s="3" t="s">
        <v>58</v>
      </c>
      <c r="I1369" s="3" t="s">
        <v>58</v>
      </c>
      <c r="J1369" s="3" t="s">
        <v>60</v>
      </c>
      <c r="K1369" s="2" t="s">
        <v>17169</v>
      </c>
      <c r="L1369" s="2" t="s">
        <v>17170</v>
      </c>
      <c r="M1369" s="3" t="s">
        <v>397</v>
      </c>
      <c r="O1369" s="3" t="s">
        <v>63</v>
      </c>
      <c r="P1369" s="3" t="s">
        <v>816</v>
      </c>
      <c r="Q1369" s="2" t="s">
        <v>16987</v>
      </c>
      <c r="R1369" s="3" t="s">
        <v>65</v>
      </c>
      <c r="S1369" s="4">
        <v>3</v>
      </c>
      <c r="T1369" s="4">
        <v>3</v>
      </c>
      <c r="U1369" s="5" t="s">
        <v>17171</v>
      </c>
      <c r="V1369" s="5" t="s">
        <v>17171</v>
      </c>
      <c r="W1369" s="5" t="s">
        <v>17172</v>
      </c>
      <c r="X1369" s="5" t="s">
        <v>17172</v>
      </c>
      <c r="Y1369" s="4">
        <v>1501</v>
      </c>
      <c r="Z1369" s="4">
        <v>1429</v>
      </c>
      <c r="AA1369" s="4">
        <v>1444</v>
      </c>
      <c r="AB1369" s="4">
        <v>13</v>
      </c>
      <c r="AC1369" s="4">
        <v>13</v>
      </c>
      <c r="AD1369" s="4">
        <v>19</v>
      </c>
      <c r="AE1369" s="4">
        <v>21</v>
      </c>
      <c r="AF1369" s="4">
        <v>6</v>
      </c>
      <c r="AG1369" s="4">
        <v>7</v>
      </c>
      <c r="AH1369" s="4">
        <v>5</v>
      </c>
      <c r="AI1369" s="4">
        <v>6</v>
      </c>
      <c r="AJ1369" s="4">
        <v>11</v>
      </c>
      <c r="AK1369" s="4">
        <v>11</v>
      </c>
      <c r="AL1369" s="4">
        <v>2</v>
      </c>
      <c r="AM1369" s="4">
        <v>2</v>
      </c>
      <c r="AN1369" s="4">
        <v>0</v>
      </c>
      <c r="AO1369" s="4">
        <v>0</v>
      </c>
      <c r="AP1369" s="3" t="s">
        <v>58</v>
      </c>
      <c r="AQ1369" s="3" t="s">
        <v>68</v>
      </c>
      <c r="AR1369" s="6" t="str">
        <f>HYPERLINK("http://catalog.hathitrust.org/Record/000590727","HathiTrust Record")</f>
        <v>HathiTrust Record</v>
      </c>
      <c r="AS1369" s="6" t="str">
        <f>HYPERLINK("https://creighton-primo.hosted.exlibrisgroup.com/primo-explore/search?tab=default_tab&amp;search_scope=EVERYTHING&amp;vid=01CRU&amp;lang=en_US&amp;offset=0&amp;query=any,contains,991000715209702656","Catalog Record")</f>
        <v>Catalog Record</v>
      </c>
      <c r="AT1369" s="6" t="str">
        <f>HYPERLINK("http://www.worldcat.org/oclc/12617949","WorldCat Record")</f>
        <v>WorldCat Record</v>
      </c>
      <c r="AU1369" s="3" t="s">
        <v>17173</v>
      </c>
      <c r="AV1369" s="3" t="s">
        <v>17174</v>
      </c>
      <c r="AW1369" s="3" t="s">
        <v>17175</v>
      </c>
      <c r="AX1369" s="3" t="s">
        <v>17175</v>
      </c>
      <c r="AY1369" s="3" t="s">
        <v>17176</v>
      </c>
      <c r="AZ1369" s="3" t="s">
        <v>73</v>
      </c>
      <c r="BB1369" s="3" t="s">
        <v>17177</v>
      </c>
      <c r="BC1369" s="3" t="s">
        <v>17178</v>
      </c>
      <c r="BD1369" s="3" t="s">
        <v>17179</v>
      </c>
    </row>
    <row r="1370" spans="1:56" ht="51" customHeight="1" x14ac:dyDescent="0.25">
      <c r="A1370" s="7" t="s">
        <v>58</v>
      </c>
      <c r="B1370" s="2" t="s">
        <v>17180</v>
      </c>
      <c r="C1370" s="2" t="s">
        <v>17181</v>
      </c>
      <c r="D1370" s="2" t="s">
        <v>17182</v>
      </c>
      <c r="F1370" s="3" t="s">
        <v>58</v>
      </c>
      <c r="G1370" s="3" t="s">
        <v>59</v>
      </c>
      <c r="H1370" s="3" t="s">
        <v>58</v>
      </c>
      <c r="I1370" s="3" t="s">
        <v>58</v>
      </c>
      <c r="J1370" s="3" t="s">
        <v>60</v>
      </c>
      <c r="K1370" s="2" t="s">
        <v>17169</v>
      </c>
      <c r="L1370" s="2" t="s">
        <v>17183</v>
      </c>
      <c r="M1370" s="3" t="s">
        <v>626</v>
      </c>
      <c r="O1370" s="3" t="s">
        <v>63</v>
      </c>
      <c r="P1370" s="3" t="s">
        <v>816</v>
      </c>
      <c r="Q1370" s="2" t="s">
        <v>16987</v>
      </c>
      <c r="R1370" s="3" t="s">
        <v>65</v>
      </c>
      <c r="S1370" s="4">
        <v>7</v>
      </c>
      <c r="T1370" s="4">
        <v>7</v>
      </c>
      <c r="U1370" s="5" t="s">
        <v>17090</v>
      </c>
      <c r="V1370" s="5" t="s">
        <v>17090</v>
      </c>
      <c r="W1370" s="5" t="s">
        <v>17184</v>
      </c>
      <c r="X1370" s="5" t="s">
        <v>17184</v>
      </c>
      <c r="Y1370" s="4">
        <v>1813</v>
      </c>
      <c r="Z1370" s="4">
        <v>1719</v>
      </c>
      <c r="AA1370" s="4">
        <v>1734</v>
      </c>
      <c r="AB1370" s="4">
        <v>17</v>
      </c>
      <c r="AC1370" s="4">
        <v>17</v>
      </c>
      <c r="AD1370" s="4">
        <v>27</v>
      </c>
      <c r="AE1370" s="4">
        <v>29</v>
      </c>
      <c r="AF1370" s="4">
        <v>12</v>
      </c>
      <c r="AG1370" s="4">
        <v>13</v>
      </c>
      <c r="AH1370" s="4">
        <v>7</v>
      </c>
      <c r="AI1370" s="4">
        <v>8</v>
      </c>
      <c r="AJ1370" s="4">
        <v>14</v>
      </c>
      <c r="AK1370" s="4">
        <v>14</v>
      </c>
      <c r="AL1370" s="4">
        <v>2</v>
      </c>
      <c r="AM1370" s="4">
        <v>2</v>
      </c>
      <c r="AN1370" s="4">
        <v>0</v>
      </c>
      <c r="AO1370" s="4">
        <v>0</v>
      </c>
      <c r="AP1370" s="3" t="s">
        <v>58</v>
      </c>
      <c r="AQ1370" s="3" t="s">
        <v>68</v>
      </c>
      <c r="AR1370" s="6" t="str">
        <f>HYPERLINK("http://catalog.hathitrust.org/Record/000202152","HathiTrust Record")</f>
        <v>HathiTrust Record</v>
      </c>
      <c r="AS1370" s="6" t="str">
        <f>HYPERLINK("https://creighton-primo.hosted.exlibrisgroup.com/primo-explore/search?tab=default_tab&amp;search_scope=EVERYTHING&amp;vid=01CRU&amp;lang=en_US&amp;offset=0&amp;query=any,contains,991000278659702656","Catalog Record")</f>
        <v>Catalog Record</v>
      </c>
      <c r="AT1370" s="6" t="str">
        <f>HYPERLINK("http://www.worldcat.org/oclc/9905799","WorldCat Record")</f>
        <v>WorldCat Record</v>
      </c>
      <c r="AU1370" s="3" t="s">
        <v>17185</v>
      </c>
      <c r="AV1370" s="3" t="s">
        <v>17186</v>
      </c>
      <c r="AW1370" s="3" t="s">
        <v>17187</v>
      </c>
      <c r="AX1370" s="3" t="s">
        <v>17187</v>
      </c>
      <c r="AY1370" s="3" t="s">
        <v>17188</v>
      </c>
      <c r="AZ1370" s="3" t="s">
        <v>73</v>
      </c>
      <c r="BB1370" s="3" t="s">
        <v>17189</v>
      </c>
      <c r="BC1370" s="3" t="s">
        <v>17190</v>
      </c>
      <c r="BD1370" s="3" t="s">
        <v>17191</v>
      </c>
    </row>
    <row r="1371" spans="1:56" ht="51" customHeight="1" x14ac:dyDescent="0.25">
      <c r="A1371" s="7" t="s">
        <v>58</v>
      </c>
      <c r="B1371" s="2" t="s">
        <v>17192</v>
      </c>
      <c r="C1371" s="2" t="s">
        <v>17193</v>
      </c>
      <c r="D1371" s="2" t="s">
        <v>17194</v>
      </c>
      <c r="F1371" s="3" t="s">
        <v>58</v>
      </c>
      <c r="G1371" s="3" t="s">
        <v>59</v>
      </c>
      <c r="H1371" s="3" t="s">
        <v>58</v>
      </c>
      <c r="I1371" s="3" t="s">
        <v>58</v>
      </c>
      <c r="J1371" s="3" t="s">
        <v>60</v>
      </c>
      <c r="K1371" s="2" t="s">
        <v>17195</v>
      </c>
      <c r="L1371" s="2" t="s">
        <v>17196</v>
      </c>
      <c r="M1371" s="3" t="s">
        <v>4023</v>
      </c>
      <c r="O1371" s="3" t="s">
        <v>63</v>
      </c>
      <c r="P1371" s="3" t="s">
        <v>510</v>
      </c>
      <c r="Q1371" s="2" t="s">
        <v>17197</v>
      </c>
      <c r="R1371" s="3" t="s">
        <v>65</v>
      </c>
      <c r="S1371" s="4">
        <v>2</v>
      </c>
      <c r="T1371" s="4">
        <v>2</v>
      </c>
      <c r="U1371" s="5" t="s">
        <v>17198</v>
      </c>
      <c r="V1371" s="5" t="s">
        <v>17198</v>
      </c>
      <c r="W1371" s="5" t="s">
        <v>17199</v>
      </c>
      <c r="X1371" s="5" t="s">
        <v>17199</v>
      </c>
      <c r="Y1371" s="4">
        <v>400</v>
      </c>
      <c r="Z1371" s="4">
        <v>333</v>
      </c>
      <c r="AA1371" s="4">
        <v>365</v>
      </c>
      <c r="AB1371" s="4">
        <v>3</v>
      </c>
      <c r="AC1371" s="4">
        <v>3</v>
      </c>
      <c r="AD1371" s="4">
        <v>23</v>
      </c>
      <c r="AE1371" s="4">
        <v>23</v>
      </c>
      <c r="AF1371" s="4">
        <v>11</v>
      </c>
      <c r="AG1371" s="4">
        <v>11</v>
      </c>
      <c r="AH1371" s="4">
        <v>6</v>
      </c>
      <c r="AI1371" s="4">
        <v>6</v>
      </c>
      <c r="AJ1371" s="4">
        <v>11</v>
      </c>
      <c r="AK1371" s="4">
        <v>11</v>
      </c>
      <c r="AL1371" s="4">
        <v>2</v>
      </c>
      <c r="AM1371" s="4">
        <v>2</v>
      </c>
      <c r="AN1371" s="4">
        <v>0</v>
      </c>
      <c r="AO1371" s="4">
        <v>0</v>
      </c>
      <c r="AP1371" s="3" t="s">
        <v>58</v>
      </c>
      <c r="AQ1371" s="3" t="s">
        <v>68</v>
      </c>
      <c r="AR1371" s="6" t="str">
        <f>HYPERLINK("http://catalog.hathitrust.org/Record/004730319","HathiTrust Record")</f>
        <v>HathiTrust Record</v>
      </c>
      <c r="AS1371" s="6" t="str">
        <f>HYPERLINK("https://creighton-primo.hosted.exlibrisgroup.com/primo-explore/search?tab=default_tab&amp;search_scope=EVERYTHING&amp;vid=01CRU&amp;lang=en_US&amp;offset=0&amp;query=any,contains,991005053919702656","Catalog Record")</f>
        <v>Catalog Record</v>
      </c>
      <c r="AT1371" s="6" t="str">
        <f>HYPERLINK("http://www.worldcat.org/oclc/54007119","WorldCat Record")</f>
        <v>WorldCat Record</v>
      </c>
      <c r="AU1371" s="3" t="s">
        <v>17200</v>
      </c>
      <c r="AV1371" s="3" t="s">
        <v>17201</v>
      </c>
      <c r="AW1371" s="3" t="s">
        <v>17202</v>
      </c>
      <c r="AX1371" s="3" t="s">
        <v>17202</v>
      </c>
      <c r="AY1371" s="3" t="s">
        <v>17203</v>
      </c>
      <c r="AZ1371" s="3" t="s">
        <v>73</v>
      </c>
      <c r="BB1371" s="3" t="s">
        <v>17204</v>
      </c>
      <c r="BC1371" s="3" t="s">
        <v>17205</v>
      </c>
      <c r="BD1371" s="3" t="s">
        <v>17206</v>
      </c>
    </row>
    <row r="1372" spans="1:56" ht="51" customHeight="1" x14ac:dyDescent="0.25">
      <c r="A1372" s="7" t="s">
        <v>58</v>
      </c>
      <c r="B1372" s="2" t="s">
        <v>17207</v>
      </c>
      <c r="C1372" s="2" t="s">
        <v>17208</v>
      </c>
      <c r="D1372" s="2" t="s">
        <v>17209</v>
      </c>
      <c r="F1372" s="3" t="s">
        <v>58</v>
      </c>
      <c r="G1372" s="3" t="s">
        <v>59</v>
      </c>
      <c r="H1372" s="3" t="s">
        <v>58</v>
      </c>
      <c r="I1372" s="3" t="s">
        <v>58</v>
      </c>
      <c r="J1372" s="3" t="s">
        <v>60</v>
      </c>
      <c r="K1372" s="2" t="s">
        <v>17210</v>
      </c>
      <c r="L1372" s="2" t="s">
        <v>17211</v>
      </c>
      <c r="M1372" s="3" t="s">
        <v>1399</v>
      </c>
      <c r="O1372" s="3" t="s">
        <v>63</v>
      </c>
      <c r="P1372" s="3" t="s">
        <v>354</v>
      </c>
      <c r="R1372" s="3" t="s">
        <v>65</v>
      </c>
      <c r="S1372" s="4">
        <v>11</v>
      </c>
      <c r="T1372" s="4">
        <v>11</v>
      </c>
      <c r="U1372" s="5" t="s">
        <v>17212</v>
      </c>
      <c r="V1372" s="5" t="s">
        <v>17212</v>
      </c>
      <c r="W1372" s="5" t="s">
        <v>16796</v>
      </c>
      <c r="X1372" s="5" t="s">
        <v>16796</v>
      </c>
      <c r="Y1372" s="4">
        <v>461</v>
      </c>
      <c r="Z1372" s="4">
        <v>406</v>
      </c>
      <c r="AA1372" s="4">
        <v>406</v>
      </c>
      <c r="AB1372" s="4">
        <v>5</v>
      </c>
      <c r="AC1372" s="4">
        <v>5</v>
      </c>
      <c r="AD1372" s="4">
        <v>24</v>
      </c>
      <c r="AE1372" s="4">
        <v>24</v>
      </c>
      <c r="AF1372" s="4">
        <v>10</v>
      </c>
      <c r="AG1372" s="4">
        <v>10</v>
      </c>
      <c r="AH1372" s="4">
        <v>4</v>
      </c>
      <c r="AI1372" s="4">
        <v>4</v>
      </c>
      <c r="AJ1372" s="4">
        <v>11</v>
      </c>
      <c r="AK1372" s="4">
        <v>11</v>
      </c>
      <c r="AL1372" s="4">
        <v>4</v>
      </c>
      <c r="AM1372" s="4">
        <v>4</v>
      </c>
      <c r="AN1372" s="4">
        <v>0</v>
      </c>
      <c r="AO1372" s="4">
        <v>0</v>
      </c>
      <c r="AP1372" s="3" t="s">
        <v>58</v>
      </c>
      <c r="AQ1372" s="3" t="s">
        <v>58</v>
      </c>
      <c r="AS1372" s="6" t="str">
        <f>HYPERLINK("https://creighton-primo.hosted.exlibrisgroup.com/primo-explore/search?tab=default_tab&amp;search_scope=EVERYTHING&amp;vid=01CRU&amp;lang=en_US&amp;offset=0&amp;query=any,contains,991001114969702656","Catalog Record")</f>
        <v>Catalog Record</v>
      </c>
      <c r="AT1372" s="6" t="str">
        <f>HYPERLINK("http://www.worldcat.org/oclc/16525239","WorldCat Record")</f>
        <v>WorldCat Record</v>
      </c>
      <c r="AU1372" s="3" t="s">
        <v>17213</v>
      </c>
      <c r="AV1372" s="3" t="s">
        <v>17214</v>
      </c>
      <c r="AW1372" s="3" t="s">
        <v>17215</v>
      </c>
      <c r="AX1372" s="3" t="s">
        <v>17215</v>
      </c>
      <c r="AY1372" s="3" t="s">
        <v>17216</v>
      </c>
      <c r="AZ1372" s="3" t="s">
        <v>73</v>
      </c>
      <c r="BB1372" s="3" t="s">
        <v>17217</v>
      </c>
      <c r="BC1372" s="3" t="s">
        <v>17218</v>
      </c>
      <c r="BD1372" s="3" t="s">
        <v>17219</v>
      </c>
    </row>
    <row r="1373" spans="1:56" ht="51" customHeight="1" x14ac:dyDescent="0.25">
      <c r="A1373" s="7" t="s">
        <v>58</v>
      </c>
      <c r="B1373" s="2" t="s">
        <v>17220</v>
      </c>
      <c r="C1373" s="2" t="s">
        <v>17221</v>
      </c>
      <c r="D1373" s="2" t="s">
        <v>17222</v>
      </c>
      <c r="F1373" s="3" t="s">
        <v>58</v>
      </c>
      <c r="G1373" s="3" t="s">
        <v>59</v>
      </c>
      <c r="H1373" s="3" t="s">
        <v>58</v>
      </c>
      <c r="I1373" s="3" t="s">
        <v>58</v>
      </c>
      <c r="J1373" s="3" t="s">
        <v>60</v>
      </c>
      <c r="K1373" s="2" t="s">
        <v>17223</v>
      </c>
      <c r="L1373" s="2" t="s">
        <v>17224</v>
      </c>
      <c r="M1373" s="3" t="s">
        <v>397</v>
      </c>
      <c r="O1373" s="3" t="s">
        <v>63</v>
      </c>
      <c r="P1373" s="3" t="s">
        <v>214</v>
      </c>
      <c r="R1373" s="3" t="s">
        <v>65</v>
      </c>
      <c r="S1373" s="4">
        <v>6</v>
      </c>
      <c r="T1373" s="4">
        <v>6</v>
      </c>
      <c r="U1373" s="5" t="s">
        <v>17049</v>
      </c>
      <c r="V1373" s="5" t="s">
        <v>17049</v>
      </c>
      <c r="W1373" s="5" t="s">
        <v>3486</v>
      </c>
      <c r="X1373" s="5" t="s">
        <v>3486</v>
      </c>
      <c r="Y1373" s="4">
        <v>147</v>
      </c>
      <c r="Z1373" s="4">
        <v>146</v>
      </c>
      <c r="AA1373" s="4">
        <v>182</v>
      </c>
      <c r="AB1373" s="4">
        <v>3</v>
      </c>
      <c r="AC1373" s="4">
        <v>3</v>
      </c>
      <c r="AD1373" s="4">
        <v>2</v>
      </c>
      <c r="AE1373" s="4">
        <v>2</v>
      </c>
      <c r="AF1373" s="4">
        <v>1</v>
      </c>
      <c r="AG1373" s="4">
        <v>1</v>
      </c>
      <c r="AH1373" s="4">
        <v>1</v>
      </c>
      <c r="AI1373" s="4">
        <v>1</v>
      </c>
      <c r="AJ1373" s="4">
        <v>1</v>
      </c>
      <c r="AK1373" s="4">
        <v>1</v>
      </c>
      <c r="AL1373" s="4">
        <v>0</v>
      </c>
      <c r="AM1373" s="4">
        <v>0</v>
      </c>
      <c r="AN1373" s="4">
        <v>0</v>
      </c>
      <c r="AO1373" s="4">
        <v>0</v>
      </c>
      <c r="AP1373" s="3" t="s">
        <v>58</v>
      </c>
      <c r="AQ1373" s="3" t="s">
        <v>58</v>
      </c>
      <c r="AS1373" s="6" t="str">
        <f>HYPERLINK("https://creighton-primo.hosted.exlibrisgroup.com/primo-explore/search?tab=default_tab&amp;search_scope=EVERYTHING&amp;vid=01CRU&amp;lang=en_US&amp;offset=0&amp;query=any,contains,991000735659702656","Catalog Record")</f>
        <v>Catalog Record</v>
      </c>
      <c r="AT1373" s="6" t="str">
        <f>HYPERLINK("http://www.worldcat.org/oclc/12769195","WorldCat Record")</f>
        <v>WorldCat Record</v>
      </c>
      <c r="AU1373" s="3" t="s">
        <v>17225</v>
      </c>
      <c r="AV1373" s="3" t="s">
        <v>17226</v>
      </c>
      <c r="AW1373" s="3" t="s">
        <v>17227</v>
      </c>
      <c r="AX1373" s="3" t="s">
        <v>17227</v>
      </c>
      <c r="AY1373" s="3" t="s">
        <v>17228</v>
      </c>
      <c r="AZ1373" s="3" t="s">
        <v>73</v>
      </c>
      <c r="BB1373" s="3" t="s">
        <v>17229</v>
      </c>
      <c r="BC1373" s="3" t="s">
        <v>17230</v>
      </c>
      <c r="BD1373" s="3" t="s">
        <v>17231</v>
      </c>
    </row>
    <row r="1374" spans="1:56" ht="51" customHeight="1" x14ac:dyDescent="0.25">
      <c r="A1374" s="7" t="s">
        <v>58</v>
      </c>
      <c r="B1374" s="2" t="s">
        <v>17232</v>
      </c>
      <c r="C1374" s="2" t="s">
        <v>17233</v>
      </c>
      <c r="D1374" s="2" t="s">
        <v>17234</v>
      </c>
      <c r="F1374" s="3" t="s">
        <v>58</v>
      </c>
      <c r="G1374" s="3" t="s">
        <v>59</v>
      </c>
      <c r="H1374" s="3" t="s">
        <v>58</v>
      </c>
      <c r="I1374" s="3" t="s">
        <v>58</v>
      </c>
      <c r="J1374" s="3" t="s">
        <v>60</v>
      </c>
      <c r="L1374" s="2" t="s">
        <v>17034</v>
      </c>
      <c r="M1374" s="3" t="s">
        <v>524</v>
      </c>
      <c r="O1374" s="3" t="s">
        <v>63</v>
      </c>
      <c r="P1374" s="3" t="s">
        <v>816</v>
      </c>
      <c r="Q1374" s="2" t="s">
        <v>16987</v>
      </c>
      <c r="R1374" s="3" t="s">
        <v>65</v>
      </c>
      <c r="S1374" s="4">
        <v>14</v>
      </c>
      <c r="T1374" s="4">
        <v>14</v>
      </c>
      <c r="U1374" s="5" t="s">
        <v>1516</v>
      </c>
      <c r="V1374" s="5" t="s">
        <v>1516</v>
      </c>
      <c r="W1374" s="5" t="s">
        <v>17235</v>
      </c>
      <c r="X1374" s="5" t="s">
        <v>17235</v>
      </c>
      <c r="Y1374" s="4">
        <v>1478</v>
      </c>
      <c r="Z1374" s="4">
        <v>1428</v>
      </c>
      <c r="AA1374" s="4">
        <v>1447</v>
      </c>
      <c r="AB1374" s="4">
        <v>14</v>
      </c>
      <c r="AC1374" s="4">
        <v>14</v>
      </c>
      <c r="AD1374" s="4">
        <v>17</v>
      </c>
      <c r="AE1374" s="4">
        <v>19</v>
      </c>
      <c r="AF1374" s="4">
        <v>7</v>
      </c>
      <c r="AG1374" s="4">
        <v>8</v>
      </c>
      <c r="AH1374" s="4">
        <v>3</v>
      </c>
      <c r="AI1374" s="4">
        <v>4</v>
      </c>
      <c r="AJ1374" s="4">
        <v>11</v>
      </c>
      <c r="AK1374" s="4">
        <v>11</v>
      </c>
      <c r="AL1374" s="4">
        <v>2</v>
      </c>
      <c r="AM1374" s="4">
        <v>2</v>
      </c>
      <c r="AN1374" s="4">
        <v>0</v>
      </c>
      <c r="AO1374" s="4">
        <v>0</v>
      </c>
      <c r="AP1374" s="3" t="s">
        <v>58</v>
      </c>
      <c r="AQ1374" s="3" t="s">
        <v>68</v>
      </c>
      <c r="AR1374" s="6" t="str">
        <f>HYPERLINK("http://catalog.hathitrust.org/Record/000594244","HathiTrust Record")</f>
        <v>HathiTrust Record</v>
      </c>
      <c r="AS1374" s="6" t="str">
        <f>HYPERLINK("https://creighton-primo.hosted.exlibrisgroup.com/primo-explore/search?tab=default_tab&amp;search_scope=EVERYTHING&amp;vid=01CRU&amp;lang=en_US&amp;offset=0&amp;query=any,contains,991000783099702656","Catalog Record")</f>
        <v>Catalog Record</v>
      </c>
      <c r="AT1374" s="6" t="str">
        <f>HYPERLINK("http://www.worldcat.org/oclc/13116967","WorldCat Record")</f>
        <v>WorldCat Record</v>
      </c>
      <c r="AU1374" s="3" t="s">
        <v>17236</v>
      </c>
      <c r="AV1374" s="3" t="s">
        <v>17237</v>
      </c>
      <c r="AW1374" s="3" t="s">
        <v>17238</v>
      </c>
      <c r="AX1374" s="3" t="s">
        <v>17238</v>
      </c>
      <c r="AY1374" s="3" t="s">
        <v>17239</v>
      </c>
      <c r="AZ1374" s="3" t="s">
        <v>73</v>
      </c>
      <c r="BB1374" s="3" t="s">
        <v>17240</v>
      </c>
      <c r="BC1374" s="3" t="s">
        <v>17241</v>
      </c>
      <c r="BD1374" s="3" t="s">
        <v>17242</v>
      </c>
    </row>
    <row r="1375" spans="1:56" ht="51" customHeight="1" x14ac:dyDescent="0.25">
      <c r="A1375" s="7" t="s">
        <v>58</v>
      </c>
      <c r="B1375" s="2" t="s">
        <v>17243</v>
      </c>
      <c r="C1375" s="2" t="s">
        <v>17244</v>
      </c>
      <c r="D1375" s="2" t="s">
        <v>17245</v>
      </c>
      <c r="F1375" s="3" t="s">
        <v>58</v>
      </c>
      <c r="G1375" s="3" t="s">
        <v>59</v>
      </c>
      <c r="H1375" s="3" t="s">
        <v>58</v>
      </c>
      <c r="I1375" s="3" t="s">
        <v>58</v>
      </c>
      <c r="J1375" s="3" t="s">
        <v>60</v>
      </c>
      <c r="K1375" s="2" t="s">
        <v>17246</v>
      </c>
      <c r="L1375" s="2" t="s">
        <v>17247</v>
      </c>
      <c r="M1375" s="3" t="s">
        <v>626</v>
      </c>
      <c r="O1375" s="3" t="s">
        <v>63</v>
      </c>
      <c r="P1375" s="3" t="s">
        <v>3109</v>
      </c>
      <c r="R1375" s="3" t="s">
        <v>65</v>
      </c>
      <c r="S1375" s="4">
        <v>2</v>
      </c>
      <c r="T1375" s="4">
        <v>2</v>
      </c>
      <c r="U1375" s="5" t="s">
        <v>17248</v>
      </c>
      <c r="V1375" s="5" t="s">
        <v>17248</v>
      </c>
      <c r="W1375" s="5" t="s">
        <v>17249</v>
      </c>
      <c r="X1375" s="5" t="s">
        <v>17249</v>
      </c>
      <c r="Y1375" s="4">
        <v>1676</v>
      </c>
      <c r="Z1375" s="4">
        <v>1525</v>
      </c>
      <c r="AA1375" s="4">
        <v>1629</v>
      </c>
      <c r="AB1375" s="4">
        <v>10</v>
      </c>
      <c r="AC1375" s="4">
        <v>11</v>
      </c>
      <c r="AD1375" s="4">
        <v>47</v>
      </c>
      <c r="AE1375" s="4">
        <v>53</v>
      </c>
      <c r="AF1375" s="4">
        <v>20</v>
      </c>
      <c r="AG1375" s="4">
        <v>22</v>
      </c>
      <c r="AH1375" s="4">
        <v>7</v>
      </c>
      <c r="AI1375" s="4">
        <v>10</v>
      </c>
      <c r="AJ1375" s="4">
        <v>22</v>
      </c>
      <c r="AK1375" s="4">
        <v>23</v>
      </c>
      <c r="AL1375" s="4">
        <v>7</v>
      </c>
      <c r="AM1375" s="4">
        <v>8</v>
      </c>
      <c r="AN1375" s="4">
        <v>1</v>
      </c>
      <c r="AO1375" s="4">
        <v>1</v>
      </c>
      <c r="AP1375" s="3" t="s">
        <v>58</v>
      </c>
      <c r="AQ1375" s="3" t="s">
        <v>68</v>
      </c>
      <c r="AR1375" s="6" t="str">
        <f>HYPERLINK("http://catalog.hathitrust.org/Record/000316042","HathiTrust Record")</f>
        <v>HathiTrust Record</v>
      </c>
      <c r="AS1375" s="6" t="str">
        <f>HYPERLINK("https://creighton-primo.hosted.exlibrisgroup.com/primo-explore/search?tab=default_tab&amp;search_scope=EVERYTHING&amp;vid=01CRU&amp;lang=en_US&amp;offset=0&amp;query=any,contains,991000215739702656","Catalog Record")</f>
        <v>Catalog Record</v>
      </c>
      <c r="AT1375" s="6" t="str">
        <f>HYPERLINK("http://www.worldcat.org/oclc/9557629","WorldCat Record")</f>
        <v>WorldCat Record</v>
      </c>
      <c r="AU1375" s="3" t="s">
        <v>17250</v>
      </c>
      <c r="AV1375" s="3" t="s">
        <v>17251</v>
      </c>
      <c r="AW1375" s="3" t="s">
        <v>17252</v>
      </c>
      <c r="AX1375" s="3" t="s">
        <v>17252</v>
      </c>
      <c r="AY1375" s="3" t="s">
        <v>17253</v>
      </c>
      <c r="AZ1375" s="3" t="s">
        <v>73</v>
      </c>
      <c r="BB1375" s="3" t="s">
        <v>17254</v>
      </c>
      <c r="BC1375" s="3" t="s">
        <v>17255</v>
      </c>
      <c r="BD1375" s="3" t="s">
        <v>17256</v>
      </c>
    </row>
    <row r="1376" spans="1:56" ht="51" customHeight="1" x14ac:dyDescent="0.25">
      <c r="A1376" s="7" t="s">
        <v>58</v>
      </c>
      <c r="B1376" s="2" t="s">
        <v>17257</v>
      </c>
      <c r="C1376" s="2" t="s">
        <v>17258</v>
      </c>
      <c r="D1376" s="2" t="s">
        <v>17259</v>
      </c>
      <c r="F1376" s="3" t="s">
        <v>58</v>
      </c>
      <c r="G1376" s="3" t="s">
        <v>59</v>
      </c>
      <c r="H1376" s="3" t="s">
        <v>58</v>
      </c>
      <c r="I1376" s="3" t="s">
        <v>58</v>
      </c>
      <c r="J1376" s="3" t="s">
        <v>60</v>
      </c>
      <c r="K1376" s="2" t="s">
        <v>17260</v>
      </c>
      <c r="L1376" s="2" t="s">
        <v>17261</v>
      </c>
      <c r="M1376" s="3" t="s">
        <v>2295</v>
      </c>
      <c r="O1376" s="3" t="s">
        <v>63</v>
      </c>
      <c r="P1376" s="3" t="s">
        <v>584</v>
      </c>
      <c r="R1376" s="3" t="s">
        <v>65</v>
      </c>
      <c r="S1376" s="4">
        <v>2</v>
      </c>
      <c r="T1376" s="4">
        <v>2</v>
      </c>
      <c r="U1376" s="5" t="s">
        <v>16795</v>
      </c>
      <c r="V1376" s="5" t="s">
        <v>16795</v>
      </c>
      <c r="W1376" s="5" t="s">
        <v>17262</v>
      </c>
      <c r="X1376" s="5" t="s">
        <v>17262</v>
      </c>
      <c r="Y1376" s="4">
        <v>1047</v>
      </c>
      <c r="Z1376" s="4">
        <v>941</v>
      </c>
      <c r="AA1376" s="4">
        <v>1699</v>
      </c>
      <c r="AB1376" s="4">
        <v>6</v>
      </c>
      <c r="AC1376" s="4">
        <v>33</v>
      </c>
      <c r="AD1376" s="4">
        <v>42</v>
      </c>
      <c r="AE1376" s="4">
        <v>57</v>
      </c>
      <c r="AF1376" s="4">
        <v>22</v>
      </c>
      <c r="AG1376" s="4">
        <v>23</v>
      </c>
      <c r="AH1376" s="4">
        <v>9</v>
      </c>
      <c r="AI1376" s="4">
        <v>10</v>
      </c>
      <c r="AJ1376" s="4">
        <v>17</v>
      </c>
      <c r="AK1376" s="4">
        <v>21</v>
      </c>
      <c r="AL1376" s="4">
        <v>4</v>
      </c>
      <c r="AM1376" s="4">
        <v>13</v>
      </c>
      <c r="AN1376" s="4">
        <v>0</v>
      </c>
      <c r="AO1376" s="4">
        <v>1</v>
      </c>
      <c r="AP1376" s="3" t="s">
        <v>58</v>
      </c>
      <c r="AQ1376" s="3" t="s">
        <v>58</v>
      </c>
      <c r="AS1376" s="6" t="str">
        <f>HYPERLINK("https://creighton-primo.hosted.exlibrisgroup.com/primo-explore/search?tab=default_tab&amp;search_scope=EVERYTHING&amp;vid=01CRU&amp;lang=en_US&amp;offset=0&amp;query=any,contains,991004501889702656","Catalog Record")</f>
        <v>Catalog Record</v>
      </c>
      <c r="AT1376" s="6" t="str">
        <f>HYPERLINK("http://www.worldcat.org/oclc/50630482","WorldCat Record")</f>
        <v>WorldCat Record</v>
      </c>
      <c r="AU1376" s="3" t="s">
        <v>17263</v>
      </c>
      <c r="AV1376" s="3" t="s">
        <v>17264</v>
      </c>
      <c r="AW1376" s="3" t="s">
        <v>17265</v>
      </c>
      <c r="AX1376" s="3" t="s">
        <v>17265</v>
      </c>
      <c r="AY1376" s="3" t="s">
        <v>17266</v>
      </c>
      <c r="AZ1376" s="3" t="s">
        <v>73</v>
      </c>
      <c r="BB1376" s="3" t="s">
        <v>17267</v>
      </c>
      <c r="BC1376" s="3" t="s">
        <v>17268</v>
      </c>
      <c r="BD1376" s="3" t="s">
        <v>17269</v>
      </c>
    </row>
    <row r="1377" spans="1:56" ht="51" customHeight="1" x14ac:dyDescent="0.25">
      <c r="A1377" s="7" t="s">
        <v>58</v>
      </c>
      <c r="B1377" s="2" t="s">
        <v>17270</v>
      </c>
      <c r="C1377" s="2" t="s">
        <v>17271</v>
      </c>
      <c r="D1377" s="2" t="s">
        <v>17272</v>
      </c>
      <c r="F1377" s="3" t="s">
        <v>58</v>
      </c>
      <c r="G1377" s="3" t="s">
        <v>59</v>
      </c>
      <c r="H1377" s="3" t="s">
        <v>58</v>
      </c>
      <c r="I1377" s="3" t="s">
        <v>58</v>
      </c>
      <c r="J1377" s="3" t="s">
        <v>60</v>
      </c>
      <c r="K1377" s="2" t="s">
        <v>17273</v>
      </c>
      <c r="L1377" s="2" t="s">
        <v>17274</v>
      </c>
      <c r="M1377" s="3" t="s">
        <v>337</v>
      </c>
      <c r="O1377" s="3" t="s">
        <v>63</v>
      </c>
      <c r="P1377" s="3" t="s">
        <v>214</v>
      </c>
      <c r="R1377" s="3" t="s">
        <v>65</v>
      </c>
      <c r="S1377" s="4">
        <v>9</v>
      </c>
      <c r="T1377" s="4">
        <v>9</v>
      </c>
      <c r="U1377" s="5" t="s">
        <v>17275</v>
      </c>
      <c r="V1377" s="5" t="s">
        <v>17275</v>
      </c>
      <c r="W1377" s="5" t="s">
        <v>17276</v>
      </c>
      <c r="X1377" s="5" t="s">
        <v>17276</v>
      </c>
      <c r="Y1377" s="4">
        <v>1008</v>
      </c>
      <c r="Z1377" s="4">
        <v>948</v>
      </c>
      <c r="AA1377" s="4">
        <v>1021</v>
      </c>
      <c r="AB1377" s="4">
        <v>6</v>
      </c>
      <c r="AC1377" s="4">
        <v>6</v>
      </c>
      <c r="AD1377" s="4">
        <v>30</v>
      </c>
      <c r="AE1377" s="4">
        <v>30</v>
      </c>
      <c r="AF1377" s="4">
        <v>14</v>
      </c>
      <c r="AG1377" s="4">
        <v>14</v>
      </c>
      <c r="AH1377" s="4">
        <v>6</v>
      </c>
      <c r="AI1377" s="4">
        <v>6</v>
      </c>
      <c r="AJ1377" s="4">
        <v>13</v>
      </c>
      <c r="AK1377" s="4">
        <v>13</v>
      </c>
      <c r="AL1377" s="4">
        <v>5</v>
      </c>
      <c r="AM1377" s="4">
        <v>5</v>
      </c>
      <c r="AN1377" s="4">
        <v>0</v>
      </c>
      <c r="AO1377" s="4">
        <v>0</v>
      </c>
      <c r="AP1377" s="3" t="s">
        <v>58</v>
      </c>
      <c r="AQ1377" s="3" t="s">
        <v>68</v>
      </c>
      <c r="AR1377" s="6" t="str">
        <f>HYPERLINK("http://catalog.hathitrust.org/Record/004219270","HathiTrust Record")</f>
        <v>HathiTrust Record</v>
      </c>
      <c r="AS1377" s="6" t="str">
        <f>HYPERLINK("https://creighton-primo.hosted.exlibrisgroup.com/primo-explore/search?tab=default_tab&amp;search_scope=EVERYTHING&amp;vid=01CRU&amp;lang=en_US&amp;offset=0&amp;query=any,contains,991003822269702656","Catalog Record")</f>
        <v>Catalog Record</v>
      </c>
      <c r="AT1377" s="6" t="str">
        <f>HYPERLINK("http://www.worldcat.org/oclc/45909179","WorldCat Record")</f>
        <v>WorldCat Record</v>
      </c>
      <c r="AU1377" s="3" t="s">
        <v>17277</v>
      </c>
      <c r="AV1377" s="3" t="s">
        <v>17278</v>
      </c>
      <c r="AW1377" s="3" t="s">
        <v>17279</v>
      </c>
      <c r="AX1377" s="3" t="s">
        <v>17279</v>
      </c>
      <c r="AY1377" s="3" t="s">
        <v>17280</v>
      </c>
      <c r="AZ1377" s="3" t="s">
        <v>73</v>
      </c>
      <c r="BB1377" s="3" t="s">
        <v>17281</v>
      </c>
      <c r="BC1377" s="3" t="s">
        <v>17282</v>
      </c>
      <c r="BD1377" s="3" t="s">
        <v>17283</v>
      </c>
    </row>
    <row r="1378" spans="1:56" ht="51" customHeight="1" x14ac:dyDescent="0.25">
      <c r="A1378" s="7" t="s">
        <v>58</v>
      </c>
      <c r="B1378" s="2" t="s">
        <v>17284</v>
      </c>
      <c r="C1378" s="2" t="s">
        <v>17285</v>
      </c>
      <c r="D1378" s="2" t="s">
        <v>17286</v>
      </c>
      <c r="F1378" s="3" t="s">
        <v>58</v>
      </c>
      <c r="G1378" s="3" t="s">
        <v>59</v>
      </c>
      <c r="H1378" s="3" t="s">
        <v>58</v>
      </c>
      <c r="I1378" s="3" t="s">
        <v>58</v>
      </c>
      <c r="J1378" s="3" t="s">
        <v>60</v>
      </c>
      <c r="K1378" s="2" t="s">
        <v>17287</v>
      </c>
      <c r="L1378" s="2" t="s">
        <v>17288</v>
      </c>
      <c r="M1378" s="3" t="s">
        <v>397</v>
      </c>
      <c r="O1378" s="3" t="s">
        <v>63</v>
      </c>
      <c r="P1378" s="3" t="s">
        <v>816</v>
      </c>
      <c r="Q1378" s="2" t="s">
        <v>16987</v>
      </c>
      <c r="R1378" s="3" t="s">
        <v>65</v>
      </c>
      <c r="S1378" s="4">
        <v>4</v>
      </c>
      <c r="T1378" s="4">
        <v>4</v>
      </c>
      <c r="U1378" s="5" t="s">
        <v>10091</v>
      </c>
      <c r="V1378" s="5" t="s">
        <v>10091</v>
      </c>
      <c r="W1378" s="5" t="s">
        <v>17235</v>
      </c>
      <c r="X1378" s="5" t="s">
        <v>17235</v>
      </c>
      <c r="Y1378" s="4">
        <v>1393</v>
      </c>
      <c r="Z1378" s="4">
        <v>1331</v>
      </c>
      <c r="AA1378" s="4">
        <v>1336</v>
      </c>
      <c r="AB1378" s="4">
        <v>12</v>
      </c>
      <c r="AC1378" s="4">
        <v>12</v>
      </c>
      <c r="AD1378" s="4">
        <v>17</v>
      </c>
      <c r="AE1378" s="4">
        <v>17</v>
      </c>
      <c r="AF1378" s="4">
        <v>6</v>
      </c>
      <c r="AG1378" s="4">
        <v>6</v>
      </c>
      <c r="AH1378" s="4">
        <v>4</v>
      </c>
      <c r="AI1378" s="4">
        <v>4</v>
      </c>
      <c r="AJ1378" s="4">
        <v>9</v>
      </c>
      <c r="AK1378" s="4">
        <v>9</v>
      </c>
      <c r="AL1378" s="4">
        <v>2</v>
      </c>
      <c r="AM1378" s="4">
        <v>2</v>
      </c>
      <c r="AN1378" s="4">
        <v>0</v>
      </c>
      <c r="AO1378" s="4">
        <v>0</v>
      </c>
      <c r="AP1378" s="3" t="s">
        <v>58</v>
      </c>
      <c r="AQ1378" s="3" t="s">
        <v>68</v>
      </c>
      <c r="AR1378" s="6" t="str">
        <f>HYPERLINK("http://catalog.hathitrust.org/Record/012268669","HathiTrust Record")</f>
        <v>HathiTrust Record</v>
      </c>
      <c r="AS1378" s="6" t="str">
        <f>HYPERLINK("https://creighton-primo.hosted.exlibrisgroup.com/primo-explore/search?tab=default_tab&amp;search_scope=EVERYTHING&amp;vid=01CRU&amp;lang=en_US&amp;offset=0&amp;query=any,contains,991000737369702656","Catalog Record")</f>
        <v>Catalog Record</v>
      </c>
      <c r="AT1378" s="6" t="str">
        <f>HYPERLINK("http://www.worldcat.org/oclc/12801807","WorldCat Record")</f>
        <v>WorldCat Record</v>
      </c>
      <c r="AU1378" s="3" t="s">
        <v>17289</v>
      </c>
      <c r="AV1378" s="3" t="s">
        <v>17290</v>
      </c>
      <c r="AW1378" s="3" t="s">
        <v>17291</v>
      </c>
      <c r="AX1378" s="3" t="s">
        <v>17291</v>
      </c>
      <c r="AY1378" s="3" t="s">
        <v>17292</v>
      </c>
      <c r="AZ1378" s="3" t="s">
        <v>73</v>
      </c>
      <c r="BB1378" s="3" t="s">
        <v>17293</v>
      </c>
      <c r="BC1378" s="3" t="s">
        <v>17294</v>
      </c>
      <c r="BD1378" s="3" t="s">
        <v>17295</v>
      </c>
    </row>
    <row r="1379" spans="1:56" ht="51" customHeight="1" x14ac:dyDescent="0.25">
      <c r="A1379" s="7" t="s">
        <v>58</v>
      </c>
      <c r="B1379" s="2" t="s">
        <v>17296</v>
      </c>
      <c r="C1379" s="2" t="s">
        <v>17297</v>
      </c>
      <c r="D1379" s="2" t="s">
        <v>17298</v>
      </c>
      <c r="F1379" s="3" t="s">
        <v>58</v>
      </c>
      <c r="G1379" s="3" t="s">
        <v>59</v>
      </c>
      <c r="H1379" s="3" t="s">
        <v>58</v>
      </c>
      <c r="I1379" s="3" t="s">
        <v>58</v>
      </c>
      <c r="J1379" s="3" t="s">
        <v>60</v>
      </c>
      <c r="K1379" s="2" t="s">
        <v>17287</v>
      </c>
      <c r="L1379" s="2" t="s">
        <v>17183</v>
      </c>
      <c r="M1379" s="3" t="s">
        <v>626</v>
      </c>
      <c r="O1379" s="3" t="s">
        <v>63</v>
      </c>
      <c r="P1379" s="3" t="s">
        <v>816</v>
      </c>
      <c r="Q1379" s="2" t="s">
        <v>16987</v>
      </c>
      <c r="R1379" s="3" t="s">
        <v>65</v>
      </c>
      <c r="S1379" s="4">
        <v>7</v>
      </c>
      <c r="T1379" s="4">
        <v>7</v>
      </c>
      <c r="U1379" s="5" t="s">
        <v>17299</v>
      </c>
      <c r="V1379" s="5" t="s">
        <v>17299</v>
      </c>
      <c r="W1379" s="5" t="s">
        <v>17235</v>
      </c>
      <c r="X1379" s="5" t="s">
        <v>17235</v>
      </c>
      <c r="Y1379" s="4">
        <v>1722</v>
      </c>
      <c r="Z1379" s="4">
        <v>1639</v>
      </c>
      <c r="AA1379" s="4">
        <v>1655</v>
      </c>
      <c r="AB1379" s="4">
        <v>13</v>
      </c>
      <c r="AC1379" s="4">
        <v>13</v>
      </c>
      <c r="AD1379" s="4">
        <v>22</v>
      </c>
      <c r="AE1379" s="4">
        <v>24</v>
      </c>
      <c r="AF1379" s="4">
        <v>10</v>
      </c>
      <c r="AG1379" s="4">
        <v>11</v>
      </c>
      <c r="AH1379" s="4">
        <v>5</v>
      </c>
      <c r="AI1379" s="4">
        <v>6</v>
      </c>
      <c r="AJ1379" s="4">
        <v>13</v>
      </c>
      <c r="AK1379" s="4">
        <v>13</v>
      </c>
      <c r="AL1379" s="4">
        <v>1</v>
      </c>
      <c r="AM1379" s="4">
        <v>1</v>
      </c>
      <c r="AN1379" s="4">
        <v>0</v>
      </c>
      <c r="AO1379" s="4">
        <v>0</v>
      </c>
      <c r="AP1379" s="3" t="s">
        <v>58</v>
      </c>
      <c r="AQ1379" s="3" t="s">
        <v>68</v>
      </c>
      <c r="AR1379" s="6" t="str">
        <f>HYPERLINK("http://catalog.hathitrust.org/Record/000290368","HathiTrust Record")</f>
        <v>HathiTrust Record</v>
      </c>
      <c r="AS1379" s="6" t="str">
        <f>HYPERLINK("https://creighton-primo.hosted.exlibrisgroup.com/primo-explore/search?tab=default_tab&amp;search_scope=EVERYTHING&amp;vid=01CRU&amp;lang=en_US&amp;offset=0&amp;query=any,contains,991000340299702656","Catalog Record")</f>
        <v>Catalog Record</v>
      </c>
      <c r="AT1379" s="6" t="str">
        <f>HYPERLINK("http://www.worldcat.org/oclc/10261213","WorldCat Record")</f>
        <v>WorldCat Record</v>
      </c>
      <c r="AU1379" s="3" t="s">
        <v>17300</v>
      </c>
      <c r="AV1379" s="3" t="s">
        <v>17301</v>
      </c>
      <c r="AW1379" s="3" t="s">
        <v>17302</v>
      </c>
      <c r="AX1379" s="3" t="s">
        <v>17302</v>
      </c>
      <c r="AY1379" s="3" t="s">
        <v>17303</v>
      </c>
      <c r="AZ1379" s="3" t="s">
        <v>73</v>
      </c>
      <c r="BB1379" s="3" t="s">
        <v>17304</v>
      </c>
      <c r="BC1379" s="3" t="s">
        <v>17305</v>
      </c>
      <c r="BD1379" s="3" t="s">
        <v>17306</v>
      </c>
    </row>
    <row r="1380" spans="1:56" ht="51" customHeight="1" x14ac:dyDescent="0.25">
      <c r="A1380" s="7" t="s">
        <v>58</v>
      </c>
      <c r="B1380" s="2" t="s">
        <v>17307</v>
      </c>
      <c r="C1380" s="2" t="s">
        <v>17308</v>
      </c>
      <c r="D1380" s="2" t="s">
        <v>17309</v>
      </c>
      <c r="F1380" s="3" t="s">
        <v>58</v>
      </c>
      <c r="G1380" s="3" t="s">
        <v>59</v>
      </c>
      <c r="H1380" s="3" t="s">
        <v>58</v>
      </c>
      <c r="I1380" s="3" t="s">
        <v>58</v>
      </c>
      <c r="J1380" s="3" t="s">
        <v>60</v>
      </c>
      <c r="K1380" s="2" t="s">
        <v>17310</v>
      </c>
      <c r="L1380" s="2" t="s">
        <v>17311</v>
      </c>
      <c r="M1380" s="3" t="s">
        <v>626</v>
      </c>
      <c r="O1380" s="3" t="s">
        <v>63</v>
      </c>
      <c r="P1380" s="3" t="s">
        <v>816</v>
      </c>
      <c r="Q1380" s="2" t="s">
        <v>16987</v>
      </c>
      <c r="R1380" s="3" t="s">
        <v>65</v>
      </c>
      <c r="S1380" s="4">
        <v>10</v>
      </c>
      <c r="T1380" s="4">
        <v>10</v>
      </c>
      <c r="U1380" s="5" t="s">
        <v>17035</v>
      </c>
      <c r="V1380" s="5" t="s">
        <v>17035</v>
      </c>
      <c r="W1380" s="5" t="s">
        <v>17235</v>
      </c>
      <c r="X1380" s="5" t="s">
        <v>17235</v>
      </c>
      <c r="Y1380" s="4">
        <v>1905</v>
      </c>
      <c r="Z1380" s="4">
        <v>1809</v>
      </c>
      <c r="AA1380" s="4">
        <v>1862</v>
      </c>
      <c r="AB1380" s="4">
        <v>21</v>
      </c>
      <c r="AC1380" s="4">
        <v>21</v>
      </c>
      <c r="AD1380" s="4">
        <v>23</v>
      </c>
      <c r="AE1380" s="4">
        <v>25</v>
      </c>
      <c r="AF1380" s="4">
        <v>10</v>
      </c>
      <c r="AG1380" s="4">
        <v>11</v>
      </c>
      <c r="AH1380" s="4">
        <v>6</v>
      </c>
      <c r="AI1380" s="4">
        <v>7</v>
      </c>
      <c r="AJ1380" s="4">
        <v>12</v>
      </c>
      <c r="AK1380" s="4">
        <v>12</v>
      </c>
      <c r="AL1380" s="4">
        <v>3</v>
      </c>
      <c r="AM1380" s="4">
        <v>3</v>
      </c>
      <c r="AN1380" s="4">
        <v>0</v>
      </c>
      <c r="AO1380" s="4">
        <v>0</v>
      </c>
      <c r="AP1380" s="3" t="s">
        <v>58</v>
      </c>
      <c r="AQ1380" s="3" t="s">
        <v>68</v>
      </c>
      <c r="AR1380" s="6" t="str">
        <f>HYPERLINK("http://catalog.hathitrust.org/Record/000290375","HathiTrust Record")</f>
        <v>HathiTrust Record</v>
      </c>
      <c r="AS1380" s="6" t="str">
        <f>HYPERLINK("https://creighton-primo.hosted.exlibrisgroup.com/primo-explore/search?tab=default_tab&amp;search_scope=EVERYTHING&amp;vid=01CRU&amp;lang=en_US&amp;offset=0&amp;query=any,contains,991000333239702656","Catalog Record")</f>
        <v>Catalog Record</v>
      </c>
      <c r="AT1380" s="6" t="str">
        <f>HYPERLINK("http://www.worldcat.org/oclc/10208331","WorldCat Record")</f>
        <v>WorldCat Record</v>
      </c>
      <c r="AU1380" s="3" t="s">
        <v>17312</v>
      </c>
      <c r="AV1380" s="3" t="s">
        <v>17313</v>
      </c>
      <c r="AW1380" s="3" t="s">
        <v>17314</v>
      </c>
      <c r="AX1380" s="3" t="s">
        <v>17314</v>
      </c>
      <c r="AY1380" s="3" t="s">
        <v>17315</v>
      </c>
      <c r="AZ1380" s="3" t="s">
        <v>73</v>
      </c>
      <c r="BB1380" s="3" t="s">
        <v>17316</v>
      </c>
      <c r="BC1380" s="3" t="s">
        <v>17317</v>
      </c>
      <c r="BD1380" s="3" t="s">
        <v>17318</v>
      </c>
    </row>
    <row r="1381" spans="1:56" ht="51" customHeight="1" x14ac:dyDescent="0.25">
      <c r="A1381" s="7" t="s">
        <v>58</v>
      </c>
      <c r="B1381" s="2" t="s">
        <v>17319</v>
      </c>
      <c r="C1381" s="2" t="s">
        <v>17320</v>
      </c>
      <c r="D1381" s="2" t="s">
        <v>17321</v>
      </c>
      <c r="F1381" s="3" t="s">
        <v>58</v>
      </c>
      <c r="G1381" s="3" t="s">
        <v>59</v>
      </c>
      <c r="H1381" s="3" t="s">
        <v>58</v>
      </c>
      <c r="I1381" s="3" t="s">
        <v>58</v>
      </c>
      <c r="J1381" s="3" t="s">
        <v>60</v>
      </c>
      <c r="L1381" s="2" t="s">
        <v>17322</v>
      </c>
      <c r="M1381" s="3" t="s">
        <v>337</v>
      </c>
      <c r="O1381" s="3" t="s">
        <v>63</v>
      </c>
      <c r="P1381" s="3" t="s">
        <v>3109</v>
      </c>
      <c r="R1381" s="3" t="s">
        <v>65</v>
      </c>
      <c r="S1381" s="4">
        <v>5</v>
      </c>
      <c r="T1381" s="4">
        <v>5</v>
      </c>
      <c r="U1381" s="5" t="s">
        <v>17064</v>
      </c>
      <c r="V1381" s="5" t="s">
        <v>17064</v>
      </c>
      <c r="W1381" s="5" t="s">
        <v>6285</v>
      </c>
      <c r="X1381" s="5" t="s">
        <v>6285</v>
      </c>
      <c r="Y1381" s="4">
        <v>108</v>
      </c>
      <c r="Z1381" s="4">
        <v>85</v>
      </c>
      <c r="AA1381" s="4">
        <v>85</v>
      </c>
      <c r="AB1381" s="4">
        <v>1</v>
      </c>
      <c r="AC1381" s="4">
        <v>1</v>
      </c>
      <c r="AD1381" s="4">
        <v>6</v>
      </c>
      <c r="AE1381" s="4">
        <v>6</v>
      </c>
      <c r="AF1381" s="4">
        <v>2</v>
      </c>
      <c r="AG1381" s="4">
        <v>2</v>
      </c>
      <c r="AH1381" s="4">
        <v>3</v>
      </c>
      <c r="AI1381" s="4">
        <v>3</v>
      </c>
      <c r="AJ1381" s="4">
        <v>4</v>
      </c>
      <c r="AK1381" s="4">
        <v>4</v>
      </c>
      <c r="AL1381" s="4">
        <v>0</v>
      </c>
      <c r="AM1381" s="4">
        <v>0</v>
      </c>
      <c r="AN1381" s="4">
        <v>0</v>
      </c>
      <c r="AO1381" s="4">
        <v>0</v>
      </c>
      <c r="AP1381" s="3" t="s">
        <v>58</v>
      </c>
      <c r="AQ1381" s="3" t="s">
        <v>58</v>
      </c>
      <c r="AS1381" s="6" t="str">
        <f>HYPERLINK("https://creighton-primo.hosted.exlibrisgroup.com/primo-explore/search?tab=default_tab&amp;search_scope=EVERYTHING&amp;vid=01CRU&amp;lang=en_US&amp;offset=0&amp;query=any,contains,991003911829702656","Catalog Record")</f>
        <v>Catalog Record</v>
      </c>
      <c r="AT1381" s="6" t="str">
        <f>HYPERLINK("http://www.worldcat.org/oclc/50143470","WorldCat Record")</f>
        <v>WorldCat Record</v>
      </c>
      <c r="AU1381" s="3" t="s">
        <v>17323</v>
      </c>
      <c r="AV1381" s="3" t="s">
        <v>17324</v>
      </c>
      <c r="AW1381" s="3" t="s">
        <v>17325</v>
      </c>
      <c r="AX1381" s="3" t="s">
        <v>17325</v>
      </c>
      <c r="AY1381" s="3" t="s">
        <v>17326</v>
      </c>
      <c r="AZ1381" s="3" t="s">
        <v>73</v>
      </c>
      <c r="BB1381" s="3" t="s">
        <v>17327</v>
      </c>
      <c r="BC1381" s="3" t="s">
        <v>17328</v>
      </c>
      <c r="BD1381" s="3" t="s">
        <v>17329</v>
      </c>
    </row>
    <row r="1382" spans="1:56" ht="51" customHeight="1" x14ac:dyDescent="0.25">
      <c r="A1382" s="7" t="s">
        <v>58</v>
      </c>
      <c r="B1382" s="2" t="s">
        <v>17330</v>
      </c>
      <c r="C1382" s="2" t="s">
        <v>17331</v>
      </c>
      <c r="D1382" s="2" t="s">
        <v>17332</v>
      </c>
      <c r="F1382" s="3" t="s">
        <v>58</v>
      </c>
      <c r="G1382" s="3" t="s">
        <v>59</v>
      </c>
      <c r="H1382" s="3" t="s">
        <v>58</v>
      </c>
      <c r="I1382" s="3" t="s">
        <v>58</v>
      </c>
      <c r="J1382" s="3" t="s">
        <v>60</v>
      </c>
      <c r="K1382" s="2" t="s">
        <v>5744</v>
      </c>
      <c r="L1382" s="2" t="s">
        <v>17333</v>
      </c>
      <c r="M1382" s="3" t="s">
        <v>261</v>
      </c>
      <c r="O1382" s="3" t="s">
        <v>63</v>
      </c>
      <c r="P1382" s="3" t="s">
        <v>214</v>
      </c>
      <c r="R1382" s="3" t="s">
        <v>65</v>
      </c>
      <c r="S1382" s="4">
        <v>11</v>
      </c>
      <c r="T1382" s="4">
        <v>11</v>
      </c>
      <c r="U1382" s="5" t="s">
        <v>12903</v>
      </c>
      <c r="V1382" s="5" t="s">
        <v>12903</v>
      </c>
      <c r="W1382" s="5" t="s">
        <v>17334</v>
      </c>
      <c r="X1382" s="5" t="s">
        <v>17334</v>
      </c>
      <c r="Y1382" s="4">
        <v>174</v>
      </c>
      <c r="Z1382" s="4">
        <v>144</v>
      </c>
      <c r="AA1382" s="4">
        <v>180</v>
      </c>
      <c r="AB1382" s="4">
        <v>2</v>
      </c>
      <c r="AC1382" s="4">
        <v>4</v>
      </c>
      <c r="AD1382" s="4">
        <v>5</v>
      </c>
      <c r="AE1382" s="4">
        <v>8</v>
      </c>
      <c r="AF1382" s="4">
        <v>3</v>
      </c>
      <c r="AG1382" s="4">
        <v>3</v>
      </c>
      <c r="AH1382" s="4">
        <v>1</v>
      </c>
      <c r="AI1382" s="4">
        <v>1</v>
      </c>
      <c r="AJ1382" s="4">
        <v>1</v>
      </c>
      <c r="AK1382" s="4">
        <v>2</v>
      </c>
      <c r="AL1382" s="4">
        <v>0</v>
      </c>
      <c r="AM1382" s="4">
        <v>2</v>
      </c>
      <c r="AN1382" s="4">
        <v>0</v>
      </c>
      <c r="AO1382" s="4">
        <v>0</v>
      </c>
      <c r="AP1382" s="3" t="s">
        <v>58</v>
      </c>
      <c r="AQ1382" s="3" t="s">
        <v>68</v>
      </c>
      <c r="AR1382" s="6" t="str">
        <f>HYPERLINK("http://catalog.hathitrust.org/Record/000044812","HathiTrust Record")</f>
        <v>HathiTrust Record</v>
      </c>
      <c r="AS1382" s="6" t="str">
        <f>HYPERLINK("https://creighton-primo.hosted.exlibrisgroup.com/primo-explore/search?tab=default_tab&amp;search_scope=EVERYTHING&amp;vid=01CRU&amp;lang=en_US&amp;offset=0&amp;query=any,contains,991003801339702656","Catalog Record")</f>
        <v>Catalog Record</v>
      </c>
      <c r="AT1382" s="6" t="str">
        <f>HYPERLINK("http://www.worldcat.org/oclc/1527589","WorldCat Record")</f>
        <v>WorldCat Record</v>
      </c>
      <c r="AU1382" s="3" t="s">
        <v>17335</v>
      </c>
      <c r="AV1382" s="3" t="s">
        <v>17336</v>
      </c>
      <c r="AW1382" s="3" t="s">
        <v>17337</v>
      </c>
      <c r="AX1382" s="3" t="s">
        <v>17337</v>
      </c>
      <c r="AY1382" s="3" t="s">
        <v>17338</v>
      </c>
      <c r="AZ1382" s="3" t="s">
        <v>73</v>
      </c>
      <c r="BB1382" s="3" t="s">
        <v>17339</v>
      </c>
      <c r="BC1382" s="3" t="s">
        <v>17340</v>
      </c>
      <c r="BD1382" s="3" t="s">
        <v>17341</v>
      </c>
    </row>
    <row r="1383" spans="1:56" ht="51" customHeight="1" x14ac:dyDescent="0.25">
      <c r="A1383" s="7" t="s">
        <v>58</v>
      </c>
      <c r="B1383" s="2" t="s">
        <v>17342</v>
      </c>
      <c r="C1383" s="2" t="s">
        <v>17343</v>
      </c>
      <c r="D1383" s="2" t="s">
        <v>17344</v>
      </c>
      <c r="F1383" s="3" t="s">
        <v>58</v>
      </c>
      <c r="G1383" s="3" t="s">
        <v>59</v>
      </c>
      <c r="H1383" s="3" t="s">
        <v>58</v>
      </c>
      <c r="I1383" s="3" t="s">
        <v>58</v>
      </c>
      <c r="J1383" s="3" t="s">
        <v>60</v>
      </c>
      <c r="L1383" s="2" t="s">
        <v>17345</v>
      </c>
      <c r="M1383" s="3" t="s">
        <v>83</v>
      </c>
      <c r="O1383" s="3" t="s">
        <v>63</v>
      </c>
      <c r="P1383" s="3" t="s">
        <v>1299</v>
      </c>
      <c r="R1383" s="3" t="s">
        <v>65</v>
      </c>
      <c r="S1383" s="4">
        <v>7</v>
      </c>
      <c r="T1383" s="4">
        <v>7</v>
      </c>
      <c r="U1383" s="5" t="s">
        <v>17346</v>
      </c>
      <c r="V1383" s="5" t="s">
        <v>17346</v>
      </c>
      <c r="W1383" s="5" t="s">
        <v>4831</v>
      </c>
      <c r="X1383" s="5" t="s">
        <v>4831</v>
      </c>
      <c r="Y1383" s="4">
        <v>911</v>
      </c>
      <c r="Z1383" s="4">
        <v>786</v>
      </c>
      <c r="AA1383" s="4">
        <v>797</v>
      </c>
      <c r="AB1383" s="4">
        <v>7</v>
      </c>
      <c r="AC1383" s="4">
        <v>7</v>
      </c>
      <c r="AD1383" s="4">
        <v>32</v>
      </c>
      <c r="AE1383" s="4">
        <v>32</v>
      </c>
      <c r="AF1383" s="4">
        <v>14</v>
      </c>
      <c r="AG1383" s="4">
        <v>14</v>
      </c>
      <c r="AH1383" s="4">
        <v>8</v>
      </c>
      <c r="AI1383" s="4">
        <v>8</v>
      </c>
      <c r="AJ1383" s="4">
        <v>12</v>
      </c>
      <c r="AK1383" s="4">
        <v>12</v>
      </c>
      <c r="AL1383" s="4">
        <v>5</v>
      </c>
      <c r="AM1383" s="4">
        <v>5</v>
      </c>
      <c r="AN1383" s="4">
        <v>0</v>
      </c>
      <c r="AO1383" s="4">
        <v>0</v>
      </c>
      <c r="AP1383" s="3" t="s">
        <v>58</v>
      </c>
      <c r="AQ1383" s="3" t="s">
        <v>68</v>
      </c>
      <c r="AR1383" s="6" t="str">
        <f>HYPERLINK("http://catalog.hathitrust.org/Record/000752846","HathiTrust Record")</f>
        <v>HathiTrust Record</v>
      </c>
      <c r="AS1383" s="6" t="str">
        <f>HYPERLINK("https://creighton-primo.hosted.exlibrisgroup.com/primo-explore/search?tab=default_tab&amp;search_scope=EVERYTHING&amp;vid=01CRU&amp;lang=en_US&amp;offset=0&amp;query=any,contains,991004437369702656","Catalog Record")</f>
        <v>Catalog Record</v>
      </c>
      <c r="AT1383" s="6" t="str">
        <f>HYPERLINK("http://www.worldcat.org/oclc/3447155","WorldCat Record")</f>
        <v>WorldCat Record</v>
      </c>
      <c r="AU1383" s="3" t="s">
        <v>17347</v>
      </c>
      <c r="AV1383" s="3" t="s">
        <v>17348</v>
      </c>
      <c r="AW1383" s="3" t="s">
        <v>17349</v>
      </c>
      <c r="AX1383" s="3" t="s">
        <v>17349</v>
      </c>
      <c r="AY1383" s="3" t="s">
        <v>17350</v>
      </c>
      <c r="AZ1383" s="3" t="s">
        <v>73</v>
      </c>
      <c r="BB1383" s="3" t="s">
        <v>17351</v>
      </c>
      <c r="BC1383" s="3" t="s">
        <v>17352</v>
      </c>
      <c r="BD1383" s="3" t="s">
        <v>17353</v>
      </c>
    </row>
    <row r="1384" spans="1:56" ht="51" customHeight="1" x14ac:dyDescent="0.25">
      <c r="A1384" s="7" t="s">
        <v>58</v>
      </c>
      <c r="B1384" s="2" t="s">
        <v>17354</v>
      </c>
      <c r="C1384" s="2" t="s">
        <v>17355</v>
      </c>
      <c r="D1384" s="2" t="s">
        <v>17356</v>
      </c>
      <c r="E1384" s="3" t="s">
        <v>223</v>
      </c>
      <c r="F1384" s="3" t="s">
        <v>58</v>
      </c>
      <c r="G1384" s="3" t="s">
        <v>59</v>
      </c>
      <c r="H1384" s="3" t="s">
        <v>58</v>
      </c>
      <c r="I1384" s="3" t="s">
        <v>58</v>
      </c>
      <c r="J1384" s="3" t="s">
        <v>60</v>
      </c>
      <c r="K1384" s="2" t="s">
        <v>17357</v>
      </c>
      <c r="L1384" s="2" t="s">
        <v>17358</v>
      </c>
      <c r="M1384" s="3" t="s">
        <v>626</v>
      </c>
      <c r="O1384" s="3" t="s">
        <v>63</v>
      </c>
      <c r="P1384" s="3" t="s">
        <v>214</v>
      </c>
      <c r="R1384" s="3" t="s">
        <v>65</v>
      </c>
      <c r="S1384" s="4">
        <v>7</v>
      </c>
      <c r="T1384" s="4">
        <v>7</v>
      </c>
      <c r="U1384" s="5" t="s">
        <v>17157</v>
      </c>
      <c r="V1384" s="5" t="s">
        <v>17157</v>
      </c>
      <c r="W1384" s="5" t="s">
        <v>4831</v>
      </c>
      <c r="X1384" s="5" t="s">
        <v>4831</v>
      </c>
      <c r="Y1384" s="4">
        <v>850</v>
      </c>
      <c r="Z1384" s="4">
        <v>789</v>
      </c>
      <c r="AA1384" s="4">
        <v>845</v>
      </c>
      <c r="AB1384" s="4">
        <v>4</v>
      </c>
      <c r="AC1384" s="4">
        <v>5</v>
      </c>
      <c r="AD1384" s="4">
        <v>34</v>
      </c>
      <c r="AE1384" s="4">
        <v>36</v>
      </c>
      <c r="AF1384" s="4">
        <v>16</v>
      </c>
      <c r="AG1384" s="4">
        <v>16</v>
      </c>
      <c r="AH1384" s="4">
        <v>7</v>
      </c>
      <c r="AI1384" s="4">
        <v>7</v>
      </c>
      <c r="AJ1384" s="4">
        <v>18</v>
      </c>
      <c r="AK1384" s="4">
        <v>19</v>
      </c>
      <c r="AL1384" s="4">
        <v>3</v>
      </c>
      <c r="AM1384" s="4">
        <v>4</v>
      </c>
      <c r="AN1384" s="4">
        <v>0</v>
      </c>
      <c r="AO1384" s="4">
        <v>0</v>
      </c>
      <c r="AP1384" s="3" t="s">
        <v>58</v>
      </c>
      <c r="AQ1384" s="3" t="s">
        <v>58</v>
      </c>
      <c r="AS1384" s="6" t="str">
        <f>HYPERLINK("https://creighton-primo.hosted.exlibrisgroup.com/primo-explore/search?tab=default_tab&amp;search_scope=EVERYTHING&amp;vid=01CRU&amp;lang=en_US&amp;offset=0&amp;query=any,contains,991000165179702656","Catalog Record")</f>
        <v>Catalog Record</v>
      </c>
      <c r="AT1384" s="6" t="str">
        <f>HYPERLINK("http://www.worldcat.org/oclc/9282845","WorldCat Record")</f>
        <v>WorldCat Record</v>
      </c>
      <c r="AU1384" s="3" t="s">
        <v>17359</v>
      </c>
      <c r="AV1384" s="3" t="s">
        <v>17360</v>
      </c>
      <c r="AW1384" s="3" t="s">
        <v>17361</v>
      </c>
      <c r="AX1384" s="3" t="s">
        <v>17361</v>
      </c>
      <c r="AY1384" s="3" t="s">
        <v>17362</v>
      </c>
      <c r="AZ1384" s="3" t="s">
        <v>73</v>
      </c>
      <c r="BB1384" s="3" t="s">
        <v>17363</v>
      </c>
      <c r="BC1384" s="3" t="s">
        <v>17364</v>
      </c>
      <c r="BD1384" s="3" t="s">
        <v>17365</v>
      </c>
    </row>
    <row r="1385" spans="1:56" ht="51" customHeight="1" x14ac:dyDescent="0.25">
      <c r="A1385" s="7" t="s">
        <v>58</v>
      </c>
      <c r="B1385" s="2" t="s">
        <v>17366</v>
      </c>
      <c r="C1385" s="2" t="s">
        <v>17367</v>
      </c>
      <c r="D1385" s="2" t="s">
        <v>17368</v>
      </c>
      <c r="F1385" s="3" t="s">
        <v>58</v>
      </c>
      <c r="G1385" s="3" t="s">
        <v>59</v>
      </c>
      <c r="H1385" s="3" t="s">
        <v>58</v>
      </c>
      <c r="I1385" s="3" t="s">
        <v>58</v>
      </c>
      <c r="J1385" s="3" t="s">
        <v>60</v>
      </c>
      <c r="K1385" s="2" t="s">
        <v>17369</v>
      </c>
      <c r="L1385" s="2" t="s">
        <v>17370</v>
      </c>
      <c r="M1385" s="3" t="s">
        <v>353</v>
      </c>
      <c r="O1385" s="3" t="s">
        <v>63</v>
      </c>
      <c r="P1385" s="3" t="s">
        <v>214</v>
      </c>
      <c r="R1385" s="3" t="s">
        <v>65</v>
      </c>
      <c r="S1385" s="4">
        <v>4</v>
      </c>
      <c r="T1385" s="4">
        <v>4</v>
      </c>
      <c r="U1385" s="5" t="s">
        <v>17371</v>
      </c>
      <c r="V1385" s="5" t="s">
        <v>17371</v>
      </c>
      <c r="W1385" s="5" t="s">
        <v>5408</v>
      </c>
      <c r="X1385" s="5" t="s">
        <v>5408</v>
      </c>
      <c r="Y1385" s="4">
        <v>98</v>
      </c>
      <c r="Z1385" s="4">
        <v>89</v>
      </c>
      <c r="AA1385" s="4">
        <v>470</v>
      </c>
      <c r="AB1385" s="4">
        <v>1</v>
      </c>
      <c r="AC1385" s="4">
        <v>2</v>
      </c>
      <c r="AD1385" s="4">
        <v>3</v>
      </c>
      <c r="AE1385" s="4">
        <v>15</v>
      </c>
      <c r="AF1385" s="4">
        <v>2</v>
      </c>
      <c r="AG1385" s="4">
        <v>5</v>
      </c>
      <c r="AH1385" s="4">
        <v>0</v>
      </c>
      <c r="AI1385" s="4">
        <v>4</v>
      </c>
      <c r="AJ1385" s="4">
        <v>2</v>
      </c>
      <c r="AK1385" s="4">
        <v>10</v>
      </c>
      <c r="AL1385" s="4">
        <v>0</v>
      </c>
      <c r="AM1385" s="4">
        <v>1</v>
      </c>
      <c r="AN1385" s="4">
        <v>0</v>
      </c>
      <c r="AO1385" s="4">
        <v>0</v>
      </c>
      <c r="AP1385" s="3" t="s">
        <v>58</v>
      </c>
      <c r="AQ1385" s="3" t="s">
        <v>58</v>
      </c>
      <c r="AS1385" s="6" t="str">
        <f>HYPERLINK("https://creighton-primo.hosted.exlibrisgroup.com/primo-explore/search?tab=default_tab&amp;search_scope=EVERYTHING&amp;vid=01CRU&amp;lang=en_US&amp;offset=0&amp;query=any,contains,991001018499702656","Catalog Record")</f>
        <v>Catalog Record</v>
      </c>
      <c r="AT1385" s="6" t="str">
        <f>HYPERLINK("http://www.worldcat.org/oclc/15356541","WorldCat Record")</f>
        <v>WorldCat Record</v>
      </c>
      <c r="AU1385" s="3" t="s">
        <v>17372</v>
      </c>
      <c r="AV1385" s="3" t="s">
        <v>17373</v>
      </c>
      <c r="AW1385" s="3" t="s">
        <v>17374</v>
      </c>
      <c r="AX1385" s="3" t="s">
        <v>17374</v>
      </c>
      <c r="AY1385" s="3" t="s">
        <v>17375</v>
      </c>
      <c r="AZ1385" s="3" t="s">
        <v>73</v>
      </c>
      <c r="BB1385" s="3" t="s">
        <v>17376</v>
      </c>
      <c r="BC1385" s="3" t="s">
        <v>17377</v>
      </c>
      <c r="BD1385" s="3" t="s">
        <v>17378</v>
      </c>
    </row>
    <row r="1386" spans="1:56" ht="51" customHeight="1" x14ac:dyDescent="0.25">
      <c r="A1386" s="7" t="s">
        <v>58</v>
      </c>
      <c r="B1386" s="2" t="s">
        <v>17379</v>
      </c>
      <c r="C1386" s="2" t="s">
        <v>17380</v>
      </c>
      <c r="D1386" s="2" t="s">
        <v>17381</v>
      </c>
      <c r="F1386" s="3" t="s">
        <v>58</v>
      </c>
      <c r="G1386" s="3" t="s">
        <v>59</v>
      </c>
      <c r="H1386" s="3" t="s">
        <v>58</v>
      </c>
      <c r="I1386" s="3" t="s">
        <v>58</v>
      </c>
      <c r="J1386" s="3" t="s">
        <v>60</v>
      </c>
      <c r="L1386" s="2" t="s">
        <v>17382</v>
      </c>
      <c r="M1386" s="3" t="s">
        <v>101</v>
      </c>
      <c r="O1386" s="3" t="s">
        <v>63</v>
      </c>
      <c r="P1386" s="3" t="s">
        <v>1837</v>
      </c>
      <c r="Q1386" s="2" t="s">
        <v>17383</v>
      </c>
      <c r="R1386" s="3" t="s">
        <v>65</v>
      </c>
      <c r="S1386" s="4">
        <v>4</v>
      </c>
      <c r="T1386" s="4">
        <v>4</v>
      </c>
      <c r="U1386" s="5" t="s">
        <v>17346</v>
      </c>
      <c r="V1386" s="5" t="s">
        <v>17346</v>
      </c>
      <c r="W1386" s="5" t="s">
        <v>3486</v>
      </c>
      <c r="X1386" s="5" t="s">
        <v>3486</v>
      </c>
      <c r="Y1386" s="4">
        <v>697</v>
      </c>
      <c r="Z1386" s="4">
        <v>610</v>
      </c>
      <c r="AA1386" s="4">
        <v>627</v>
      </c>
      <c r="AB1386" s="4">
        <v>3</v>
      </c>
      <c r="AC1386" s="4">
        <v>3</v>
      </c>
      <c r="AD1386" s="4">
        <v>28</v>
      </c>
      <c r="AE1386" s="4">
        <v>28</v>
      </c>
      <c r="AF1386" s="4">
        <v>14</v>
      </c>
      <c r="AG1386" s="4">
        <v>14</v>
      </c>
      <c r="AH1386" s="4">
        <v>6</v>
      </c>
      <c r="AI1386" s="4">
        <v>6</v>
      </c>
      <c r="AJ1386" s="4">
        <v>15</v>
      </c>
      <c r="AK1386" s="4">
        <v>15</v>
      </c>
      <c r="AL1386" s="4">
        <v>2</v>
      </c>
      <c r="AM1386" s="4">
        <v>2</v>
      </c>
      <c r="AN1386" s="4">
        <v>0</v>
      </c>
      <c r="AO1386" s="4">
        <v>0</v>
      </c>
      <c r="AP1386" s="3" t="s">
        <v>58</v>
      </c>
      <c r="AQ1386" s="3" t="s">
        <v>68</v>
      </c>
      <c r="AR1386" s="6" t="str">
        <f>HYPERLINK("http://catalog.hathitrust.org/Record/002237663","HathiTrust Record")</f>
        <v>HathiTrust Record</v>
      </c>
      <c r="AS1386" s="6" t="str">
        <f>HYPERLINK("https://creighton-primo.hosted.exlibrisgroup.com/primo-explore/search?tab=default_tab&amp;search_scope=EVERYTHING&amp;vid=01CRU&amp;lang=en_US&amp;offset=0&amp;query=any,contains,991000303259702656","Catalog Record")</f>
        <v>Catalog Record</v>
      </c>
      <c r="AT1386" s="6" t="str">
        <f>HYPERLINK("http://www.worldcat.org/oclc/10045444","WorldCat Record")</f>
        <v>WorldCat Record</v>
      </c>
      <c r="AU1386" s="3" t="s">
        <v>17384</v>
      </c>
      <c r="AV1386" s="3" t="s">
        <v>17385</v>
      </c>
      <c r="AW1386" s="3" t="s">
        <v>17386</v>
      </c>
      <c r="AX1386" s="3" t="s">
        <v>17386</v>
      </c>
      <c r="AY1386" s="3" t="s">
        <v>17387</v>
      </c>
      <c r="AZ1386" s="3" t="s">
        <v>73</v>
      </c>
      <c r="BB1386" s="3" t="s">
        <v>17388</v>
      </c>
      <c r="BC1386" s="3" t="s">
        <v>17389</v>
      </c>
      <c r="BD1386" s="3" t="s">
        <v>17390</v>
      </c>
    </row>
    <row r="1387" spans="1:56" ht="51" customHeight="1" x14ac:dyDescent="0.25">
      <c r="A1387" s="7" t="s">
        <v>58</v>
      </c>
      <c r="B1387" s="2" t="s">
        <v>17391</v>
      </c>
      <c r="C1387" s="2" t="s">
        <v>17392</v>
      </c>
      <c r="D1387" s="2" t="s">
        <v>17393</v>
      </c>
      <c r="F1387" s="3" t="s">
        <v>58</v>
      </c>
      <c r="G1387" s="3" t="s">
        <v>59</v>
      </c>
      <c r="H1387" s="3" t="s">
        <v>58</v>
      </c>
      <c r="I1387" s="3" t="s">
        <v>58</v>
      </c>
      <c r="J1387" s="3" t="s">
        <v>60</v>
      </c>
      <c r="L1387" s="2" t="s">
        <v>17394</v>
      </c>
      <c r="M1387" s="3" t="s">
        <v>101</v>
      </c>
      <c r="O1387" s="3" t="s">
        <v>63</v>
      </c>
      <c r="P1387" s="3" t="s">
        <v>214</v>
      </c>
      <c r="R1387" s="3" t="s">
        <v>65</v>
      </c>
      <c r="S1387" s="4">
        <v>5</v>
      </c>
      <c r="T1387" s="4">
        <v>5</v>
      </c>
      <c r="U1387" s="5" t="s">
        <v>17395</v>
      </c>
      <c r="V1387" s="5" t="s">
        <v>17395</v>
      </c>
      <c r="W1387" s="5" t="s">
        <v>17235</v>
      </c>
      <c r="X1387" s="5" t="s">
        <v>17235</v>
      </c>
      <c r="Y1387" s="4">
        <v>554</v>
      </c>
      <c r="Z1387" s="4">
        <v>484</v>
      </c>
      <c r="AA1387" s="4">
        <v>811</v>
      </c>
      <c r="AB1387" s="4">
        <v>2</v>
      </c>
      <c r="AC1387" s="4">
        <v>5</v>
      </c>
      <c r="AD1387" s="4">
        <v>12</v>
      </c>
      <c r="AE1387" s="4">
        <v>29</v>
      </c>
      <c r="AF1387" s="4">
        <v>5</v>
      </c>
      <c r="AG1387" s="4">
        <v>11</v>
      </c>
      <c r="AH1387" s="4">
        <v>3</v>
      </c>
      <c r="AI1387" s="4">
        <v>7</v>
      </c>
      <c r="AJ1387" s="4">
        <v>6</v>
      </c>
      <c r="AK1387" s="4">
        <v>16</v>
      </c>
      <c r="AL1387" s="4">
        <v>1</v>
      </c>
      <c r="AM1387" s="4">
        <v>4</v>
      </c>
      <c r="AN1387" s="4">
        <v>0</v>
      </c>
      <c r="AO1387" s="4">
        <v>0</v>
      </c>
      <c r="AP1387" s="3" t="s">
        <v>58</v>
      </c>
      <c r="AQ1387" s="3" t="s">
        <v>68</v>
      </c>
      <c r="AR1387" s="6" t="str">
        <f>HYPERLINK("http://catalog.hathitrust.org/Record/000404373","HathiTrust Record")</f>
        <v>HathiTrust Record</v>
      </c>
      <c r="AS1387" s="6" t="str">
        <f>HYPERLINK("https://creighton-primo.hosted.exlibrisgroup.com/primo-explore/search?tab=default_tab&amp;search_scope=EVERYTHING&amp;vid=01CRU&amp;lang=en_US&amp;offset=0&amp;query=any,contains,991000437339702656","Catalog Record")</f>
        <v>Catalog Record</v>
      </c>
      <c r="AT1387" s="6" t="str">
        <f>HYPERLINK("http://www.worldcat.org/oclc/10799634","WorldCat Record")</f>
        <v>WorldCat Record</v>
      </c>
      <c r="AU1387" s="3" t="s">
        <v>17396</v>
      </c>
      <c r="AV1387" s="3" t="s">
        <v>17397</v>
      </c>
      <c r="AW1387" s="3" t="s">
        <v>17398</v>
      </c>
      <c r="AX1387" s="3" t="s">
        <v>17398</v>
      </c>
      <c r="AY1387" s="3" t="s">
        <v>17399</v>
      </c>
      <c r="AZ1387" s="3" t="s">
        <v>73</v>
      </c>
      <c r="BB1387" s="3" t="s">
        <v>17400</v>
      </c>
      <c r="BC1387" s="3" t="s">
        <v>17401</v>
      </c>
      <c r="BD1387" s="3" t="s">
        <v>17402</v>
      </c>
    </row>
    <row r="1388" spans="1:56" ht="51" customHeight="1" x14ac:dyDescent="0.25">
      <c r="A1388" s="7" t="s">
        <v>58</v>
      </c>
      <c r="B1388" s="2" t="s">
        <v>17403</v>
      </c>
      <c r="C1388" s="2" t="s">
        <v>17404</v>
      </c>
      <c r="D1388" s="2" t="s">
        <v>17405</v>
      </c>
      <c r="F1388" s="3" t="s">
        <v>58</v>
      </c>
      <c r="G1388" s="3" t="s">
        <v>59</v>
      </c>
      <c r="H1388" s="3" t="s">
        <v>58</v>
      </c>
      <c r="I1388" s="3" t="s">
        <v>58</v>
      </c>
      <c r="J1388" s="3" t="s">
        <v>60</v>
      </c>
      <c r="K1388" s="2" t="s">
        <v>16214</v>
      </c>
      <c r="L1388" s="2" t="s">
        <v>17406</v>
      </c>
      <c r="M1388" s="3" t="s">
        <v>83</v>
      </c>
      <c r="O1388" s="3" t="s">
        <v>63</v>
      </c>
      <c r="P1388" s="3" t="s">
        <v>17407</v>
      </c>
      <c r="R1388" s="3" t="s">
        <v>65</v>
      </c>
      <c r="S1388" s="4">
        <v>1</v>
      </c>
      <c r="T1388" s="4">
        <v>1</v>
      </c>
      <c r="U1388" s="5" t="s">
        <v>17408</v>
      </c>
      <c r="V1388" s="5" t="s">
        <v>17408</v>
      </c>
      <c r="W1388" s="5" t="s">
        <v>17235</v>
      </c>
      <c r="X1388" s="5" t="s">
        <v>17235</v>
      </c>
      <c r="Y1388" s="4">
        <v>331</v>
      </c>
      <c r="Z1388" s="4">
        <v>305</v>
      </c>
      <c r="AA1388" s="4">
        <v>343</v>
      </c>
      <c r="AB1388" s="4">
        <v>1</v>
      </c>
      <c r="AC1388" s="4">
        <v>1</v>
      </c>
      <c r="AD1388" s="4">
        <v>8</v>
      </c>
      <c r="AE1388" s="4">
        <v>10</v>
      </c>
      <c r="AF1388" s="4">
        <v>2</v>
      </c>
      <c r="AG1388" s="4">
        <v>2</v>
      </c>
      <c r="AH1388" s="4">
        <v>3</v>
      </c>
      <c r="AI1388" s="4">
        <v>4</v>
      </c>
      <c r="AJ1388" s="4">
        <v>5</v>
      </c>
      <c r="AK1388" s="4">
        <v>7</v>
      </c>
      <c r="AL1388" s="4">
        <v>0</v>
      </c>
      <c r="AM1388" s="4">
        <v>0</v>
      </c>
      <c r="AN1388" s="4">
        <v>0</v>
      </c>
      <c r="AO1388" s="4">
        <v>0</v>
      </c>
      <c r="AP1388" s="3" t="s">
        <v>58</v>
      </c>
      <c r="AQ1388" s="3" t="s">
        <v>68</v>
      </c>
      <c r="AR1388" s="6" t="str">
        <f>HYPERLINK("http://catalog.hathitrust.org/Record/000135489","HathiTrust Record")</f>
        <v>HathiTrust Record</v>
      </c>
      <c r="AS1388" s="6" t="str">
        <f>HYPERLINK("https://creighton-primo.hosted.exlibrisgroup.com/primo-explore/search?tab=default_tab&amp;search_scope=EVERYTHING&amp;vid=01CRU&amp;lang=en_US&amp;offset=0&amp;query=any,contains,991004528839702656","Catalog Record")</f>
        <v>Catalog Record</v>
      </c>
      <c r="AT1388" s="6" t="str">
        <f>HYPERLINK("http://www.worldcat.org/oclc/3844472","WorldCat Record")</f>
        <v>WorldCat Record</v>
      </c>
      <c r="AU1388" s="3" t="s">
        <v>17409</v>
      </c>
      <c r="AV1388" s="3" t="s">
        <v>17410</v>
      </c>
      <c r="AW1388" s="3" t="s">
        <v>17411</v>
      </c>
      <c r="AX1388" s="3" t="s">
        <v>17411</v>
      </c>
      <c r="AY1388" s="3" t="s">
        <v>17412</v>
      </c>
      <c r="AZ1388" s="3" t="s">
        <v>73</v>
      </c>
      <c r="BB1388" s="3" t="s">
        <v>17413</v>
      </c>
      <c r="BC1388" s="3" t="s">
        <v>17414</v>
      </c>
      <c r="BD1388" s="3" t="s">
        <v>17415</v>
      </c>
    </row>
    <row r="1389" spans="1:56" ht="51" customHeight="1" x14ac:dyDescent="0.25">
      <c r="A1389" s="7" t="s">
        <v>58</v>
      </c>
      <c r="B1389" s="2" t="s">
        <v>17416</v>
      </c>
      <c r="C1389" s="2" t="s">
        <v>17417</v>
      </c>
      <c r="D1389" s="2" t="s">
        <v>17418</v>
      </c>
      <c r="F1389" s="3" t="s">
        <v>58</v>
      </c>
      <c r="G1389" s="3" t="s">
        <v>59</v>
      </c>
      <c r="H1389" s="3" t="s">
        <v>58</v>
      </c>
      <c r="I1389" s="3" t="s">
        <v>58</v>
      </c>
      <c r="J1389" s="3" t="s">
        <v>60</v>
      </c>
      <c r="L1389" s="2" t="s">
        <v>17419</v>
      </c>
      <c r="M1389" s="3" t="s">
        <v>1399</v>
      </c>
      <c r="O1389" s="3" t="s">
        <v>63</v>
      </c>
      <c r="P1389" s="3" t="s">
        <v>816</v>
      </c>
      <c r="Q1389" s="2" t="s">
        <v>16987</v>
      </c>
      <c r="R1389" s="3" t="s">
        <v>65</v>
      </c>
      <c r="S1389" s="4">
        <v>14</v>
      </c>
      <c r="T1389" s="4">
        <v>14</v>
      </c>
      <c r="U1389" s="5" t="s">
        <v>17420</v>
      </c>
      <c r="V1389" s="5" t="s">
        <v>17420</v>
      </c>
      <c r="W1389" s="5" t="s">
        <v>17421</v>
      </c>
      <c r="X1389" s="5" t="s">
        <v>17421</v>
      </c>
      <c r="Y1389" s="4">
        <v>788</v>
      </c>
      <c r="Z1389" s="4">
        <v>754</v>
      </c>
      <c r="AA1389" s="4">
        <v>762</v>
      </c>
      <c r="AB1389" s="4">
        <v>6</v>
      </c>
      <c r="AC1389" s="4">
        <v>6</v>
      </c>
      <c r="AD1389" s="4">
        <v>8</v>
      </c>
      <c r="AE1389" s="4">
        <v>8</v>
      </c>
      <c r="AF1389" s="4">
        <v>3</v>
      </c>
      <c r="AG1389" s="4">
        <v>3</v>
      </c>
      <c r="AH1389" s="4">
        <v>3</v>
      </c>
      <c r="AI1389" s="4">
        <v>3</v>
      </c>
      <c r="AJ1389" s="4">
        <v>6</v>
      </c>
      <c r="AK1389" s="4">
        <v>6</v>
      </c>
      <c r="AL1389" s="4">
        <v>0</v>
      </c>
      <c r="AM1389" s="4">
        <v>0</v>
      </c>
      <c r="AN1389" s="4">
        <v>0</v>
      </c>
      <c r="AO1389" s="4">
        <v>0</v>
      </c>
      <c r="AP1389" s="3" t="s">
        <v>58</v>
      </c>
      <c r="AQ1389" s="3" t="s">
        <v>68</v>
      </c>
      <c r="AR1389" s="6" t="str">
        <f>HYPERLINK("http://catalog.hathitrust.org/Record/012268667","HathiTrust Record")</f>
        <v>HathiTrust Record</v>
      </c>
      <c r="AS1389" s="6" t="str">
        <f>HYPERLINK("https://creighton-primo.hosted.exlibrisgroup.com/primo-explore/search?tab=default_tab&amp;search_scope=EVERYTHING&amp;vid=01CRU&amp;lang=en_US&amp;offset=0&amp;query=any,contains,991001295929702656","Catalog Record")</f>
        <v>Catalog Record</v>
      </c>
      <c r="AT1389" s="6" t="str">
        <f>HYPERLINK("http://www.worldcat.org/oclc/18034212","WorldCat Record")</f>
        <v>WorldCat Record</v>
      </c>
      <c r="AU1389" s="3" t="s">
        <v>17422</v>
      </c>
      <c r="AV1389" s="3" t="s">
        <v>17423</v>
      </c>
      <c r="AW1389" s="3" t="s">
        <v>17424</v>
      </c>
      <c r="AX1389" s="3" t="s">
        <v>17424</v>
      </c>
      <c r="AY1389" s="3" t="s">
        <v>17425</v>
      </c>
      <c r="AZ1389" s="3" t="s">
        <v>73</v>
      </c>
      <c r="BB1389" s="3" t="s">
        <v>17426</v>
      </c>
      <c r="BC1389" s="3" t="s">
        <v>17427</v>
      </c>
      <c r="BD1389" s="3" t="s">
        <v>17428</v>
      </c>
    </row>
    <row r="1390" spans="1:56" ht="51" customHeight="1" x14ac:dyDescent="0.25">
      <c r="A1390" s="7" t="s">
        <v>58</v>
      </c>
      <c r="B1390" s="2" t="s">
        <v>17429</v>
      </c>
      <c r="C1390" s="2" t="s">
        <v>17430</v>
      </c>
      <c r="D1390" s="2" t="s">
        <v>17431</v>
      </c>
      <c r="F1390" s="3" t="s">
        <v>58</v>
      </c>
      <c r="G1390" s="3" t="s">
        <v>59</v>
      </c>
      <c r="H1390" s="3" t="s">
        <v>58</v>
      </c>
      <c r="I1390" s="3" t="s">
        <v>58</v>
      </c>
      <c r="J1390" s="3" t="s">
        <v>60</v>
      </c>
      <c r="L1390" s="2" t="s">
        <v>17432</v>
      </c>
      <c r="M1390" s="3" t="s">
        <v>337</v>
      </c>
      <c r="N1390" s="2" t="s">
        <v>338</v>
      </c>
      <c r="O1390" s="3" t="s">
        <v>63</v>
      </c>
      <c r="P1390" s="3" t="s">
        <v>214</v>
      </c>
      <c r="R1390" s="3" t="s">
        <v>65</v>
      </c>
      <c r="S1390" s="4">
        <v>6</v>
      </c>
      <c r="T1390" s="4">
        <v>6</v>
      </c>
      <c r="U1390" s="5" t="s">
        <v>4620</v>
      </c>
      <c r="V1390" s="5" t="s">
        <v>4620</v>
      </c>
      <c r="W1390" s="5" t="s">
        <v>17433</v>
      </c>
      <c r="X1390" s="5" t="s">
        <v>17433</v>
      </c>
      <c r="Y1390" s="4">
        <v>635</v>
      </c>
      <c r="Z1390" s="4">
        <v>527</v>
      </c>
      <c r="AA1390" s="4">
        <v>555</v>
      </c>
      <c r="AB1390" s="4">
        <v>4</v>
      </c>
      <c r="AC1390" s="4">
        <v>4</v>
      </c>
      <c r="AD1390" s="4">
        <v>23</v>
      </c>
      <c r="AE1390" s="4">
        <v>23</v>
      </c>
      <c r="AF1390" s="4">
        <v>10</v>
      </c>
      <c r="AG1390" s="4">
        <v>10</v>
      </c>
      <c r="AH1390" s="4">
        <v>4</v>
      </c>
      <c r="AI1390" s="4">
        <v>4</v>
      </c>
      <c r="AJ1390" s="4">
        <v>13</v>
      </c>
      <c r="AK1390" s="4">
        <v>13</v>
      </c>
      <c r="AL1390" s="4">
        <v>3</v>
      </c>
      <c r="AM1390" s="4">
        <v>3</v>
      </c>
      <c r="AN1390" s="4">
        <v>0</v>
      </c>
      <c r="AO1390" s="4">
        <v>0</v>
      </c>
      <c r="AP1390" s="3" t="s">
        <v>58</v>
      </c>
      <c r="AQ1390" s="3" t="s">
        <v>58</v>
      </c>
      <c r="AS1390" s="6" t="str">
        <f>HYPERLINK("https://creighton-primo.hosted.exlibrisgroup.com/primo-explore/search?tab=default_tab&amp;search_scope=EVERYTHING&amp;vid=01CRU&amp;lang=en_US&amp;offset=0&amp;query=any,contains,991004108449702656","Catalog Record")</f>
        <v>Catalog Record</v>
      </c>
      <c r="AT1390" s="6" t="str">
        <f>HYPERLINK("http://www.worldcat.org/oclc/48390660","WorldCat Record")</f>
        <v>WorldCat Record</v>
      </c>
      <c r="AU1390" s="3" t="s">
        <v>17434</v>
      </c>
      <c r="AV1390" s="3" t="s">
        <v>17435</v>
      </c>
      <c r="AW1390" s="3" t="s">
        <v>17436</v>
      </c>
      <c r="AX1390" s="3" t="s">
        <v>17436</v>
      </c>
      <c r="AY1390" s="3" t="s">
        <v>17437</v>
      </c>
      <c r="AZ1390" s="3" t="s">
        <v>73</v>
      </c>
      <c r="BB1390" s="3" t="s">
        <v>17438</v>
      </c>
      <c r="BC1390" s="3" t="s">
        <v>17439</v>
      </c>
      <c r="BD1390" s="3" t="s">
        <v>17440</v>
      </c>
    </row>
    <row r="1391" spans="1:56" ht="51" customHeight="1" x14ac:dyDescent="0.25">
      <c r="A1391" s="7" t="s">
        <v>58</v>
      </c>
      <c r="B1391" s="2" t="s">
        <v>17441</v>
      </c>
      <c r="C1391" s="2" t="s">
        <v>17442</v>
      </c>
      <c r="D1391" s="2" t="s">
        <v>17443</v>
      </c>
      <c r="F1391" s="3" t="s">
        <v>58</v>
      </c>
      <c r="G1391" s="3" t="s">
        <v>59</v>
      </c>
      <c r="H1391" s="3" t="s">
        <v>58</v>
      </c>
      <c r="I1391" s="3" t="s">
        <v>58</v>
      </c>
      <c r="J1391" s="3" t="s">
        <v>60</v>
      </c>
      <c r="K1391" s="2" t="s">
        <v>17169</v>
      </c>
      <c r="L1391" s="2" t="s">
        <v>17444</v>
      </c>
      <c r="M1391" s="3" t="s">
        <v>101</v>
      </c>
      <c r="O1391" s="3" t="s">
        <v>63</v>
      </c>
      <c r="P1391" s="3" t="s">
        <v>816</v>
      </c>
      <c r="Q1391" s="2" t="s">
        <v>17445</v>
      </c>
      <c r="R1391" s="3" t="s">
        <v>65</v>
      </c>
      <c r="S1391" s="4">
        <v>11</v>
      </c>
      <c r="T1391" s="4">
        <v>11</v>
      </c>
      <c r="U1391" s="5" t="s">
        <v>17090</v>
      </c>
      <c r="V1391" s="5" t="s">
        <v>17090</v>
      </c>
      <c r="W1391" s="5" t="s">
        <v>17249</v>
      </c>
      <c r="X1391" s="5" t="s">
        <v>17249</v>
      </c>
      <c r="Y1391" s="4">
        <v>1752</v>
      </c>
      <c r="Z1391" s="4">
        <v>1667</v>
      </c>
      <c r="AA1391" s="4">
        <v>1674</v>
      </c>
      <c r="AB1391" s="4">
        <v>15</v>
      </c>
      <c r="AC1391" s="4">
        <v>15</v>
      </c>
      <c r="AD1391" s="4">
        <v>18</v>
      </c>
      <c r="AE1391" s="4">
        <v>18</v>
      </c>
      <c r="AF1391" s="4">
        <v>6</v>
      </c>
      <c r="AG1391" s="4">
        <v>6</v>
      </c>
      <c r="AH1391" s="4">
        <v>5</v>
      </c>
      <c r="AI1391" s="4">
        <v>5</v>
      </c>
      <c r="AJ1391" s="4">
        <v>12</v>
      </c>
      <c r="AK1391" s="4">
        <v>12</v>
      </c>
      <c r="AL1391" s="4">
        <v>1</v>
      </c>
      <c r="AM1391" s="4">
        <v>1</v>
      </c>
      <c r="AN1391" s="4">
        <v>0</v>
      </c>
      <c r="AO1391" s="4">
        <v>0</v>
      </c>
      <c r="AP1391" s="3" t="s">
        <v>58</v>
      </c>
      <c r="AQ1391" s="3" t="s">
        <v>68</v>
      </c>
      <c r="AR1391" s="6" t="str">
        <f>HYPERLINK("http://catalog.hathitrust.org/Record/000453754","HathiTrust Record")</f>
        <v>HathiTrust Record</v>
      </c>
      <c r="AS1391" s="6" t="str">
        <f>HYPERLINK("https://creighton-primo.hosted.exlibrisgroup.com/primo-explore/search?tab=default_tab&amp;search_scope=EVERYTHING&amp;vid=01CRU&amp;lang=en_US&amp;offset=0&amp;query=any,contains,991000518479702656","Catalog Record")</f>
        <v>Catalog Record</v>
      </c>
      <c r="AT1391" s="6" t="str">
        <f>HYPERLINK("http://www.worldcat.org/oclc/11313827","WorldCat Record")</f>
        <v>WorldCat Record</v>
      </c>
      <c r="AU1391" s="3" t="s">
        <v>17446</v>
      </c>
      <c r="AV1391" s="3" t="s">
        <v>17447</v>
      </c>
      <c r="AW1391" s="3" t="s">
        <v>17448</v>
      </c>
      <c r="AX1391" s="3" t="s">
        <v>17448</v>
      </c>
      <c r="AY1391" s="3" t="s">
        <v>17449</v>
      </c>
      <c r="AZ1391" s="3" t="s">
        <v>73</v>
      </c>
      <c r="BB1391" s="3" t="s">
        <v>17450</v>
      </c>
      <c r="BC1391" s="3" t="s">
        <v>17451</v>
      </c>
      <c r="BD1391" s="3" t="s">
        <v>17452</v>
      </c>
    </row>
    <row r="1392" spans="1:56" ht="51" customHeight="1" x14ac:dyDescent="0.25">
      <c r="A1392" s="7" t="s">
        <v>58</v>
      </c>
      <c r="B1392" s="2" t="s">
        <v>17453</v>
      </c>
      <c r="C1392" s="2" t="s">
        <v>17454</v>
      </c>
      <c r="D1392" s="2" t="s">
        <v>17455</v>
      </c>
      <c r="F1392" s="3" t="s">
        <v>58</v>
      </c>
      <c r="G1392" s="3" t="s">
        <v>59</v>
      </c>
      <c r="H1392" s="3" t="s">
        <v>58</v>
      </c>
      <c r="I1392" s="3" t="s">
        <v>58</v>
      </c>
      <c r="J1392" s="3" t="s">
        <v>60</v>
      </c>
      <c r="K1392" s="2" t="s">
        <v>17456</v>
      </c>
      <c r="L1392" s="2" t="s">
        <v>17457</v>
      </c>
      <c r="M1392" s="3" t="s">
        <v>337</v>
      </c>
      <c r="O1392" s="3" t="s">
        <v>63</v>
      </c>
      <c r="P1392" s="3" t="s">
        <v>1837</v>
      </c>
      <c r="R1392" s="3" t="s">
        <v>65</v>
      </c>
      <c r="S1392" s="4">
        <v>9</v>
      </c>
      <c r="T1392" s="4">
        <v>9</v>
      </c>
      <c r="U1392" s="5" t="s">
        <v>11361</v>
      </c>
      <c r="V1392" s="5" t="s">
        <v>11361</v>
      </c>
      <c r="W1392" s="5" t="s">
        <v>3137</v>
      </c>
      <c r="X1392" s="5" t="s">
        <v>3137</v>
      </c>
      <c r="Y1392" s="4">
        <v>629</v>
      </c>
      <c r="Z1392" s="4">
        <v>557</v>
      </c>
      <c r="AA1392" s="4">
        <v>564</v>
      </c>
      <c r="AB1392" s="4">
        <v>4</v>
      </c>
      <c r="AC1392" s="4">
        <v>4</v>
      </c>
      <c r="AD1392" s="4">
        <v>11</v>
      </c>
      <c r="AE1392" s="4">
        <v>12</v>
      </c>
      <c r="AF1392" s="4">
        <v>5</v>
      </c>
      <c r="AG1392" s="4">
        <v>5</v>
      </c>
      <c r="AH1392" s="4">
        <v>6</v>
      </c>
      <c r="AI1392" s="4">
        <v>6</v>
      </c>
      <c r="AJ1392" s="4">
        <v>4</v>
      </c>
      <c r="AK1392" s="4">
        <v>5</v>
      </c>
      <c r="AL1392" s="4">
        <v>1</v>
      </c>
      <c r="AM1392" s="4">
        <v>1</v>
      </c>
      <c r="AN1392" s="4">
        <v>0</v>
      </c>
      <c r="AO1392" s="4">
        <v>0</v>
      </c>
      <c r="AP1392" s="3" t="s">
        <v>58</v>
      </c>
      <c r="AQ1392" s="3" t="s">
        <v>68</v>
      </c>
      <c r="AR1392" s="6" t="str">
        <f>HYPERLINK("http://catalog.hathitrust.org/Record/004282445","HathiTrust Record")</f>
        <v>HathiTrust Record</v>
      </c>
      <c r="AS1392" s="6" t="str">
        <f>HYPERLINK("https://creighton-primo.hosted.exlibrisgroup.com/primo-explore/search?tab=default_tab&amp;search_scope=EVERYTHING&amp;vid=01CRU&amp;lang=en_US&amp;offset=0&amp;query=any,contains,991003848839702656","Catalog Record")</f>
        <v>Catalog Record</v>
      </c>
      <c r="AT1392" s="6" t="str">
        <f>HYPERLINK("http://www.worldcat.org/oclc/48390575","WorldCat Record")</f>
        <v>WorldCat Record</v>
      </c>
      <c r="AU1392" s="3" t="s">
        <v>17458</v>
      </c>
      <c r="AV1392" s="3" t="s">
        <v>17459</v>
      </c>
      <c r="AW1392" s="3" t="s">
        <v>17460</v>
      </c>
      <c r="AX1392" s="3" t="s">
        <v>17460</v>
      </c>
      <c r="AY1392" s="3" t="s">
        <v>17461</v>
      </c>
      <c r="AZ1392" s="3" t="s">
        <v>73</v>
      </c>
      <c r="BB1392" s="3" t="s">
        <v>17462</v>
      </c>
      <c r="BC1392" s="3" t="s">
        <v>17463</v>
      </c>
      <c r="BD1392" s="3" t="s">
        <v>17464</v>
      </c>
    </row>
    <row r="1393" spans="1:56" ht="51" customHeight="1" x14ac:dyDescent="0.25">
      <c r="A1393" s="7" t="s">
        <v>58</v>
      </c>
      <c r="B1393" s="2" t="s">
        <v>17465</v>
      </c>
      <c r="C1393" s="2" t="s">
        <v>17466</v>
      </c>
      <c r="D1393" s="2" t="s">
        <v>17467</v>
      </c>
      <c r="F1393" s="3" t="s">
        <v>58</v>
      </c>
      <c r="G1393" s="3" t="s">
        <v>59</v>
      </c>
      <c r="H1393" s="3" t="s">
        <v>58</v>
      </c>
      <c r="I1393" s="3" t="s">
        <v>58</v>
      </c>
      <c r="J1393" s="3" t="s">
        <v>60</v>
      </c>
      <c r="K1393" s="2" t="s">
        <v>17468</v>
      </c>
      <c r="L1393" s="2" t="s">
        <v>17469</v>
      </c>
      <c r="M1393" s="3" t="s">
        <v>800</v>
      </c>
      <c r="O1393" s="3" t="s">
        <v>63</v>
      </c>
      <c r="P1393" s="3" t="s">
        <v>354</v>
      </c>
      <c r="R1393" s="3" t="s">
        <v>65</v>
      </c>
      <c r="S1393" s="4">
        <v>9</v>
      </c>
      <c r="T1393" s="4">
        <v>9</v>
      </c>
      <c r="U1393" s="5" t="s">
        <v>17470</v>
      </c>
      <c r="V1393" s="5" t="s">
        <v>17470</v>
      </c>
      <c r="W1393" s="5" t="s">
        <v>17471</v>
      </c>
      <c r="X1393" s="5" t="s">
        <v>17471</v>
      </c>
      <c r="Y1393" s="4">
        <v>360</v>
      </c>
      <c r="Z1393" s="4">
        <v>298</v>
      </c>
      <c r="AA1393" s="4">
        <v>303</v>
      </c>
      <c r="AB1393" s="4">
        <v>3</v>
      </c>
      <c r="AC1393" s="4">
        <v>3</v>
      </c>
      <c r="AD1393" s="4">
        <v>13</v>
      </c>
      <c r="AE1393" s="4">
        <v>13</v>
      </c>
      <c r="AF1393" s="4">
        <v>4</v>
      </c>
      <c r="AG1393" s="4">
        <v>4</v>
      </c>
      <c r="AH1393" s="4">
        <v>7</v>
      </c>
      <c r="AI1393" s="4">
        <v>7</v>
      </c>
      <c r="AJ1393" s="4">
        <v>3</v>
      </c>
      <c r="AK1393" s="4">
        <v>3</v>
      </c>
      <c r="AL1393" s="4">
        <v>2</v>
      </c>
      <c r="AM1393" s="4">
        <v>2</v>
      </c>
      <c r="AN1393" s="4">
        <v>0</v>
      </c>
      <c r="AO1393" s="4">
        <v>0</v>
      </c>
      <c r="AP1393" s="3" t="s">
        <v>58</v>
      </c>
      <c r="AQ1393" s="3" t="s">
        <v>68</v>
      </c>
      <c r="AR1393" s="6" t="str">
        <f>HYPERLINK("http://catalog.hathitrust.org/Record/003020804","HathiTrust Record")</f>
        <v>HathiTrust Record</v>
      </c>
      <c r="AS1393" s="6" t="str">
        <f>HYPERLINK("https://creighton-primo.hosted.exlibrisgroup.com/primo-explore/search?tab=default_tab&amp;search_scope=EVERYTHING&amp;vid=01CRU&amp;lang=en_US&amp;offset=0&amp;query=any,contains,991002394069702656","Catalog Record")</f>
        <v>Catalog Record</v>
      </c>
      <c r="AT1393" s="6" t="str">
        <f>HYPERLINK("http://www.worldcat.org/oclc/31077484","WorldCat Record")</f>
        <v>WorldCat Record</v>
      </c>
      <c r="AU1393" s="3" t="s">
        <v>17472</v>
      </c>
      <c r="AV1393" s="3" t="s">
        <v>17473</v>
      </c>
      <c r="AW1393" s="3" t="s">
        <v>17474</v>
      </c>
      <c r="AX1393" s="3" t="s">
        <v>17474</v>
      </c>
      <c r="AY1393" s="3" t="s">
        <v>17475</v>
      </c>
      <c r="AZ1393" s="3" t="s">
        <v>73</v>
      </c>
      <c r="BB1393" s="3" t="s">
        <v>17476</v>
      </c>
      <c r="BC1393" s="3" t="s">
        <v>17477</v>
      </c>
      <c r="BD1393" s="3" t="s">
        <v>17478</v>
      </c>
    </row>
    <row r="1394" spans="1:56" ht="51" customHeight="1" x14ac:dyDescent="0.25">
      <c r="A1394" s="7" t="s">
        <v>58</v>
      </c>
      <c r="B1394" s="2" t="s">
        <v>17479</v>
      </c>
      <c r="C1394" s="2" t="s">
        <v>17480</v>
      </c>
      <c r="D1394" s="2" t="s">
        <v>17481</v>
      </c>
      <c r="F1394" s="3" t="s">
        <v>58</v>
      </c>
      <c r="G1394" s="3" t="s">
        <v>59</v>
      </c>
      <c r="H1394" s="3" t="s">
        <v>58</v>
      </c>
      <c r="I1394" s="3" t="s">
        <v>58</v>
      </c>
      <c r="J1394" s="3" t="s">
        <v>60</v>
      </c>
      <c r="K1394" s="2" t="s">
        <v>17482</v>
      </c>
      <c r="L1394" s="2" t="s">
        <v>17483</v>
      </c>
      <c r="M1394" s="3" t="s">
        <v>1091</v>
      </c>
      <c r="O1394" s="3" t="s">
        <v>63</v>
      </c>
      <c r="P1394" s="3" t="s">
        <v>510</v>
      </c>
      <c r="Q1394" s="2" t="s">
        <v>17484</v>
      </c>
      <c r="R1394" s="3" t="s">
        <v>65</v>
      </c>
      <c r="S1394" s="4">
        <v>2</v>
      </c>
      <c r="T1394" s="4">
        <v>2</v>
      </c>
      <c r="U1394" s="5" t="s">
        <v>4353</v>
      </c>
      <c r="V1394" s="5" t="s">
        <v>4353</v>
      </c>
      <c r="W1394" s="5" t="s">
        <v>17485</v>
      </c>
      <c r="X1394" s="5" t="s">
        <v>17485</v>
      </c>
      <c r="Y1394" s="4">
        <v>176</v>
      </c>
      <c r="Z1394" s="4">
        <v>154</v>
      </c>
      <c r="AA1394" s="4">
        <v>542</v>
      </c>
      <c r="AB1394" s="4">
        <v>2</v>
      </c>
      <c r="AC1394" s="4">
        <v>5</v>
      </c>
      <c r="AD1394" s="4">
        <v>6</v>
      </c>
      <c r="AE1394" s="4">
        <v>13</v>
      </c>
      <c r="AF1394" s="4">
        <v>1</v>
      </c>
      <c r="AG1394" s="4">
        <v>4</v>
      </c>
      <c r="AH1394" s="4">
        <v>3</v>
      </c>
      <c r="AI1394" s="4">
        <v>3</v>
      </c>
      <c r="AJ1394" s="4">
        <v>4</v>
      </c>
      <c r="AK1394" s="4">
        <v>6</v>
      </c>
      <c r="AL1394" s="4">
        <v>1</v>
      </c>
      <c r="AM1394" s="4">
        <v>4</v>
      </c>
      <c r="AN1394" s="4">
        <v>0</v>
      </c>
      <c r="AO1394" s="4">
        <v>0</v>
      </c>
      <c r="AP1394" s="3" t="s">
        <v>58</v>
      </c>
      <c r="AQ1394" s="3" t="s">
        <v>68</v>
      </c>
      <c r="AR1394" s="6" t="str">
        <f>HYPERLINK("http://catalog.hathitrust.org/Record/003551102","HathiTrust Record")</f>
        <v>HathiTrust Record</v>
      </c>
      <c r="AS1394" s="6" t="str">
        <f>HYPERLINK("https://creighton-primo.hosted.exlibrisgroup.com/primo-explore/search?tab=default_tab&amp;search_scope=EVERYTHING&amp;vid=01CRU&amp;lang=en_US&amp;offset=0&amp;query=any,contains,991004611929702656","Catalog Record")</f>
        <v>Catalog Record</v>
      </c>
      <c r="AT1394" s="6" t="str">
        <f>HYPERLINK("http://www.worldcat.org/oclc/45655342","WorldCat Record")</f>
        <v>WorldCat Record</v>
      </c>
      <c r="AU1394" s="3" t="s">
        <v>17486</v>
      </c>
      <c r="AV1394" s="3" t="s">
        <v>17487</v>
      </c>
      <c r="AW1394" s="3" t="s">
        <v>17488</v>
      </c>
      <c r="AX1394" s="3" t="s">
        <v>17488</v>
      </c>
      <c r="AY1394" s="3" t="s">
        <v>17489</v>
      </c>
      <c r="AZ1394" s="3" t="s">
        <v>73</v>
      </c>
      <c r="BB1394" s="3" t="s">
        <v>17490</v>
      </c>
      <c r="BC1394" s="3" t="s">
        <v>17491</v>
      </c>
      <c r="BD1394" s="3" t="s">
        <v>17492</v>
      </c>
    </row>
    <row r="1395" spans="1:56" ht="51" customHeight="1" x14ac:dyDescent="0.25">
      <c r="A1395" s="7" t="s">
        <v>58</v>
      </c>
      <c r="B1395" s="2" t="s">
        <v>17493</v>
      </c>
      <c r="C1395" s="2" t="s">
        <v>17494</v>
      </c>
      <c r="D1395" s="2" t="s">
        <v>17495</v>
      </c>
      <c r="F1395" s="3" t="s">
        <v>58</v>
      </c>
      <c r="G1395" s="3" t="s">
        <v>59</v>
      </c>
      <c r="H1395" s="3" t="s">
        <v>58</v>
      </c>
      <c r="I1395" s="3" t="s">
        <v>58</v>
      </c>
      <c r="J1395" s="3" t="s">
        <v>60</v>
      </c>
      <c r="K1395" s="2" t="s">
        <v>10276</v>
      </c>
      <c r="L1395" s="2" t="s">
        <v>9099</v>
      </c>
      <c r="M1395" s="3" t="s">
        <v>1784</v>
      </c>
      <c r="O1395" s="3" t="s">
        <v>63</v>
      </c>
      <c r="P1395" s="3" t="s">
        <v>214</v>
      </c>
      <c r="R1395" s="3" t="s">
        <v>65</v>
      </c>
      <c r="S1395" s="4">
        <v>3</v>
      </c>
      <c r="T1395" s="4">
        <v>3</v>
      </c>
      <c r="U1395" s="5" t="s">
        <v>10329</v>
      </c>
      <c r="V1395" s="5" t="s">
        <v>10329</v>
      </c>
      <c r="W1395" s="5" t="s">
        <v>17249</v>
      </c>
      <c r="X1395" s="5" t="s">
        <v>17249</v>
      </c>
      <c r="Y1395" s="4">
        <v>1611</v>
      </c>
      <c r="Z1395" s="4">
        <v>1484</v>
      </c>
      <c r="AA1395" s="4">
        <v>1837</v>
      </c>
      <c r="AB1395" s="4">
        <v>16</v>
      </c>
      <c r="AC1395" s="4">
        <v>18</v>
      </c>
      <c r="AD1395" s="4">
        <v>44</v>
      </c>
      <c r="AE1395" s="4">
        <v>60</v>
      </c>
      <c r="AF1395" s="4">
        <v>16</v>
      </c>
      <c r="AG1395" s="4">
        <v>25</v>
      </c>
      <c r="AH1395" s="4">
        <v>9</v>
      </c>
      <c r="AI1395" s="4">
        <v>10</v>
      </c>
      <c r="AJ1395" s="4">
        <v>16</v>
      </c>
      <c r="AK1395" s="4">
        <v>23</v>
      </c>
      <c r="AL1395" s="4">
        <v>10</v>
      </c>
      <c r="AM1395" s="4">
        <v>12</v>
      </c>
      <c r="AN1395" s="4">
        <v>2</v>
      </c>
      <c r="AO1395" s="4">
        <v>3</v>
      </c>
      <c r="AP1395" s="3" t="s">
        <v>58</v>
      </c>
      <c r="AQ1395" s="3" t="s">
        <v>68</v>
      </c>
      <c r="AR1395" s="6" t="str">
        <f>HYPERLINK("http://catalog.hathitrust.org/Record/000258655","HathiTrust Record")</f>
        <v>HathiTrust Record</v>
      </c>
      <c r="AS1395" s="6" t="str">
        <f>HYPERLINK("https://creighton-primo.hosted.exlibrisgroup.com/primo-explore/search?tab=default_tab&amp;search_scope=EVERYTHING&amp;vid=01CRU&amp;lang=en_US&amp;offset=0&amp;query=any,contains,991004681249702656","Catalog Record")</f>
        <v>Catalog Record</v>
      </c>
      <c r="AT1395" s="6" t="str">
        <f>HYPERLINK("http://www.worldcat.org/oclc/4569931","WorldCat Record")</f>
        <v>WorldCat Record</v>
      </c>
      <c r="AU1395" s="3" t="s">
        <v>17496</v>
      </c>
      <c r="AV1395" s="3" t="s">
        <v>17497</v>
      </c>
      <c r="AW1395" s="3" t="s">
        <v>17498</v>
      </c>
      <c r="AX1395" s="3" t="s">
        <v>17498</v>
      </c>
      <c r="AY1395" s="3" t="s">
        <v>17499</v>
      </c>
      <c r="AZ1395" s="3" t="s">
        <v>73</v>
      </c>
      <c r="BB1395" s="3" t="s">
        <v>17500</v>
      </c>
      <c r="BC1395" s="3" t="s">
        <v>17501</v>
      </c>
      <c r="BD1395" s="3" t="s">
        <v>17502</v>
      </c>
    </row>
    <row r="1396" spans="1:56" ht="51" customHeight="1" x14ac:dyDescent="0.25">
      <c r="A1396" s="7" t="s">
        <v>58</v>
      </c>
      <c r="B1396" s="2" t="s">
        <v>17503</v>
      </c>
      <c r="C1396" s="2" t="s">
        <v>17504</v>
      </c>
      <c r="D1396" s="2" t="s">
        <v>17505</v>
      </c>
      <c r="F1396" s="3" t="s">
        <v>58</v>
      </c>
      <c r="G1396" s="3" t="s">
        <v>59</v>
      </c>
      <c r="H1396" s="3" t="s">
        <v>58</v>
      </c>
      <c r="I1396" s="3" t="s">
        <v>58</v>
      </c>
      <c r="J1396" s="3" t="s">
        <v>60</v>
      </c>
      <c r="K1396" s="2" t="s">
        <v>17506</v>
      </c>
      <c r="L1396" s="2" t="s">
        <v>17507</v>
      </c>
      <c r="M1396" s="3" t="s">
        <v>1544</v>
      </c>
      <c r="O1396" s="3" t="s">
        <v>63</v>
      </c>
      <c r="P1396" s="3" t="s">
        <v>214</v>
      </c>
      <c r="R1396" s="3" t="s">
        <v>65</v>
      </c>
      <c r="S1396" s="4">
        <v>5</v>
      </c>
      <c r="T1396" s="4">
        <v>5</v>
      </c>
      <c r="U1396" s="5" t="s">
        <v>17508</v>
      </c>
      <c r="V1396" s="5" t="s">
        <v>17508</v>
      </c>
      <c r="W1396" s="5" t="s">
        <v>1667</v>
      </c>
      <c r="X1396" s="5" t="s">
        <v>1667</v>
      </c>
      <c r="Y1396" s="4">
        <v>1057</v>
      </c>
      <c r="Z1396" s="4">
        <v>1009</v>
      </c>
      <c r="AA1396" s="4">
        <v>1246</v>
      </c>
      <c r="AB1396" s="4">
        <v>6</v>
      </c>
      <c r="AC1396" s="4">
        <v>8</v>
      </c>
      <c r="AD1396" s="4">
        <v>23</v>
      </c>
      <c r="AE1396" s="4">
        <v>33</v>
      </c>
      <c r="AF1396" s="4">
        <v>11</v>
      </c>
      <c r="AG1396" s="4">
        <v>17</v>
      </c>
      <c r="AH1396" s="4">
        <v>3</v>
      </c>
      <c r="AI1396" s="4">
        <v>4</v>
      </c>
      <c r="AJ1396" s="4">
        <v>11</v>
      </c>
      <c r="AK1396" s="4">
        <v>15</v>
      </c>
      <c r="AL1396" s="4">
        <v>3</v>
      </c>
      <c r="AM1396" s="4">
        <v>5</v>
      </c>
      <c r="AN1396" s="4">
        <v>1</v>
      </c>
      <c r="AO1396" s="4">
        <v>1</v>
      </c>
      <c r="AP1396" s="3" t="s">
        <v>58</v>
      </c>
      <c r="AQ1396" s="3" t="s">
        <v>68</v>
      </c>
      <c r="AR1396" s="6" t="str">
        <f>HYPERLINK("http://catalog.hathitrust.org/Record/004512464","HathiTrust Record")</f>
        <v>HathiTrust Record</v>
      </c>
      <c r="AS1396" s="6" t="str">
        <f>HYPERLINK("https://creighton-primo.hosted.exlibrisgroup.com/primo-explore/search?tab=default_tab&amp;search_scope=EVERYTHING&amp;vid=01CRU&amp;lang=en_US&amp;offset=0&amp;query=any,contains,991001980499702656","Catalog Record")</f>
        <v>Catalog Record</v>
      </c>
      <c r="AT1396" s="6" t="str">
        <f>HYPERLINK("http://www.worldcat.org/oclc/25131070","WorldCat Record")</f>
        <v>WorldCat Record</v>
      </c>
      <c r="AU1396" s="3" t="s">
        <v>17509</v>
      </c>
      <c r="AV1396" s="3" t="s">
        <v>17510</v>
      </c>
      <c r="AW1396" s="3" t="s">
        <v>17511</v>
      </c>
      <c r="AX1396" s="3" t="s">
        <v>17511</v>
      </c>
      <c r="AY1396" s="3" t="s">
        <v>17512</v>
      </c>
      <c r="AZ1396" s="3" t="s">
        <v>73</v>
      </c>
      <c r="BB1396" s="3" t="s">
        <v>17513</v>
      </c>
      <c r="BC1396" s="3" t="s">
        <v>17514</v>
      </c>
      <c r="BD1396" s="3" t="s">
        <v>17515</v>
      </c>
    </row>
    <row r="1397" spans="1:56" ht="51" customHeight="1" x14ac:dyDescent="0.25">
      <c r="A1397" s="7" t="s">
        <v>58</v>
      </c>
      <c r="B1397" s="2" t="s">
        <v>17516</v>
      </c>
      <c r="C1397" s="2" t="s">
        <v>17517</v>
      </c>
      <c r="D1397" s="2" t="s">
        <v>17518</v>
      </c>
      <c r="F1397" s="3" t="s">
        <v>58</v>
      </c>
      <c r="G1397" s="3" t="s">
        <v>59</v>
      </c>
      <c r="H1397" s="3" t="s">
        <v>58</v>
      </c>
      <c r="I1397" s="3" t="s">
        <v>58</v>
      </c>
      <c r="J1397" s="3" t="s">
        <v>60</v>
      </c>
      <c r="K1397" s="2" t="s">
        <v>17519</v>
      </c>
      <c r="L1397" s="2" t="s">
        <v>17520</v>
      </c>
      <c r="M1397" s="3" t="s">
        <v>423</v>
      </c>
      <c r="O1397" s="3" t="s">
        <v>63</v>
      </c>
      <c r="P1397" s="3" t="s">
        <v>816</v>
      </c>
      <c r="Q1397" s="2" t="s">
        <v>17521</v>
      </c>
      <c r="R1397" s="3" t="s">
        <v>65</v>
      </c>
      <c r="S1397" s="4">
        <v>4</v>
      </c>
      <c r="T1397" s="4">
        <v>4</v>
      </c>
      <c r="U1397" s="5" t="s">
        <v>17522</v>
      </c>
      <c r="V1397" s="5" t="s">
        <v>17522</v>
      </c>
      <c r="W1397" s="5" t="s">
        <v>6474</v>
      </c>
      <c r="X1397" s="5" t="s">
        <v>6474</v>
      </c>
      <c r="Y1397" s="4">
        <v>673</v>
      </c>
      <c r="Z1397" s="4">
        <v>567</v>
      </c>
      <c r="AA1397" s="4">
        <v>576</v>
      </c>
      <c r="AB1397" s="4">
        <v>4</v>
      </c>
      <c r="AC1397" s="4">
        <v>4</v>
      </c>
      <c r="AD1397" s="4">
        <v>29</v>
      </c>
      <c r="AE1397" s="4">
        <v>29</v>
      </c>
      <c r="AF1397" s="4">
        <v>13</v>
      </c>
      <c r="AG1397" s="4">
        <v>13</v>
      </c>
      <c r="AH1397" s="4">
        <v>7</v>
      </c>
      <c r="AI1397" s="4">
        <v>7</v>
      </c>
      <c r="AJ1397" s="4">
        <v>16</v>
      </c>
      <c r="AK1397" s="4">
        <v>16</v>
      </c>
      <c r="AL1397" s="4">
        <v>2</v>
      </c>
      <c r="AM1397" s="4">
        <v>2</v>
      </c>
      <c r="AN1397" s="4">
        <v>0</v>
      </c>
      <c r="AO1397" s="4">
        <v>0</v>
      </c>
      <c r="AP1397" s="3" t="s">
        <v>58</v>
      </c>
      <c r="AQ1397" s="3" t="s">
        <v>58</v>
      </c>
      <c r="AS1397" s="6" t="str">
        <f>HYPERLINK("https://creighton-primo.hosted.exlibrisgroup.com/primo-explore/search?tab=default_tab&amp;search_scope=EVERYTHING&amp;vid=01CRU&amp;lang=en_US&amp;offset=0&amp;query=any,contains,991002912439702656","Catalog Record")</f>
        <v>Catalog Record</v>
      </c>
      <c r="AT1397" s="6" t="str">
        <f>HYPERLINK("http://www.worldcat.org/oclc/38505359","WorldCat Record")</f>
        <v>WorldCat Record</v>
      </c>
      <c r="AU1397" s="3" t="s">
        <v>17523</v>
      </c>
      <c r="AV1397" s="3" t="s">
        <v>17524</v>
      </c>
      <c r="AW1397" s="3" t="s">
        <v>17525</v>
      </c>
      <c r="AX1397" s="3" t="s">
        <v>17525</v>
      </c>
      <c r="AY1397" s="3" t="s">
        <v>17526</v>
      </c>
      <c r="AZ1397" s="3" t="s">
        <v>73</v>
      </c>
      <c r="BB1397" s="3" t="s">
        <v>17527</v>
      </c>
      <c r="BC1397" s="3" t="s">
        <v>17528</v>
      </c>
      <c r="BD1397" s="3" t="s">
        <v>17529</v>
      </c>
    </row>
    <row r="1398" spans="1:56" ht="51" customHeight="1" x14ac:dyDescent="0.25">
      <c r="A1398" s="7" t="s">
        <v>58</v>
      </c>
      <c r="B1398" s="2" t="s">
        <v>17530</v>
      </c>
      <c r="C1398" s="2" t="s">
        <v>17531</v>
      </c>
      <c r="D1398" s="2" t="s">
        <v>17532</v>
      </c>
      <c r="F1398" s="3" t="s">
        <v>58</v>
      </c>
      <c r="G1398" s="3" t="s">
        <v>59</v>
      </c>
      <c r="H1398" s="3" t="s">
        <v>58</v>
      </c>
      <c r="I1398" s="3" t="s">
        <v>58</v>
      </c>
      <c r="J1398" s="3" t="s">
        <v>60</v>
      </c>
      <c r="L1398" s="2" t="s">
        <v>17533</v>
      </c>
      <c r="M1398" s="3" t="s">
        <v>423</v>
      </c>
      <c r="O1398" s="3" t="s">
        <v>63</v>
      </c>
      <c r="P1398" s="3" t="s">
        <v>17407</v>
      </c>
      <c r="Q1398" s="2" t="s">
        <v>17534</v>
      </c>
      <c r="R1398" s="3" t="s">
        <v>65</v>
      </c>
      <c r="S1398" s="4">
        <v>6</v>
      </c>
      <c r="T1398" s="4">
        <v>6</v>
      </c>
      <c r="U1398" s="5" t="s">
        <v>16112</v>
      </c>
      <c r="V1398" s="5" t="s">
        <v>16112</v>
      </c>
      <c r="W1398" s="5" t="s">
        <v>14630</v>
      </c>
      <c r="X1398" s="5" t="s">
        <v>14630</v>
      </c>
      <c r="Y1398" s="4">
        <v>764</v>
      </c>
      <c r="Z1398" s="4">
        <v>670</v>
      </c>
      <c r="AA1398" s="4">
        <v>680</v>
      </c>
      <c r="AB1398" s="4">
        <v>4</v>
      </c>
      <c r="AC1398" s="4">
        <v>4</v>
      </c>
      <c r="AD1398" s="4">
        <v>31</v>
      </c>
      <c r="AE1398" s="4">
        <v>31</v>
      </c>
      <c r="AF1398" s="4">
        <v>11</v>
      </c>
      <c r="AG1398" s="4">
        <v>11</v>
      </c>
      <c r="AH1398" s="4">
        <v>7</v>
      </c>
      <c r="AI1398" s="4">
        <v>7</v>
      </c>
      <c r="AJ1398" s="4">
        <v>17</v>
      </c>
      <c r="AK1398" s="4">
        <v>17</v>
      </c>
      <c r="AL1398" s="4">
        <v>3</v>
      </c>
      <c r="AM1398" s="4">
        <v>3</v>
      </c>
      <c r="AN1398" s="4">
        <v>1</v>
      </c>
      <c r="AO1398" s="4">
        <v>1</v>
      </c>
      <c r="AP1398" s="3" t="s">
        <v>58</v>
      </c>
      <c r="AQ1398" s="3" t="s">
        <v>68</v>
      </c>
      <c r="AR1398" s="6" t="str">
        <f>HYPERLINK("http://catalog.hathitrust.org/Record/003959994","HathiTrust Record")</f>
        <v>HathiTrust Record</v>
      </c>
      <c r="AS1398" s="6" t="str">
        <f>HYPERLINK("https://creighton-primo.hosted.exlibrisgroup.com/primo-explore/search?tab=default_tab&amp;search_scope=EVERYTHING&amp;vid=01CRU&amp;lang=en_US&amp;offset=0&amp;query=any,contains,991002820309702656","Catalog Record")</f>
        <v>Catalog Record</v>
      </c>
      <c r="AT1398" s="6" t="str">
        <f>HYPERLINK("http://www.worldcat.org/oclc/37107150","WorldCat Record")</f>
        <v>WorldCat Record</v>
      </c>
      <c r="AU1398" s="3" t="s">
        <v>17535</v>
      </c>
      <c r="AV1398" s="3" t="s">
        <v>17536</v>
      </c>
      <c r="AW1398" s="3" t="s">
        <v>17537</v>
      </c>
      <c r="AX1398" s="3" t="s">
        <v>17537</v>
      </c>
      <c r="AY1398" s="3" t="s">
        <v>17538</v>
      </c>
      <c r="AZ1398" s="3" t="s">
        <v>73</v>
      </c>
      <c r="BB1398" s="3" t="s">
        <v>17539</v>
      </c>
      <c r="BC1398" s="3" t="s">
        <v>17540</v>
      </c>
      <c r="BD1398" s="3" t="s">
        <v>17541</v>
      </c>
    </row>
    <row r="1399" spans="1:56" ht="51" customHeight="1" x14ac:dyDescent="0.25">
      <c r="A1399" s="7" t="s">
        <v>58</v>
      </c>
      <c r="B1399" s="2" t="s">
        <v>17542</v>
      </c>
      <c r="C1399" s="2" t="s">
        <v>17543</v>
      </c>
      <c r="D1399" s="2" t="s">
        <v>17544</v>
      </c>
      <c r="F1399" s="3" t="s">
        <v>58</v>
      </c>
      <c r="G1399" s="3" t="s">
        <v>59</v>
      </c>
      <c r="H1399" s="3" t="s">
        <v>58</v>
      </c>
      <c r="I1399" s="3" t="s">
        <v>58</v>
      </c>
      <c r="J1399" s="3" t="s">
        <v>60</v>
      </c>
      <c r="K1399" s="2" t="s">
        <v>17545</v>
      </c>
      <c r="L1399" s="2" t="s">
        <v>17546</v>
      </c>
      <c r="M1399" s="3" t="s">
        <v>368</v>
      </c>
      <c r="N1399" s="2" t="s">
        <v>338</v>
      </c>
      <c r="O1399" s="3" t="s">
        <v>63</v>
      </c>
      <c r="P1399" s="3" t="s">
        <v>214</v>
      </c>
      <c r="R1399" s="3" t="s">
        <v>65</v>
      </c>
      <c r="S1399" s="4">
        <v>0</v>
      </c>
      <c r="T1399" s="4">
        <v>0</v>
      </c>
      <c r="U1399" s="5" t="s">
        <v>1094</v>
      </c>
      <c r="V1399" s="5" t="s">
        <v>1094</v>
      </c>
      <c r="W1399" s="5" t="s">
        <v>17547</v>
      </c>
      <c r="X1399" s="5" t="s">
        <v>17547</v>
      </c>
      <c r="Y1399" s="4">
        <v>477</v>
      </c>
      <c r="Z1399" s="4">
        <v>457</v>
      </c>
      <c r="AA1399" s="4">
        <v>647</v>
      </c>
      <c r="AB1399" s="4">
        <v>4</v>
      </c>
      <c r="AC1399" s="4">
        <v>6</v>
      </c>
      <c r="AD1399" s="4">
        <v>8</v>
      </c>
      <c r="AE1399" s="4">
        <v>13</v>
      </c>
      <c r="AF1399" s="4">
        <v>0</v>
      </c>
      <c r="AG1399" s="4">
        <v>5</v>
      </c>
      <c r="AH1399" s="4">
        <v>1</v>
      </c>
      <c r="AI1399" s="4">
        <v>2</v>
      </c>
      <c r="AJ1399" s="4">
        <v>5</v>
      </c>
      <c r="AK1399" s="4">
        <v>6</v>
      </c>
      <c r="AL1399" s="4">
        <v>2</v>
      </c>
      <c r="AM1399" s="4">
        <v>2</v>
      </c>
      <c r="AN1399" s="4">
        <v>1</v>
      </c>
      <c r="AO1399" s="4">
        <v>1</v>
      </c>
      <c r="AP1399" s="3" t="s">
        <v>58</v>
      </c>
      <c r="AQ1399" s="3" t="s">
        <v>68</v>
      </c>
      <c r="AR1399" s="6" t="str">
        <f>HYPERLINK("http://catalog.hathitrust.org/Record/000738070","HathiTrust Record")</f>
        <v>HathiTrust Record</v>
      </c>
      <c r="AS1399" s="6" t="str">
        <f>HYPERLINK("https://creighton-primo.hosted.exlibrisgroup.com/primo-explore/search?tab=default_tab&amp;search_scope=EVERYTHING&amp;vid=01CRU&amp;lang=en_US&amp;offset=0&amp;query=any,contains,991004082329702656","Catalog Record")</f>
        <v>Catalog Record</v>
      </c>
      <c r="AT1399" s="6" t="str">
        <f>HYPERLINK("http://www.worldcat.org/oclc/2330976","WorldCat Record")</f>
        <v>WorldCat Record</v>
      </c>
      <c r="AU1399" s="3" t="s">
        <v>17548</v>
      </c>
      <c r="AV1399" s="3" t="s">
        <v>17549</v>
      </c>
      <c r="AW1399" s="3" t="s">
        <v>17550</v>
      </c>
      <c r="AX1399" s="3" t="s">
        <v>17550</v>
      </c>
      <c r="AY1399" s="3" t="s">
        <v>17551</v>
      </c>
      <c r="AZ1399" s="3" t="s">
        <v>73</v>
      </c>
      <c r="BB1399" s="3" t="s">
        <v>17552</v>
      </c>
      <c r="BC1399" s="3" t="s">
        <v>17553</v>
      </c>
      <c r="BD1399" s="3" t="s">
        <v>17554</v>
      </c>
    </row>
    <row r="1400" spans="1:56" ht="51" customHeight="1" x14ac:dyDescent="0.25">
      <c r="A1400" s="7" t="s">
        <v>58</v>
      </c>
      <c r="B1400" s="2" t="s">
        <v>17555</v>
      </c>
      <c r="C1400" s="2" t="s">
        <v>17556</v>
      </c>
      <c r="D1400" s="2" t="s">
        <v>17557</v>
      </c>
      <c r="F1400" s="3" t="s">
        <v>58</v>
      </c>
      <c r="G1400" s="3" t="s">
        <v>59</v>
      </c>
      <c r="H1400" s="3" t="s">
        <v>58</v>
      </c>
      <c r="I1400" s="3" t="s">
        <v>58</v>
      </c>
      <c r="J1400" s="3" t="s">
        <v>60</v>
      </c>
      <c r="K1400" s="2" t="s">
        <v>17558</v>
      </c>
      <c r="L1400" s="2" t="s">
        <v>17559</v>
      </c>
      <c r="M1400" s="3" t="s">
        <v>101</v>
      </c>
      <c r="O1400" s="3" t="s">
        <v>63</v>
      </c>
      <c r="P1400" s="3" t="s">
        <v>214</v>
      </c>
      <c r="Q1400" s="2" t="s">
        <v>17560</v>
      </c>
      <c r="R1400" s="3" t="s">
        <v>65</v>
      </c>
      <c r="S1400" s="4">
        <v>18</v>
      </c>
      <c r="T1400" s="4">
        <v>18</v>
      </c>
      <c r="U1400" s="5" t="s">
        <v>17561</v>
      </c>
      <c r="V1400" s="5" t="s">
        <v>17561</v>
      </c>
      <c r="W1400" s="5" t="s">
        <v>17184</v>
      </c>
      <c r="X1400" s="5" t="s">
        <v>17184</v>
      </c>
      <c r="Y1400" s="4">
        <v>274</v>
      </c>
      <c r="Z1400" s="4">
        <v>227</v>
      </c>
      <c r="AA1400" s="4">
        <v>1124</v>
      </c>
      <c r="AB1400" s="4">
        <v>2</v>
      </c>
      <c r="AC1400" s="4">
        <v>10</v>
      </c>
      <c r="AD1400" s="4">
        <v>10</v>
      </c>
      <c r="AE1400" s="4">
        <v>39</v>
      </c>
      <c r="AF1400" s="4">
        <v>3</v>
      </c>
      <c r="AG1400" s="4">
        <v>16</v>
      </c>
      <c r="AH1400" s="4">
        <v>3</v>
      </c>
      <c r="AI1400" s="4">
        <v>7</v>
      </c>
      <c r="AJ1400" s="4">
        <v>4</v>
      </c>
      <c r="AK1400" s="4">
        <v>18</v>
      </c>
      <c r="AL1400" s="4">
        <v>1</v>
      </c>
      <c r="AM1400" s="4">
        <v>7</v>
      </c>
      <c r="AN1400" s="4">
        <v>0</v>
      </c>
      <c r="AO1400" s="4">
        <v>0</v>
      </c>
      <c r="AP1400" s="3" t="s">
        <v>58</v>
      </c>
      <c r="AQ1400" s="3" t="s">
        <v>68</v>
      </c>
      <c r="AR1400" s="6" t="str">
        <f>HYPERLINK("http://catalog.hathitrust.org/Record/006965552","HathiTrust Record")</f>
        <v>HathiTrust Record</v>
      </c>
      <c r="AS1400" s="6" t="str">
        <f>HYPERLINK("https://creighton-primo.hosted.exlibrisgroup.com/primo-explore/search?tab=default_tab&amp;search_scope=EVERYTHING&amp;vid=01CRU&amp;lang=en_US&amp;offset=0&amp;query=any,contains,991000349689702656","Catalog Record")</f>
        <v>Catalog Record</v>
      </c>
      <c r="AT1400" s="6" t="str">
        <f>HYPERLINK("http://www.worldcat.org/oclc/10300683","WorldCat Record")</f>
        <v>WorldCat Record</v>
      </c>
      <c r="AU1400" s="3" t="s">
        <v>17562</v>
      </c>
      <c r="AV1400" s="3" t="s">
        <v>17563</v>
      </c>
      <c r="AW1400" s="3" t="s">
        <v>17564</v>
      </c>
      <c r="AX1400" s="3" t="s">
        <v>17564</v>
      </c>
      <c r="AY1400" s="3" t="s">
        <v>17565</v>
      </c>
      <c r="AZ1400" s="3" t="s">
        <v>73</v>
      </c>
      <c r="BB1400" s="3" t="s">
        <v>17566</v>
      </c>
      <c r="BC1400" s="3" t="s">
        <v>17567</v>
      </c>
      <c r="BD1400" s="3" t="s">
        <v>17568</v>
      </c>
    </row>
    <row r="1401" spans="1:56" ht="51" customHeight="1" x14ac:dyDescent="0.25">
      <c r="A1401" s="7" t="s">
        <v>58</v>
      </c>
      <c r="B1401" s="2" t="s">
        <v>17569</v>
      </c>
      <c r="C1401" s="2" t="s">
        <v>17570</v>
      </c>
      <c r="D1401" s="2" t="s">
        <v>17571</v>
      </c>
      <c r="F1401" s="3" t="s">
        <v>58</v>
      </c>
      <c r="G1401" s="3" t="s">
        <v>59</v>
      </c>
      <c r="H1401" s="3" t="s">
        <v>58</v>
      </c>
      <c r="I1401" s="3" t="s">
        <v>58</v>
      </c>
      <c r="J1401" s="3" t="s">
        <v>60</v>
      </c>
      <c r="K1401" s="2" t="s">
        <v>17572</v>
      </c>
      <c r="L1401" s="2" t="s">
        <v>7909</v>
      </c>
      <c r="M1401" s="3" t="s">
        <v>2214</v>
      </c>
      <c r="O1401" s="3" t="s">
        <v>63</v>
      </c>
      <c r="P1401" s="3" t="s">
        <v>3109</v>
      </c>
      <c r="Q1401" s="2" t="s">
        <v>17573</v>
      </c>
      <c r="R1401" s="3" t="s">
        <v>65</v>
      </c>
      <c r="S1401" s="4">
        <v>3</v>
      </c>
      <c r="T1401" s="4">
        <v>3</v>
      </c>
      <c r="U1401" s="5" t="s">
        <v>17574</v>
      </c>
      <c r="V1401" s="5" t="s">
        <v>17574</v>
      </c>
      <c r="W1401" s="5" t="s">
        <v>17574</v>
      </c>
      <c r="X1401" s="5" t="s">
        <v>17574</v>
      </c>
      <c r="Y1401" s="4">
        <v>507</v>
      </c>
      <c r="Z1401" s="4">
        <v>437</v>
      </c>
      <c r="AA1401" s="4">
        <v>456</v>
      </c>
      <c r="AB1401" s="4">
        <v>2</v>
      </c>
      <c r="AC1401" s="4">
        <v>2</v>
      </c>
      <c r="AD1401" s="4">
        <v>20</v>
      </c>
      <c r="AE1401" s="4">
        <v>21</v>
      </c>
      <c r="AF1401" s="4">
        <v>10</v>
      </c>
      <c r="AG1401" s="4">
        <v>11</v>
      </c>
      <c r="AH1401" s="4">
        <v>4</v>
      </c>
      <c r="AI1401" s="4">
        <v>5</v>
      </c>
      <c r="AJ1401" s="4">
        <v>11</v>
      </c>
      <c r="AK1401" s="4">
        <v>11</v>
      </c>
      <c r="AL1401" s="4">
        <v>1</v>
      </c>
      <c r="AM1401" s="4">
        <v>1</v>
      </c>
      <c r="AN1401" s="4">
        <v>0</v>
      </c>
      <c r="AO1401" s="4">
        <v>0</v>
      </c>
      <c r="AP1401" s="3" t="s">
        <v>58</v>
      </c>
      <c r="AQ1401" s="3" t="s">
        <v>68</v>
      </c>
      <c r="AR1401" s="6" t="str">
        <f>HYPERLINK("http://catalog.hathitrust.org/Record/005089201","HathiTrust Record")</f>
        <v>HathiTrust Record</v>
      </c>
      <c r="AS1401" s="6" t="str">
        <f>HYPERLINK("https://creighton-primo.hosted.exlibrisgroup.com/primo-explore/search?tab=default_tab&amp;search_scope=EVERYTHING&amp;vid=01CRU&amp;lang=en_US&amp;offset=0&amp;query=any,contains,991004851149702656","Catalog Record")</f>
        <v>Catalog Record</v>
      </c>
      <c r="AT1401" s="6" t="str">
        <f>HYPERLINK("http://www.worldcat.org/oclc/59098891","WorldCat Record")</f>
        <v>WorldCat Record</v>
      </c>
      <c r="AU1401" s="3" t="s">
        <v>17575</v>
      </c>
      <c r="AV1401" s="3" t="s">
        <v>17576</v>
      </c>
      <c r="AW1401" s="3" t="s">
        <v>17577</v>
      </c>
      <c r="AX1401" s="3" t="s">
        <v>17577</v>
      </c>
      <c r="AY1401" s="3" t="s">
        <v>17578</v>
      </c>
      <c r="AZ1401" s="3" t="s">
        <v>73</v>
      </c>
      <c r="BB1401" s="3" t="s">
        <v>17579</v>
      </c>
      <c r="BC1401" s="3" t="s">
        <v>17580</v>
      </c>
      <c r="BD1401" s="3" t="s">
        <v>17581</v>
      </c>
    </row>
    <row r="1402" spans="1:56" ht="51" customHeight="1" x14ac:dyDescent="0.25">
      <c r="A1402" s="7" t="s">
        <v>58</v>
      </c>
      <c r="B1402" s="2" t="s">
        <v>17582</v>
      </c>
      <c r="C1402" s="2" t="s">
        <v>17583</v>
      </c>
      <c r="D1402" s="2" t="s">
        <v>17584</v>
      </c>
      <c r="F1402" s="3" t="s">
        <v>58</v>
      </c>
      <c r="G1402" s="3" t="s">
        <v>59</v>
      </c>
      <c r="H1402" s="3" t="s">
        <v>58</v>
      </c>
      <c r="I1402" s="3" t="s">
        <v>58</v>
      </c>
      <c r="J1402" s="3" t="s">
        <v>60</v>
      </c>
      <c r="K1402" s="2" t="s">
        <v>17585</v>
      </c>
      <c r="L1402" s="2" t="s">
        <v>17586</v>
      </c>
      <c r="M1402" s="3" t="s">
        <v>745</v>
      </c>
      <c r="O1402" s="3" t="s">
        <v>63</v>
      </c>
      <c r="P1402" s="3" t="s">
        <v>354</v>
      </c>
      <c r="Q1402" s="2" t="s">
        <v>17587</v>
      </c>
      <c r="R1402" s="3" t="s">
        <v>65</v>
      </c>
      <c r="S1402" s="4">
        <v>3</v>
      </c>
      <c r="T1402" s="4">
        <v>3</v>
      </c>
      <c r="U1402" s="5" t="s">
        <v>17588</v>
      </c>
      <c r="V1402" s="5" t="s">
        <v>17588</v>
      </c>
      <c r="W1402" s="5" t="s">
        <v>12787</v>
      </c>
      <c r="X1402" s="5" t="s">
        <v>12787</v>
      </c>
      <c r="Y1402" s="4">
        <v>988</v>
      </c>
      <c r="Z1402" s="4">
        <v>882</v>
      </c>
      <c r="AA1402" s="4">
        <v>897</v>
      </c>
      <c r="AB1402" s="4">
        <v>7</v>
      </c>
      <c r="AC1402" s="4">
        <v>7</v>
      </c>
      <c r="AD1402" s="4">
        <v>35</v>
      </c>
      <c r="AE1402" s="4">
        <v>36</v>
      </c>
      <c r="AF1402" s="4">
        <v>15</v>
      </c>
      <c r="AG1402" s="4">
        <v>15</v>
      </c>
      <c r="AH1402" s="4">
        <v>7</v>
      </c>
      <c r="AI1402" s="4">
        <v>8</v>
      </c>
      <c r="AJ1402" s="4">
        <v>16</v>
      </c>
      <c r="AK1402" s="4">
        <v>16</v>
      </c>
      <c r="AL1402" s="4">
        <v>6</v>
      </c>
      <c r="AM1402" s="4">
        <v>6</v>
      </c>
      <c r="AN1402" s="4">
        <v>0</v>
      </c>
      <c r="AO1402" s="4">
        <v>0</v>
      </c>
      <c r="AP1402" s="3" t="s">
        <v>58</v>
      </c>
      <c r="AQ1402" s="3" t="s">
        <v>68</v>
      </c>
      <c r="AR1402" s="6" t="str">
        <f>HYPERLINK("http://catalog.hathitrust.org/Record/001255315","HathiTrust Record")</f>
        <v>HathiTrust Record</v>
      </c>
      <c r="AS1402" s="6" t="str">
        <f>HYPERLINK("https://creighton-primo.hosted.exlibrisgroup.com/primo-explore/search?tab=default_tab&amp;search_scope=EVERYTHING&amp;vid=01CRU&amp;lang=en_US&amp;offset=0&amp;query=any,contains,991003340819702656","Catalog Record")</f>
        <v>Catalog Record</v>
      </c>
      <c r="AT1402" s="6" t="str">
        <f>HYPERLINK("http://www.worldcat.org/oclc/871871","WorldCat Record")</f>
        <v>WorldCat Record</v>
      </c>
      <c r="AU1402" s="3" t="s">
        <v>17589</v>
      </c>
      <c r="AV1402" s="3" t="s">
        <v>17590</v>
      </c>
      <c r="AW1402" s="3" t="s">
        <v>17591</v>
      </c>
      <c r="AX1402" s="3" t="s">
        <v>17591</v>
      </c>
      <c r="AY1402" s="3" t="s">
        <v>17592</v>
      </c>
      <c r="AZ1402" s="3" t="s">
        <v>73</v>
      </c>
      <c r="BC1402" s="3" t="s">
        <v>17593</v>
      </c>
      <c r="BD1402" s="3" t="s">
        <v>17594</v>
      </c>
    </row>
    <row r="1403" spans="1:56" ht="51" customHeight="1" x14ac:dyDescent="0.25">
      <c r="A1403" s="7" t="s">
        <v>58</v>
      </c>
      <c r="B1403" s="2" t="s">
        <v>17595</v>
      </c>
      <c r="C1403" s="2" t="s">
        <v>17596</v>
      </c>
      <c r="D1403" s="2" t="s">
        <v>17597</v>
      </c>
      <c r="E1403" s="3" t="s">
        <v>210</v>
      </c>
      <c r="F1403" s="3" t="s">
        <v>68</v>
      </c>
      <c r="G1403" s="3" t="s">
        <v>59</v>
      </c>
      <c r="H1403" s="3" t="s">
        <v>58</v>
      </c>
      <c r="I1403" s="3" t="s">
        <v>58</v>
      </c>
      <c r="J1403" s="3" t="s">
        <v>60</v>
      </c>
      <c r="K1403" s="2" t="s">
        <v>17598</v>
      </c>
      <c r="L1403" s="2" t="s">
        <v>17599</v>
      </c>
      <c r="M1403" s="3" t="s">
        <v>745</v>
      </c>
      <c r="O1403" s="3" t="s">
        <v>63</v>
      </c>
      <c r="P1403" s="3" t="s">
        <v>214</v>
      </c>
      <c r="R1403" s="3" t="s">
        <v>65</v>
      </c>
      <c r="S1403" s="4">
        <v>0</v>
      </c>
      <c r="T1403" s="4">
        <v>1</v>
      </c>
      <c r="V1403" s="5" t="s">
        <v>11400</v>
      </c>
      <c r="W1403" s="5" t="s">
        <v>17600</v>
      </c>
      <c r="X1403" s="5" t="s">
        <v>17600</v>
      </c>
      <c r="Y1403" s="4">
        <v>1124</v>
      </c>
      <c r="Z1403" s="4">
        <v>1048</v>
      </c>
      <c r="AA1403" s="4">
        <v>1077</v>
      </c>
      <c r="AB1403" s="4">
        <v>5</v>
      </c>
      <c r="AC1403" s="4">
        <v>5</v>
      </c>
      <c r="AD1403" s="4">
        <v>39</v>
      </c>
      <c r="AE1403" s="4">
        <v>41</v>
      </c>
      <c r="AF1403" s="4">
        <v>17</v>
      </c>
      <c r="AG1403" s="4">
        <v>18</v>
      </c>
      <c r="AH1403" s="4">
        <v>11</v>
      </c>
      <c r="AI1403" s="4">
        <v>11</v>
      </c>
      <c r="AJ1403" s="4">
        <v>18</v>
      </c>
      <c r="AK1403" s="4">
        <v>20</v>
      </c>
      <c r="AL1403" s="4">
        <v>4</v>
      </c>
      <c r="AM1403" s="4">
        <v>4</v>
      </c>
      <c r="AN1403" s="4">
        <v>0</v>
      </c>
      <c r="AO1403" s="4">
        <v>0</v>
      </c>
      <c r="AP1403" s="3" t="s">
        <v>58</v>
      </c>
      <c r="AQ1403" s="3" t="s">
        <v>68</v>
      </c>
      <c r="AR1403" s="6" t="str">
        <f>HYPERLINK("http://catalog.hathitrust.org/Record/001255320","HathiTrust Record")</f>
        <v>HathiTrust Record</v>
      </c>
      <c r="AS1403" s="6" t="str">
        <f>HYPERLINK("https://creighton-primo.hosted.exlibrisgroup.com/primo-explore/search?tab=default_tab&amp;search_scope=EVERYTHING&amp;vid=01CRU&amp;lang=en_US&amp;offset=0&amp;query=any,contains,991002715719702656","Catalog Record")</f>
        <v>Catalog Record</v>
      </c>
      <c r="AT1403" s="6" t="str">
        <f>HYPERLINK("http://www.worldcat.org/oclc/411224","WorldCat Record")</f>
        <v>WorldCat Record</v>
      </c>
      <c r="AU1403" s="3" t="s">
        <v>17601</v>
      </c>
      <c r="AV1403" s="3" t="s">
        <v>17602</v>
      </c>
      <c r="AW1403" s="3" t="s">
        <v>17603</v>
      </c>
      <c r="AX1403" s="3" t="s">
        <v>17603</v>
      </c>
      <c r="AY1403" s="3" t="s">
        <v>17604</v>
      </c>
      <c r="AZ1403" s="3" t="s">
        <v>73</v>
      </c>
      <c r="BC1403" s="3" t="s">
        <v>17605</v>
      </c>
      <c r="BD1403" s="3" t="s">
        <v>17606</v>
      </c>
    </row>
    <row r="1404" spans="1:56" ht="51" customHeight="1" x14ac:dyDescent="0.25">
      <c r="A1404" s="7" t="s">
        <v>58</v>
      </c>
      <c r="B1404" s="2" t="s">
        <v>17595</v>
      </c>
      <c r="C1404" s="2" t="s">
        <v>17596</v>
      </c>
      <c r="D1404" s="2" t="s">
        <v>17597</v>
      </c>
      <c r="E1404" s="3" t="s">
        <v>223</v>
      </c>
      <c r="F1404" s="3" t="s">
        <v>68</v>
      </c>
      <c r="G1404" s="3" t="s">
        <v>59</v>
      </c>
      <c r="H1404" s="3" t="s">
        <v>58</v>
      </c>
      <c r="I1404" s="3" t="s">
        <v>58</v>
      </c>
      <c r="J1404" s="3" t="s">
        <v>60</v>
      </c>
      <c r="K1404" s="2" t="s">
        <v>17598</v>
      </c>
      <c r="L1404" s="2" t="s">
        <v>17599</v>
      </c>
      <c r="M1404" s="3" t="s">
        <v>745</v>
      </c>
      <c r="O1404" s="3" t="s">
        <v>63</v>
      </c>
      <c r="P1404" s="3" t="s">
        <v>214</v>
      </c>
      <c r="R1404" s="3" t="s">
        <v>65</v>
      </c>
      <c r="S1404" s="4">
        <v>1</v>
      </c>
      <c r="T1404" s="4">
        <v>1</v>
      </c>
      <c r="U1404" s="5" t="s">
        <v>11400</v>
      </c>
      <c r="V1404" s="5" t="s">
        <v>11400</v>
      </c>
      <c r="W1404" s="5" t="s">
        <v>17607</v>
      </c>
      <c r="X1404" s="5" t="s">
        <v>17600</v>
      </c>
      <c r="Y1404" s="4">
        <v>1124</v>
      </c>
      <c r="Z1404" s="4">
        <v>1048</v>
      </c>
      <c r="AA1404" s="4">
        <v>1077</v>
      </c>
      <c r="AB1404" s="4">
        <v>5</v>
      </c>
      <c r="AC1404" s="4">
        <v>5</v>
      </c>
      <c r="AD1404" s="4">
        <v>39</v>
      </c>
      <c r="AE1404" s="4">
        <v>41</v>
      </c>
      <c r="AF1404" s="4">
        <v>17</v>
      </c>
      <c r="AG1404" s="4">
        <v>18</v>
      </c>
      <c r="AH1404" s="4">
        <v>11</v>
      </c>
      <c r="AI1404" s="4">
        <v>11</v>
      </c>
      <c r="AJ1404" s="4">
        <v>18</v>
      </c>
      <c r="AK1404" s="4">
        <v>20</v>
      </c>
      <c r="AL1404" s="4">
        <v>4</v>
      </c>
      <c r="AM1404" s="4">
        <v>4</v>
      </c>
      <c r="AN1404" s="4">
        <v>0</v>
      </c>
      <c r="AO1404" s="4">
        <v>0</v>
      </c>
      <c r="AP1404" s="3" t="s">
        <v>58</v>
      </c>
      <c r="AQ1404" s="3" t="s">
        <v>68</v>
      </c>
      <c r="AR1404" s="6" t="str">
        <f>HYPERLINK("http://catalog.hathitrust.org/Record/001255320","HathiTrust Record")</f>
        <v>HathiTrust Record</v>
      </c>
      <c r="AS1404" s="6" t="str">
        <f>HYPERLINK("https://creighton-primo.hosted.exlibrisgroup.com/primo-explore/search?tab=default_tab&amp;search_scope=EVERYTHING&amp;vid=01CRU&amp;lang=en_US&amp;offset=0&amp;query=any,contains,991002715719702656","Catalog Record")</f>
        <v>Catalog Record</v>
      </c>
      <c r="AT1404" s="6" t="str">
        <f>HYPERLINK("http://www.worldcat.org/oclc/411224","WorldCat Record")</f>
        <v>WorldCat Record</v>
      </c>
      <c r="AU1404" s="3" t="s">
        <v>17601</v>
      </c>
      <c r="AV1404" s="3" t="s">
        <v>17602</v>
      </c>
      <c r="AW1404" s="3" t="s">
        <v>17603</v>
      </c>
      <c r="AX1404" s="3" t="s">
        <v>17603</v>
      </c>
      <c r="AY1404" s="3" t="s">
        <v>17604</v>
      </c>
      <c r="AZ1404" s="3" t="s">
        <v>73</v>
      </c>
      <c r="BC1404" s="3" t="s">
        <v>17608</v>
      </c>
      <c r="BD1404" s="3" t="s">
        <v>17609</v>
      </c>
    </row>
    <row r="1405" spans="1:56" ht="51" customHeight="1" x14ac:dyDescent="0.25">
      <c r="A1405" s="7" t="s">
        <v>58</v>
      </c>
      <c r="B1405" s="2" t="s">
        <v>17610</v>
      </c>
      <c r="C1405" s="2" t="s">
        <v>17611</v>
      </c>
      <c r="D1405" s="2" t="s">
        <v>17612</v>
      </c>
      <c r="F1405" s="3" t="s">
        <v>58</v>
      </c>
      <c r="G1405" s="3" t="s">
        <v>59</v>
      </c>
      <c r="H1405" s="3" t="s">
        <v>58</v>
      </c>
      <c r="I1405" s="3" t="s">
        <v>58</v>
      </c>
      <c r="J1405" s="3" t="s">
        <v>60</v>
      </c>
      <c r="K1405" s="2" t="s">
        <v>17613</v>
      </c>
      <c r="L1405" s="2" t="s">
        <v>17614</v>
      </c>
      <c r="M1405" s="3" t="s">
        <v>62</v>
      </c>
      <c r="O1405" s="3" t="s">
        <v>63</v>
      </c>
      <c r="P1405" s="3" t="s">
        <v>214</v>
      </c>
      <c r="R1405" s="3" t="s">
        <v>65</v>
      </c>
      <c r="S1405" s="4">
        <v>3</v>
      </c>
      <c r="T1405" s="4">
        <v>3</v>
      </c>
      <c r="U1405" s="5" t="s">
        <v>17615</v>
      </c>
      <c r="V1405" s="5" t="s">
        <v>17615</v>
      </c>
      <c r="W1405" s="5" t="s">
        <v>9546</v>
      </c>
      <c r="X1405" s="5" t="s">
        <v>9546</v>
      </c>
      <c r="Y1405" s="4">
        <v>716</v>
      </c>
      <c r="Z1405" s="4">
        <v>620</v>
      </c>
      <c r="AA1405" s="4">
        <v>623</v>
      </c>
      <c r="AB1405" s="4">
        <v>7</v>
      </c>
      <c r="AC1405" s="4">
        <v>7</v>
      </c>
      <c r="AD1405" s="4">
        <v>26</v>
      </c>
      <c r="AE1405" s="4">
        <v>26</v>
      </c>
      <c r="AF1405" s="4">
        <v>5</v>
      </c>
      <c r="AG1405" s="4">
        <v>5</v>
      </c>
      <c r="AH1405" s="4">
        <v>7</v>
      </c>
      <c r="AI1405" s="4">
        <v>7</v>
      </c>
      <c r="AJ1405" s="4">
        <v>13</v>
      </c>
      <c r="AK1405" s="4">
        <v>13</v>
      </c>
      <c r="AL1405" s="4">
        <v>5</v>
      </c>
      <c r="AM1405" s="4">
        <v>5</v>
      </c>
      <c r="AN1405" s="4">
        <v>2</v>
      </c>
      <c r="AO1405" s="4">
        <v>2</v>
      </c>
      <c r="AP1405" s="3" t="s">
        <v>58</v>
      </c>
      <c r="AQ1405" s="3" t="s">
        <v>68</v>
      </c>
      <c r="AR1405" s="6" t="str">
        <f>HYPERLINK("http://catalog.hathitrust.org/Record/000236800","HathiTrust Record")</f>
        <v>HathiTrust Record</v>
      </c>
      <c r="AS1405" s="6" t="str">
        <f>HYPERLINK("https://creighton-primo.hosted.exlibrisgroup.com/primo-explore/search?tab=default_tab&amp;search_scope=EVERYTHING&amp;vid=01CRU&amp;lang=en_US&amp;offset=0&amp;query=any,contains,991000815419702656","Catalog Record")</f>
        <v>Catalog Record</v>
      </c>
      <c r="AT1405" s="6" t="str">
        <f>HYPERLINK("http://www.worldcat.org/oclc/142326","WorldCat Record")</f>
        <v>WorldCat Record</v>
      </c>
      <c r="AU1405" s="3" t="s">
        <v>17616</v>
      </c>
      <c r="AV1405" s="3" t="s">
        <v>17617</v>
      </c>
      <c r="AW1405" s="3" t="s">
        <v>17618</v>
      </c>
      <c r="AX1405" s="3" t="s">
        <v>17618</v>
      </c>
      <c r="AY1405" s="3" t="s">
        <v>17619</v>
      </c>
      <c r="AZ1405" s="3" t="s">
        <v>73</v>
      </c>
      <c r="BB1405" s="3" t="s">
        <v>17620</v>
      </c>
      <c r="BC1405" s="3" t="s">
        <v>17621</v>
      </c>
      <c r="BD1405" s="3" t="s">
        <v>17622</v>
      </c>
    </row>
    <row r="1406" spans="1:56" ht="51" customHeight="1" x14ac:dyDescent="0.25">
      <c r="A1406" s="7" t="s">
        <v>58</v>
      </c>
      <c r="B1406" s="2" t="s">
        <v>17623</v>
      </c>
      <c r="C1406" s="2" t="s">
        <v>17624</v>
      </c>
      <c r="D1406" s="2" t="s">
        <v>17625</v>
      </c>
      <c r="F1406" s="3" t="s">
        <v>58</v>
      </c>
      <c r="G1406" s="3" t="s">
        <v>59</v>
      </c>
      <c r="H1406" s="3" t="s">
        <v>58</v>
      </c>
      <c r="I1406" s="3" t="s">
        <v>58</v>
      </c>
      <c r="J1406" s="3" t="s">
        <v>60</v>
      </c>
      <c r="K1406" s="2" t="s">
        <v>17626</v>
      </c>
      <c r="L1406" s="2" t="s">
        <v>17627</v>
      </c>
      <c r="M1406" s="3" t="s">
        <v>1499</v>
      </c>
      <c r="O1406" s="3" t="s">
        <v>63</v>
      </c>
      <c r="P1406" s="3" t="s">
        <v>584</v>
      </c>
      <c r="R1406" s="3" t="s">
        <v>65</v>
      </c>
      <c r="S1406" s="4">
        <v>1</v>
      </c>
      <c r="T1406" s="4">
        <v>1</v>
      </c>
      <c r="U1406" s="5" t="s">
        <v>12903</v>
      </c>
      <c r="V1406" s="5" t="s">
        <v>12903</v>
      </c>
      <c r="W1406" s="5" t="s">
        <v>3707</v>
      </c>
      <c r="X1406" s="5" t="s">
        <v>3707</v>
      </c>
      <c r="Y1406" s="4">
        <v>916</v>
      </c>
      <c r="Z1406" s="4">
        <v>752</v>
      </c>
      <c r="AA1406" s="4">
        <v>756</v>
      </c>
      <c r="AB1406" s="4">
        <v>5</v>
      </c>
      <c r="AC1406" s="4">
        <v>6</v>
      </c>
      <c r="AD1406" s="4">
        <v>34</v>
      </c>
      <c r="AE1406" s="4">
        <v>35</v>
      </c>
      <c r="AF1406" s="4">
        <v>12</v>
      </c>
      <c r="AG1406" s="4">
        <v>12</v>
      </c>
      <c r="AH1406" s="4">
        <v>10</v>
      </c>
      <c r="AI1406" s="4">
        <v>10</v>
      </c>
      <c r="AJ1406" s="4">
        <v>17</v>
      </c>
      <c r="AK1406" s="4">
        <v>17</v>
      </c>
      <c r="AL1406" s="4">
        <v>4</v>
      </c>
      <c r="AM1406" s="4">
        <v>5</v>
      </c>
      <c r="AN1406" s="4">
        <v>0</v>
      </c>
      <c r="AO1406" s="4">
        <v>0</v>
      </c>
      <c r="AP1406" s="3" t="s">
        <v>58</v>
      </c>
      <c r="AQ1406" s="3" t="s">
        <v>68</v>
      </c>
      <c r="AR1406" s="6" t="str">
        <f>HYPERLINK("http://catalog.hathitrust.org/Record/001255331","HathiTrust Record")</f>
        <v>HathiTrust Record</v>
      </c>
      <c r="AS1406" s="6" t="str">
        <f>HYPERLINK("https://creighton-primo.hosted.exlibrisgroup.com/primo-explore/search?tab=default_tab&amp;search_scope=EVERYTHING&amp;vid=01CRU&amp;lang=en_US&amp;offset=0&amp;query=any,contains,991002715689702656","Catalog Record")</f>
        <v>Catalog Record</v>
      </c>
      <c r="AT1406" s="6" t="str">
        <f>HYPERLINK("http://www.worldcat.org/oclc/411221","WorldCat Record")</f>
        <v>WorldCat Record</v>
      </c>
      <c r="AU1406" s="3" t="s">
        <v>17628</v>
      </c>
      <c r="AV1406" s="3" t="s">
        <v>17629</v>
      </c>
      <c r="AW1406" s="3" t="s">
        <v>17630</v>
      </c>
      <c r="AX1406" s="3" t="s">
        <v>17630</v>
      </c>
      <c r="AY1406" s="3" t="s">
        <v>17631</v>
      </c>
      <c r="AZ1406" s="3" t="s">
        <v>73</v>
      </c>
      <c r="BC1406" s="3" t="s">
        <v>17632</v>
      </c>
      <c r="BD1406" s="3" t="s">
        <v>17633</v>
      </c>
    </row>
    <row r="1407" spans="1:56" ht="51" customHeight="1" x14ac:dyDescent="0.25">
      <c r="A1407" s="7" t="s">
        <v>58</v>
      </c>
      <c r="B1407" s="2" t="s">
        <v>17634</v>
      </c>
      <c r="C1407" s="2" t="s">
        <v>17635</v>
      </c>
      <c r="D1407" s="2" t="s">
        <v>17636</v>
      </c>
      <c r="F1407" s="3" t="s">
        <v>58</v>
      </c>
      <c r="G1407" s="3" t="s">
        <v>59</v>
      </c>
      <c r="H1407" s="3" t="s">
        <v>58</v>
      </c>
      <c r="I1407" s="3" t="s">
        <v>58</v>
      </c>
      <c r="J1407" s="3" t="s">
        <v>60</v>
      </c>
      <c r="K1407" s="2" t="s">
        <v>17637</v>
      </c>
      <c r="L1407" s="2" t="s">
        <v>17638</v>
      </c>
      <c r="M1407" s="3" t="s">
        <v>2132</v>
      </c>
      <c r="N1407" s="2" t="s">
        <v>2091</v>
      </c>
      <c r="O1407" s="3" t="s">
        <v>63</v>
      </c>
      <c r="P1407" s="3" t="s">
        <v>214</v>
      </c>
      <c r="R1407" s="3" t="s">
        <v>65</v>
      </c>
      <c r="S1407" s="4">
        <v>5</v>
      </c>
      <c r="T1407" s="4">
        <v>5</v>
      </c>
      <c r="U1407" s="5" t="s">
        <v>17639</v>
      </c>
      <c r="V1407" s="5" t="s">
        <v>17639</v>
      </c>
      <c r="W1407" s="5" t="s">
        <v>17640</v>
      </c>
      <c r="X1407" s="5" t="s">
        <v>17640</v>
      </c>
      <c r="Y1407" s="4">
        <v>621</v>
      </c>
      <c r="Z1407" s="4">
        <v>575</v>
      </c>
      <c r="AA1407" s="4">
        <v>1798</v>
      </c>
      <c r="AB1407" s="4">
        <v>3</v>
      </c>
      <c r="AC1407" s="4">
        <v>14</v>
      </c>
      <c r="AD1407" s="4">
        <v>19</v>
      </c>
      <c r="AE1407" s="4">
        <v>55</v>
      </c>
      <c r="AF1407" s="4">
        <v>8</v>
      </c>
      <c r="AG1407" s="4">
        <v>24</v>
      </c>
      <c r="AH1407" s="4">
        <v>5</v>
      </c>
      <c r="AI1407" s="4">
        <v>11</v>
      </c>
      <c r="AJ1407" s="4">
        <v>7</v>
      </c>
      <c r="AK1407" s="4">
        <v>23</v>
      </c>
      <c r="AL1407" s="4">
        <v>1</v>
      </c>
      <c r="AM1407" s="4">
        <v>8</v>
      </c>
      <c r="AN1407" s="4">
        <v>0</v>
      </c>
      <c r="AO1407" s="4">
        <v>2</v>
      </c>
      <c r="AP1407" s="3" t="s">
        <v>58</v>
      </c>
      <c r="AQ1407" s="3" t="s">
        <v>68</v>
      </c>
      <c r="AR1407" s="6" t="str">
        <f>HYPERLINK("http://catalog.hathitrust.org/Record/001255334","HathiTrust Record")</f>
        <v>HathiTrust Record</v>
      </c>
      <c r="AS1407" s="6" t="str">
        <f>HYPERLINK("https://creighton-primo.hosted.exlibrisgroup.com/primo-explore/search?tab=default_tab&amp;search_scope=EVERYTHING&amp;vid=01CRU&amp;lang=en_US&amp;offset=0&amp;query=any,contains,991002715659702656","Catalog Record")</f>
        <v>Catalog Record</v>
      </c>
      <c r="AT1407" s="6" t="str">
        <f>HYPERLINK("http://www.worldcat.org/oclc/411218","WorldCat Record")</f>
        <v>WorldCat Record</v>
      </c>
      <c r="AU1407" s="3" t="s">
        <v>17641</v>
      </c>
      <c r="AV1407" s="3" t="s">
        <v>17642</v>
      </c>
      <c r="AW1407" s="3" t="s">
        <v>17643</v>
      </c>
      <c r="AX1407" s="3" t="s">
        <v>17643</v>
      </c>
      <c r="AY1407" s="3" t="s">
        <v>17644</v>
      </c>
      <c r="AZ1407" s="3" t="s">
        <v>73</v>
      </c>
      <c r="BC1407" s="3" t="s">
        <v>17645</v>
      </c>
      <c r="BD1407" s="3" t="s">
        <v>17646</v>
      </c>
    </row>
    <row r="1408" spans="1:56" ht="51" customHeight="1" x14ac:dyDescent="0.25">
      <c r="A1408" s="7" t="s">
        <v>58</v>
      </c>
      <c r="B1408" s="2" t="s">
        <v>17647</v>
      </c>
      <c r="C1408" s="2" t="s">
        <v>17648</v>
      </c>
      <c r="D1408" s="2" t="s">
        <v>17649</v>
      </c>
      <c r="F1408" s="3" t="s">
        <v>58</v>
      </c>
      <c r="G1408" s="3" t="s">
        <v>59</v>
      </c>
      <c r="H1408" s="3" t="s">
        <v>58</v>
      </c>
      <c r="I1408" s="3" t="s">
        <v>58</v>
      </c>
      <c r="J1408" s="3" t="s">
        <v>60</v>
      </c>
      <c r="K1408" s="2" t="s">
        <v>16971</v>
      </c>
      <c r="L1408" s="2" t="s">
        <v>17650</v>
      </c>
      <c r="M1408" s="3" t="s">
        <v>2132</v>
      </c>
      <c r="O1408" s="3" t="s">
        <v>63</v>
      </c>
      <c r="P1408" s="3" t="s">
        <v>510</v>
      </c>
      <c r="R1408" s="3" t="s">
        <v>65</v>
      </c>
      <c r="S1408" s="4">
        <v>8</v>
      </c>
      <c r="T1408" s="4">
        <v>8</v>
      </c>
      <c r="U1408" s="5" t="s">
        <v>16973</v>
      </c>
      <c r="V1408" s="5" t="s">
        <v>16973</v>
      </c>
      <c r="W1408" s="5" t="s">
        <v>7194</v>
      </c>
      <c r="X1408" s="5" t="s">
        <v>7194</v>
      </c>
      <c r="Y1408" s="4">
        <v>1127</v>
      </c>
      <c r="Z1408" s="4">
        <v>1015</v>
      </c>
      <c r="AA1408" s="4">
        <v>1070</v>
      </c>
      <c r="AB1408" s="4">
        <v>8</v>
      </c>
      <c r="AC1408" s="4">
        <v>8</v>
      </c>
      <c r="AD1408" s="4">
        <v>42</v>
      </c>
      <c r="AE1408" s="4">
        <v>43</v>
      </c>
      <c r="AF1408" s="4">
        <v>18</v>
      </c>
      <c r="AG1408" s="4">
        <v>19</v>
      </c>
      <c r="AH1408" s="4">
        <v>9</v>
      </c>
      <c r="AI1408" s="4">
        <v>9</v>
      </c>
      <c r="AJ1408" s="4">
        <v>20</v>
      </c>
      <c r="AK1408" s="4">
        <v>20</v>
      </c>
      <c r="AL1408" s="4">
        <v>7</v>
      </c>
      <c r="AM1408" s="4">
        <v>7</v>
      </c>
      <c r="AN1408" s="4">
        <v>0</v>
      </c>
      <c r="AO1408" s="4">
        <v>0</v>
      </c>
      <c r="AP1408" s="3" t="s">
        <v>58</v>
      </c>
      <c r="AQ1408" s="3" t="s">
        <v>58</v>
      </c>
      <c r="AS1408" s="6" t="str">
        <f>HYPERLINK("https://creighton-primo.hosted.exlibrisgroup.com/primo-explore/search?tab=default_tab&amp;search_scope=EVERYTHING&amp;vid=01CRU&amp;lang=en_US&amp;offset=0&amp;query=any,contains,991002716129702656","Catalog Record")</f>
        <v>Catalog Record</v>
      </c>
      <c r="AT1408" s="6" t="str">
        <f>HYPERLINK("http://www.worldcat.org/oclc/411344","WorldCat Record")</f>
        <v>WorldCat Record</v>
      </c>
      <c r="AU1408" s="3" t="s">
        <v>17651</v>
      </c>
      <c r="AV1408" s="3" t="s">
        <v>17652</v>
      </c>
      <c r="AW1408" s="3" t="s">
        <v>17653</v>
      </c>
      <c r="AX1408" s="3" t="s">
        <v>17653</v>
      </c>
      <c r="AY1408" s="3" t="s">
        <v>17654</v>
      </c>
      <c r="AZ1408" s="3" t="s">
        <v>73</v>
      </c>
      <c r="BC1408" s="3" t="s">
        <v>17655</v>
      </c>
      <c r="BD1408" s="3" t="s">
        <v>17656</v>
      </c>
    </row>
    <row r="1409" spans="1:56" ht="51" customHeight="1" x14ac:dyDescent="0.25">
      <c r="A1409" s="7" t="s">
        <v>58</v>
      </c>
      <c r="B1409" s="2" t="s">
        <v>17657</v>
      </c>
      <c r="C1409" s="2" t="s">
        <v>17658</v>
      </c>
      <c r="D1409" s="2" t="s">
        <v>17659</v>
      </c>
      <c r="F1409" s="3" t="s">
        <v>58</v>
      </c>
      <c r="G1409" s="3" t="s">
        <v>59</v>
      </c>
      <c r="H1409" s="3" t="s">
        <v>58</v>
      </c>
      <c r="I1409" s="3" t="s">
        <v>58</v>
      </c>
      <c r="J1409" s="3" t="s">
        <v>60</v>
      </c>
      <c r="K1409" s="2" t="s">
        <v>17660</v>
      </c>
      <c r="L1409" s="2" t="s">
        <v>17661</v>
      </c>
      <c r="M1409" s="3" t="s">
        <v>62</v>
      </c>
      <c r="O1409" s="3" t="s">
        <v>63</v>
      </c>
      <c r="P1409" s="3" t="s">
        <v>816</v>
      </c>
      <c r="Q1409" s="2" t="s">
        <v>17662</v>
      </c>
      <c r="R1409" s="3" t="s">
        <v>65</v>
      </c>
      <c r="S1409" s="4">
        <v>5</v>
      </c>
      <c r="T1409" s="4">
        <v>5</v>
      </c>
      <c r="U1409" s="5" t="s">
        <v>17663</v>
      </c>
      <c r="V1409" s="5" t="s">
        <v>17663</v>
      </c>
      <c r="W1409" s="5" t="s">
        <v>17664</v>
      </c>
      <c r="X1409" s="5" t="s">
        <v>17664</v>
      </c>
      <c r="Y1409" s="4">
        <v>525</v>
      </c>
      <c r="Z1409" s="4">
        <v>419</v>
      </c>
      <c r="AA1409" s="4">
        <v>438</v>
      </c>
      <c r="AB1409" s="4">
        <v>3</v>
      </c>
      <c r="AC1409" s="4">
        <v>3</v>
      </c>
      <c r="AD1409" s="4">
        <v>17</v>
      </c>
      <c r="AE1409" s="4">
        <v>17</v>
      </c>
      <c r="AF1409" s="4">
        <v>5</v>
      </c>
      <c r="AG1409" s="4">
        <v>5</v>
      </c>
      <c r="AH1409" s="4">
        <v>4</v>
      </c>
      <c r="AI1409" s="4">
        <v>4</v>
      </c>
      <c r="AJ1409" s="4">
        <v>9</v>
      </c>
      <c r="AK1409" s="4">
        <v>9</v>
      </c>
      <c r="AL1409" s="4">
        <v>2</v>
      </c>
      <c r="AM1409" s="4">
        <v>2</v>
      </c>
      <c r="AN1409" s="4">
        <v>0</v>
      </c>
      <c r="AO1409" s="4">
        <v>0</v>
      </c>
      <c r="AP1409" s="3" t="s">
        <v>58</v>
      </c>
      <c r="AQ1409" s="3" t="s">
        <v>68</v>
      </c>
      <c r="AR1409" s="6" t="str">
        <f>HYPERLINK("http://catalog.hathitrust.org/Record/000383736","HathiTrust Record")</f>
        <v>HathiTrust Record</v>
      </c>
      <c r="AS1409" s="6" t="str">
        <f>HYPERLINK("https://creighton-primo.hosted.exlibrisgroup.com/primo-explore/search?tab=default_tab&amp;search_scope=EVERYTHING&amp;vid=01CRU&amp;lang=en_US&amp;offset=0&amp;query=any,contains,991002749969702656","Catalog Record")</f>
        <v>Catalog Record</v>
      </c>
      <c r="AT1409" s="6" t="str">
        <f>HYPERLINK("http://www.worldcat.org/oclc/424154","WorldCat Record")</f>
        <v>WorldCat Record</v>
      </c>
      <c r="AU1409" s="3" t="s">
        <v>17665</v>
      </c>
      <c r="AV1409" s="3" t="s">
        <v>17666</v>
      </c>
      <c r="AW1409" s="3" t="s">
        <v>17667</v>
      </c>
      <c r="AX1409" s="3" t="s">
        <v>17667</v>
      </c>
      <c r="AY1409" s="3" t="s">
        <v>17668</v>
      </c>
      <c r="AZ1409" s="3" t="s">
        <v>73</v>
      </c>
      <c r="BB1409" s="3" t="s">
        <v>17669</v>
      </c>
      <c r="BC1409" s="3" t="s">
        <v>17670</v>
      </c>
      <c r="BD1409" s="3" t="s">
        <v>17671</v>
      </c>
    </row>
    <row r="1410" spans="1:56" ht="51" customHeight="1" x14ac:dyDescent="0.25">
      <c r="A1410" s="7" t="s">
        <v>58</v>
      </c>
      <c r="B1410" s="2" t="s">
        <v>17672</v>
      </c>
      <c r="C1410" s="2" t="s">
        <v>17673</v>
      </c>
      <c r="D1410" s="2" t="s">
        <v>17674</v>
      </c>
      <c r="F1410" s="3" t="s">
        <v>58</v>
      </c>
      <c r="G1410" s="3" t="s">
        <v>59</v>
      </c>
      <c r="H1410" s="3" t="s">
        <v>58</v>
      </c>
      <c r="I1410" s="3" t="s">
        <v>58</v>
      </c>
      <c r="J1410" s="3" t="s">
        <v>60</v>
      </c>
      <c r="K1410" s="2" t="s">
        <v>17675</v>
      </c>
      <c r="L1410" s="2" t="s">
        <v>17676</v>
      </c>
      <c r="M1410" s="3" t="s">
        <v>249</v>
      </c>
      <c r="O1410" s="3" t="s">
        <v>63</v>
      </c>
      <c r="P1410" s="3" t="s">
        <v>495</v>
      </c>
      <c r="R1410" s="3" t="s">
        <v>65</v>
      </c>
      <c r="S1410" s="4">
        <v>7</v>
      </c>
      <c r="T1410" s="4">
        <v>7</v>
      </c>
      <c r="U1410" s="5" t="s">
        <v>17677</v>
      </c>
      <c r="V1410" s="5" t="s">
        <v>17677</v>
      </c>
      <c r="W1410" s="5" t="s">
        <v>17640</v>
      </c>
      <c r="X1410" s="5" t="s">
        <v>17640</v>
      </c>
      <c r="Y1410" s="4">
        <v>480</v>
      </c>
      <c r="Z1410" s="4">
        <v>428</v>
      </c>
      <c r="AA1410" s="4">
        <v>434</v>
      </c>
      <c r="AB1410" s="4">
        <v>5</v>
      </c>
      <c r="AC1410" s="4">
        <v>5</v>
      </c>
      <c r="AD1410" s="4">
        <v>31</v>
      </c>
      <c r="AE1410" s="4">
        <v>31</v>
      </c>
      <c r="AF1410" s="4">
        <v>10</v>
      </c>
      <c r="AG1410" s="4">
        <v>10</v>
      </c>
      <c r="AH1410" s="4">
        <v>8</v>
      </c>
      <c r="AI1410" s="4">
        <v>8</v>
      </c>
      <c r="AJ1410" s="4">
        <v>18</v>
      </c>
      <c r="AK1410" s="4">
        <v>18</v>
      </c>
      <c r="AL1410" s="4">
        <v>3</v>
      </c>
      <c r="AM1410" s="4">
        <v>3</v>
      </c>
      <c r="AN1410" s="4">
        <v>0</v>
      </c>
      <c r="AO1410" s="4">
        <v>0</v>
      </c>
      <c r="AP1410" s="3" t="s">
        <v>58</v>
      </c>
      <c r="AQ1410" s="3" t="s">
        <v>68</v>
      </c>
      <c r="AR1410" s="6" t="str">
        <f>HYPERLINK("http://catalog.hathitrust.org/Record/001255442","HathiTrust Record")</f>
        <v>HathiTrust Record</v>
      </c>
      <c r="AS1410" s="6" t="str">
        <f>HYPERLINK("https://creighton-primo.hosted.exlibrisgroup.com/primo-explore/search?tab=default_tab&amp;search_scope=EVERYTHING&amp;vid=01CRU&amp;lang=en_US&amp;offset=0&amp;query=any,contains,991002715059702656","Catalog Record")</f>
        <v>Catalog Record</v>
      </c>
      <c r="AT1410" s="6" t="str">
        <f>HYPERLINK("http://www.worldcat.org/oclc/411037","WorldCat Record")</f>
        <v>WorldCat Record</v>
      </c>
      <c r="AU1410" s="3" t="s">
        <v>17678</v>
      </c>
      <c r="AV1410" s="3" t="s">
        <v>17679</v>
      </c>
      <c r="AW1410" s="3" t="s">
        <v>17680</v>
      </c>
      <c r="AX1410" s="3" t="s">
        <v>17680</v>
      </c>
      <c r="AY1410" s="3" t="s">
        <v>17681</v>
      </c>
      <c r="AZ1410" s="3" t="s">
        <v>73</v>
      </c>
      <c r="BC1410" s="3" t="s">
        <v>17682</v>
      </c>
      <c r="BD1410" s="3" t="s">
        <v>17683</v>
      </c>
    </row>
    <row r="1411" spans="1:56" ht="51" customHeight="1" x14ac:dyDescent="0.25">
      <c r="A1411" s="7" t="s">
        <v>58</v>
      </c>
      <c r="B1411" s="2" t="s">
        <v>17684</v>
      </c>
      <c r="C1411" s="2" t="s">
        <v>17685</v>
      </c>
      <c r="D1411" s="2" t="s">
        <v>17686</v>
      </c>
      <c r="F1411" s="3" t="s">
        <v>58</v>
      </c>
      <c r="G1411" s="3" t="s">
        <v>59</v>
      </c>
      <c r="H1411" s="3" t="s">
        <v>58</v>
      </c>
      <c r="I1411" s="3" t="s">
        <v>58</v>
      </c>
      <c r="J1411" s="3" t="s">
        <v>60</v>
      </c>
      <c r="K1411" s="2" t="s">
        <v>17687</v>
      </c>
      <c r="L1411" s="2" t="s">
        <v>17688</v>
      </c>
      <c r="M1411" s="3" t="s">
        <v>1499</v>
      </c>
      <c r="N1411" s="2" t="s">
        <v>1470</v>
      </c>
      <c r="O1411" s="3" t="s">
        <v>63</v>
      </c>
      <c r="P1411" s="3" t="s">
        <v>214</v>
      </c>
      <c r="R1411" s="3" t="s">
        <v>65</v>
      </c>
      <c r="S1411" s="4">
        <v>1</v>
      </c>
      <c r="T1411" s="4">
        <v>1</v>
      </c>
      <c r="U1411" s="5" t="s">
        <v>4620</v>
      </c>
      <c r="V1411" s="5" t="s">
        <v>4620</v>
      </c>
      <c r="W1411" s="5" t="s">
        <v>17640</v>
      </c>
      <c r="X1411" s="5" t="s">
        <v>17640</v>
      </c>
      <c r="Y1411" s="4">
        <v>930</v>
      </c>
      <c r="Z1411" s="4">
        <v>859</v>
      </c>
      <c r="AA1411" s="4">
        <v>878</v>
      </c>
      <c r="AB1411" s="4">
        <v>11</v>
      </c>
      <c r="AC1411" s="4">
        <v>11</v>
      </c>
      <c r="AD1411" s="4">
        <v>35</v>
      </c>
      <c r="AE1411" s="4">
        <v>36</v>
      </c>
      <c r="AF1411" s="4">
        <v>16</v>
      </c>
      <c r="AG1411" s="4">
        <v>16</v>
      </c>
      <c r="AH1411" s="4">
        <v>6</v>
      </c>
      <c r="AI1411" s="4">
        <v>6</v>
      </c>
      <c r="AJ1411" s="4">
        <v>16</v>
      </c>
      <c r="AK1411" s="4">
        <v>17</v>
      </c>
      <c r="AL1411" s="4">
        <v>6</v>
      </c>
      <c r="AM1411" s="4">
        <v>6</v>
      </c>
      <c r="AN1411" s="4">
        <v>0</v>
      </c>
      <c r="AO1411" s="4">
        <v>0</v>
      </c>
      <c r="AP1411" s="3" t="s">
        <v>58</v>
      </c>
      <c r="AQ1411" s="3" t="s">
        <v>68</v>
      </c>
      <c r="AR1411" s="6" t="str">
        <f>HYPERLINK("http://catalog.hathitrust.org/Record/001255388","HathiTrust Record")</f>
        <v>HathiTrust Record</v>
      </c>
      <c r="AS1411" s="6" t="str">
        <f>HYPERLINK("https://creighton-primo.hosted.exlibrisgroup.com/primo-explore/search?tab=default_tab&amp;search_scope=EVERYTHING&amp;vid=01CRU&amp;lang=en_US&amp;offset=0&amp;query=any,contains,991002777119702656","Catalog Record")</f>
        <v>Catalog Record</v>
      </c>
      <c r="AT1411" s="6" t="str">
        <f>HYPERLINK("http://www.worldcat.org/oclc/439100","WorldCat Record")</f>
        <v>WorldCat Record</v>
      </c>
      <c r="AU1411" s="3" t="s">
        <v>17689</v>
      </c>
      <c r="AV1411" s="3" t="s">
        <v>17690</v>
      </c>
      <c r="AW1411" s="3" t="s">
        <v>17691</v>
      </c>
      <c r="AX1411" s="3" t="s">
        <v>17691</v>
      </c>
      <c r="AY1411" s="3" t="s">
        <v>17692</v>
      </c>
      <c r="AZ1411" s="3" t="s">
        <v>73</v>
      </c>
      <c r="BC1411" s="3" t="s">
        <v>17693</v>
      </c>
      <c r="BD1411" s="3" t="s">
        <v>17694</v>
      </c>
    </row>
    <row r="1412" spans="1:56" ht="51" customHeight="1" x14ac:dyDescent="0.25">
      <c r="A1412" s="7" t="s">
        <v>58</v>
      </c>
      <c r="B1412" s="2" t="s">
        <v>17695</v>
      </c>
      <c r="C1412" s="2" t="s">
        <v>17696</v>
      </c>
      <c r="D1412" s="2" t="s">
        <v>17697</v>
      </c>
      <c r="F1412" s="3" t="s">
        <v>58</v>
      </c>
      <c r="G1412" s="3" t="s">
        <v>59</v>
      </c>
      <c r="H1412" s="3" t="s">
        <v>58</v>
      </c>
      <c r="I1412" s="3" t="s">
        <v>58</v>
      </c>
      <c r="J1412" s="3" t="s">
        <v>60</v>
      </c>
      <c r="K1412" s="2" t="s">
        <v>17698</v>
      </c>
      <c r="L1412" s="2" t="s">
        <v>17699</v>
      </c>
      <c r="M1412" s="3" t="s">
        <v>62</v>
      </c>
      <c r="O1412" s="3" t="s">
        <v>63</v>
      </c>
      <c r="P1412" s="3" t="s">
        <v>214</v>
      </c>
      <c r="Q1412" s="2" t="s">
        <v>17700</v>
      </c>
      <c r="R1412" s="3" t="s">
        <v>65</v>
      </c>
      <c r="S1412" s="4">
        <v>3</v>
      </c>
      <c r="T1412" s="4">
        <v>3</v>
      </c>
      <c r="U1412" s="5" t="s">
        <v>17701</v>
      </c>
      <c r="V1412" s="5" t="s">
        <v>17701</v>
      </c>
      <c r="W1412" s="5" t="s">
        <v>17547</v>
      </c>
      <c r="X1412" s="5" t="s">
        <v>17547</v>
      </c>
      <c r="Y1412" s="4">
        <v>511</v>
      </c>
      <c r="Z1412" s="4">
        <v>479</v>
      </c>
      <c r="AA1412" s="4">
        <v>489</v>
      </c>
      <c r="AB1412" s="4">
        <v>6</v>
      </c>
      <c r="AC1412" s="4">
        <v>6</v>
      </c>
      <c r="AD1412" s="4">
        <v>7</v>
      </c>
      <c r="AE1412" s="4">
        <v>7</v>
      </c>
      <c r="AF1412" s="4">
        <v>3</v>
      </c>
      <c r="AG1412" s="4">
        <v>3</v>
      </c>
      <c r="AH1412" s="4">
        <v>2</v>
      </c>
      <c r="AI1412" s="4">
        <v>2</v>
      </c>
      <c r="AJ1412" s="4">
        <v>2</v>
      </c>
      <c r="AK1412" s="4">
        <v>2</v>
      </c>
      <c r="AL1412" s="4">
        <v>2</v>
      </c>
      <c r="AM1412" s="4">
        <v>2</v>
      </c>
      <c r="AN1412" s="4">
        <v>0</v>
      </c>
      <c r="AO1412" s="4">
        <v>0</v>
      </c>
      <c r="AP1412" s="3" t="s">
        <v>58</v>
      </c>
      <c r="AQ1412" s="3" t="s">
        <v>58</v>
      </c>
      <c r="AS1412" s="6" t="str">
        <f>HYPERLINK("https://creighton-primo.hosted.exlibrisgroup.com/primo-explore/search?tab=default_tab&amp;search_scope=EVERYTHING&amp;vid=01CRU&amp;lang=en_US&amp;offset=0&amp;query=any,contains,991000924219702656","Catalog Record")</f>
        <v>Catalog Record</v>
      </c>
      <c r="AT1412" s="6" t="str">
        <f>HYPERLINK("http://www.worldcat.org/oclc/162674","WorldCat Record")</f>
        <v>WorldCat Record</v>
      </c>
      <c r="AU1412" s="3" t="s">
        <v>17702</v>
      </c>
      <c r="AV1412" s="3" t="s">
        <v>17703</v>
      </c>
      <c r="AW1412" s="3" t="s">
        <v>17704</v>
      </c>
      <c r="AX1412" s="3" t="s">
        <v>17704</v>
      </c>
      <c r="AY1412" s="3" t="s">
        <v>17705</v>
      </c>
      <c r="AZ1412" s="3" t="s">
        <v>73</v>
      </c>
      <c r="BB1412" s="3" t="s">
        <v>17706</v>
      </c>
      <c r="BC1412" s="3" t="s">
        <v>17707</v>
      </c>
      <c r="BD1412" s="3" t="s">
        <v>17708</v>
      </c>
    </row>
    <row r="1413" spans="1:56" ht="51" customHeight="1" x14ac:dyDescent="0.25">
      <c r="A1413" s="7" t="s">
        <v>58</v>
      </c>
      <c r="B1413" s="2" t="s">
        <v>17709</v>
      </c>
      <c r="C1413" s="2" t="s">
        <v>17710</v>
      </c>
      <c r="D1413" s="2" t="s">
        <v>17711</v>
      </c>
      <c r="F1413" s="3" t="s">
        <v>58</v>
      </c>
      <c r="G1413" s="3" t="s">
        <v>59</v>
      </c>
      <c r="H1413" s="3" t="s">
        <v>58</v>
      </c>
      <c r="I1413" s="3" t="s">
        <v>58</v>
      </c>
      <c r="J1413" s="3" t="s">
        <v>60</v>
      </c>
      <c r="K1413" s="2" t="s">
        <v>17712</v>
      </c>
      <c r="L1413" s="2" t="s">
        <v>17713</v>
      </c>
      <c r="M1413" s="3" t="s">
        <v>249</v>
      </c>
      <c r="O1413" s="3" t="s">
        <v>63</v>
      </c>
      <c r="P1413" s="3" t="s">
        <v>816</v>
      </c>
      <c r="R1413" s="3" t="s">
        <v>65</v>
      </c>
      <c r="S1413" s="4">
        <v>2</v>
      </c>
      <c r="T1413" s="4">
        <v>2</v>
      </c>
      <c r="U1413" s="5" t="s">
        <v>17714</v>
      </c>
      <c r="V1413" s="5" t="s">
        <v>17714</v>
      </c>
      <c r="W1413" s="5" t="s">
        <v>3486</v>
      </c>
      <c r="X1413" s="5" t="s">
        <v>3486</v>
      </c>
      <c r="Y1413" s="4">
        <v>156</v>
      </c>
      <c r="Z1413" s="4">
        <v>148</v>
      </c>
      <c r="AA1413" s="4">
        <v>271</v>
      </c>
      <c r="AB1413" s="4">
        <v>2</v>
      </c>
      <c r="AC1413" s="4">
        <v>3</v>
      </c>
      <c r="AD1413" s="4">
        <v>3</v>
      </c>
      <c r="AE1413" s="4">
        <v>6</v>
      </c>
      <c r="AF1413" s="4">
        <v>1</v>
      </c>
      <c r="AG1413" s="4">
        <v>2</v>
      </c>
      <c r="AH1413" s="4">
        <v>1</v>
      </c>
      <c r="AI1413" s="4">
        <v>1</v>
      </c>
      <c r="AJ1413" s="4">
        <v>1</v>
      </c>
      <c r="AK1413" s="4">
        <v>2</v>
      </c>
      <c r="AL1413" s="4">
        <v>0</v>
      </c>
      <c r="AM1413" s="4">
        <v>1</v>
      </c>
      <c r="AN1413" s="4">
        <v>0</v>
      </c>
      <c r="AO1413" s="4">
        <v>0</v>
      </c>
      <c r="AP1413" s="3" t="s">
        <v>58</v>
      </c>
      <c r="AQ1413" s="3" t="s">
        <v>58</v>
      </c>
      <c r="AS1413" s="6" t="str">
        <f>HYPERLINK("https://creighton-primo.hosted.exlibrisgroup.com/primo-explore/search?tab=default_tab&amp;search_scope=EVERYTHING&amp;vid=01CRU&amp;lang=en_US&amp;offset=0&amp;query=any,contains,991004785819702656","Catalog Record")</f>
        <v>Catalog Record</v>
      </c>
      <c r="AT1413" s="6" t="str">
        <f>HYPERLINK("http://www.worldcat.org/oclc/5143315","WorldCat Record")</f>
        <v>WorldCat Record</v>
      </c>
      <c r="AU1413" s="3" t="s">
        <v>17715</v>
      </c>
      <c r="AV1413" s="3" t="s">
        <v>17716</v>
      </c>
      <c r="AW1413" s="3" t="s">
        <v>17717</v>
      </c>
      <c r="AX1413" s="3" t="s">
        <v>17717</v>
      </c>
      <c r="AY1413" s="3" t="s">
        <v>17718</v>
      </c>
      <c r="AZ1413" s="3" t="s">
        <v>73</v>
      </c>
      <c r="BC1413" s="3" t="s">
        <v>17719</v>
      </c>
      <c r="BD1413" s="3" t="s">
        <v>17720</v>
      </c>
    </row>
    <row r="1414" spans="1:56" ht="51" customHeight="1" x14ac:dyDescent="0.25">
      <c r="A1414" s="7" t="s">
        <v>58</v>
      </c>
      <c r="B1414" s="2" t="s">
        <v>17721</v>
      </c>
      <c r="C1414" s="2" t="s">
        <v>17722</v>
      </c>
      <c r="D1414" s="2" t="s">
        <v>17723</v>
      </c>
      <c r="F1414" s="3" t="s">
        <v>58</v>
      </c>
      <c r="G1414" s="3" t="s">
        <v>59</v>
      </c>
      <c r="H1414" s="3" t="s">
        <v>58</v>
      </c>
      <c r="I1414" s="3" t="s">
        <v>58</v>
      </c>
      <c r="J1414" s="3" t="s">
        <v>60</v>
      </c>
      <c r="K1414" s="2" t="s">
        <v>17724</v>
      </c>
      <c r="L1414" s="2" t="s">
        <v>17725</v>
      </c>
      <c r="M1414" s="3" t="s">
        <v>1499</v>
      </c>
      <c r="O1414" s="3" t="s">
        <v>63</v>
      </c>
      <c r="P1414" s="3" t="s">
        <v>411</v>
      </c>
      <c r="R1414" s="3" t="s">
        <v>65</v>
      </c>
      <c r="S1414" s="4">
        <v>3</v>
      </c>
      <c r="T1414" s="4">
        <v>3</v>
      </c>
      <c r="U1414" s="5" t="s">
        <v>12903</v>
      </c>
      <c r="V1414" s="5" t="s">
        <v>12903</v>
      </c>
      <c r="W1414" s="5" t="s">
        <v>17547</v>
      </c>
      <c r="X1414" s="5" t="s">
        <v>17547</v>
      </c>
      <c r="Y1414" s="4">
        <v>663</v>
      </c>
      <c r="Z1414" s="4">
        <v>563</v>
      </c>
      <c r="AA1414" s="4">
        <v>570</v>
      </c>
      <c r="AB1414" s="4">
        <v>5</v>
      </c>
      <c r="AC1414" s="4">
        <v>5</v>
      </c>
      <c r="AD1414" s="4">
        <v>34</v>
      </c>
      <c r="AE1414" s="4">
        <v>34</v>
      </c>
      <c r="AF1414" s="4">
        <v>13</v>
      </c>
      <c r="AG1414" s="4">
        <v>13</v>
      </c>
      <c r="AH1414" s="4">
        <v>8</v>
      </c>
      <c r="AI1414" s="4">
        <v>8</v>
      </c>
      <c r="AJ1414" s="4">
        <v>16</v>
      </c>
      <c r="AK1414" s="4">
        <v>16</v>
      </c>
      <c r="AL1414" s="4">
        <v>4</v>
      </c>
      <c r="AM1414" s="4">
        <v>4</v>
      </c>
      <c r="AN1414" s="4">
        <v>0</v>
      </c>
      <c r="AO1414" s="4">
        <v>0</v>
      </c>
      <c r="AP1414" s="3" t="s">
        <v>58</v>
      </c>
      <c r="AQ1414" s="3" t="s">
        <v>68</v>
      </c>
      <c r="AR1414" s="6" t="str">
        <f>HYPERLINK("http://catalog.hathitrust.org/Record/001255396","HathiTrust Record")</f>
        <v>HathiTrust Record</v>
      </c>
      <c r="AS1414" s="6" t="str">
        <f>HYPERLINK("https://creighton-primo.hosted.exlibrisgroup.com/primo-explore/search?tab=default_tab&amp;search_scope=EVERYTHING&amp;vid=01CRU&amp;lang=en_US&amp;offset=0&amp;query=any,contains,991002715029702656","Catalog Record")</f>
        <v>Catalog Record</v>
      </c>
      <c r="AT1414" s="6" t="str">
        <f>HYPERLINK("http://www.worldcat.org/oclc/411033","WorldCat Record")</f>
        <v>WorldCat Record</v>
      </c>
      <c r="AU1414" s="3" t="s">
        <v>17726</v>
      </c>
      <c r="AV1414" s="3" t="s">
        <v>17727</v>
      </c>
      <c r="AW1414" s="3" t="s">
        <v>17728</v>
      </c>
      <c r="AX1414" s="3" t="s">
        <v>17728</v>
      </c>
      <c r="AY1414" s="3" t="s">
        <v>17729</v>
      </c>
      <c r="AZ1414" s="3" t="s">
        <v>73</v>
      </c>
      <c r="BC1414" s="3" t="s">
        <v>17730</v>
      </c>
      <c r="BD1414" s="3" t="s">
        <v>17731</v>
      </c>
    </row>
    <row r="1415" spans="1:56" ht="51" customHeight="1" x14ac:dyDescent="0.25">
      <c r="A1415" s="7" t="s">
        <v>58</v>
      </c>
      <c r="B1415" s="2" t="s">
        <v>17732</v>
      </c>
      <c r="C1415" s="2" t="s">
        <v>17733</v>
      </c>
      <c r="D1415" s="2" t="s">
        <v>17734</v>
      </c>
      <c r="F1415" s="3" t="s">
        <v>58</v>
      </c>
      <c r="G1415" s="3" t="s">
        <v>59</v>
      </c>
      <c r="H1415" s="3" t="s">
        <v>58</v>
      </c>
      <c r="I1415" s="3" t="s">
        <v>58</v>
      </c>
      <c r="J1415" s="3" t="s">
        <v>60</v>
      </c>
      <c r="K1415" s="2" t="s">
        <v>17735</v>
      </c>
      <c r="L1415" s="2" t="s">
        <v>17736</v>
      </c>
      <c r="M1415" s="3" t="s">
        <v>996</v>
      </c>
      <c r="N1415" s="2" t="s">
        <v>1470</v>
      </c>
      <c r="O1415" s="3" t="s">
        <v>63</v>
      </c>
      <c r="P1415" s="3" t="s">
        <v>816</v>
      </c>
      <c r="R1415" s="3" t="s">
        <v>65</v>
      </c>
      <c r="S1415" s="4">
        <v>1</v>
      </c>
      <c r="T1415" s="4">
        <v>1</v>
      </c>
      <c r="U1415" s="5" t="s">
        <v>17737</v>
      </c>
      <c r="V1415" s="5" t="s">
        <v>17737</v>
      </c>
      <c r="W1415" s="5" t="s">
        <v>17547</v>
      </c>
      <c r="X1415" s="5" t="s">
        <v>17547</v>
      </c>
      <c r="Y1415" s="4">
        <v>2267</v>
      </c>
      <c r="Z1415" s="4">
        <v>2097</v>
      </c>
      <c r="AA1415" s="4">
        <v>2730</v>
      </c>
      <c r="AB1415" s="4">
        <v>21</v>
      </c>
      <c r="AC1415" s="4">
        <v>27</v>
      </c>
      <c r="AD1415" s="4">
        <v>51</v>
      </c>
      <c r="AE1415" s="4">
        <v>65</v>
      </c>
      <c r="AF1415" s="4">
        <v>23</v>
      </c>
      <c r="AG1415" s="4">
        <v>27</v>
      </c>
      <c r="AH1415" s="4">
        <v>7</v>
      </c>
      <c r="AI1415" s="4">
        <v>10</v>
      </c>
      <c r="AJ1415" s="4">
        <v>21</v>
      </c>
      <c r="AK1415" s="4">
        <v>28</v>
      </c>
      <c r="AL1415" s="4">
        <v>9</v>
      </c>
      <c r="AM1415" s="4">
        <v>13</v>
      </c>
      <c r="AN1415" s="4">
        <v>1</v>
      </c>
      <c r="AO1415" s="4">
        <v>1</v>
      </c>
      <c r="AP1415" s="3" t="s">
        <v>58</v>
      </c>
      <c r="AQ1415" s="3" t="s">
        <v>68</v>
      </c>
      <c r="AR1415" s="6" t="str">
        <f>HYPERLINK("http://catalog.hathitrust.org/Record/001255397","HathiTrust Record")</f>
        <v>HathiTrust Record</v>
      </c>
      <c r="AS1415" s="6" t="str">
        <f>HYPERLINK("https://creighton-primo.hosted.exlibrisgroup.com/primo-explore/search?tab=default_tab&amp;search_scope=EVERYTHING&amp;vid=01CRU&amp;lang=en_US&amp;offset=0&amp;query=any,contains,991002591239702656","Catalog Record")</f>
        <v>Catalog Record</v>
      </c>
      <c r="AT1415" s="6" t="str">
        <f>HYPERLINK("http://www.worldcat.org/oclc/375867","WorldCat Record")</f>
        <v>WorldCat Record</v>
      </c>
      <c r="AU1415" s="3" t="s">
        <v>17738</v>
      </c>
      <c r="AV1415" s="3" t="s">
        <v>17739</v>
      </c>
      <c r="AW1415" s="3" t="s">
        <v>17740</v>
      </c>
      <c r="AX1415" s="3" t="s">
        <v>17740</v>
      </c>
      <c r="AY1415" s="3" t="s">
        <v>17741</v>
      </c>
      <c r="AZ1415" s="3" t="s">
        <v>73</v>
      </c>
      <c r="BC1415" s="3" t="s">
        <v>17742</v>
      </c>
      <c r="BD1415" s="3" t="s">
        <v>17743</v>
      </c>
    </row>
    <row r="1416" spans="1:56" ht="51" customHeight="1" x14ac:dyDescent="0.25">
      <c r="A1416" s="7" t="s">
        <v>58</v>
      </c>
      <c r="B1416" s="2" t="s">
        <v>17744</v>
      </c>
      <c r="C1416" s="2" t="s">
        <v>17745</v>
      </c>
      <c r="D1416" s="2" t="s">
        <v>17746</v>
      </c>
      <c r="F1416" s="3" t="s">
        <v>58</v>
      </c>
      <c r="G1416" s="3" t="s">
        <v>59</v>
      </c>
      <c r="H1416" s="3" t="s">
        <v>58</v>
      </c>
      <c r="I1416" s="3" t="s">
        <v>58</v>
      </c>
      <c r="J1416" s="3" t="s">
        <v>60</v>
      </c>
      <c r="K1416" s="2" t="s">
        <v>17747</v>
      </c>
      <c r="L1416" s="2" t="s">
        <v>17748</v>
      </c>
      <c r="M1416" s="3" t="s">
        <v>1357</v>
      </c>
      <c r="O1416" s="3" t="s">
        <v>63</v>
      </c>
      <c r="P1416" s="3" t="s">
        <v>214</v>
      </c>
      <c r="R1416" s="3" t="s">
        <v>65</v>
      </c>
      <c r="S1416" s="4">
        <v>5</v>
      </c>
      <c r="T1416" s="4">
        <v>5</v>
      </c>
      <c r="U1416" s="5" t="s">
        <v>2576</v>
      </c>
      <c r="V1416" s="5" t="s">
        <v>2576</v>
      </c>
      <c r="W1416" s="5" t="s">
        <v>17235</v>
      </c>
      <c r="X1416" s="5" t="s">
        <v>17235</v>
      </c>
      <c r="Y1416" s="4">
        <v>538</v>
      </c>
      <c r="Z1416" s="4">
        <v>464</v>
      </c>
      <c r="AA1416" s="4">
        <v>468</v>
      </c>
      <c r="AB1416" s="4">
        <v>6</v>
      </c>
      <c r="AC1416" s="4">
        <v>6</v>
      </c>
      <c r="AD1416" s="4">
        <v>39</v>
      </c>
      <c r="AE1416" s="4">
        <v>39</v>
      </c>
      <c r="AF1416" s="4">
        <v>15</v>
      </c>
      <c r="AG1416" s="4">
        <v>15</v>
      </c>
      <c r="AH1416" s="4">
        <v>9</v>
      </c>
      <c r="AI1416" s="4">
        <v>9</v>
      </c>
      <c r="AJ1416" s="4">
        <v>24</v>
      </c>
      <c r="AK1416" s="4">
        <v>24</v>
      </c>
      <c r="AL1416" s="4">
        <v>4</v>
      </c>
      <c r="AM1416" s="4">
        <v>4</v>
      </c>
      <c r="AN1416" s="4">
        <v>0</v>
      </c>
      <c r="AO1416" s="4">
        <v>0</v>
      </c>
      <c r="AP1416" s="3" t="s">
        <v>58</v>
      </c>
      <c r="AQ1416" s="3" t="s">
        <v>68</v>
      </c>
      <c r="AR1416" s="6" t="str">
        <f>HYPERLINK("http://catalog.hathitrust.org/Record/001255310","HathiTrust Record")</f>
        <v>HathiTrust Record</v>
      </c>
      <c r="AS1416" s="6" t="str">
        <f>HYPERLINK("https://creighton-primo.hosted.exlibrisgroup.com/primo-explore/search?tab=default_tab&amp;search_scope=EVERYTHING&amp;vid=01CRU&amp;lang=en_US&amp;offset=0&amp;query=any,contains,991002377149702656","Catalog Record")</f>
        <v>Catalog Record</v>
      </c>
      <c r="AT1416" s="6" t="str">
        <f>HYPERLINK("http://www.worldcat.org/oclc/327415","WorldCat Record")</f>
        <v>WorldCat Record</v>
      </c>
      <c r="AU1416" s="3" t="s">
        <v>17749</v>
      </c>
      <c r="AV1416" s="3" t="s">
        <v>17750</v>
      </c>
      <c r="AW1416" s="3" t="s">
        <v>17751</v>
      </c>
      <c r="AX1416" s="3" t="s">
        <v>17751</v>
      </c>
      <c r="AY1416" s="3" t="s">
        <v>17752</v>
      </c>
      <c r="AZ1416" s="3" t="s">
        <v>73</v>
      </c>
      <c r="BC1416" s="3" t="s">
        <v>17753</v>
      </c>
      <c r="BD1416" s="3" t="s">
        <v>17754</v>
      </c>
    </row>
    <row r="1417" spans="1:56" ht="51" customHeight="1" x14ac:dyDescent="0.25">
      <c r="A1417" s="7" t="s">
        <v>58</v>
      </c>
      <c r="B1417" s="2" t="s">
        <v>17755</v>
      </c>
      <c r="C1417" s="2" t="s">
        <v>17756</v>
      </c>
      <c r="D1417" s="2" t="s">
        <v>17757</v>
      </c>
      <c r="F1417" s="3" t="s">
        <v>58</v>
      </c>
      <c r="G1417" s="3" t="s">
        <v>59</v>
      </c>
      <c r="H1417" s="3" t="s">
        <v>58</v>
      </c>
      <c r="I1417" s="3" t="s">
        <v>58</v>
      </c>
      <c r="J1417" s="3" t="s">
        <v>60</v>
      </c>
      <c r="K1417" s="2" t="s">
        <v>17758</v>
      </c>
      <c r="L1417" s="2" t="s">
        <v>17759</v>
      </c>
      <c r="M1417" s="3" t="s">
        <v>1153</v>
      </c>
      <c r="O1417" s="3" t="s">
        <v>63</v>
      </c>
      <c r="P1417" s="3" t="s">
        <v>2061</v>
      </c>
      <c r="Q1417" s="2" t="s">
        <v>17760</v>
      </c>
      <c r="R1417" s="3" t="s">
        <v>65</v>
      </c>
      <c r="S1417" s="4">
        <v>2</v>
      </c>
      <c r="T1417" s="4">
        <v>2</v>
      </c>
      <c r="U1417" s="5" t="s">
        <v>17090</v>
      </c>
      <c r="V1417" s="5" t="s">
        <v>17090</v>
      </c>
      <c r="W1417" s="5" t="s">
        <v>17761</v>
      </c>
      <c r="X1417" s="5" t="s">
        <v>17761</v>
      </c>
      <c r="Y1417" s="4">
        <v>464</v>
      </c>
      <c r="Z1417" s="4">
        <v>364</v>
      </c>
      <c r="AA1417" s="4">
        <v>366</v>
      </c>
      <c r="AB1417" s="4">
        <v>3</v>
      </c>
      <c r="AC1417" s="4">
        <v>3</v>
      </c>
      <c r="AD1417" s="4">
        <v>13</v>
      </c>
      <c r="AE1417" s="4">
        <v>13</v>
      </c>
      <c r="AF1417" s="4">
        <v>4</v>
      </c>
      <c r="AG1417" s="4">
        <v>4</v>
      </c>
      <c r="AH1417" s="4">
        <v>3</v>
      </c>
      <c r="AI1417" s="4">
        <v>3</v>
      </c>
      <c r="AJ1417" s="4">
        <v>7</v>
      </c>
      <c r="AK1417" s="4">
        <v>7</v>
      </c>
      <c r="AL1417" s="4">
        <v>2</v>
      </c>
      <c r="AM1417" s="4">
        <v>2</v>
      </c>
      <c r="AN1417" s="4">
        <v>0</v>
      </c>
      <c r="AO1417" s="4">
        <v>0</v>
      </c>
      <c r="AP1417" s="3" t="s">
        <v>58</v>
      </c>
      <c r="AQ1417" s="3" t="s">
        <v>68</v>
      </c>
      <c r="AR1417" s="6" t="str">
        <f>HYPERLINK("http://catalog.hathitrust.org/Record/001170570","HathiTrust Record")</f>
        <v>HathiTrust Record</v>
      </c>
      <c r="AS1417" s="6" t="str">
        <f>HYPERLINK("https://creighton-primo.hosted.exlibrisgroup.com/primo-explore/search?tab=default_tab&amp;search_scope=EVERYTHING&amp;vid=01CRU&amp;lang=en_US&amp;offset=0&amp;query=any,contains,991003328359702656","Catalog Record")</f>
        <v>Catalog Record</v>
      </c>
      <c r="AT1417" s="6" t="str">
        <f>HYPERLINK("http://www.worldcat.org/oclc/858396","WorldCat Record")</f>
        <v>WorldCat Record</v>
      </c>
      <c r="AU1417" s="3" t="s">
        <v>17762</v>
      </c>
      <c r="AV1417" s="3" t="s">
        <v>17763</v>
      </c>
      <c r="AW1417" s="3" t="s">
        <v>17764</v>
      </c>
      <c r="AX1417" s="3" t="s">
        <v>17764</v>
      </c>
      <c r="AY1417" s="3" t="s">
        <v>17765</v>
      </c>
      <c r="AZ1417" s="3" t="s">
        <v>73</v>
      </c>
      <c r="BB1417" s="3" t="s">
        <v>17766</v>
      </c>
      <c r="BC1417" s="3" t="s">
        <v>17767</v>
      </c>
      <c r="BD1417" s="3" t="s">
        <v>17768</v>
      </c>
    </row>
    <row r="1418" spans="1:56" ht="51" customHeight="1" x14ac:dyDescent="0.25">
      <c r="A1418" s="7" t="s">
        <v>58</v>
      </c>
      <c r="B1418" s="2" t="s">
        <v>17769</v>
      </c>
      <c r="C1418" s="2" t="s">
        <v>17770</v>
      </c>
      <c r="D1418" s="2" t="s">
        <v>17771</v>
      </c>
      <c r="F1418" s="3" t="s">
        <v>58</v>
      </c>
      <c r="G1418" s="3" t="s">
        <v>59</v>
      </c>
      <c r="H1418" s="3" t="s">
        <v>58</v>
      </c>
      <c r="I1418" s="3" t="s">
        <v>58</v>
      </c>
      <c r="J1418" s="3" t="s">
        <v>60</v>
      </c>
      <c r="K1418" s="2" t="s">
        <v>17772</v>
      </c>
      <c r="L1418" s="2" t="s">
        <v>17773</v>
      </c>
      <c r="M1418" s="3" t="s">
        <v>538</v>
      </c>
      <c r="O1418" s="3" t="s">
        <v>63</v>
      </c>
      <c r="P1418" s="3" t="s">
        <v>2061</v>
      </c>
      <c r="Q1418" s="2" t="s">
        <v>17774</v>
      </c>
      <c r="R1418" s="3" t="s">
        <v>65</v>
      </c>
      <c r="S1418" s="4">
        <v>2</v>
      </c>
      <c r="T1418" s="4">
        <v>2</v>
      </c>
      <c r="U1418" s="5" t="s">
        <v>262</v>
      </c>
      <c r="V1418" s="5" t="s">
        <v>262</v>
      </c>
      <c r="W1418" s="5" t="s">
        <v>17775</v>
      </c>
      <c r="X1418" s="5" t="s">
        <v>17775</v>
      </c>
      <c r="Y1418" s="4">
        <v>527</v>
      </c>
      <c r="Z1418" s="4">
        <v>457</v>
      </c>
      <c r="AA1418" s="4">
        <v>460</v>
      </c>
      <c r="AB1418" s="4">
        <v>3</v>
      </c>
      <c r="AC1418" s="4">
        <v>3</v>
      </c>
      <c r="AD1418" s="4">
        <v>22</v>
      </c>
      <c r="AE1418" s="4">
        <v>22</v>
      </c>
      <c r="AF1418" s="4">
        <v>6</v>
      </c>
      <c r="AG1418" s="4">
        <v>6</v>
      </c>
      <c r="AH1418" s="4">
        <v>6</v>
      </c>
      <c r="AI1418" s="4">
        <v>6</v>
      </c>
      <c r="AJ1418" s="4">
        <v>13</v>
      </c>
      <c r="AK1418" s="4">
        <v>13</v>
      </c>
      <c r="AL1418" s="4">
        <v>2</v>
      </c>
      <c r="AM1418" s="4">
        <v>2</v>
      </c>
      <c r="AN1418" s="4">
        <v>0</v>
      </c>
      <c r="AO1418" s="4">
        <v>0</v>
      </c>
      <c r="AP1418" s="3" t="s">
        <v>58</v>
      </c>
      <c r="AQ1418" s="3" t="s">
        <v>68</v>
      </c>
      <c r="AR1418" s="6" t="str">
        <f>HYPERLINK("http://catalog.hathitrust.org/Record/001685959","HathiTrust Record")</f>
        <v>HathiTrust Record</v>
      </c>
      <c r="AS1418" s="6" t="str">
        <f>HYPERLINK("https://creighton-primo.hosted.exlibrisgroup.com/primo-explore/search?tab=default_tab&amp;search_scope=EVERYTHING&amp;vid=01CRU&amp;lang=en_US&amp;offset=0&amp;query=any,contains,991000055799702656","Catalog Record")</f>
        <v>Catalog Record</v>
      </c>
      <c r="AT1418" s="6" t="str">
        <f>HYPERLINK("http://www.worldcat.org/oclc/23476","WorldCat Record")</f>
        <v>WorldCat Record</v>
      </c>
      <c r="AU1418" s="3" t="s">
        <v>17776</v>
      </c>
      <c r="AV1418" s="3" t="s">
        <v>17777</v>
      </c>
      <c r="AW1418" s="3" t="s">
        <v>17778</v>
      </c>
      <c r="AX1418" s="3" t="s">
        <v>17778</v>
      </c>
      <c r="AY1418" s="3" t="s">
        <v>17779</v>
      </c>
      <c r="AZ1418" s="3" t="s">
        <v>73</v>
      </c>
      <c r="BC1418" s="3" t="s">
        <v>17780</v>
      </c>
      <c r="BD1418" s="3" t="s">
        <v>17781</v>
      </c>
    </row>
    <row r="1419" spans="1:56" ht="51" customHeight="1" x14ac:dyDescent="0.25">
      <c r="A1419" s="7" t="s">
        <v>58</v>
      </c>
      <c r="B1419" s="2" t="s">
        <v>17782</v>
      </c>
      <c r="C1419" s="2" t="s">
        <v>17783</v>
      </c>
      <c r="D1419" s="2" t="s">
        <v>17784</v>
      </c>
      <c r="F1419" s="3" t="s">
        <v>58</v>
      </c>
      <c r="G1419" s="3" t="s">
        <v>59</v>
      </c>
      <c r="H1419" s="3" t="s">
        <v>58</v>
      </c>
      <c r="I1419" s="3" t="s">
        <v>58</v>
      </c>
      <c r="J1419" s="3" t="s">
        <v>60</v>
      </c>
      <c r="K1419" s="2" t="s">
        <v>17785</v>
      </c>
      <c r="L1419" s="2" t="s">
        <v>17786</v>
      </c>
      <c r="M1419" s="3" t="s">
        <v>62</v>
      </c>
      <c r="O1419" s="3" t="s">
        <v>63</v>
      </c>
      <c r="P1419" s="3" t="s">
        <v>627</v>
      </c>
      <c r="R1419" s="3" t="s">
        <v>65</v>
      </c>
      <c r="S1419" s="4">
        <v>2</v>
      </c>
      <c r="T1419" s="4">
        <v>2</v>
      </c>
      <c r="U1419" s="5" t="s">
        <v>17787</v>
      </c>
      <c r="V1419" s="5" t="s">
        <v>17787</v>
      </c>
      <c r="W1419" s="5" t="s">
        <v>17547</v>
      </c>
      <c r="X1419" s="5" t="s">
        <v>17547</v>
      </c>
      <c r="Y1419" s="4">
        <v>741</v>
      </c>
      <c r="Z1419" s="4">
        <v>684</v>
      </c>
      <c r="AA1419" s="4">
        <v>692</v>
      </c>
      <c r="AB1419" s="4">
        <v>9</v>
      </c>
      <c r="AC1419" s="4">
        <v>9</v>
      </c>
      <c r="AD1419" s="4">
        <v>24</v>
      </c>
      <c r="AE1419" s="4">
        <v>24</v>
      </c>
      <c r="AF1419" s="4">
        <v>9</v>
      </c>
      <c r="AG1419" s="4">
        <v>9</v>
      </c>
      <c r="AH1419" s="4">
        <v>4</v>
      </c>
      <c r="AI1419" s="4">
        <v>4</v>
      </c>
      <c r="AJ1419" s="4">
        <v>8</v>
      </c>
      <c r="AK1419" s="4">
        <v>8</v>
      </c>
      <c r="AL1419" s="4">
        <v>7</v>
      </c>
      <c r="AM1419" s="4">
        <v>7</v>
      </c>
      <c r="AN1419" s="4">
        <v>1</v>
      </c>
      <c r="AO1419" s="4">
        <v>1</v>
      </c>
      <c r="AP1419" s="3" t="s">
        <v>58</v>
      </c>
      <c r="AQ1419" s="3" t="s">
        <v>68</v>
      </c>
      <c r="AR1419" s="6" t="str">
        <f>HYPERLINK("http://catalog.hathitrust.org/Record/001255434","HathiTrust Record")</f>
        <v>HathiTrust Record</v>
      </c>
      <c r="AS1419" s="6" t="str">
        <f>HYPERLINK("https://creighton-primo.hosted.exlibrisgroup.com/primo-explore/search?tab=default_tab&amp;search_scope=EVERYTHING&amp;vid=01CRU&amp;lang=en_US&amp;offset=0&amp;query=any,contains,991000924589702656","Catalog Record")</f>
        <v>Catalog Record</v>
      </c>
      <c r="AT1419" s="6" t="str">
        <f>HYPERLINK("http://www.worldcat.org/oclc/162790","WorldCat Record")</f>
        <v>WorldCat Record</v>
      </c>
      <c r="AU1419" s="3" t="s">
        <v>17788</v>
      </c>
      <c r="AV1419" s="3" t="s">
        <v>17789</v>
      </c>
      <c r="AW1419" s="3" t="s">
        <v>17790</v>
      </c>
      <c r="AX1419" s="3" t="s">
        <v>17790</v>
      </c>
      <c r="AY1419" s="3" t="s">
        <v>17791</v>
      </c>
      <c r="AZ1419" s="3" t="s">
        <v>73</v>
      </c>
      <c r="BB1419" s="3" t="s">
        <v>17792</v>
      </c>
      <c r="BC1419" s="3" t="s">
        <v>17793</v>
      </c>
      <c r="BD1419" s="3" t="s">
        <v>17794</v>
      </c>
    </row>
    <row r="1420" spans="1:56" ht="51" customHeight="1" x14ac:dyDescent="0.25">
      <c r="A1420" s="7" t="s">
        <v>58</v>
      </c>
      <c r="B1420" s="2" t="s">
        <v>17795</v>
      </c>
      <c r="C1420" s="2" t="s">
        <v>17796</v>
      </c>
      <c r="D1420" s="2" t="s">
        <v>17797</v>
      </c>
      <c r="F1420" s="3" t="s">
        <v>58</v>
      </c>
      <c r="G1420" s="3" t="s">
        <v>59</v>
      </c>
      <c r="H1420" s="3" t="s">
        <v>58</v>
      </c>
      <c r="I1420" s="3" t="s">
        <v>58</v>
      </c>
      <c r="J1420" s="3" t="s">
        <v>60</v>
      </c>
      <c r="K1420" s="2" t="s">
        <v>17798</v>
      </c>
      <c r="L1420" s="2" t="s">
        <v>17799</v>
      </c>
      <c r="M1420" s="3" t="s">
        <v>1385</v>
      </c>
      <c r="O1420" s="3" t="s">
        <v>63</v>
      </c>
      <c r="P1420" s="3" t="s">
        <v>1917</v>
      </c>
      <c r="R1420" s="3" t="s">
        <v>65</v>
      </c>
      <c r="S1420" s="4">
        <v>2</v>
      </c>
      <c r="T1420" s="4">
        <v>2</v>
      </c>
      <c r="U1420" s="5" t="s">
        <v>5187</v>
      </c>
      <c r="V1420" s="5" t="s">
        <v>5187</v>
      </c>
      <c r="W1420" s="5" t="s">
        <v>17775</v>
      </c>
      <c r="X1420" s="5" t="s">
        <v>17775</v>
      </c>
      <c r="Y1420" s="4">
        <v>366</v>
      </c>
      <c r="Z1420" s="4">
        <v>316</v>
      </c>
      <c r="AA1420" s="4">
        <v>327</v>
      </c>
      <c r="AB1420" s="4">
        <v>4</v>
      </c>
      <c r="AC1420" s="4">
        <v>4</v>
      </c>
      <c r="AD1420" s="4">
        <v>11</v>
      </c>
      <c r="AE1420" s="4">
        <v>11</v>
      </c>
      <c r="AF1420" s="4">
        <v>1</v>
      </c>
      <c r="AG1420" s="4">
        <v>1</v>
      </c>
      <c r="AH1420" s="4">
        <v>3</v>
      </c>
      <c r="AI1420" s="4">
        <v>3</v>
      </c>
      <c r="AJ1420" s="4">
        <v>6</v>
      </c>
      <c r="AK1420" s="4">
        <v>6</v>
      </c>
      <c r="AL1420" s="4">
        <v>3</v>
      </c>
      <c r="AM1420" s="4">
        <v>3</v>
      </c>
      <c r="AN1420" s="4">
        <v>0</v>
      </c>
      <c r="AO1420" s="4">
        <v>0</v>
      </c>
      <c r="AP1420" s="3" t="s">
        <v>58</v>
      </c>
      <c r="AQ1420" s="3" t="s">
        <v>68</v>
      </c>
      <c r="AR1420" s="6" t="str">
        <f>HYPERLINK("http://catalog.hathitrust.org/Record/001255436","HathiTrust Record")</f>
        <v>HathiTrust Record</v>
      </c>
      <c r="AS1420" s="6" t="str">
        <f>HYPERLINK("https://creighton-primo.hosted.exlibrisgroup.com/primo-explore/search?tab=default_tab&amp;search_scope=EVERYTHING&amp;vid=01CRU&amp;lang=en_US&amp;offset=0&amp;query=any,contains,991003200499702656","Catalog Record")</f>
        <v>Catalog Record</v>
      </c>
      <c r="AT1420" s="6" t="str">
        <f>HYPERLINK("http://www.worldcat.org/oclc/724415","WorldCat Record")</f>
        <v>WorldCat Record</v>
      </c>
      <c r="AU1420" s="3" t="s">
        <v>17800</v>
      </c>
      <c r="AV1420" s="3" t="s">
        <v>17801</v>
      </c>
      <c r="AW1420" s="3" t="s">
        <v>17802</v>
      </c>
      <c r="AX1420" s="3" t="s">
        <v>17802</v>
      </c>
      <c r="AY1420" s="3" t="s">
        <v>17803</v>
      </c>
      <c r="AZ1420" s="3" t="s">
        <v>73</v>
      </c>
      <c r="BB1420" s="3" t="s">
        <v>17804</v>
      </c>
      <c r="BC1420" s="3" t="s">
        <v>17805</v>
      </c>
      <c r="BD1420" s="3" t="s">
        <v>17806</v>
      </c>
    </row>
    <row r="1421" spans="1:56" ht="51" customHeight="1" x14ac:dyDescent="0.25">
      <c r="A1421" s="7" t="s">
        <v>58</v>
      </c>
      <c r="B1421" s="2" t="s">
        <v>17807</v>
      </c>
      <c r="C1421" s="2" t="s">
        <v>17808</v>
      </c>
      <c r="D1421" s="2" t="s">
        <v>17809</v>
      </c>
      <c r="F1421" s="3" t="s">
        <v>58</v>
      </c>
      <c r="G1421" s="3" t="s">
        <v>59</v>
      </c>
      <c r="H1421" s="3" t="s">
        <v>58</v>
      </c>
      <c r="I1421" s="3" t="s">
        <v>58</v>
      </c>
      <c r="J1421" s="3" t="s">
        <v>60</v>
      </c>
      <c r="K1421" s="2" t="s">
        <v>17810</v>
      </c>
      <c r="L1421" s="2" t="s">
        <v>17811</v>
      </c>
      <c r="M1421" s="3" t="s">
        <v>538</v>
      </c>
      <c r="O1421" s="3" t="s">
        <v>63</v>
      </c>
      <c r="P1421" s="3" t="s">
        <v>816</v>
      </c>
      <c r="R1421" s="3" t="s">
        <v>65</v>
      </c>
      <c r="S1421" s="4">
        <v>3</v>
      </c>
      <c r="T1421" s="4">
        <v>3</v>
      </c>
      <c r="U1421" s="5" t="s">
        <v>17787</v>
      </c>
      <c r="V1421" s="5" t="s">
        <v>17787</v>
      </c>
      <c r="W1421" s="5" t="s">
        <v>17812</v>
      </c>
      <c r="X1421" s="5" t="s">
        <v>17812</v>
      </c>
      <c r="Y1421" s="4">
        <v>525</v>
      </c>
      <c r="Z1421" s="4">
        <v>478</v>
      </c>
      <c r="AA1421" s="4">
        <v>488</v>
      </c>
      <c r="AB1421" s="4">
        <v>7</v>
      </c>
      <c r="AC1421" s="4">
        <v>7</v>
      </c>
      <c r="AD1421" s="4">
        <v>26</v>
      </c>
      <c r="AE1421" s="4">
        <v>27</v>
      </c>
      <c r="AF1421" s="4">
        <v>11</v>
      </c>
      <c r="AG1421" s="4">
        <v>11</v>
      </c>
      <c r="AH1421" s="4">
        <v>4</v>
      </c>
      <c r="AI1421" s="4">
        <v>5</v>
      </c>
      <c r="AJ1421" s="4">
        <v>9</v>
      </c>
      <c r="AK1421" s="4">
        <v>9</v>
      </c>
      <c r="AL1421" s="4">
        <v>6</v>
      </c>
      <c r="AM1421" s="4">
        <v>6</v>
      </c>
      <c r="AN1421" s="4">
        <v>0</v>
      </c>
      <c r="AO1421" s="4">
        <v>0</v>
      </c>
      <c r="AP1421" s="3" t="s">
        <v>58</v>
      </c>
      <c r="AQ1421" s="3" t="s">
        <v>58</v>
      </c>
      <c r="AS1421" s="6" t="str">
        <f>HYPERLINK("https://creighton-primo.hosted.exlibrisgroup.com/primo-explore/search?tab=default_tab&amp;search_scope=EVERYTHING&amp;vid=01CRU&amp;lang=en_US&amp;offset=0&amp;query=any,contains,991003187649702656","Catalog Record")</f>
        <v>Catalog Record</v>
      </c>
      <c r="AT1421" s="6" t="str">
        <f>HYPERLINK("http://www.worldcat.org/oclc/713885","WorldCat Record")</f>
        <v>WorldCat Record</v>
      </c>
      <c r="AU1421" s="3" t="s">
        <v>17813</v>
      </c>
      <c r="AV1421" s="3" t="s">
        <v>17814</v>
      </c>
      <c r="AW1421" s="3" t="s">
        <v>17815</v>
      </c>
      <c r="AX1421" s="3" t="s">
        <v>17815</v>
      </c>
      <c r="AY1421" s="3" t="s">
        <v>17816</v>
      </c>
      <c r="AZ1421" s="3" t="s">
        <v>73</v>
      </c>
      <c r="BC1421" s="3" t="s">
        <v>17817</v>
      </c>
      <c r="BD1421" s="3" t="s">
        <v>17818</v>
      </c>
    </row>
    <row r="1422" spans="1:56" ht="51" customHeight="1" x14ac:dyDescent="0.25">
      <c r="A1422" s="7" t="s">
        <v>58</v>
      </c>
      <c r="B1422" s="2" t="s">
        <v>17819</v>
      </c>
      <c r="C1422" s="2" t="s">
        <v>17820</v>
      </c>
      <c r="D1422" s="2" t="s">
        <v>17821</v>
      </c>
      <c r="F1422" s="3" t="s">
        <v>58</v>
      </c>
      <c r="G1422" s="3" t="s">
        <v>59</v>
      </c>
      <c r="H1422" s="3" t="s">
        <v>58</v>
      </c>
      <c r="I1422" s="3" t="s">
        <v>58</v>
      </c>
      <c r="J1422" s="3" t="s">
        <v>60</v>
      </c>
      <c r="K1422" s="2" t="s">
        <v>17822</v>
      </c>
      <c r="L1422" s="2" t="s">
        <v>17823</v>
      </c>
      <c r="M1422" s="3" t="s">
        <v>2757</v>
      </c>
      <c r="O1422" s="3" t="s">
        <v>63</v>
      </c>
      <c r="P1422" s="3" t="s">
        <v>816</v>
      </c>
      <c r="Q1422" s="2" t="s">
        <v>17824</v>
      </c>
      <c r="R1422" s="3" t="s">
        <v>65</v>
      </c>
      <c r="S1422" s="4">
        <v>2</v>
      </c>
      <c r="T1422" s="4">
        <v>2</v>
      </c>
      <c r="U1422" s="5" t="s">
        <v>17825</v>
      </c>
      <c r="V1422" s="5" t="s">
        <v>17825</v>
      </c>
      <c r="W1422" s="5" t="s">
        <v>17640</v>
      </c>
      <c r="X1422" s="5" t="s">
        <v>17640</v>
      </c>
      <c r="Y1422" s="4">
        <v>1485</v>
      </c>
      <c r="Z1422" s="4">
        <v>1295</v>
      </c>
      <c r="AA1422" s="4">
        <v>1326</v>
      </c>
      <c r="AB1422" s="4">
        <v>8</v>
      </c>
      <c r="AC1422" s="4">
        <v>8</v>
      </c>
      <c r="AD1422" s="4">
        <v>48</v>
      </c>
      <c r="AE1422" s="4">
        <v>48</v>
      </c>
      <c r="AF1422" s="4">
        <v>20</v>
      </c>
      <c r="AG1422" s="4">
        <v>20</v>
      </c>
      <c r="AH1422" s="4">
        <v>10</v>
      </c>
      <c r="AI1422" s="4">
        <v>10</v>
      </c>
      <c r="AJ1422" s="4">
        <v>23</v>
      </c>
      <c r="AK1422" s="4">
        <v>23</v>
      </c>
      <c r="AL1422" s="4">
        <v>7</v>
      </c>
      <c r="AM1422" s="4">
        <v>7</v>
      </c>
      <c r="AN1422" s="4">
        <v>0</v>
      </c>
      <c r="AO1422" s="4">
        <v>0</v>
      </c>
      <c r="AP1422" s="3" t="s">
        <v>58</v>
      </c>
      <c r="AQ1422" s="3" t="s">
        <v>68</v>
      </c>
      <c r="AR1422" s="6" t="str">
        <f>HYPERLINK("http://catalog.hathitrust.org/Record/001255447","HathiTrust Record")</f>
        <v>HathiTrust Record</v>
      </c>
      <c r="AS1422" s="6" t="str">
        <f>HYPERLINK("https://creighton-primo.hosted.exlibrisgroup.com/primo-explore/search?tab=default_tab&amp;search_scope=EVERYTHING&amp;vid=01CRU&amp;lang=en_US&amp;offset=0&amp;query=any,contains,991001918599702656","Catalog Record")</f>
        <v>Catalog Record</v>
      </c>
      <c r="AT1422" s="6" t="str">
        <f>HYPERLINK("http://www.worldcat.org/oclc/244430","WorldCat Record")</f>
        <v>WorldCat Record</v>
      </c>
      <c r="AU1422" s="3" t="s">
        <v>17826</v>
      </c>
      <c r="AV1422" s="3" t="s">
        <v>17827</v>
      </c>
      <c r="AW1422" s="3" t="s">
        <v>17828</v>
      </c>
      <c r="AX1422" s="3" t="s">
        <v>17828</v>
      </c>
      <c r="AY1422" s="3" t="s">
        <v>17829</v>
      </c>
      <c r="AZ1422" s="3" t="s">
        <v>73</v>
      </c>
      <c r="BC1422" s="3" t="s">
        <v>17830</v>
      </c>
      <c r="BD1422" s="3" t="s">
        <v>17831</v>
      </c>
    </row>
    <row r="1423" spans="1:56" ht="51" customHeight="1" x14ac:dyDescent="0.25">
      <c r="A1423" s="7" t="s">
        <v>58</v>
      </c>
      <c r="B1423" s="2" t="s">
        <v>17832</v>
      </c>
      <c r="C1423" s="2" t="s">
        <v>17833</v>
      </c>
      <c r="D1423" s="2" t="s">
        <v>17834</v>
      </c>
      <c r="F1423" s="3" t="s">
        <v>58</v>
      </c>
      <c r="G1423" s="3" t="s">
        <v>59</v>
      </c>
      <c r="H1423" s="3" t="s">
        <v>58</v>
      </c>
      <c r="I1423" s="3" t="s">
        <v>58</v>
      </c>
      <c r="J1423" s="3" t="s">
        <v>60</v>
      </c>
      <c r="K1423" s="2" t="s">
        <v>17822</v>
      </c>
      <c r="L1423" s="2" t="s">
        <v>17835</v>
      </c>
      <c r="M1423" s="3" t="s">
        <v>538</v>
      </c>
      <c r="O1423" s="3" t="s">
        <v>63</v>
      </c>
      <c r="P1423" s="3" t="s">
        <v>760</v>
      </c>
      <c r="R1423" s="3" t="s">
        <v>65</v>
      </c>
      <c r="S1423" s="4">
        <v>2</v>
      </c>
      <c r="T1423" s="4">
        <v>2</v>
      </c>
      <c r="U1423" s="5" t="s">
        <v>17588</v>
      </c>
      <c r="V1423" s="5" t="s">
        <v>17588</v>
      </c>
      <c r="W1423" s="5" t="s">
        <v>17836</v>
      </c>
      <c r="X1423" s="5" t="s">
        <v>17836</v>
      </c>
      <c r="Y1423" s="4">
        <v>909</v>
      </c>
      <c r="Z1423" s="4">
        <v>788</v>
      </c>
      <c r="AA1423" s="4">
        <v>796</v>
      </c>
      <c r="AB1423" s="4">
        <v>8</v>
      </c>
      <c r="AC1423" s="4">
        <v>8</v>
      </c>
      <c r="AD1423" s="4">
        <v>36</v>
      </c>
      <c r="AE1423" s="4">
        <v>36</v>
      </c>
      <c r="AF1423" s="4">
        <v>12</v>
      </c>
      <c r="AG1423" s="4">
        <v>12</v>
      </c>
      <c r="AH1423" s="4">
        <v>7</v>
      </c>
      <c r="AI1423" s="4">
        <v>7</v>
      </c>
      <c r="AJ1423" s="4">
        <v>17</v>
      </c>
      <c r="AK1423" s="4">
        <v>17</v>
      </c>
      <c r="AL1423" s="4">
        <v>7</v>
      </c>
      <c r="AM1423" s="4">
        <v>7</v>
      </c>
      <c r="AN1423" s="4">
        <v>0</v>
      </c>
      <c r="AO1423" s="4">
        <v>0</v>
      </c>
      <c r="AP1423" s="3" t="s">
        <v>58</v>
      </c>
      <c r="AQ1423" s="3" t="s">
        <v>68</v>
      </c>
      <c r="AR1423" s="6" t="str">
        <f>HYPERLINK("http://catalog.hathitrust.org/Record/001255448","HathiTrust Record")</f>
        <v>HathiTrust Record</v>
      </c>
      <c r="AS1423" s="6" t="str">
        <f>HYPERLINK("https://creighton-primo.hosted.exlibrisgroup.com/primo-explore/search?tab=default_tab&amp;search_scope=EVERYTHING&amp;vid=01CRU&amp;lang=en_US&amp;offset=0&amp;query=any,contains,991000008379702656","Catalog Record")</f>
        <v>Catalog Record</v>
      </c>
      <c r="AT1423" s="6" t="str">
        <f>HYPERLINK("http://www.worldcat.org/oclc/13825","WorldCat Record")</f>
        <v>WorldCat Record</v>
      </c>
      <c r="AU1423" s="3" t="s">
        <v>17837</v>
      </c>
      <c r="AV1423" s="3" t="s">
        <v>17838</v>
      </c>
      <c r="AW1423" s="3" t="s">
        <v>17839</v>
      </c>
      <c r="AX1423" s="3" t="s">
        <v>17839</v>
      </c>
      <c r="AY1423" s="3" t="s">
        <v>17840</v>
      </c>
      <c r="AZ1423" s="3" t="s">
        <v>73</v>
      </c>
      <c r="BC1423" s="3" t="s">
        <v>17841</v>
      </c>
      <c r="BD1423" s="3" t="s">
        <v>17842</v>
      </c>
    </row>
    <row r="1424" spans="1:56" ht="51" customHeight="1" x14ac:dyDescent="0.25">
      <c r="A1424" s="7" t="s">
        <v>58</v>
      </c>
      <c r="B1424" s="2" t="s">
        <v>17843</v>
      </c>
      <c r="C1424" s="2" t="s">
        <v>17844</v>
      </c>
      <c r="D1424" s="2" t="s">
        <v>17845</v>
      </c>
      <c r="F1424" s="3" t="s">
        <v>58</v>
      </c>
      <c r="G1424" s="3" t="s">
        <v>59</v>
      </c>
      <c r="H1424" s="3" t="s">
        <v>58</v>
      </c>
      <c r="I1424" s="3" t="s">
        <v>58</v>
      </c>
      <c r="J1424" s="3" t="s">
        <v>60</v>
      </c>
      <c r="K1424" s="2" t="s">
        <v>17846</v>
      </c>
      <c r="L1424" s="2" t="s">
        <v>17847</v>
      </c>
      <c r="M1424" s="3" t="s">
        <v>249</v>
      </c>
      <c r="O1424" s="3" t="s">
        <v>63</v>
      </c>
      <c r="P1424" s="3" t="s">
        <v>214</v>
      </c>
      <c r="R1424" s="3" t="s">
        <v>65</v>
      </c>
      <c r="S1424" s="4">
        <v>3</v>
      </c>
      <c r="T1424" s="4">
        <v>3</v>
      </c>
      <c r="U1424" s="5" t="s">
        <v>17848</v>
      </c>
      <c r="V1424" s="5" t="s">
        <v>17848</v>
      </c>
      <c r="W1424" s="5" t="s">
        <v>17547</v>
      </c>
      <c r="X1424" s="5" t="s">
        <v>17547</v>
      </c>
      <c r="Y1424" s="4">
        <v>967</v>
      </c>
      <c r="Z1424" s="4">
        <v>898</v>
      </c>
      <c r="AA1424" s="4">
        <v>1276</v>
      </c>
      <c r="AB1424" s="4">
        <v>7</v>
      </c>
      <c r="AC1424" s="4">
        <v>10</v>
      </c>
      <c r="AD1424" s="4">
        <v>29</v>
      </c>
      <c r="AE1424" s="4">
        <v>42</v>
      </c>
      <c r="AF1424" s="4">
        <v>8</v>
      </c>
      <c r="AG1424" s="4">
        <v>14</v>
      </c>
      <c r="AH1424" s="4">
        <v>7</v>
      </c>
      <c r="AI1424" s="4">
        <v>7</v>
      </c>
      <c r="AJ1424" s="4">
        <v>12</v>
      </c>
      <c r="AK1424" s="4">
        <v>16</v>
      </c>
      <c r="AL1424" s="4">
        <v>6</v>
      </c>
      <c r="AM1424" s="4">
        <v>9</v>
      </c>
      <c r="AN1424" s="4">
        <v>3</v>
      </c>
      <c r="AO1424" s="4">
        <v>4</v>
      </c>
      <c r="AP1424" s="3" t="s">
        <v>58</v>
      </c>
      <c r="AQ1424" s="3" t="s">
        <v>68</v>
      </c>
      <c r="AR1424" s="6" t="str">
        <f>HYPERLINK("http://catalog.hathitrust.org/Record/001255450","HathiTrust Record")</f>
        <v>HathiTrust Record</v>
      </c>
      <c r="AS1424" s="6" t="str">
        <f>HYPERLINK("https://creighton-primo.hosted.exlibrisgroup.com/primo-explore/search?tab=default_tab&amp;search_scope=EVERYTHING&amp;vid=01CRU&amp;lang=en_US&amp;offset=0&amp;query=any,contains,991000960079702656","Catalog Record")</f>
        <v>Catalog Record</v>
      </c>
      <c r="AT1424" s="6" t="str">
        <f>HYPERLINK("http://www.worldcat.org/oclc/169102","WorldCat Record")</f>
        <v>WorldCat Record</v>
      </c>
      <c r="AU1424" s="3" t="s">
        <v>17849</v>
      </c>
      <c r="AV1424" s="3" t="s">
        <v>17850</v>
      </c>
      <c r="AW1424" s="3" t="s">
        <v>17851</v>
      </c>
      <c r="AX1424" s="3" t="s">
        <v>17851</v>
      </c>
      <c r="AY1424" s="3" t="s">
        <v>17852</v>
      </c>
      <c r="AZ1424" s="3" t="s">
        <v>73</v>
      </c>
      <c r="BC1424" s="3" t="s">
        <v>17853</v>
      </c>
      <c r="BD1424" s="3" t="s">
        <v>17854</v>
      </c>
    </row>
    <row r="1425" spans="1:56" ht="51" customHeight="1" x14ac:dyDescent="0.25">
      <c r="A1425" s="7" t="s">
        <v>58</v>
      </c>
      <c r="B1425" s="2" t="s">
        <v>17855</v>
      </c>
      <c r="C1425" s="2" t="s">
        <v>17856</v>
      </c>
      <c r="D1425" s="2" t="s">
        <v>17857</v>
      </c>
      <c r="F1425" s="3" t="s">
        <v>58</v>
      </c>
      <c r="G1425" s="3" t="s">
        <v>59</v>
      </c>
      <c r="H1425" s="3" t="s">
        <v>58</v>
      </c>
      <c r="I1425" s="3" t="s">
        <v>58</v>
      </c>
      <c r="J1425" s="3" t="s">
        <v>60</v>
      </c>
      <c r="K1425" s="2" t="s">
        <v>17858</v>
      </c>
      <c r="L1425" s="2" t="s">
        <v>17859</v>
      </c>
      <c r="M1425" s="3" t="s">
        <v>1720</v>
      </c>
      <c r="O1425" s="3" t="s">
        <v>63</v>
      </c>
      <c r="P1425" s="3" t="s">
        <v>816</v>
      </c>
      <c r="R1425" s="3" t="s">
        <v>65</v>
      </c>
      <c r="S1425" s="4">
        <v>2</v>
      </c>
      <c r="T1425" s="4">
        <v>2</v>
      </c>
      <c r="U1425" s="5" t="s">
        <v>17860</v>
      </c>
      <c r="V1425" s="5" t="s">
        <v>17860</v>
      </c>
      <c r="W1425" s="5" t="s">
        <v>3707</v>
      </c>
      <c r="X1425" s="5" t="s">
        <v>3707</v>
      </c>
      <c r="Y1425" s="4">
        <v>543</v>
      </c>
      <c r="Z1425" s="4">
        <v>496</v>
      </c>
      <c r="AA1425" s="4">
        <v>760</v>
      </c>
      <c r="AB1425" s="4">
        <v>4</v>
      </c>
      <c r="AC1425" s="4">
        <v>5</v>
      </c>
      <c r="AD1425" s="4">
        <v>25</v>
      </c>
      <c r="AE1425" s="4">
        <v>39</v>
      </c>
      <c r="AF1425" s="4">
        <v>6</v>
      </c>
      <c r="AG1425" s="4">
        <v>16</v>
      </c>
      <c r="AH1425" s="4">
        <v>6</v>
      </c>
      <c r="AI1425" s="4">
        <v>8</v>
      </c>
      <c r="AJ1425" s="4">
        <v>14</v>
      </c>
      <c r="AK1425" s="4">
        <v>19</v>
      </c>
      <c r="AL1425" s="4">
        <v>3</v>
      </c>
      <c r="AM1425" s="4">
        <v>4</v>
      </c>
      <c r="AN1425" s="4">
        <v>0</v>
      </c>
      <c r="AO1425" s="4">
        <v>0</v>
      </c>
      <c r="AP1425" s="3" t="s">
        <v>58</v>
      </c>
      <c r="AQ1425" s="3" t="s">
        <v>68</v>
      </c>
      <c r="AR1425" s="6" t="str">
        <f>HYPERLINK("http://catalog.hathitrust.org/Record/001267070","HathiTrust Record")</f>
        <v>HathiTrust Record</v>
      </c>
      <c r="AS1425" s="6" t="str">
        <f>HYPERLINK("https://creighton-primo.hosted.exlibrisgroup.com/primo-explore/search?tab=default_tab&amp;search_scope=EVERYTHING&amp;vid=01CRU&amp;lang=en_US&amp;offset=0&amp;query=any,contains,991004069319702656","Catalog Record")</f>
        <v>Catalog Record</v>
      </c>
      <c r="AT1425" s="6" t="str">
        <f>HYPERLINK("http://www.worldcat.org/oclc/2294565","WorldCat Record")</f>
        <v>WorldCat Record</v>
      </c>
      <c r="AU1425" s="3" t="s">
        <v>17861</v>
      </c>
      <c r="AV1425" s="3" t="s">
        <v>17862</v>
      </c>
      <c r="AW1425" s="3" t="s">
        <v>17863</v>
      </c>
      <c r="AX1425" s="3" t="s">
        <v>17863</v>
      </c>
      <c r="AY1425" s="3" t="s">
        <v>17864</v>
      </c>
      <c r="AZ1425" s="3" t="s">
        <v>73</v>
      </c>
      <c r="BC1425" s="3" t="s">
        <v>17865</v>
      </c>
      <c r="BD1425" s="3" t="s">
        <v>17866</v>
      </c>
    </row>
    <row r="1426" spans="1:56" ht="51" customHeight="1" x14ac:dyDescent="0.25">
      <c r="A1426" s="7" t="s">
        <v>58</v>
      </c>
      <c r="B1426" s="2" t="s">
        <v>17867</v>
      </c>
      <c r="C1426" s="2" t="s">
        <v>17868</v>
      </c>
      <c r="D1426" s="2" t="s">
        <v>17869</v>
      </c>
      <c r="F1426" s="3" t="s">
        <v>58</v>
      </c>
      <c r="G1426" s="3" t="s">
        <v>59</v>
      </c>
      <c r="H1426" s="3" t="s">
        <v>58</v>
      </c>
      <c r="I1426" s="3" t="s">
        <v>58</v>
      </c>
      <c r="J1426" s="3" t="s">
        <v>60</v>
      </c>
      <c r="K1426" s="2" t="s">
        <v>17870</v>
      </c>
      <c r="L1426" s="2" t="s">
        <v>17871</v>
      </c>
      <c r="M1426" s="3" t="s">
        <v>1357</v>
      </c>
      <c r="N1426" s="2" t="s">
        <v>2091</v>
      </c>
      <c r="O1426" s="3" t="s">
        <v>63</v>
      </c>
      <c r="P1426" s="3" t="s">
        <v>214</v>
      </c>
      <c r="R1426" s="3" t="s">
        <v>65</v>
      </c>
      <c r="S1426" s="4">
        <v>1</v>
      </c>
      <c r="T1426" s="4">
        <v>1</v>
      </c>
      <c r="U1426" s="5" t="s">
        <v>17872</v>
      </c>
      <c r="V1426" s="5" t="s">
        <v>17872</v>
      </c>
      <c r="W1426" s="5" t="s">
        <v>17873</v>
      </c>
      <c r="X1426" s="5" t="s">
        <v>17873</v>
      </c>
      <c r="Y1426" s="4">
        <v>230</v>
      </c>
      <c r="Z1426" s="4">
        <v>201</v>
      </c>
      <c r="AA1426" s="4">
        <v>808</v>
      </c>
      <c r="AB1426" s="4">
        <v>1</v>
      </c>
      <c r="AC1426" s="4">
        <v>3</v>
      </c>
      <c r="AD1426" s="4">
        <v>3</v>
      </c>
      <c r="AE1426" s="4">
        <v>26</v>
      </c>
      <c r="AF1426" s="4">
        <v>2</v>
      </c>
      <c r="AG1426" s="4">
        <v>11</v>
      </c>
      <c r="AH1426" s="4">
        <v>0</v>
      </c>
      <c r="AI1426" s="4">
        <v>4</v>
      </c>
      <c r="AJ1426" s="4">
        <v>1</v>
      </c>
      <c r="AK1426" s="4">
        <v>14</v>
      </c>
      <c r="AL1426" s="4">
        <v>0</v>
      </c>
      <c r="AM1426" s="4">
        <v>2</v>
      </c>
      <c r="AN1426" s="4">
        <v>0</v>
      </c>
      <c r="AO1426" s="4">
        <v>0</v>
      </c>
      <c r="AP1426" s="3" t="s">
        <v>58</v>
      </c>
      <c r="AQ1426" s="3" t="s">
        <v>68</v>
      </c>
      <c r="AR1426" s="6" t="str">
        <f>HYPERLINK("http://catalog.hathitrust.org/Record/006665948","HathiTrust Record")</f>
        <v>HathiTrust Record</v>
      </c>
      <c r="AS1426" s="6" t="str">
        <f>HYPERLINK("https://creighton-primo.hosted.exlibrisgroup.com/primo-explore/search?tab=default_tab&amp;search_scope=EVERYTHING&amp;vid=01CRU&amp;lang=en_US&amp;offset=0&amp;query=any,contains,991001233289702656","Catalog Record")</f>
        <v>Catalog Record</v>
      </c>
      <c r="AT1426" s="6" t="str">
        <f>HYPERLINK("http://www.worldcat.org/oclc/204204","WorldCat Record")</f>
        <v>WorldCat Record</v>
      </c>
      <c r="AU1426" s="3" t="s">
        <v>17874</v>
      </c>
      <c r="AV1426" s="3" t="s">
        <v>17875</v>
      </c>
      <c r="AW1426" s="3" t="s">
        <v>17876</v>
      </c>
      <c r="AX1426" s="3" t="s">
        <v>17876</v>
      </c>
      <c r="AY1426" s="3" t="s">
        <v>17877</v>
      </c>
      <c r="AZ1426" s="3" t="s">
        <v>73</v>
      </c>
      <c r="BC1426" s="3" t="s">
        <v>17878</v>
      </c>
      <c r="BD1426" s="3" t="s">
        <v>17879</v>
      </c>
    </row>
    <row r="1427" spans="1:56" ht="51" customHeight="1" x14ac:dyDescent="0.25">
      <c r="A1427" s="7" t="s">
        <v>58</v>
      </c>
      <c r="B1427" s="2" t="s">
        <v>17880</v>
      </c>
      <c r="C1427" s="2" t="s">
        <v>17881</v>
      </c>
      <c r="D1427" s="2" t="s">
        <v>17882</v>
      </c>
      <c r="F1427" s="3" t="s">
        <v>58</v>
      </c>
      <c r="G1427" s="3" t="s">
        <v>59</v>
      </c>
      <c r="H1427" s="3" t="s">
        <v>58</v>
      </c>
      <c r="I1427" s="3" t="s">
        <v>58</v>
      </c>
      <c r="J1427" s="3" t="s">
        <v>60</v>
      </c>
      <c r="K1427" s="2" t="s">
        <v>4049</v>
      </c>
      <c r="L1427" s="2" t="s">
        <v>17883</v>
      </c>
      <c r="M1427" s="3" t="s">
        <v>1153</v>
      </c>
      <c r="N1427" s="2" t="s">
        <v>1470</v>
      </c>
      <c r="O1427" s="3" t="s">
        <v>63</v>
      </c>
      <c r="P1427" s="3" t="s">
        <v>214</v>
      </c>
      <c r="R1427" s="3" t="s">
        <v>65</v>
      </c>
      <c r="S1427" s="4">
        <v>2</v>
      </c>
      <c r="T1427" s="4">
        <v>2</v>
      </c>
      <c r="U1427" s="5" t="s">
        <v>4285</v>
      </c>
      <c r="V1427" s="5" t="s">
        <v>4285</v>
      </c>
      <c r="W1427" s="5" t="s">
        <v>17884</v>
      </c>
      <c r="X1427" s="5" t="s">
        <v>17884</v>
      </c>
      <c r="Y1427" s="4">
        <v>718</v>
      </c>
      <c r="Z1427" s="4">
        <v>642</v>
      </c>
      <c r="AA1427" s="4">
        <v>937</v>
      </c>
      <c r="AB1427" s="4">
        <v>6</v>
      </c>
      <c r="AC1427" s="4">
        <v>7</v>
      </c>
      <c r="AD1427" s="4">
        <v>20</v>
      </c>
      <c r="AE1427" s="4">
        <v>31</v>
      </c>
      <c r="AF1427" s="4">
        <v>5</v>
      </c>
      <c r="AG1427" s="4">
        <v>10</v>
      </c>
      <c r="AH1427" s="4">
        <v>6</v>
      </c>
      <c r="AI1427" s="4">
        <v>8</v>
      </c>
      <c r="AJ1427" s="4">
        <v>8</v>
      </c>
      <c r="AK1427" s="4">
        <v>15</v>
      </c>
      <c r="AL1427" s="4">
        <v>5</v>
      </c>
      <c r="AM1427" s="4">
        <v>6</v>
      </c>
      <c r="AN1427" s="4">
        <v>0</v>
      </c>
      <c r="AO1427" s="4">
        <v>0</v>
      </c>
      <c r="AP1427" s="3" t="s">
        <v>58</v>
      </c>
      <c r="AQ1427" s="3" t="s">
        <v>68</v>
      </c>
      <c r="AR1427" s="6" t="str">
        <f>HYPERLINK("http://catalog.hathitrust.org/Record/001255510","HathiTrust Record")</f>
        <v>HathiTrust Record</v>
      </c>
      <c r="AS1427" s="6" t="str">
        <f>HYPERLINK("https://creighton-primo.hosted.exlibrisgroup.com/primo-explore/search?tab=default_tab&amp;search_scope=EVERYTHING&amp;vid=01CRU&amp;lang=en_US&amp;offset=0&amp;query=any,contains,991002970149702656","Catalog Record")</f>
        <v>Catalog Record</v>
      </c>
      <c r="AT1427" s="6" t="str">
        <f>HYPERLINK("http://www.worldcat.org/oclc/548096","WorldCat Record")</f>
        <v>WorldCat Record</v>
      </c>
      <c r="AU1427" s="3" t="s">
        <v>17885</v>
      </c>
      <c r="AV1427" s="3" t="s">
        <v>17886</v>
      </c>
      <c r="AW1427" s="3" t="s">
        <v>17887</v>
      </c>
      <c r="AX1427" s="3" t="s">
        <v>17887</v>
      </c>
      <c r="AY1427" s="3" t="s">
        <v>17888</v>
      </c>
      <c r="AZ1427" s="3" t="s">
        <v>73</v>
      </c>
      <c r="BB1427" s="3" t="s">
        <v>17889</v>
      </c>
      <c r="BC1427" s="3" t="s">
        <v>17890</v>
      </c>
      <c r="BD1427" s="3" t="s">
        <v>17891</v>
      </c>
    </row>
    <row r="1428" spans="1:56" ht="51" customHeight="1" x14ac:dyDescent="0.25">
      <c r="A1428" s="7" t="s">
        <v>58</v>
      </c>
      <c r="B1428" s="2" t="s">
        <v>17892</v>
      </c>
      <c r="C1428" s="2" t="s">
        <v>17893</v>
      </c>
      <c r="D1428" s="2" t="s">
        <v>17894</v>
      </c>
      <c r="F1428" s="3" t="s">
        <v>58</v>
      </c>
      <c r="G1428" s="3" t="s">
        <v>59</v>
      </c>
      <c r="H1428" s="3" t="s">
        <v>58</v>
      </c>
      <c r="I1428" s="3" t="s">
        <v>58</v>
      </c>
      <c r="J1428" s="3" t="s">
        <v>60</v>
      </c>
      <c r="K1428" s="2" t="s">
        <v>17895</v>
      </c>
      <c r="L1428" s="2" t="s">
        <v>17896</v>
      </c>
      <c r="M1428" s="3" t="s">
        <v>842</v>
      </c>
      <c r="N1428" s="2" t="s">
        <v>338</v>
      </c>
      <c r="O1428" s="3" t="s">
        <v>63</v>
      </c>
      <c r="P1428" s="3" t="s">
        <v>816</v>
      </c>
      <c r="R1428" s="3" t="s">
        <v>65</v>
      </c>
      <c r="S1428" s="4">
        <v>4</v>
      </c>
      <c r="T1428" s="4">
        <v>4</v>
      </c>
      <c r="U1428" s="5" t="s">
        <v>17897</v>
      </c>
      <c r="V1428" s="5" t="s">
        <v>17897</v>
      </c>
      <c r="W1428" s="5" t="s">
        <v>2799</v>
      </c>
      <c r="X1428" s="5" t="s">
        <v>2799</v>
      </c>
      <c r="Y1428" s="4">
        <v>288</v>
      </c>
      <c r="Z1428" s="4">
        <v>253</v>
      </c>
      <c r="AA1428" s="4">
        <v>329</v>
      </c>
      <c r="AB1428" s="4">
        <v>2</v>
      </c>
      <c r="AC1428" s="4">
        <v>2</v>
      </c>
      <c r="AD1428" s="4">
        <v>12</v>
      </c>
      <c r="AE1428" s="4">
        <v>13</v>
      </c>
      <c r="AF1428" s="4">
        <v>3</v>
      </c>
      <c r="AG1428" s="4">
        <v>3</v>
      </c>
      <c r="AH1428" s="4">
        <v>3</v>
      </c>
      <c r="AI1428" s="4">
        <v>3</v>
      </c>
      <c r="AJ1428" s="4">
        <v>8</v>
      </c>
      <c r="AK1428" s="4">
        <v>9</v>
      </c>
      <c r="AL1428" s="4">
        <v>1</v>
      </c>
      <c r="AM1428" s="4">
        <v>1</v>
      </c>
      <c r="AN1428" s="4">
        <v>0</v>
      </c>
      <c r="AO1428" s="4">
        <v>0</v>
      </c>
      <c r="AP1428" s="3" t="s">
        <v>58</v>
      </c>
      <c r="AQ1428" s="3" t="s">
        <v>68</v>
      </c>
      <c r="AR1428" s="6" t="str">
        <f>HYPERLINK("http://catalog.hathitrust.org/Record/000261504","HathiTrust Record")</f>
        <v>HathiTrust Record</v>
      </c>
      <c r="AS1428" s="6" t="str">
        <f>HYPERLINK("https://creighton-primo.hosted.exlibrisgroup.com/primo-explore/search?tab=default_tab&amp;search_scope=EVERYTHING&amp;vid=01CRU&amp;lang=en_US&amp;offset=0&amp;query=any,contains,991005206989702656","Catalog Record")</f>
        <v>Catalog Record</v>
      </c>
      <c r="AT1428" s="6" t="str">
        <f>HYPERLINK("http://www.worldcat.org/oclc/8126153","WorldCat Record")</f>
        <v>WorldCat Record</v>
      </c>
      <c r="AU1428" s="3" t="s">
        <v>17898</v>
      </c>
      <c r="AV1428" s="3" t="s">
        <v>17899</v>
      </c>
      <c r="AW1428" s="3" t="s">
        <v>17900</v>
      </c>
      <c r="AX1428" s="3" t="s">
        <v>17900</v>
      </c>
      <c r="AY1428" s="3" t="s">
        <v>17901</v>
      </c>
      <c r="AZ1428" s="3" t="s">
        <v>73</v>
      </c>
      <c r="BC1428" s="3" t="s">
        <v>17902</v>
      </c>
      <c r="BD1428" s="3" t="s">
        <v>17903</v>
      </c>
    </row>
    <row r="1429" spans="1:56" ht="51" customHeight="1" x14ac:dyDescent="0.25">
      <c r="A1429" s="7" t="s">
        <v>58</v>
      </c>
      <c r="B1429" s="2" t="s">
        <v>17904</v>
      </c>
      <c r="C1429" s="2" t="s">
        <v>17905</v>
      </c>
      <c r="D1429" s="2" t="s">
        <v>17906</v>
      </c>
      <c r="F1429" s="3" t="s">
        <v>58</v>
      </c>
      <c r="G1429" s="3" t="s">
        <v>59</v>
      </c>
      <c r="H1429" s="3" t="s">
        <v>58</v>
      </c>
      <c r="I1429" s="3" t="s">
        <v>58</v>
      </c>
      <c r="J1429" s="3" t="s">
        <v>60</v>
      </c>
      <c r="K1429" s="2" t="s">
        <v>17907</v>
      </c>
      <c r="L1429" s="2" t="s">
        <v>17908</v>
      </c>
      <c r="M1429" s="3" t="s">
        <v>62</v>
      </c>
      <c r="O1429" s="3" t="s">
        <v>63</v>
      </c>
      <c r="P1429" s="3" t="s">
        <v>214</v>
      </c>
      <c r="Q1429" s="2" t="s">
        <v>5847</v>
      </c>
      <c r="R1429" s="3" t="s">
        <v>65</v>
      </c>
      <c r="S1429" s="4">
        <v>4</v>
      </c>
      <c r="T1429" s="4">
        <v>4</v>
      </c>
      <c r="U1429" s="5" t="s">
        <v>17909</v>
      </c>
      <c r="V1429" s="5" t="s">
        <v>17909</v>
      </c>
      <c r="W1429" s="5" t="s">
        <v>17910</v>
      </c>
      <c r="X1429" s="5" t="s">
        <v>17910</v>
      </c>
      <c r="Y1429" s="4">
        <v>300</v>
      </c>
      <c r="Z1429" s="4">
        <v>265</v>
      </c>
      <c r="AA1429" s="4">
        <v>271</v>
      </c>
      <c r="AB1429" s="4">
        <v>3</v>
      </c>
      <c r="AC1429" s="4">
        <v>3</v>
      </c>
      <c r="AD1429" s="4">
        <v>7</v>
      </c>
      <c r="AE1429" s="4">
        <v>7</v>
      </c>
      <c r="AF1429" s="4">
        <v>0</v>
      </c>
      <c r="AG1429" s="4">
        <v>0</v>
      </c>
      <c r="AH1429" s="4">
        <v>4</v>
      </c>
      <c r="AI1429" s="4">
        <v>4</v>
      </c>
      <c r="AJ1429" s="4">
        <v>3</v>
      </c>
      <c r="AK1429" s="4">
        <v>3</v>
      </c>
      <c r="AL1429" s="4">
        <v>2</v>
      </c>
      <c r="AM1429" s="4">
        <v>2</v>
      </c>
      <c r="AN1429" s="4">
        <v>0</v>
      </c>
      <c r="AO1429" s="4">
        <v>0</v>
      </c>
      <c r="AP1429" s="3" t="s">
        <v>58</v>
      </c>
      <c r="AQ1429" s="3" t="s">
        <v>58</v>
      </c>
      <c r="AS1429" s="6" t="str">
        <f>HYPERLINK("https://creighton-primo.hosted.exlibrisgroup.com/primo-explore/search?tab=default_tab&amp;search_scope=EVERYTHING&amp;vid=01CRU&amp;lang=en_US&amp;offset=0&amp;query=any,contains,991001363329702656","Catalog Record")</f>
        <v>Catalog Record</v>
      </c>
      <c r="AT1429" s="6" t="str">
        <f>HYPERLINK("http://www.worldcat.org/oclc/222055","WorldCat Record")</f>
        <v>WorldCat Record</v>
      </c>
      <c r="AU1429" s="3" t="s">
        <v>17911</v>
      </c>
      <c r="AV1429" s="3" t="s">
        <v>17912</v>
      </c>
      <c r="AW1429" s="3" t="s">
        <v>17913</v>
      </c>
      <c r="AX1429" s="3" t="s">
        <v>17913</v>
      </c>
      <c r="AY1429" s="3" t="s">
        <v>17914</v>
      </c>
      <c r="AZ1429" s="3" t="s">
        <v>73</v>
      </c>
      <c r="BB1429" s="3" t="s">
        <v>17915</v>
      </c>
      <c r="BC1429" s="3" t="s">
        <v>17916</v>
      </c>
      <c r="BD1429" s="3" t="s">
        <v>17917</v>
      </c>
    </row>
    <row r="1430" spans="1:56" ht="51" customHeight="1" x14ac:dyDescent="0.25">
      <c r="A1430" s="7" t="s">
        <v>58</v>
      </c>
      <c r="B1430" s="2" t="s">
        <v>17918</v>
      </c>
      <c r="C1430" s="2" t="s">
        <v>17919</v>
      </c>
      <c r="D1430" s="2" t="s">
        <v>17920</v>
      </c>
      <c r="F1430" s="3" t="s">
        <v>58</v>
      </c>
      <c r="G1430" s="3" t="s">
        <v>59</v>
      </c>
      <c r="H1430" s="3" t="s">
        <v>58</v>
      </c>
      <c r="I1430" s="3" t="s">
        <v>58</v>
      </c>
      <c r="J1430" s="3" t="s">
        <v>60</v>
      </c>
      <c r="K1430" s="2" t="s">
        <v>17921</v>
      </c>
      <c r="L1430" s="2" t="s">
        <v>15033</v>
      </c>
      <c r="M1430" s="3" t="s">
        <v>62</v>
      </c>
      <c r="O1430" s="3" t="s">
        <v>63</v>
      </c>
      <c r="P1430" s="3" t="s">
        <v>214</v>
      </c>
      <c r="R1430" s="3" t="s">
        <v>65</v>
      </c>
      <c r="S1430" s="4">
        <v>1</v>
      </c>
      <c r="T1430" s="4">
        <v>1</v>
      </c>
      <c r="U1430" s="5" t="s">
        <v>17922</v>
      </c>
      <c r="V1430" s="5" t="s">
        <v>17922</v>
      </c>
      <c r="W1430" s="5" t="s">
        <v>2955</v>
      </c>
      <c r="X1430" s="5" t="s">
        <v>2955</v>
      </c>
      <c r="Y1430" s="4">
        <v>817</v>
      </c>
      <c r="Z1430" s="4">
        <v>783</v>
      </c>
      <c r="AA1430" s="4">
        <v>806</v>
      </c>
      <c r="AB1430" s="4">
        <v>7</v>
      </c>
      <c r="AC1430" s="4">
        <v>7</v>
      </c>
      <c r="AD1430" s="4">
        <v>15</v>
      </c>
      <c r="AE1430" s="4">
        <v>15</v>
      </c>
      <c r="AF1430" s="4">
        <v>3</v>
      </c>
      <c r="AG1430" s="4">
        <v>3</v>
      </c>
      <c r="AH1430" s="4">
        <v>3</v>
      </c>
      <c r="AI1430" s="4">
        <v>3</v>
      </c>
      <c r="AJ1430" s="4">
        <v>7</v>
      </c>
      <c r="AK1430" s="4">
        <v>7</v>
      </c>
      <c r="AL1430" s="4">
        <v>1</v>
      </c>
      <c r="AM1430" s="4">
        <v>1</v>
      </c>
      <c r="AN1430" s="4">
        <v>3</v>
      </c>
      <c r="AO1430" s="4">
        <v>3</v>
      </c>
      <c r="AP1430" s="3" t="s">
        <v>58</v>
      </c>
      <c r="AQ1430" s="3" t="s">
        <v>68</v>
      </c>
      <c r="AR1430" s="6" t="str">
        <f>HYPERLINK("http://catalog.hathitrust.org/Record/001255555","HathiTrust Record")</f>
        <v>HathiTrust Record</v>
      </c>
      <c r="AS1430" s="6" t="str">
        <f>HYPERLINK("https://creighton-primo.hosted.exlibrisgroup.com/primo-explore/search?tab=default_tab&amp;search_scope=EVERYTHING&amp;vid=01CRU&amp;lang=en_US&amp;offset=0&amp;query=any,contains,991001045689702656","Catalog Record")</f>
        <v>Catalog Record</v>
      </c>
      <c r="AT1430" s="6" t="str">
        <f>HYPERLINK("http://www.worldcat.org/oclc/176043","WorldCat Record")</f>
        <v>WorldCat Record</v>
      </c>
      <c r="AU1430" s="3" t="s">
        <v>17923</v>
      </c>
      <c r="AV1430" s="3" t="s">
        <v>17924</v>
      </c>
      <c r="AW1430" s="3" t="s">
        <v>17925</v>
      </c>
      <c r="AX1430" s="3" t="s">
        <v>17925</v>
      </c>
      <c r="AY1430" s="3" t="s">
        <v>17926</v>
      </c>
      <c r="AZ1430" s="3" t="s">
        <v>73</v>
      </c>
      <c r="BB1430" s="3" t="s">
        <v>17927</v>
      </c>
      <c r="BC1430" s="3" t="s">
        <v>17928</v>
      </c>
      <c r="BD1430" s="3" t="s">
        <v>17929</v>
      </c>
    </row>
    <row r="1431" spans="1:56" ht="51" customHeight="1" x14ac:dyDescent="0.25">
      <c r="A1431" s="7" t="s">
        <v>58</v>
      </c>
      <c r="B1431" s="2" t="s">
        <v>17930</v>
      </c>
      <c r="C1431" s="2" t="s">
        <v>17931</v>
      </c>
      <c r="D1431" s="2" t="s">
        <v>17932</v>
      </c>
      <c r="F1431" s="3" t="s">
        <v>58</v>
      </c>
      <c r="G1431" s="3" t="s">
        <v>59</v>
      </c>
      <c r="H1431" s="3" t="s">
        <v>58</v>
      </c>
      <c r="I1431" s="3" t="s">
        <v>58</v>
      </c>
      <c r="J1431" s="3" t="s">
        <v>60</v>
      </c>
      <c r="K1431" s="2" t="s">
        <v>17933</v>
      </c>
      <c r="L1431" s="2" t="s">
        <v>17934</v>
      </c>
      <c r="M1431" s="3" t="s">
        <v>996</v>
      </c>
      <c r="N1431" s="2" t="s">
        <v>1470</v>
      </c>
      <c r="O1431" s="3" t="s">
        <v>63</v>
      </c>
      <c r="P1431" s="3" t="s">
        <v>214</v>
      </c>
      <c r="R1431" s="3" t="s">
        <v>65</v>
      </c>
      <c r="S1431" s="4">
        <v>4</v>
      </c>
      <c r="T1431" s="4">
        <v>4</v>
      </c>
      <c r="U1431" s="5" t="s">
        <v>17935</v>
      </c>
      <c r="V1431" s="5" t="s">
        <v>17935</v>
      </c>
      <c r="W1431" s="5" t="s">
        <v>2955</v>
      </c>
      <c r="X1431" s="5" t="s">
        <v>2955</v>
      </c>
      <c r="Y1431" s="4">
        <v>831</v>
      </c>
      <c r="Z1431" s="4">
        <v>781</v>
      </c>
      <c r="AA1431" s="4">
        <v>874</v>
      </c>
      <c r="AB1431" s="4">
        <v>6</v>
      </c>
      <c r="AC1431" s="4">
        <v>7</v>
      </c>
      <c r="AD1431" s="4">
        <v>30</v>
      </c>
      <c r="AE1431" s="4">
        <v>32</v>
      </c>
      <c r="AF1431" s="4">
        <v>13</v>
      </c>
      <c r="AG1431" s="4">
        <v>13</v>
      </c>
      <c r="AH1431" s="4">
        <v>7</v>
      </c>
      <c r="AI1431" s="4">
        <v>7</v>
      </c>
      <c r="AJ1431" s="4">
        <v>11</v>
      </c>
      <c r="AK1431" s="4">
        <v>12</v>
      </c>
      <c r="AL1431" s="4">
        <v>4</v>
      </c>
      <c r="AM1431" s="4">
        <v>5</v>
      </c>
      <c r="AN1431" s="4">
        <v>1</v>
      </c>
      <c r="AO1431" s="4">
        <v>1</v>
      </c>
      <c r="AP1431" s="3" t="s">
        <v>58</v>
      </c>
      <c r="AQ1431" s="3" t="s">
        <v>68</v>
      </c>
      <c r="AR1431" s="6" t="str">
        <f>HYPERLINK("http://catalog.hathitrust.org/Record/001255562","HathiTrust Record")</f>
        <v>HathiTrust Record</v>
      </c>
      <c r="AS1431" s="6" t="str">
        <f>HYPERLINK("https://creighton-primo.hosted.exlibrisgroup.com/primo-explore/search?tab=default_tab&amp;search_scope=EVERYTHING&amp;vid=01CRU&amp;lang=en_US&amp;offset=0&amp;query=any,contains,991001267679702656","Catalog Record")</f>
        <v>Catalog Record</v>
      </c>
      <c r="AT1431" s="6" t="str">
        <f>HYPERLINK("http://www.worldcat.org/oclc/210189","WorldCat Record")</f>
        <v>WorldCat Record</v>
      </c>
      <c r="AU1431" s="3" t="s">
        <v>17936</v>
      </c>
      <c r="AV1431" s="3" t="s">
        <v>17937</v>
      </c>
      <c r="AW1431" s="3" t="s">
        <v>17938</v>
      </c>
      <c r="AX1431" s="3" t="s">
        <v>17938</v>
      </c>
      <c r="AY1431" s="3" t="s">
        <v>17939</v>
      </c>
      <c r="AZ1431" s="3" t="s">
        <v>73</v>
      </c>
      <c r="BB1431" s="3" t="s">
        <v>17940</v>
      </c>
      <c r="BC1431" s="3" t="s">
        <v>17941</v>
      </c>
      <c r="BD1431" s="3" t="s">
        <v>17942</v>
      </c>
    </row>
    <row r="1432" spans="1:56" ht="51" customHeight="1" x14ac:dyDescent="0.25">
      <c r="A1432" s="7" t="s">
        <v>58</v>
      </c>
      <c r="B1432" s="2" t="s">
        <v>17943</v>
      </c>
      <c r="C1432" s="2" t="s">
        <v>17944</v>
      </c>
      <c r="D1432" s="2" t="s">
        <v>17945</v>
      </c>
      <c r="F1432" s="3" t="s">
        <v>58</v>
      </c>
      <c r="G1432" s="3" t="s">
        <v>59</v>
      </c>
      <c r="H1432" s="3" t="s">
        <v>58</v>
      </c>
      <c r="I1432" s="3" t="s">
        <v>58</v>
      </c>
      <c r="J1432" s="3" t="s">
        <v>60</v>
      </c>
      <c r="L1432" s="2" t="s">
        <v>17946</v>
      </c>
      <c r="M1432" s="3" t="s">
        <v>62</v>
      </c>
      <c r="O1432" s="3" t="s">
        <v>63</v>
      </c>
      <c r="P1432" s="3" t="s">
        <v>214</v>
      </c>
      <c r="R1432" s="3" t="s">
        <v>65</v>
      </c>
      <c r="S1432" s="4">
        <v>4</v>
      </c>
      <c r="T1432" s="4">
        <v>4</v>
      </c>
      <c r="U1432" s="5" t="s">
        <v>17701</v>
      </c>
      <c r="V1432" s="5" t="s">
        <v>17701</v>
      </c>
      <c r="W1432" s="5" t="s">
        <v>17184</v>
      </c>
      <c r="X1432" s="5" t="s">
        <v>17184</v>
      </c>
      <c r="Y1432" s="4">
        <v>830</v>
      </c>
      <c r="Z1432" s="4">
        <v>765</v>
      </c>
      <c r="AA1432" s="4">
        <v>841</v>
      </c>
      <c r="AB1432" s="4">
        <v>9</v>
      </c>
      <c r="AC1432" s="4">
        <v>9</v>
      </c>
      <c r="AD1432" s="4">
        <v>24</v>
      </c>
      <c r="AE1432" s="4">
        <v>25</v>
      </c>
      <c r="AF1432" s="4">
        <v>8</v>
      </c>
      <c r="AG1432" s="4">
        <v>9</v>
      </c>
      <c r="AH1432" s="4">
        <v>4</v>
      </c>
      <c r="AI1432" s="4">
        <v>5</v>
      </c>
      <c r="AJ1432" s="4">
        <v>9</v>
      </c>
      <c r="AK1432" s="4">
        <v>9</v>
      </c>
      <c r="AL1432" s="4">
        <v>7</v>
      </c>
      <c r="AM1432" s="4">
        <v>7</v>
      </c>
      <c r="AN1432" s="4">
        <v>0</v>
      </c>
      <c r="AO1432" s="4">
        <v>0</v>
      </c>
      <c r="AP1432" s="3" t="s">
        <v>58</v>
      </c>
      <c r="AQ1432" s="3" t="s">
        <v>68</v>
      </c>
      <c r="AR1432" s="6" t="str">
        <f>HYPERLINK("http://catalog.hathitrust.org/Record/001255588","HathiTrust Record")</f>
        <v>HathiTrust Record</v>
      </c>
      <c r="AS1432" s="6" t="str">
        <f>HYPERLINK("https://creighton-primo.hosted.exlibrisgroup.com/primo-explore/search?tab=default_tab&amp;search_scope=EVERYTHING&amp;vid=01CRU&amp;lang=en_US&amp;offset=0&amp;query=any,contains,991001926599702656","Catalog Record")</f>
        <v>Catalog Record</v>
      </c>
      <c r="AT1432" s="6" t="str">
        <f>HYPERLINK("http://www.worldcat.org/oclc/246905","WorldCat Record")</f>
        <v>WorldCat Record</v>
      </c>
      <c r="AU1432" s="3" t="s">
        <v>17947</v>
      </c>
      <c r="AV1432" s="3" t="s">
        <v>17948</v>
      </c>
      <c r="AW1432" s="3" t="s">
        <v>17949</v>
      </c>
      <c r="AX1432" s="3" t="s">
        <v>17949</v>
      </c>
      <c r="AY1432" s="3" t="s">
        <v>17950</v>
      </c>
      <c r="AZ1432" s="3" t="s">
        <v>73</v>
      </c>
      <c r="BC1432" s="3" t="s">
        <v>17951</v>
      </c>
      <c r="BD1432" s="3" t="s">
        <v>17952</v>
      </c>
    </row>
    <row r="1433" spans="1:56" ht="51" customHeight="1" x14ac:dyDescent="0.25">
      <c r="A1433" s="7" t="s">
        <v>58</v>
      </c>
      <c r="B1433" s="2" t="s">
        <v>17953</v>
      </c>
      <c r="C1433" s="2" t="s">
        <v>17954</v>
      </c>
      <c r="D1433" s="2" t="s">
        <v>17955</v>
      </c>
      <c r="F1433" s="3" t="s">
        <v>58</v>
      </c>
      <c r="G1433" s="3" t="s">
        <v>59</v>
      </c>
      <c r="H1433" s="3" t="s">
        <v>58</v>
      </c>
      <c r="I1433" s="3" t="s">
        <v>58</v>
      </c>
      <c r="J1433" s="3" t="s">
        <v>60</v>
      </c>
      <c r="K1433" s="2" t="s">
        <v>17956</v>
      </c>
      <c r="L1433" s="2" t="s">
        <v>17957</v>
      </c>
      <c r="M1433" s="3" t="s">
        <v>62</v>
      </c>
      <c r="N1433" s="2" t="s">
        <v>1470</v>
      </c>
      <c r="O1433" s="3" t="s">
        <v>63</v>
      </c>
      <c r="P1433" s="3" t="s">
        <v>214</v>
      </c>
      <c r="R1433" s="3" t="s">
        <v>65</v>
      </c>
      <c r="S1433" s="4">
        <v>4</v>
      </c>
      <c r="T1433" s="4">
        <v>4</v>
      </c>
      <c r="U1433" s="5" t="s">
        <v>17958</v>
      </c>
      <c r="V1433" s="5" t="s">
        <v>17958</v>
      </c>
      <c r="W1433" s="5" t="s">
        <v>17959</v>
      </c>
      <c r="X1433" s="5" t="s">
        <v>17959</v>
      </c>
      <c r="Y1433" s="4">
        <v>807</v>
      </c>
      <c r="Z1433" s="4">
        <v>760</v>
      </c>
      <c r="AA1433" s="4">
        <v>772</v>
      </c>
      <c r="AB1433" s="4">
        <v>7</v>
      </c>
      <c r="AC1433" s="4">
        <v>7</v>
      </c>
      <c r="AD1433" s="4">
        <v>18</v>
      </c>
      <c r="AE1433" s="4">
        <v>18</v>
      </c>
      <c r="AF1433" s="4">
        <v>5</v>
      </c>
      <c r="AG1433" s="4">
        <v>5</v>
      </c>
      <c r="AH1433" s="4">
        <v>3</v>
      </c>
      <c r="AI1433" s="4">
        <v>3</v>
      </c>
      <c r="AJ1433" s="4">
        <v>6</v>
      </c>
      <c r="AK1433" s="4">
        <v>6</v>
      </c>
      <c r="AL1433" s="4">
        <v>5</v>
      </c>
      <c r="AM1433" s="4">
        <v>5</v>
      </c>
      <c r="AN1433" s="4">
        <v>0</v>
      </c>
      <c r="AO1433" s="4">
        <v>0</v>
      </c>
      <c r="AP1433" s="3" t="s">
        <v>58</v>
      </c>
      <c r="AQ1433" s="3" t="s">
        <v>68</v>
      </c>
      <c r="AR1433" s="6" t="str">
        <f>HYPERLINK("http://catalog.hathitrust.org/Record/001255597","HathiTrust Record")</f>
        <v>HathiTrust Record</v>
      </c>
      <c r="AS1433" s="6" t="str">
        <f>HYPERLINK("https://creighton-primo.hosted.exlibrisgroup.com/primo-explore/search?tab=default_tab&amp;search_scope=EVERYTHING&amp;vid=01CRU&amp;lang=en_US&amp;offset=0&amp;query=any,contains,991000794399702656","Catalog Record")</f>
        <v>Catalog Record</v>
      </c>
      <c r="AT1433" s="6" t="str">
        <f>HYPERLINK("http://www.worldcat.org/oclc/136515","WorldCat Record")</f>
        <v>WorldCat Record</v>
      </c>
      <c r="AU1433" s="3" t="s">
        <v>17960</v>
      </c>
      <c r="AV1433" s="3" t="s">
        <v>17961</v>
      </c>
      <c r="AW1433" s="3" t="s">
        <v>17962</v>
      </c>
      <c r="AX1433" s="3" t="s">
        <v>17962</v>
      </c>
      <c r="AY1433" s="3" t="s">
        <v>17963</v>
      </c>
      <c r="AZ1433" s="3" t="s">
        <v>73</v>
      </c>
      <c r="BB1433" s="3" t="s">
        <v>17964</v>
      </c>
      <c r="BC1433" s="3" t="s">
        <v>17965</v>
      </c>
      <c r="BD1433" s="3" t="s">
        <v>17966</v>
      </c>
    </row>
    <row r="1434" spans="1:56" ht="51" customHeight="1" x14ac:dyDescent="0.25">
      <c r="A1434" s="7" t="s">
        <v>58</v>
      </c>
      <c r="B1434" s="2" t="s">
        <v>17967</v>
      </c>
      <c r="C1434" s="2" t="s">
        <v>17968</v>
      </c>
      <c r="D1434" s="2" t="s">
        <v>17969</v>
      </c>
      <c r="F1434" s="3" t="s">
        <v>58</v>
      </c>
      <c r="G1434" s="3" t="s">
        <v>59</v>
      </c>
      <c r="H1434" s="3" t="s">
        <v>58</v>
      </c>
      <c r="I1434" s="3" t="s">
        <v>58</v>
      </c>
      <c r="J1434" s="3" t="s">
        <v>60</v>
      </c>
      <c r="K1434" s="2" t="s">
        <v>17970</v>
      </c>
      <c r="L1434" s="2" t="s">
        <v>17971</v>
      </c>
      <c r="M1434" s="3" t="s">
        <v>1385</v>
      </c>
      <c r="N1434" s="2" t="s">
        <v>1470</v>
      </c>
      <c r="O1434" s="3" t="s">
        <v>63</v>
      </c>
      <c r="P1434" s="3" t="s">
        <v>214</v>
      </c>
      <c r="R1434" s="3" t="s">
        <v>65</v>
      </c>
      <c r="S1434" s="4">
        <v>3</v>
      </c>
      <c r="T1434" s="4">
        <v>3</v>
      </c>
      <c r="U1434" s="5" t="s">
        <v>17972</v>
      </c>
      <c r="V1434" s="5" t="s">
        <v>17972</v>
      </c>
      <c r="W1434" s="5" t="s">
        <v>17184</v>
      </c>
      <c r="X1434" s="5" t="s">
        <v>17184</v>
      </c>
      <c r="Y1434" s="4">
        <v>533</v>
      </c>
      <c r="Z1434" s="4">
        <v>473</v>
      </c>
      <c r="AA1434" s="4">
        <v>480</v>
      </c>
      <c r="AB1434" s="4">
        <v>4</v>
      </c>
      <c r="AC1434" s="4">
        <v>4</v>
      </c>
      <c r="AD1434" s="4">
        <v>21</v>
      </c>
      <c r="AE1434" s="4">
        <v>21</v>
      </c>
      <c r="AF1434" s="4">
        <v>7</v>
      </c>
      <c r="AG1434" s="4">
        <v>7</v>
      </c>
      <c r="AH1434" s="4">
        <v>6</v>
      </c>
      <c r="AI1434" s="4">
        <v>6</v>
      </c>
      <c r="AJ1434" s="4">
        <v>12</v>
      </c>
      <c r="AK1434" s="4">
        <v>12</v>
      </c>
      <c r="AL1434" s="4">
        <v>3</v>
      </c>
      <c r="AM1434" s="4">
        <v>3</v>
      </c>
      <c r="AN1434" s="4">
        <v>0</v>
      </c>
      <c r="AO1434" s="4">
        <v>0</v>
      </c>
      <c r="AP1434" s="3" t="s">
        <v>58</v>
      </c>
      <c r="AQ1434" s="3" t="s">
        <v>68</v>
      </c>
      <c r="AR1434" s="6" t="str">
        <f>HYPERLINK("http://catalog.hathitrust.org/Record/001267092","HathiTrust Record")</f>
        <v>HathiTrust Record</v>
      </c>
      <c r="AS1434" s="6" t="str">
        <f>HYPERLINK("https://creighton-primo.hosted.exlibrisgroup.com/primo-explore/search?tab=default_tab&amp;search_scope=EVERYTHING&amp;vid=01CRU&amp;lang=en_US&amp;offset=0&amp;query=any,contains,991003364759702656","Catalog Record")</f>
        <v>Catalog Record</v>
      </c>
      <c r="AT1434" s="6" t="str">
        <f>HYPERLINK("http://www.worldcat.org/oclc/900981","WorldCat Record")</f>
        <v>WorldCat Record</v>
      </c>
      <c r="AU1434" s="3" t="s">
        <v>17973</v>
      </c>
      <c r="AV1434" s="3" t="s">
        <v>17974</v>
      </c>
      <c r="AW1434" s="3" t="s">
        <v>17975</v>
      </c>
      <c r="AX1434" s="3" t="s">
        <v>17975</v>
      </c>
      <c r="AY1434" s="3" t="s">
        <v>17976</v>
      </c>
      <c r="AZ1434" s="3" t="s">
        <v>73</v>
      </c>
      <c r="BB1434" s="3" t="s">
        <v>17977</v>
      </c>
      <c r="BC1434" s="3" t="s">
        <v>17978</v>
      </c>
      <c r="BD1434" s="3" t="s">
        <v>17979</v>
      </c>
    </row>
    <row r="1435" spans="1:56" ht="51" customHeight="1" x14ac:dyDescent="0.25">
      <c r="A1435" s="7" t="s">
        <v>58</v>
      </c>
      <c r="B1435" s="2" t="s">
        <v>17980</v>
      </c>
      <c r="C1435" s="2" t="s">
        <v>17981</v>
      </c>
      <c r="D1435" s="2" t="s">
        <v>17982</v>
      </c>
      <c r="F1435" s="3" t="s">
        <v>58</v>
      </c>
      <c r="G1435" s="3" t="s">
        <v>59</v>
      </c>
      <c r="H1435" s="3" t="s">
        <v>58</v>
      </c>
      <c r="I1435" s="3" t="s">
        <v>58</v>
      </c>
      <c r="J1435" s="3" t="s">
        <v>60</v>
      </c>
      <c r="K1435" s="2" t="s">
        <v>17983</v>
      </c>
      <c r="L1435" s="2" t="s">
        <v>17984</v>
      </c>
      <c r="M1435" s="3" t="s">
        <v>1153</v>
      </c>
      <c r="N1435" s="2" t="s">
        <v>1470</v>
      </c>
      <c r="O1435" s="3" t="s">
        <v>63</v>
      </c>
      <c r="P1435" s="3" t="s">
        <v>214</v>
      </c>
      <c r="R1435" s="3" t="s">
        <v>65</v>
      </c>
      <c r="S1435" s="4">
        <v>1</v>
      </c>
      <c r="T1435" s="4">
        <v>1</v>
      </c>
      <c r="U1435" s="5" t="s">
        <v>6419</v>
      </c>
      <c r="V1435" s="5" t="s">
        <v>6419</v>
      </c>
      <c r="W1435" s="5" t="s">
        <v>17547</v>
      </c>
      <c r="X1435" s="5" t="s">
        <v>17547</v>
      </c>
      <c r="Y1435" s="4">
        <v>1054</v>
      </c>
      <c r="Z1435" s="4">
        <v>995</v>
      </c>
      <c r="AA1435" s="4">
        <v>1024</v>
      </c>
      <c r="AB1435" s="4">
        <v>7</v>
      </c>
      <c r="AC1435" s="4">
        <v>7</v>
      </c>
      <c r="AD1435" s="4">
        <v>19</v>
      </c>
      <c r="AE1435" s="4">
        <v>21</v>
      </c>
      <c r="AF1435" s="4">
        <v>6</v>
      </c>
      <c r="AG1435" s="4">
        <v>8</v>
      </c>
      <c r="AH1435" s="4">
        <v>4</v>
      </c>
      <c r="AI1435" s="4">
        <v>4</v>
      </c>
      <c r="AJ1435" s="4">
        <v>9</v>
      </c>
      <c r="AK1435" s="4">
        <v>10</v>
      </c>
      <c r="AL1435" s="4">
        <v>3</v>
      </c>
      <c r="AM1435" s="4">
        <v>3</v>
      </c>
      <c r="AN1435" s="4">
        <v>0</v>
      </c>
      <c r="AO1435" s="4">
        <v>0</v>
      </c>
      <c r="AP1435" s="3" t="s">
        <v>58</v>
      </c>
      <c r="AQ1435" s="3" t="s">
        <v>68</v>
      </c>
      <c r="AR1435" s="6" t="str">
        <f>HYPERLINK("http://catalog.hathitrust.org/Record/000507467","HathiTrust Record")</f>
        <v>HathiTrust Record</v>
      </c>
      <c r="AS1435" s="6" t="str">
        <f>HYPERLINK("https://creighton-primo.hosted.exlibrisgroup.com/primo-explore/search?tab=default_tab&amp;search_scope=EVERYTHING&amp;vid=01CRU&amp;lang=en_US&amp;offset=0&amp;query=any,contains,991003007129702656","Catalog Record")</f>
        <v>Catalog Record</v>
      </c>
      <c r="AT1435" s="6" t="str">
        <f>HYPERLINK("http://www.worldcat.org/oclc/574033","WorldCat Record")</f>
        <v>WorldCat Record</v>
      </c>
      <c r="AU1435" s="3" t="s">
        <v>17985</v>
      </c>
      <c r="AV1435" s="3" t="s">
        <v>17986</v>
      </c>
      <c r="AW1435" s="3" t="s">
        <v>17987</v>
      </c>
      <c r="AX1435" s="3" t="s">
        <v>17987</v>
      </c>
      <c r="AY1435" s="3" t="s">
        <v>17988</v>
      </c>
      <c r="AZ1435" s="3" t="s">
        <v>73</v>
      </c>
      <c r="BB1435" s="3" t="s">
        <v>17989</v>
      </c>
      <c r="BC1435" s="3" t="s">
        <v>17990</v>
      </c>
      <c r="BD1435" s="3" t="s">
        <v>17991</v>
      </c>
    </row>
    <row r="1436" spans="1:56" ht="51" customHeight="1" x14ac:dyDescent="0.25">
      <c r="A1436" s="7" t="s">
        <v>58</v>
      </c>
      <c r="B1436" s="2" t="s">
        <v>17992</v>
      </c>
      <c r="C1436" s="2" t="s">
        <v>17993</v>
      </c>
      <c r="D1436" s="2" t="s">
        <v>17994</v>
      </c>
      <c r="F1436" s="3" t="s">
        <v>58</v>
      </c>
      <c r="G1436" s="3" t="s">
        <v>59</v>
      </c>
      <c r="H1436" s="3" t="s">
        <v>58</v>
      </c>
      <c r="I1436" s="3" t="s">
        <v>58</v>
      </c>
      <c r="J1436" s="3" t="s">
        <v>60</v>
      </c>
      <c r="K1436" s="2" t="s">
        <v>17995</v>
      </c>
      <c r="L1436" s="2" t="s">
        <v>17996</v>
      </c>
      <c r="M1436" s="3" t="s">
        <v>538</v>
      </c>
      <c r="O1436" s="3" t="s">
        <v>63</v>
      </c>
      <c r="P1436" s="3" t="s">
        <v>214</v>
      </c>
      <c r="R1436" s="3" t="s">
        <v>65</v>
      </c>
      <c r="S1436" s="4">
        <v>2</v>
      </c>
      <c r="T1436" s="4">
        <v>2</v>
      </c>
      <c r="U1436" s="5" t="s">
        <v>17997</v>
      </c>
      <c r="V1436" s="5" t="s">
        <v>17997</v>
      </c>
      <c r="W1436" s="5" t="s">
        <v>3707</v>
      </c>
      <c r="X1436" s="5" t="s">
        <v>3707</v>
      </c>
      <c r="Y1436" s="4">
        <v>1111</v>
      </c>
      <c r="Z1436" s="4">
        <v>1006</v>
      </c>
      <c r="AA1436" s="4">
        <v>1051</v>
      </c>
      <c r="AB1436" s="4">
        <v>9</v>
      </c>
      <c r="AC1436" s="4">
        <v>10</v>
      </c>
      <c r="AD1436" s="4">
        <v>40</v>
      </c>
      <c r="AE1436" s="4">
        <v>42</v>
      </c>
      <c r="AF1436" s="4">
        <v>16</v>
      </c>
      <c r="AG1436" s="4">
        <v>16</v>
      </c>
      <c r="AH1436" s="4">
        <v>9</v>
      </c>
      <c r="AI1436" s="4">
        <v>9</v>
      </c>
      <c r="AJ1436" s="4">
        <v>17</v>
      </c>
      <c r="AK1436" s="4">
        <v>18</v>
      </c>
      <c r="AL1436" s="4">
        <v>8</v>
      </c>
      <c r="AM1436" s="4">
        <v>9</v>
      </c>
      <c r="AN1436" s="4">
        <v>0</v>
      </c>
      <c r="AO1436" s="4">
        <v>0</v>
      </c>
      <c r="AP1436" s="3" t="s">
        <v>58</v>
      </c>
      <c r="AQ1436" s="3" t="s">
        <v>68</v>
      </c>
      <c r="AR1436" s="6" t="str">
        <f>HYPERLINK("http://catalog.hathitrust.org/Record/001255623","HathiTrust Record")</f>
        <v>HathiTrust Record</v>
      </c>
      <c r="AS1436" s="6" t="str">
        <f>HYPERLINK("https://creighton-primo.hosted.exlibrisgroup.com/primo-explore/search?tab=default_tab&amp;search_scope=EVERYTHING&amp;vid=01CRU&amp;lang=en_US&amp;offset=0&amp;query=any,contains,991005438479702656","Catalog Record")</f>
        <v>Catalog Record</v>
      </c>
      <c r="AT1436" s="6" t="str">
        <f>HYPERLINK("http://www.worldcat.org/oclc/6052","WorldCat Record")</f>
        <v>WorldCat Record</v>
      </c>
      <c r="AU1436" s="3" t="s">
        <v>17998</v>
      </c>
      <c r="AV1436" s="3" t="s">
        <v>17999</v>
      </c>
      <c r="AW1436" s="3" t="s">
        <v>18000</v>
      </c>
      <c r="AX1436" s="3" t="s">
        <v>18000</v>
      </c>
      <c r="AY1436" s="3" t="s">
        <v>18001</v>
      </c>
      <c r="AZ1436" s="3" t="s">
        <v>73</v>
      </c>
      <c r="BC1436" s="3" t="s">
        <v>18002</v>
      </c>
      <c r="BD1436" s="3" t="s">
        <v>18003</v>
      </c>
    </row>
    <row r="1437" spans="1:56" ht="51" customHeight="1" x14ac:dyDescent="0.25">
      <c r="A1437" s="7" t="s">
        <v>58</v>
      </c>
      <c r="B1437" s="2" t="s">
        <v>18004</v>
      </c>
      <c r="C1437" s="2" t="s">
        <v>18005</v>
      </c>
      <c r="D1437" s="2" t="s">
        <v>18006</v>
      </c>
      <c r="F1437" s="3" t="s">
        <v>58</v>
      </c>
      <c r="G1437" s="3" t="s">
        <v>59</v>
      </c>
      <c r="H1437" s="3" t="s">
        <v>58</v>
      </c>
      <c r="I1437" s="3" t="s">
        <v>58</v>
      </c>
      <c r="J1437" s="3" t="s">
        <v>60</v>
      </c>
      <c r="K1437" s="2" t="s">
        <v>18007</v>
      </c>
      <c r="L1437" s="2" t="s">
        <v>18008</v>
      </c>
      <c r="M1437" s="3" t="s">
        <v>745</v>
      </c>
      <c r="N1437" s="2" t="s">
        <v>1470</v>
      </c>
      <c r="O1437" s="3" t="s">
        <v>63</v>
      </c>
      <c r="P1437" s="3" t="s">
        <v>214</v>
      </c>
      <c r="R1437" s="3" t="s">
        <v>65</v>
      </c>
      <c r="S1437" s="4">
        <v>5</v>
      </c>
      <c r="T1437" s="4">
        <v>5</v>
      </c>
      <c r="U1437" s="5" t="s">
        <v>18009</v>
      </c>
      <c r="V1437" s="5" t="s">
        <v>18009</v>
      </c>
      <c r="W1437" s="5" t="s">
        <v>17547</v>
      </c>
      <c r="X1437" s="5" t="s">
        <v>17547</v>
      </c>
      <c r="Y1437" s="4">
        <v>858</v>
      </c>
      <c r="Z1437" s="4">
        <v>808</v>
      </c>
      <c r="AA1437" s="4">
        <v>818</v>
      </c>
      <c r="AB1437" s="4">
        <v>9</v>
      </c>
      <c r="AC1437" s="4">
        <v>9</v>
      </c>
      <c r="AD1437" s="4">
        <v>28</v>
      </c>
      <c r="AE1437" s="4">
        <v>28</v>
      </c>
      <c r="AF1437" s="4">
        <v>7</v>
      </c>
      <c r="AG1437" s="4">
        <v>7</v>
      </c>
      <c r="AH1437" s="4">
        <v>6</v>
      </c>
      <c r="AI1437" s="4">
        <v>6</v>
      </c>
      <c r="AJ1437" s="4">
        <v>14</v>
      </c>
      <c r="AK1437" s="4">
        <v>14</v>
      </c>
      <c r="AL1437" s="4">
        <v>6</v>
      </c>
      <c r="AM1437" s="4">
        <v>6</v>
      </c>
      <c r="AN1437" s="4">
        <v>0</v>
      </c>
      <c r="AO1437" s="4">
        <v>0</v>
      </c>
      <c r="AP1437" s="3" t="s">
        <v>58</v>
      </c>
      <c r="AQ1437" s="3" t="s">
        <v>68</v>
      </c>
      <c r="AR1437" s="6" t="str">
        <f>HYPERLINK("http://catalog.hathitrust.org/Record/001255631","HathiTrust Record")</f>
        <v>HathiTrust Record</v>
      </c>
      <c r="AS1437" s="6" t="str">
        <f>HYPERLINK("https://creighton-primo.hosted.exlibrisgroup.com/primo-explore/search?tab=default_tab&amp;search_scope=EVERYTHING&amp;vid=01CRU&amp;lang=en_US&amp;offset=0&amp;query=any,contains,991002714049702656","Catalog Record")</f>
        <v>Catalog Record</v>
      </c>
      <c r="AT1437" s="6" t="str">
        <f>HYPERLINK("http://www.worldcat.org/oclc/410765","WorldCat Record")</f>
        <v>WorldCat Record</v>
      </c>
      <c r="AU1437" s="3" t="s">
        <v>18010</v>
      </c>
      <c r="AV1437" s="3" t="s">
        <v>18011</v>
      </c>
      <c r="AW1437" s="3" t="s">
        <v>18012</v>
      </c>
      <c r="AX1437" s="3" t="s">
        <v>18012</v>
      </c>
      <c r="AY1437" s="3" t="s">
        <v>18013</v>
      </c>
      <c r="AZ1437" s="3" t="s">
        <v>73</v>
      </c>
      <c r="BC1437" s="3" t="s">
        <v>18014</v>
      </c>
      <c r="BD1437" s="3" t="s">
        <v>18015</v>
      </c>
    </row>
    <row r="1438" spans="1:56" ht="51" customHeight="1" x14ac:dyDescent="0.25">
      <c r="A1438" s="7" t="s">
        <v>58</v>
      </c>
      <c r="B1438" s="2" t="s">
        <v>18016</v>
      </c>
      <c r="C1438" s="2" t="s">
        <v>18017</v>
      </c>
      <c r="D1438" s="2" t="s">
        <v>18018</v>
      </c>
      <c r="F1438" s="3" t="s">
        <v>58</v>
      </c>
      <c r="G1438" s="3" t="s">
        <v>59</v>
      </c>
      <c r="H1438" s="3" t="s">
        <v>58</v>
      </c>
      <c r="I1438" s="3" t="s">
        <v>58</v>
      </c>
      <c r="J1438" s="3" t="s">
        <v>60</v>
      </c>
      <c r="K1438" s="2" t="s">
        <v>18019</v>
      </c>
      <c r="L1438" s="2" t="s">
        <v>18020</v>
      </c>
      <c r="M1438" s="3" t="s">
        <v>2004</v>
      </c>
      <c r="O1438" s="3" t="s">
        <v>63</v>
      </c>
      <c r="P1438" s="3" t="s">
        <v>214</v>
      </c>
      <c r="Q1438" s="2" t="s">
        <v>18021</v>
      </c>
      <c r="R1438" s="3" t="s">
        <v>65</v>
      </c>
      <c r="S1438" s="4">
        <v>2</v>
      </c>
      <c r="T1438" s="4">
        <v>2</v>
      </c>
      <c r="U1438" s="5" t="s">
        <v>17639</v>
      </c>
      <c r="V1438" s="5" t="s">
        <v>17639</v>
      </c>
      <c r="W1438" s="5" t="s">
        <v>2034</v>
      </c>
      <c r="X1438" s="5" t="s">
        <v>2034</v>
      </c>
      <c r="Y1438" s="4">
        <v>756</v>
      </c>
      <c r="Z1438" s="4">
        <v>653</v>
      </c>
      <c r="AA1438" s="4">
        <v>716</v>
      </c>
      <c r="AB1438" s="4">
        <v>6</v>
      </c>
      <c r="AC1438" s="4">
        <v>6</v>
      </c>
      <c r="AD1438" s="4">
        <v>31</v>
      </c>
      <c r="AE1438" s="4">
        <v>33</v>
      </c>
      <c r="AF1438" s="4">
        <v>14</v>
      </c>
      <c r="AG1438" s="4">
        <v>15</v>
      </c>
      <c r="AH1438" s="4">
        <v>6</v>
      </c>
      <c r="AI1438" s="4">
        <v>6</v>
      </c>
      <c r="AJ1438" s="4">
        <v>16</v>
      </c>
      <c r="AK1438" s="4">
        <v>17</v>
      </c>
      <c r="AL1438" s="4">
        <v>4</v>
      </c>
      <c r="AM1438" s="4">
        <v>4</v>
      </c>
      <c r="AN1438" s="4">
        <v>0</v>
      </c>
      <c r="AO1438" s="4">
        <v>0</v>
      </c>
      <c r="AP1438" s="3" t="s">
        <v>58</v>
      </c>
      <c r="AQ1438" s="3" t="s">
        <v>58</v>
      </c>
      <c r="AR1438" s="6" t="str">
        <f>HYPERLINK("http://catalog.hathitrust.org/Record/001255663","HathiTrust Record")</f>
        <v>HathiTrust Record</v>
      </c>
      <c r="AS1438" s="6" t="str">
        <f>HYPERLINK("https://creighton-primo.hosted.exlibrisgroup.com/primo-explore/search?tab=default_tab&amp;search_scope=EVERYTHING&amp;vid=01CRU&amp;lang=en_US&amp;offset=0&amp;query=any,contains,991002718469702656","Catalog Record")</f>
        <v>Catalog Record</v>
      </c>
      <c r="AT1438" s="6" t="str">
        <f>HYPERLINK("http://www.worldcat.org/oclc/411937","WorldCat Record")</f>
        <v>WorldCat Record</v>
      </c>
      <c r="AU1438" s="3" t="s">
        <v>18022</v>
      </c>
      <c r="AV1438" s="3" t="s">
        <v>18023</v>
      </c>
      <c r="AW1438" s="3" t="s">
        <v>18024</v>
      </c>
      <c r="AX1438" s="3" t="s">
        <v>18024</v>
      </c>
      <c r="AY1438" s="3" t="s">
        <v>18025</v>
      </c>
      <c r="AZ1438" s="3" t="s">
        <v>73</v>
      </c>
      <c r="BC1438" s="3" t="s">
        <v>18026</v>
      </c>
      <c r="BD1438" s="3" t="s">
        <v>18027</v>
      </c>
    </row>
    <row r="1439" spans="1:56" ht="51" customHeight="1" x14ac:dyDescent="0.25">
      <c r="A1439" s="7" t="s">
        <v>58</v>
      </c>
      <c r="B1439" s="2" t="s">
        <v>18028</v>
      </c>
      <c r="C1439" s="2" t="s">
        <v>18029</v>
      </c>
      <c r="D1439" s="2" t="s">
        <v>18030</v>
      </c>
      <c r="F1439" s="3" t="s">
        <v>58</v>
      </c>
      <c r="G1439" s="3" t="s">
        <v>59</v>
      </c>
      <c r="H1439" s="3" t="s">
        <v>58</v>
      </c>
      <c r="I1439" s="3" t="s">
        <v>58</v>
      </c>
      <c r="J1439" s="3" t="s">
        <v>60</v>
      </c>
      <c r="K1439" s="2" t="s">
        <v>18031</v>
      </c>
      <c r="L1439" s="2" t="s">
        <v>18032</v>
      </c>
      <c r="M1439" s="3" t="s">
        <v>249</v>
      </c>
      <c r="O1439" s="3" t="s">
        <v>63</v>
      </c>
      <c r="P1439" s="3" t="s">
        <v>214</v>
      </c>
      <c r="R1439" s="3" t="s">
        <v>65</v>
      </c>
      <c r="S1439" s="4">
        <v>3</v>
      </c>
      <c r="T1439" s="4">
        <v>3</v>
      </c>
      <c r="U1439" s="5" t="s">
        <v>12419</v>
      </c>
      <c r="V1439" s="5" t="s">
        <v>12419</v>
      </c>
      <c r="W1439" s="5" t="s">
        <v>18033</v>
      </c>
      <c r="X1439" s="5" t="s">
        <v>18033</v>
      </c>
      <c r="Y1439" s="4">
        <v>615</v>
      </c>
      <c r="Z1439" s="4">
        <v>511</v>
      </c>
      <c r="AA1439" s="4">
        <v>519</v>
      </c>
      <c r="AB1439" s="4">
        <v>3</v>
      </c>
      <c r="AC1439" s="4">
        <v>3</v>
      </c>
      <c r="AD1439" s="4">
        <v>26</v>
      </c>
      <c r="AE1439" s="4">
        <v>26</v>
      </c>
      <c r="AF1439" s="4">
        <v>9</v>
      </c>
      <c r="AG1439" s="4">
        <v>9</v>
      </c>
      <c r="AH1439" s="4">
        <v>8</v>
      </c>
      <c r="AI1439" s="4">
        <v>8</v>
      </c>
      <c r="AJ1439" s="4">
        <v>15</v>
      </c>
      <c r="AK1439" s="4">
        <v>15</v>
      </c>
      <c r="AL1439" s="4">
        <v>2</v>
      </c>
      <c r="AM1439" s="4">
        <v>2</v>
      </c>
      <c r="AN1439" s="4">
        <v>0</v>
      </c>
      <c r="AO1439" s="4">
        <v>0</v>
      </c>
      <c r="AP1439" s="3" t="s">
        <v>58</v>
      </c>
      <c r="AQ1439" s="3" t="s">
        <v>68</v>
      </c>
      <c r="AR1439" s="6" t="str">
        <f>HYPERLINK("http://catalog.hathitrust.org/Record/001255704","HathiTrust Record")</f>
        <v>HathiTrust Record</v>
      </c>
      <c r="AS1439" s="6" t="str">
        <f>HYPERLINK("https://creighton-primo.hosted.exlibrisgroup.com/primo-explore/search?tab=default_tab&amp;search_scope=EVERYTHING&amp;vid=01CRU&amp;lang=en_US&amp;offset=0&amp;query=any,contains,991002714139702656","Catalog Record")</f>
        <v>Catalog Record</v>
      </c>
      <c r="AT1439" s="6" t="str">
        <f>HYPERLINK("http://www.worldcat.org/oclc/410775","WorldCat Record")</f>
        <v>WorldCat Record</v>
      </c>
      <c r="AU1439" s="3" t="s">
        <v>18034</v>
      </c>
      <c r="AV1439" s="3" t="s">
        <v>18035</v>
      </c>
      <c r="AW1439" s="3" t="s">
        <v>18036</v>
      </c>
      <c r="AX1439" s="3" t="s">
        <v>18036</v>
      </c>
      <c r="AY1439" s="3" t="s">
        <v>18037</v>
      </c>
      <c r="AZ1439" s="3" t="s">
        <v>73</v>
      </c>
      <c r="BC1439" s="3" t="s">
        <v>18038</v>
      </c>
      <c r="BD1439" s="3" t="s">
        <v>18039</v>
      </c>
    </row>
    <row r="1440" spans="1:56" ht="51" customHeight="1" x14ac:dyDescent="0.25">
      <c r="A1440" s="7" t="s">
        <v>58</v>
      </c>
      <c r="B1440" s="2" t="s">
        <v>18040</v>
      </c>
      <c r="C1440" s="2" t="s">
        <v>18041</v>
      </c>
      <c r="D1440" s="2" t="s">
        <v>18042</v>
      </c>
      <c r="F1440" s="3" t="s">
        <v>58</v>
      </c>
      <c r="G1440" s="3" t="s">
        <v>59</v>
      </c>
      <c r="H1440" s="3" t="s">
        <v>58</v>
      </c>
      <c r="I1440" s="3" t="s">
        <v>58</v>
      </c>
      <c r="J1440" s="3" t="s">
        <v>60</v>
      </c>
      <c r="K1440" s="2" t="s">
        <v>16619</v>
      </c>
      <c r="L1440" s="2" t="s">
        <v>18043</v>
      </c>
      <c r="M1440" s="3" t="s">
        <v>1385</v>
      </c>
      <c r="O1440" s="3" t="s">
        <v>63</v>
      </c>
      <c r="P1440" s="3" t="s">
        <v>1584</v>
      </c>
      <c r="R1440" s="3" t="s">
        <v>65</v>
      </c>
      <c r="S1440" s="4">
        <v>8</v>
      </c>
      <c r="T1440" s="4">
        <v>8</v>
      </c>
      <c r="U1440" s="5" t="s">
        <v>15894</v>
      </c>
      <c r="V1440" s="5" t="s">
        <v>15894</v>
      </c>
      <c r="W1440" s="5" t="s">
        <v>18044</v>
      </c>
      <c r="X1440" s="5" t="s">
        <v>18044</v>
      </c>
      <c r="Y1440" s="4">
        <v>470</v>
      </c>
      <c r="Z1440" s="4">
        <v>376</v>
      </c>
      <c r="AA1440" s="4">
        <v>386</v>
      </c>
      <c r="AB1440" s="4">
        <v>3</v>
      </c>
      <c r="AC1440" s="4">
        <v>3</v>
      </c>
      <c r="AD1440" s="4">
        <v>15</v>
      </c>
      <c r="AE1440" s="4">
        <v>15</v>
      </c>
      <c r="AF1440" s="4">
        <v>4</v>
      </c>
      <c r="AG1440" s="4">
        <v>4</v>
      </c>
      <c r="AH1440" s="4">
        <v>4</v>
      </c>
      <c r="AI1440" s="4">
        <v>4</v>
      </c>
      <c r="AJ1440" s="4">
        <v>9</v>
      </c>
      <c r="AK1440" s="4">
        <v>9</v>
      </c>
      <c r="AL1440" s="4">
        <v>2</v>
      </c>
      <c r="AM1440" s="4">
        <v>2</v>
      </c>
      <c r="AN1440" s="4">
        <v>0</v>
      </c>
      <c r="AO1440" s="4">
        <v>0</v>
      </c>
      <c r="AP1440" s="3" t="s">
        <v>58</v>
      </c>
      <c r="AQ1440" s="3" t="s">
        <v>68</v>
      </c>
      <c r="AR1440" s="6" t="str">
        <f>HYPERLINK("http://catalog.hathitrust.org/Record/001255703","HathiTrust Record")</f>
        <v>HathiTrust Record</v>
      </c>
      <c r="AS1440" s="6" t="str">
        <f>HYPERLINK("https://creighton-primo.hosted.exlibrisgroup.com/primo-explore/search?tab=default_tab&amp;search_scope=EVERYTHING&amp;vid=01CRU&amp;lang=en_US&amp;offset=0&amp;query=any,contains,991003361329702656","Catalog Record")</f>
        <v>Catalog Record</v>
      </c>
      <c r="AT1440" s="6" t="str">
        <f>HYPERLINK("http://www.worldcat.org/oclc/897598","WorldCat Record")</f>
        <v>WorldCat Record</v>
      </c>
      <c r="AU1440" s="3" t="s">
        <v>18045</v>
      </c>
      <c r="AV1440" s="3" t="s">
        <v>18046</v>
      </c>
      <c r="AW1440" s="3" t="s">
        <v>18047</v>
      </c>
      <c r="AX1440" s="3" t="s">
        <v>18047</v>
      </c>
      <c r="AY1440" s="3" t="s">
        <v>18048</v>
      </c>
      <c r="AZ1440" s="3" t="s">
        <v>73</v>
      </c>
      <c r="BB1440" s="3" t="s">
        <v>18049</v>
      </c>
      <c r="BC1440" s="3" t="s">
        <v>18050</v>
      </c>
      <c r="BD1440" s="3" t="s">
        <v>18051</v>
      </c>
    </row>
    <row r="1441" spans="1:56" ht="51" customHeight="1" x14ac:dyDescent="0.25">
      <c r="A1441" s="7" t="s">
        <v>58</v>
      </c>
      <c r="B1441" s="2" t="s">
        <v>18052</v>
      </c>
      <c r="C1441" s="2" t="s">
        <v>18053</v>
      </c>
      <c r="D1441" s="2" t="s">
        <v>18054</v>
      </c>
      <c r="F1441" s="3" t="s">
        <v>58</v>
      </c>
      <c r="G1441" s="3" t="s">
        <v>59</v>
      </c>
      <c r="H1441" s="3" t="s">
        <v>58</v>
      </c>
      <c r="I1441" s="3" t="s">
        <v>58</v>
      </c>
      <c r="J1441" s="3" t="s">
        <v>60</v>
      </c>
      <c r="L1441" s="2" t="s">
        <v>18055</v>
      </c>
      <c r="M1441" s="3" t="s">
        <v>397</v>
      </c>
      <c r="N1441" s="2" t="s">
        <v>338</v>
      </c>
      <c r="O1441" s="3" t="s">
        <v>63</v>
      </c>
      <c r="P1441" s="3" t="s">
        <v>214</v>
      </c>
      <c r="R1441" s="3" t="s">
        <v>65</v>
      </c>
      <c r="S1441" s="4">
        <v>8</v>
      </c>
      <c r="T1441" s="4">
        <v>8</v>
      </c>
      <c r="U1441" s="5" t="s">
        <v>14050</v>
      </c>
      <c r="V1441" s="5" t="s">
        <v>14050</v>
      </c>
      <c r="W1441" s="5" t="s">
        <v>2799</v>
      </c>
      <c r="X1441" s="5" t="s">
        <v>2799</v>
      </c>
      <c r="Y1441" s="4">
        <v>948</v>
      </c>
      <c r="Z1441" s="4">
        <v>867</v>
      </c>
      <c r="AA1441" s="4">
        <v>1028</v>
      </c>
      <c r="AB1441" s="4">
        <v>5</v>
      </c>
      <c r="AC1441" s="4">
        <v>5</v>
      </c>
      <c r="AD1441" s="4">
        <v>23</v>
      </c>
      <c r="AE1441" s="4">
        <v>29</v>
      </c>
      <c r="AF1441" s="4">
        <v>10</v>
      </c>
      <c r="AG1441" s="4">
        <v>16</v>
      </c>
      <c r="AH1441" s="4">
        <v>5</v>
      </c>
      <c r="AI1441" s="4">
        <v>5</v>
      </c>
      <c r="AJ1441" s="4">
        <v>9</v>
      </c>
      <c r="AK1441" s="4">
        <v>12</v>
      </c>
      <c r="AL1441" s="4">
        <v>2</v>
      </c>
      <c r="AM1441" s="4">
        <v>2</v>
      </c>
      <c r="AN1441" s="4">
        <v>0</v>
      </c>
      <c r="AO1441" s="4">
        <v>0</v>
      </c>
      <c r="AP1441" s="3" t="s">
        <v>58</v>
      </c>
      <c r="AQ1441" s="3" t="s">
        <v>68</v>
      </c>
      <c r="AR1441" s="6" t="str">
        <f>HYPERLINK("http://catalog.hathitrust.org/Record/000340032","HathiTrust Record")</f>
        <v>HathiTrust Record</v>
      </c>
      <c r="AS1441" s="6" t="str">
        <f>HYPERLINK("https://creighton-primo.hosted.exlibrisgroup.com/primo-explore/search?tab=default_tab&amp;search_scope=EVERYTHING&amp;vid=01CRU&amp;lang=en_US&amp;offset=0&amp;query=any,contains,991000423929702656","Catalog Record")</f>
        <v>Catalog Record</v>
      </c>
      <c r="AT1441" s="6" t="str">
        <f>HYPERLINK("http://www.worldcat.org/oclc/10751902","WorldCat Record")</f>
        <v>WorldCat Record</v>
      </c>
      <c r="AU1441" s="3" t="s">
        <v>18056</v>
      </c>
      <c r="AV1441" s="3" t="s">
        <v>18057</v>
      </c>
      <c r="AW1441" s="3" t="s">
        <v>18058</v>
      </c>
      <c r="AX1441" s="3" t="s">
        <v>18058</v>
      </c>
      <c r="AY1441" s="3" t="s">
        <v>18059</v>
      </c>
      <c r="AZ1441" s="3" t="s">
        <v>73</v>
      </c>
      <c r="BB1441" s="3" t="s">
        <v>18060</v>
      </c>
      <c r="BC1441" s="3" t="s">
        <v>18061</v>
      </c>
      <c r="BD1441" s="3" t="s">
        <v>18062</v>
      </c>
    </row>
    <row r="1442" spans="1:56" ht="51" customHeight="1" x14ac:dyDescent="0.25">
      <c r="A1442" s="7" t="s">
        <v>58</v>
      </c>
      <c r="B1442" s="2" t="s">
        <v>18063</v>
      </c>
      <c r="C1442" s="2" t="s">
        <v>18064</v>
      </c>
      <c r="D1442" s="2" t="s">
        <v>18065</v>
      </c>
      <c r="F1442" s="3" t="s">
        <v>58</v>
      </c>
      <c r="G1442" s="3" t="s">
        <v>59</v>
      </c>
      <c r="H1442" s="3" t="s">
        <v>58</v>
      </c>
      <c r="I1442" s="3" t="s">
        <v>58</v>
      </c>
      <c r="J1442" s="3" t="s">
        <v>60</v>
      </c>
      <c r="L1442" s="2" t="s">
        <v>18066</v>
      </c>
      <c r="M1442" s="3" t="s">
        <v>154</v>
      </c>
      <c r="O1442" s="3" t="s">
        <v>63</v>
      </c>
      <c r="P1442" s="3" t="s">
        <v>8753</v>
      </c>
      <c r="R1442" s="3" t="s">
        <v>65</v>
      </c>
      <c r="S1442" s="4">
        <v>20</v>
      </c>
      <c r="T1442" s="4">
        <v>20</v>
      </c>
      <c r="U1442" s="5" t="s">
        <v>16112</v>
      </c>
      <c r="V1442" s="5" t="s">
        <v>16112</v>
      </c>
      <c r="W1442" s="5" t="s">
        <v>18067</v>
      </c>
      <c r="X1442" s="5" t="s">
        <v>18067</v>
      </c>
      <c r="Y1442" s="4">
        <v>887</v>
      </c>
      <c r="Z1442" s="4">
        <v>822</v>
      </c>
      <c r="AA1442" s="4">
        <v>1278</v>
      </c>
      <c r="AB1442" s="4">
        <v>5</v>
      </c>
      <c r="AC1442" s="4">
        <v>7</v>
      </c>
      <c r="AD1442" s="4">
        <v>22</v>
      </c>
      <c r="AE1442" s="4">
        <v>29</v>
      </c>
      <c r="AF1442" s="4">
        <v>10</v>
      </c>
      <c r="AG1442" s="4">
        <v>13</v>
      </c>
      <c r="AH1442" s="4">
        <v>4</v>
      </c>
      <c r="AI1442" s="4">
        <v>5</v>
      </c>
      <c r="AJ1442" s="4">
        <v>9</v>
      </c>
      <c r="AK1442" s="4">
        <v>11</v>
      </c>
      <c r="AL1442" s="4">
        <v>4</v>
      </c>
      <c r="AM1442" s="4">
        <v>6</v>
      </c>
      <c r="AN1442" s="4">
        <v>0</v>
      </c>
      <c r="AO1442" s="4">
        <v>0</v>
      </c>
      <c r="AP1442" s="3" t="s">
        <v>58</v>
      </c>
      <c r="AQ1442" s="3" t="s">
        <v>58</v>
      </c>
      <c r="AS1442" s="6" t="str">
        <f>HYPERLINK("https://creighton-primo.hosted.exlibrisgroup.com/primo-explore/search?tab=default_tab&amp;search_scope=EVERYTHING&amp;vid=01CRU&amp;lang=en_US&amp;offset=0&amp;query=any,contains,991001514119702656","Catalog Record")</f>
        <v>Catalog Record</v>
      </c>
      <c r="AT1442" s="6" t="str">
        <f>HYPERLINK("http://www.worldcat.org/oclc/19921121","WorldCat Record")</f>
        <v>WorldCat Record</v>
      </c>
      <c r="AU1442" s="3" t="s">
        <v>18068</v>
      </c>
      <c r="AV1442" s="3" t="s">
        <v>18069</v>
      </c>
      <c r="AW1442" s="3" t="s">
        <v>18070</v>
      </c>
      <c r="AX1442" s="3" t="s">
        <v>18070</v>
      </c>
      <c r="AY1442" s="3" t="s">
        <v>18071</v>
      </c>
      <c r="AZ1442" s="3" t="s">
        <v>73</v>
      </c>
      <c r="BB1442" s="3" t="s">
        <v>18072</v>
      </c>
      <c r="BC1442" s="3" t="s">
        <v>18073</v>
      </c>
      <c r="BD1442" s="3" t="s">
        <v>18074</v>
      </c>
    </row>
    <row r="1443" spans="1:56" ht="51" customHeight="1" x14ac:dyDescent="0.25">
      <c r="A1443" s="7" t="s">
        <v>58</v>
      </c>
      <c r="B1443" s="2" t="s">
        <v>18075</v>
      </c>
      <c r="C1443" s="2" t="s">
        <v>18076</v>
      </c>
      <c r="D1443" s="2" t="s">
        <v>18077</v>
      </c>
      <c r="F1443" s="3" t="s">
        <v>58</v>
      </c>
      <c r="G1443" s="3" t="s">
        <v>59</v>
      </c>
      <c r="H1443" s="3" t="s">
        <v>58</v>
      </c>
      <c r="I1443" s="3" t="s">
        <v>58</v>
      </c>
      <c r="J1443" s="3" t="s">
        <v>60</v>
      </c>
      <c r="K1443" s="2" t="s">
        <v>18078</v>
      </c>
      <c r="L1443" s="2" t="s">
        <v>17322</v>
      </c>
      <c r="M1443" s="3" t="s">
        <v>337</v>
      </c>
      <c r="O1443" s="3" t="s">
        <v>63</v>
      </c>
      <c r="P1443" s="3" t="s">
        <v>3109</v>
      </c>
      <c r="R1443" s="3" t="s">
        <v>65</v>
      </c>
      <c r="S1443" s="4">
        <v>4</v>
      </c>
      <c r="T1443" s="4">
        <v>4</v>
      </c>
      <c r="U1443" s="5" t="s">
        <v>8965</v>
      </c>
      <c r="V1443" s="5" t="s">
        <v>8965</v>
      </c>
      <c r="W1443" s="5" t="s">
        <v>18079</v>
      </c>
      <c r="X1443" s="5" t="s">
        <v>18079</v>
      </c>
      <c r="Y1443" s="4">
        <v>147</v>
      </c>
      <c r="Z1443" s="4">
        <v>126</v>
      </c>
      <c r="AA1443" s="4">
        <v>128</v>
      </c>
      <c r="AB1443" s="4">
        <v>1</v>
      </c>
      <c r="AC1443" s="4">
        <v>1</v>
      </c>
      <c r="AD1443" s="4">
        <v>8</v>
      </c>
      <c r="AE1443" s="4">
        <v>8</v>
      </c>
      <c r="AF1443" s="4">
        <v>3</v>
      </c>
      <c r="AG1443" s="4">
        <v>3</v>
      </c>
      <c r="AH1443" s="4">
        <v>2</v>
      </c>
      <c r="AI1443" s="4">
        <v>2</v>
      </c>
      <c r="AJ1443" s="4">
        <v>6</v>
      </c>
      <c r="AK1443" s="4">
        <v>6</v>
      </c>
      <c r="AL1443" s="4">
        <v>0</v>
      </c>
      <c r="AM1443" s="4">
        <v>0</v>
      </c>
      <c r="AN1443" s="4">
        <v>0</v>
      </c>
      <c r="AO1443" s="4">
        <v>0</v>
      </c>
      <c r="AP1443" s="3" t="s">
        <v>58</v>
      </c>
      <c r="AQ1443" s="3" t="s">
        <v>68</v>
      </c>
      <c r="AR1443" s="6" t="str">
        <f>HYPERLINK("http://catalog.hathitrust.org/Record/004295005","HathiTrust Record")</f>
        <v>HathiTrust Record</v>
      </c>
      <c r="AS1443" s="6" t="str">
        <f>HYPERLINK("https://creighton-primo.hosted.exlibrisgroup.com/primo-explore/search?tab=default_tab&amp;search_scope=EVERYTHING&amp;vid=01CRU&amp;lang=en_US&amp;offset=0&amp;query=any,contains,991004137869702656","Catalog Record")</f>
        <v>Catalog Record</v>
      </c>
      <c r="AT1443" s="6" t="str">
        <f>HYPERLINK("http://www.worldcat.org/oclc/50479320","WorldCat Record")</f>
        <v>WorldCat Record</v>
      </c>
      <c r="AU1443" s="3" t="s">
        <v>18080</v>
      </c>
      <c r="AV1443" s="3" t="s">
        <v>18081</v>
      </c>
      <c r="AW1443" s="3" t="s">
        <v>18082</v>
      </c>
      <c r="AX1443" s="3" t="s">
        <v>18082</v>
      </c>
      <c r="AY1443" s="3" t="s">
        <v>18083</v>
      </c>
      <c r="AZ1443" s="3" t="s">
        <v>73</v>
      </c>
      <c r="BB1443" s="3" t="s">
        <v>18084</v>
      </c>
      <c r="BC1443" s="3" t="s">
        <v>18085</v>
      </c>
      <c r="BD1443" s="3" t="s">
        <v>18086</v>
      </c>
    </row>
    <row r="1444" spans="1:56" ht="51" customHeight="1" x14ac:dyDescent="0.25">
      <c r="A1444" s="7" t="s">
        <v>58</v>
      </c>
      <c r="B1444" s="2" t="s">
        <v>18087</v>
      </c>
      <c r="C1444" s="2" t="s">
        <v>18088</v>
      </c>
      <c r="D1444" s="2" t="s">
        <v>18089</v>
      </c>
      <c r="F1444" s="3" t="s">
        <v>58</v>
      </c>
      <c r="G1444" s="3" t="s">
        <v>59</v>
      </c>
      <c r="H1444" s="3" t="s">
        <v>58</v>
      </c>
      <c r="I1444" s="3" t="s">
        <v>58</v>
      </c>
      <c r="J1444" s="3" t="s">
        <v>60</v>
      </c>
      <c r="K1444" s="2" t="s">
        <v>18090</v>
      </c>
      <c r="L1444" s="2" t="s">
        <v>18091</v>
      </c>
      <c r="M1444" s="3" t="s">
        <v>397</v>
      </c>
      <c r="N1444" s="2" t="s">
        <v>338</v>
      </c>
      <c r="O1444" s="3" t="s">
        <v>63</v>
      </c>
      <c r="P1444" s="3" t="s">
        <v>214</v>
      </c>
      <c r="R1444" s="3" t="s">
        <v>65</v>
      </c>
      <c r="S1444" s="4">
        <v>4</v>
      </c>
      <c r="T1444" s="4">
        <v>4</v>
      </c>
      <c r="U1444" s="5" t="s">
        <v>2297</v>
      </c>
      <c r="V1444" s="5" t="s">
        <v>2297</v>
      </c>
      <c r="W1444" s="5" t="s">
        <v>18092</v>
      </c>
      <c r="X1444" s="5" t="s">
        <v>18092</v>
      </c>
      <c r="Y1444" s="4">
        <v>1492</v>
      </c>
      <c r="Z1444" s="4">
        <v>1394</v>
      </c>
      <c r="AA1444" s="4">
        <v>1552</v>
      </c>
      <c r="AB1444" s="4">
        <v>12</v>
      </c>
      <c r="AC1444" s="4">
        <v>14</v>
      </c>
      <c r="AD1444" s="4">
        <v>40</v>
      </c>
      <c r="AE1444" s="4">
        <v>47</v>
      </c>
      <c r="AF1444" s="4">
        <v>16</v>
      </c>
      <c r="AG1444" s="4">
        <v>20</v>
      </c>
      <c r="AH1444" s="4">
        <v>6</v>
      </c>
      <c r="AI1444" s="4">
        <v>7</v>
      </c>
      <c r="AJ1444" s="4">
        <v>17</v>
      </c>
      <c r="AK1444" s="4">
        <v>19</v>
      </c>
      <c r="AL1444" s="4">
        <v>8</v>
      </c>
      <c r="AM1444" s="4">
        <v>10</v>
      </c>
      <c r="AN1444" s="4">
        <v>0</v>
      </c>
      <c r="AO1444" s="4">
        <v>0</v>
      </c>
      <c r="AP1444" s="3" t="s">
        <v>58</v>
      </c>
      <c r="AQ1444" s="3" t="s">
        <v>68</v>
      </c>
      <c r="AR1444" s="6" t="str">
        <f>HYPERLINK("http://catalog.hathitrust.org/Record/000454590","HathiTrust Record")</f>
        <v>HathiTrust Record</v>
      </c>
      <c r="AS1444" s="6" t="str">
        <f>HYPERLINK("https://creighton-primo.hosted.exlibrisgroup.com/primo-explore/search?tab=default_tab&amp;search_scope=EVERYTHING&amp;vid=01CRU&amp;lang=en_US&amp;offset=0&amp;query=any,contains,991000519409702656","Catalog Record")</f>
        <v>Catalog Record</v>
      </c>
      <c r="AT1444" s="6" t="str">
        <f>HYPERLINK("http://www.worldcat.org/oclc/11316746","WorldCat Record")</f>
        <v>WorldCat Record</v>
      </c>
      <c r="AU1444" s="3" t="s">
        <v>18093</v>
      </c>
      <c r="AV1444" s="3" t="s">
        <v>18094</v>
      </c>
      <c r="AW1444" s="3" t="s">
        <v>18095</v>
      </c>
      <c r="AX1444" s="3" t="s">
        <v>18095</v>
      </c>
      <c r="AY1444" s="3" t="s">
        <v>18096</v>
      </c>
      <c r="AZ1444" s="3" t="s">
        <v>73</v>
      </c>
      <c r="BB1444" s="3" t="s">
        <v>18097</v>
      </c>
      <c r="BC1444" s="3" t="s">
        <v>18098</v>
      </c>
      <c r="BD1444" s="3" t="s">
        <v>18099</v>
      </c>
    </row>
    <row r="1445" spans="1:56" ht="51" customHeight="1" x14ac:dyDescent="0.25">
      <c r="A1445" s="7" t="s">
        <v>58</v>
      </c>
      <c r="B1445" s="2" t="s">
        <v>18100</v>
      </c>
      <c r="C1445" s="2" t="s">
        <v>18101</v>
      </c>
      <c r="D1445" s="2" t="s">
        <v>18102</v>
      </c>
      <c r="F1445" s="3" t="s">
        <v>58</v>
      </c>
      <c r="G1445" s="3" t="s">
        <v>59</v>
      </c>
      <c r="H1445" s="3" t="s">
        <v>58</v>
      </c>
      <c r="I1445" s="3" t="s">
        <v>58</v>
      </c>
      <c r="J1445" s="3" t="s">
        <v>60</v>
      </c>
      <c r="K1445" s="2" t="s">
        <v>18103</v>
      </c>
      <c r="L1445" s="2" t="s">
        <v>18104</v>
      </c>
      <c r="M1445" s="3" t="s">
        <v>1091</v>
      </c>
      <c r="O1445" s="3" t="s">
        <v>63</v>
      </c>
      <c r="P1445" s="3" t="s">
        <v>214</v>
      </c>
      <c r="R1445" s="3" t="s">
        <v>65</v>
      </c>
      <c r="S1445" s="4">
        <v>3</v>
      </c>
      <c r="T1445" s="4">
        <v>3</v>
      </c>
      <c r="U1445" s="5" t="s">
        <v>14050</v>
      </c>
      <c r="V1445" s="5" t="s">
        <v>14050</v>
      </c>
      <c r="W1445" s="5" t="s">
        <v>6754</v>
      </c>
      <c r="X1445" s="5" t="s">
        <v>6754</v>
      </c>
      <c r="Y1445" s="4">
        <v>1298</v>
      </c>
      <c r="Z1445" s="4">
        <v>1193</v>
      </c>
      <c r="AA1445" s="4">
        <v>1272</v>
      </c>
      <c r="AB1445" s="4">
        <v>12</v>
      </c>
      <c r="AC1445" s="4">
        <v>13</v>
      </c>
      <c r="AD1445" s="4">
        <v>47</v>
      </c>
      <c r="AE1445" s="4">
        <v>48</v>
      </c>
      <c r="AF1445" s="4">
        <v>16</v>
      </c>
      <c r="AG1445" s="4">
        <v>16</v>
      </c>
      <c r="AH1445" s="4">
        <v>8</v>
      </c>
      <c r="AI1445" s="4">
        <v>8</v>
      </c>
      <c r="AJ1445" s="4">
        <v>22</v>
      </c>
      <c r="AK1445" s="4">
        <v>22</v>
      </c>
      <c r="AL1445" s="4">
        <v>9</v>
      </c>
      <c r="AM1445" s="4">
        <v>10</v>
      </c>
      <c r="AN1445" s="4">
        <v>0</v>
      </c>
      <c r="AO1445" s="4">
        <v>0</v>
      </c>
      <c r="AP1445" s="3" t="s">
        <v>58</v>
      </c>
      <c r="AQ1445" s="3" t="s">
        <v>58</v>
      </c>
      <c r="AS1445" s="6" t="str">
        <f>HYPERLINK("https://creighton-primo.hosted.exlibrisgroup.com/primo-explore/search?tab=default_tab&amp;search_scope=EVERYTHING&amp;vid=01CRU&amp;lang=en_US&amp;offset=0&amp;query=any,contains,991003585389702656","Catalog Record")</f>
        <v>Catalog Record</v>
      </c>
      <c r="AT1445" s="6" t="str">
        <f>HYPERLINK("http://www.worldcat.org/oclc/46565109","WorldCat Record")</f>
        <v>WorldCat Record</v>
      </c>
      <c r="AU1445" s="3" t="s">
        <v>18105</v>
      </c>
      <c r="AV1445" s="3" t="s">
        <v>18106</v>
      </c>
      <c r="AW1445" s="3" t="s">
        <v>18107</v>
      </c>
      <c r="AX1445" s="3" t="s">
        <v>18107</v>
      </c>
      <c r="AY1445" s="3" t="s">
        <v>18108</v>
      </c>
      <c r="AZ1445" s="3" t="s">
        <v>73</v>
      </c>
      <c r="BB1445" s="3" t="s">
        <v>18109</v>
      </c>
      <c r="BC1445" s="3" t="s">
        <v>18110</v>
      </c>
      <c r="BD1445" s="3" t="s">
        <v>18111</v>
      </c>
    </row>
    <row r="1446" spans="1:56" ht="51" customHeight="1" x14ac:dyDescent="0.25">
      <c r="A1446" s="7" t="s">
        <v>58</v>
      </c>
      <c r="B1446" s="2" t="s">
        <v>18112</v>
      </c>
      <c r="C1446" s="2" t="s">
        <v>18113</v>
      </c>
      <c r="D1446" s="2" t="s">
        <v>18114</v>
      </c>
      <c r="F1446" s="3" t="s">
        <v>58</v>
      </c>
      <c r="G1446" s="3" t="s">
        <v>59</v>
      </c>
      <c r="H1446" s="3" t="s">
        <v>58</v>
      </c>
      <c r="I1446" s="3" t="s">
        <v>58</v>
      </c>
      <c r="J1446" s="3" t="s">
        <v>60</v>
      </c>
      <c r="K1446" s="2" t="s">
        <v>18115</v>
      </c>
      <c r="L1446" s="2" t="s">
        <v>18116</v>
      </c>
      <c r="M1446" s="3" t="s">
        <v>397</v>
      </c>
      <c r="N1446" s="2" t="s">
        <v>338</v>
      </c>
      <c r="O1446" s="3" t="s">
        <v>63</v>
      </c>
      <c r="P1446" s="3" t="s">
        <v>816</v>
      </c>
      <c r="R1446" s="3" t="s">
        <v>65</v>
      </c>
      <c r="S1446" s="4">
        <v>9</v>
      </c>
      <c r="T1446" s="4">
        <v>9</v>
      </c>
      <c r="U1446" s="5" t="s">
        <v>18117</v>
      </c>
      <c r="V1446" s="5" t="s">
        <v>18117</v>
      </c>
      <c r="W1446" s="5" t="s">
        <v>17249</v>
      </c>
      <c r="X1446" s="5" t="s">
        <v>17249</v>
      </c>
      <c r="Y1446" s="4">
        <v>878</v>
      </c>
      <c r="Z1446" s="4">
        <v>833</v>
      </c>
      <c r="AA1446" s="4">
        <v>842</v>
      </c>
      <c r="AB1446" s="4">
        <v>6</v>
      </c>
      <c r="AC1446" s="4">
        <v>6</v>
      </c>
      <c r="AD1446" s="4">
        <v>19</v>
      </c>
      <c r="AE1446" s="4">
        <v>19</v>
      </c>
      <c r="AF1446" s="4">
        <v>7</v>
      </c>
      <c r="AG1446" s="4">
        <v>7</v>
      </c>
      <c r="AH1446" s="4">
        <v>4</v>
      </c>
      <c r="AI1446" s="4">
        <v>4</v>
      </c>
      <c r="AJ1446" s="4">
        <v>12</v>
      </c>
      <c r="AK1446" s="4">
        <v>12</v>
      </c>
      <c r="AL1446" s="4">
        <v>1</v>
      </c>
      <c r="AM1446" s="4">
        <v>1</v>
      </c>
      <c r="AN1446" s="4">
        <v>0</v>
      </c>
      <c r="AO1446" s="4">
        <v>0</v>
      </c>
      <c r="AP1446" s="3" t="s">
        <v>58</v>
      </c>
      <c r="AQ1446" s="3" t="s">
        <v>58</v>
      </c>
      <c r="AS1446" s="6" t="str">
        <f>HYPERLINK("https://creighton-primo.hosted.exlibrisgroup.com/primo-explore/search?tab=default_tab&amp;search_scope=EVERYTHING&amp;vid=01CRU&amp;lang=en_US&amp;offset=0&amp;query=any,contains,991000592819702656","Catalog Record")</f>
        <v>Catalog Record</v>
      </c>
      <c r="AT1446" s="6" t="str">
        <f>HYPERLINK("http://www.worldcat.org/oclc/11785937","WorldCat Record")</f>
        <v>WorldCat Record</v>
      </c>
      <c r="AU1446" s="3" t="s">
        <v>18118</v>
      </c>
      <c r="AV1446" s="3" t="s">
        <v>18119</v>
      </c>
      <c r="AW1446" s="3" t="s">
        <v>18120</v>
      </c>
      <c r="AX1446" s="3" t="s">
        <v>18120</v>
      </c>
      <c r="AY1446" s="3" t="s">
        <v>18121</v>
      </c>
      <c r="AZ1446" s="3" t="s">
        <v>73</v>
      </c>
      <c r="BB1446" s="3" t="s">
        <v>18122</v>
      </c>
      <c r="BC1446" s="3" t="s">
        <v>18123</v>
      </c>
      <c r="BD1446" s="3" t="s">
        <v>18124</v>
      </c>
    </row>
    <row r="1447" spans="1:56" ht="51" customHeight="1" x14ac:dyDescent="0.25">
      <c r="A1447" s="7" t="s">
        <v>58</v>
      </c>
      <c r="B1447" s="2" t="s">
        <v>18125</v>
      </c>
      <c r="C1447" s="2" t="s">
        <v>18126</v>
      </c>
      <c r="D1447" s="2" t="s">
        <v>18127</v>
      </c>
      <c r="F1447" s="3" t="s">
        <v>58</v>
      </c>
      <c r="G1447" s="3" t="s">
        <v>59</v>
      </c>
      <c r="H1447" s="3" t="s">
        <v>58</v>
      </c>
      <c r="I1447" s="3" t="s">
        <v>58</v>
      </c>
      <c r="J1447" s="3" t="s">
        <v>60</v>
      </c>
      <c r="K1447" s="2" t="s">
        <v>18128</v>
      </c>
      <c r="L1447" s="2" t="s">
        <v>18129</v>
      </c>
      <c r="M1447" s="3" t="s">
        <v>382</v>
      </c>
      <c r="O1447" s="3" t="s">
        <v>63</v>
      </c>
      <c r="P1447" s="3" t="s">
        <v>584</v>
      </c>
      <c r="R1447" s="3" t="s">
        <v>65</v>
      </c>
      <c r="S1447" s="4">
        <v>2</v>
      </c>
      <c r="T1447" s="4">
        <v>2</v>
      </c>
      <c r="U1447" s="5" t="s">
        <v>18130</v>
      </c>
      <c r="V1447" s="5" t="s">
        <v>18130</v>
      </c>
      <c r="W1447" s="5" t="s">
        <v>18130</v>
      </c>
      <c r="X1447" s="5" t="s">
        <v>18130</v>
      </c>
      <c r="Y1447" s="4">
        <v>316</v>
      </c>
      <c r="Z1447" s="4">
        <v>227</v>
      </c>
      <c r="AA1447" s="4">
        <v>250</v>
      </c>
      <c r="AB1447" s="4">
        <v>2</v>
      </c>
      <c r="AC1447" s="4">
        <v>2</v>
      </c>
      <c r="AD1447" s="4">
        <v>14</v>
      </c>
      <c r="AE1447" s="4">
        <v>14</v>
      </c>
      <c r="AF1447" s="4">
        <v>4</v>
      </c>
      <c r="AG1447" s="4">
        <v>4</v>
      </c>
      <c r="AH1447" s="4">
        <v>3</v>
      </c>
      <c r="AI1447" s="4">
        <v>3</v>
      </c>
      <c r="AJ1447" s="4">
        <v>9</v>
      </c>
      <c r="AK1447" s="4">
        <v>9</v>
      </c>
      <c r="AL1447" s="4">
        <v>1</v>
      </c>
      <c r="AM1447" s="4">
        <v>1</v>
      </c>
      <c r="AN1447" s="4">
        <v>0</v>
      </c>
      <c r="AO1447" s="4">
        <v>0</v>
      </c>
      <c r="AP1447" s="3" t="s">
        <v>58</v>
      </c>
      <c r="AQ1447" s="3" t="s">
        <v>58</v>
      </c>
      <c r="AS1447" s="6" t="str">
        <f>HYPERLINK("https://creighton-primo.hosted.exlibrisgroup.com/primo-explore/search?tab=default_tab&amp;search_scope=EVERYTHING&amp;vid=01CRU&amp;lang=en_US&amp;offset=0&amp;query=any,contains,991004346229702656","Catalog Record")</f>
        <v>Catalog Record</v>
      </c>
      <c r="AT1447" s="6" t="str">
        <f>HYPERLINK("http://www.worldcat.org/oclc/39963326","WorldCat Record")</f>
        <v>WorldCat Record</v>
      </c>
      <c r="AU1447" s="3" t="s">
        <v>18131</v>
      </c>
      <c r="AV1447" s="3" t="s">
        <v>18132</v>
      </c>
      <c r="AW1447" s="3" t="s">
        <v>18133</v>
      </c>
      <c r="AX1447" s="3" t="s">
        <v>18133</v>
      </c>
      <c r="AY1447" s="3" t="s">
        <v>18134</v>
      </c>
      <c r="AZ1447" s="3" t="s">
        <v>73</v>
      </c>
      <c r="BB1447" s="3" t="s">
        <v>18135</v>
      </c>
      <c r="BC1447" s="3" t="s">
        <v>18136</v>
      </c>
      <c r="BD1447" s="3" t="s">
        <v>18137</v>
      </c>
    </row>
    <row r="1448" spans="1:56" ht="51" customHeight="1" x14ac:dyDescent="0.25">
      <c r="A1448" s="7" t="s">
        <v>58</v>
      </c>
      <c r="B1448" s="2" t="s">
        <v>18138</v>
      </c>
      <c r="C1448" s="2" t="s">
        <v>18139</v>
      </c>
      <c r="D1448" s="2" t="s">
        <v>18140</v>
      </c>
      <c r="F1448" s="3" t="s">
        <v>58</v>
      </c>
      <c r="G1448" s="3" t="s">
        <v>59</v>
      </c>
      <c r="H1448" s="3" t="s">
        <v>58</v>
      </c>
      <c r="I1448" s="3" t="s">
        <v>58</v>
      </c>
      <c r="J1448" s="3" t="s">
        <v>60</v>
      </c>
      <c r="K1448" s="2" t="s">
        <v>18141</v>
      </c>
      <c r="L1448" s="2" t="s">
        <v>18142</v>
      </c>
      <c r="M1448" s="3" t="s">
        <v>524</v>
      </c>
      <c r="O1448" s="3" t="s">
        <v>63</v>
      </c>
      <c r="P1448" s="3" t="s">
        <v>214</v>
      </c>
      <c r="R1448" s="3" t="s">
        <v>65</v>
      </c>
      <c r="S1448" s="4">
        <v>3</v>
      </c>
      <c r="T1448" s="4">
        <v>3</v>
      </c>
      <c r="U1448" s="5" t="s">
        <v>18143</v>
      </c>
      <c r="V1448" s="5" t="s">
        <v>18143</v>
      </c>
      <c r="W1448" s="5" t="s">
        <v>17235</v>
      </c>
      <c r="X1448" s="5" t="s">
        <v>17235</v>
      </c>
      <c r="Y1448" s="4">
        <v>596</v>
      </c>
      <c r="Z1448" s="4">
        <v>500</v>
      </c>
      <c r="AA1448" s="4">
        <v>505</v>
      </c>
      <c r="AB1448" s="4">
        <v>4</v>
      </c>
      <c r="AC1448" s="4">
        <v>4</v>
      </c>
      <c r="AD1448" s="4">
        <v>24</v>
      </c>
      <c r="AE1448" s="4">
        <v>25</v>
      </c>
      <c r="AF1448" s="4">
        <v>7</v>
      </c>
      <c r="AG1448" s="4">
        <v>8</v>
      </c>
      <c r="AH1448" s="4">
        <v>7</v>
      </c>
      <c r="AI1448" s="4">
        <v>7</v>
      </c>
      <c r="AJ1448" s="4">
        <v>13</v>
      </c>
      <c r="AK1448" s="4">
        <v>13</v>
      </c>
      <c r="AL1448" s="4">
        <v>3</v>
      </c>
      <c r="AM1448" s="4">
        <v>3</v>
      </c>
      <c r="AN1448" s="4">
        <v>1</v>
      </c>
      <c r="AO1448" s="4">
        <v>1</v>
      </c>
      <c r="AP1448" s="3" t="s">
        <v>58</v>
      </c>
      <c r="AQ1448" s="3" t="s">
        <v>58</v>
      </c>
      <c r="AS1448" s="6" t="str">
        <f>HYPERLINK("https://creighton-primo.hosted.exlibrisgroup.com/primo-explore/search?tab=default_tab&amp;search_scope=EVERYTHING&amp;vid=01CRU&amp;lang=en_US&amp;offset=0&amp;query=any,contains,991000795959702656","Catalog Record")</f>
        <v>Catalog Record</v>
      </c>
      <c r="AT1448" s="6" t="str">
        <f>HYPERLINK("http://www.worldcat.org/oclc/13186234","WorldCat Record")</f>
        <v>WorldCat Record</v>
      </c>
      <c r="AU1448" s="3" t="s">
        <v>18144</v>
      </c>
      <c r="AV1448" s="3" t="s">
        <v>18145</v>
      </c>
      <c r="AW1448" s="3" t="s">
        <v>18146</v>
      </c>
      <c r="AX1448" s="3" t="s">
        <v>18146</v>
      </c>
      <c r="AY1448" s="3" t="s">
        <v>18147</v>
      </c>
      <c r="AZ1448" s="3" t="s">
        <v>73</v>
      </c>
      <c r="BB1448" s="3" t="s">
        <v>18148</v>
      </c>
      <c r="BC1448" s="3" t="s">
        <v>18149</v>
      </c>
      <c r="BD1448" s="3" t="s">
        <v>18150</v>
      </c>
    </row>
    <row r="1449" spans="1:56" ht="51" customHeight="1" x14ac:dyDescent="0.25">
      <c r="A1449" s="7" t="s">
        <v>58</v>
      </c>
      <c r="B1449" s="2" t="s">
        <v>18151</v>
      </c>
      <c r="C1449" s="2" t="s">
        <v>18152</v>
      </c>
      <c r="D1449" s="2" t="s">
        <v>18153</v>
      </c>
      <c r="F1449" s="3" t="s">
        <v>58</v>
      </c>
      <c r="G1449" s="3" t="s">
        <v>59</v>
      </c>
      <c r="H1449" s="3" t="s">
        <v>58</v>
      </c>
      <c r="I1449" s="3" t="s">
        <v>58</v>
      </c>
      <c r="J1449" s="3" t="s">
        <v>60</v>
      </c>
      <c r="K1449" s="2" t="s">
        <v>18154</v>
      </c>
      <c r="L1449" s="2" t="s">
        <v>18155</v>
      </c>
      <c r="M1449" s="3" t="s">
        <v>83</v>
      </c>
      <c r="N1449" s="2" t="s">
        <v>18156</v>
      </c>
      <c r="O1449" s="3" t="s">
        <v>63</v>
      </c>
      <c r="P1449" s="3" t="s">
        <v>214</v>
      </c>
      <c r="R1449" s="3" t="s">
        <v>65</v>
      </c>
      <c r="S1449" s="4">
        <v>3</v>
      </c>
      <c r="T1449" s="4">
        <v>3</v>
      </c>
      <c r="U1449" s="5" t="s">
        <v>18157</v>
      </c>
      <c r="V1449" s="5" t="s">
        <v>18157</v>
      </c>
      <c r="W1449" s="5" t="s">
        <v>7778</v>
      </c>
      <c r="X1449" s="5" t="s">
        <v>7778</v>
      </c>
      <c r="Y1449" s="4">
        <v>644</v>
      </c>
      <c r="Z1449" s="4">
        <v>610</v>
      </c>
      <c r="AA1449" s="4">
        <v>720</v>
      </c>
      <c r="AB1449" s="4">
        <v>5</v>
      </c>
      <c r="AC1449" s="4">
        <v>5</v>
      </c>
      <c r="AD1449" s="4">
        <v>13</v>
      </c>
      <c r="AE1449" s="4">
        <v>16</v>
      </c>
      <c r="AF1449" s="4">
        <v>1</v>
      </c>
      <c r="AG1449" s="4">
        <v>2</v>
      </c>
      <c r="AH1449" s="4">
        <v>3</v>
      </c>
      <c r="AI1449" s="4">
        <v>4</v>
      </c>
      <c r="AJ1449" s="4">
        <v>5</v>
      </c>
      <c r="AK1449" s="4">
        <v>7</v>
      </c>
      <c r="AL1449" s="4">
        <v>4</v>
      </c>
      <c r="AM1449" s="4">
        <v>4</v>
      </c>
      <c r="AN1449" s="4">
        <v>0</v>
      </c>
      <c r="AO1449" s="4">
        <v>0</v>
      </c>
      <c r="AP1449" s="3" t="s">
        <v>58</v>
      </c>
      <c r="AQ1449" s="3" t="s">
        <v>58</v>
      </c>
      <c r="AS1449" s="6" t="str">
        <f>HYPERLINK("https://creighton-primo.hosted.exlibrisgroup.com/primo-explore/search?tab=default_tab&amp;search_scope=EVERYTHING&amp;vid=01CRU&amp;lang=en_US&amp;offset=0&amp;query=any,contains,991004668119702656","Catalog Record")</f>
        <v>Catalog Record</v>
      </c>
      <c r="AT1449" s="6" t="str">
        <f>HYPERLINK("http://www.worldcat.org/oclc/4511556","WorldCat Record")</f>
        <v>WorldCat Record</v>
      </c>
      <c r="AU1449" s="3" t="s">
        <v>18158</v>
      </c>
      <c r="AV1449" s="3" t="s">
        <v>18159</v>
      </c>
      <c r="AW1449" s="3" t="s">
        <v>18160</v>
      </c>
      <c r="AX1449" s="3" t="s">
        <v>18160</v>
      </c>
      <c r="AY1449" s="3" t="s">
        <v>18161</v>
      </c>
      <c r="AZ1449" s="3" t="s">
        <v>73</v>
      </c>
      <c r="BB1449" s="3" t="s">
        <v>18162</v>
      </c>
      <c r="BC1449" s="3" t="s">
        <v>18163</v>
      </c>
      <c r="BD1449" s="3" t="s">
        <v>18164</v>
      </c>
    </row>
    <row r="1450" spans="1:56" ht="51" customHeight="1" x14ac:dyDescent="0.25">
      <c r="A1450" s="7" t="s">
        <v>58</v>
      </c>
      <c r="B1450" s="2" t="s">
        <v>18165</v>
      </c>
      <c r="C1450" s="2" t="s">
        <v>18166</v>
      </c>
      <c r="D1450" s="2" t="s">
        <v>18167</v>
      </c>
      <c r="F1450" s="3" t="s">
        <v>58</v>
      </c>
      <c r="G1450" s="3" t="s">
        <v>59</v>
      </c>
      <c r="H1450" s="3" t="s">
        <v>58</v>
      </c>
      <c r="I1450" s="3" t="s">
        <v>68</v>
      </c>
      <c r="J1450" s="3" t="s">
        <v>60</v>
      </c>
      <c r="K1450" s="2" t="s">
        <v>4049</v>
      </c>
      <c r="L1450" s="2" t="s">
        <v>18168</v>
      </c>
      <c r="M1450" s="3" t="s">
        <v>855</v>
      </c>
      <c r="O1450" s="3" t="s">
        <v>63</v>
      </c>
      <c r="P1450" s="3" t="s">
        <v>816</v>
      </c>
      <c r="R1450" s="3" t="s">
        <v>65</v>
      </c>
      <c r="S1450" s="4">
        <v>8</v>
      </c>
      <c r="T1450" s="4">
        <v>8</v>
      </c>
      <c r="U1450" s="5" t="s">
        <v>18169</v>
      </c>
      <c r="V1450" s="5" t="s">
        <v>18169</v>
      </c>
      <c r="W1450" s="5" t="s">
        <v>8036</v>
      </c>
      <c r="X1450" s="5" t="s">
        <v>8036</v>
      </c>
      <c r="Y1450" s="4">
        <v>869</v>
      </c>
      <c r="Z1450" s="4">
        <v>771</v>
      </c>
      <c r="AA1450" s="4">
        <v>1099</v>
      </c>
      <c r="AB1450" s="4">
        <v>8</v>
      </c>
      <c r="AC1450" s="4">
        <v>9</v>
      </c>
      <c r="AD1450" s="4">
        <v>41</v>
      </c>
      <c r="AE1450" s="4">
        <v>52</v>
      </c>
      <c r="AF1450" s="4">
        <v>18</v>
      </c>
      <c r="AG1450" s="4">
        <v>22</v>
      </c>
      <c r="AH1450" s="4">
        <v>7</v>
      </c>
      <c r="AI1450" s="4">
        <v>10</v>
      </c>
      <c r="AJ1450" s="4">
        <v>19</v>
      </c>
      <c r="AK1450" s="4">
        <v>23</v>
      </c>
      <c r="AL1450" s="4">
        <v>6</v>
      </c>
      <c r="AM1450" s="4">
        <v>6</v>
      </c>
      <c r="AN1450" s="4">
        <v>0</v>
      </c>
      <c r="AO1450" s="4">
        <v>2</v>
      </c>
      <c r="AP1450" s="3" t="s">
        <v>58</v>
      </c>
      <c r="AQ1450" s="3" t="s">
        <v>68</v>
      </c>
      <c r="AR1450" s="6" t="str">
        <f>HYPERLINK("http://catalog.hathitrust.org/Record/002706787","HathiTrust Record")</f>
        <v>HathiTrust Record</v>
      </c>
      <c r="AS1450" s="6" t="str">
        <f>HYPERLINK("https://creighton-primo.hosted.exlibrisgroup.com/primo-explore/search?tab=default_tab&amp;search_scope=EVERYTHING&amp;vid=01CRU&amp;lang=en_US&amp;offset=0&amp;query=any,contains,991002145899702656","Catalog Record")</f>
        <v>Catalog Record</v>
      </c>
      <c r="AT1450" s="6" t="str">
        <f>HYPERLINK("http://www.worldcat.org/oclc/27642924","WorldCat Record")</f>
        <v>WorldCat Record</v>
      </c>
      <c r="AU1450" s="3" t="s">
        <v>18170</v>
      </c>
      <c r="AV1450" s="3" t="s">
        <v>18171</v>
      </c>
      <c r="AW1450" s="3" t="s">
        <v>18172</v>
      </c>
      <c r="AX1450" s="3" t="s">
        <v>18172</v>
      </c>
      <c r="AY1450" s="3" t="s">
        <v>18173</v>
      </c>
      <c r="AZ1450" s="3" t="s">
        <v>73</v>
      </c>
      <c r="BB1450" s="3" t="s">
        <v>18174</v>
      </c>
      <c r="BC1450" s="3" t="s">
        <v>18175</v>
      </c>
      <c r="BD1450" s="3" t="s">
        <v>18176</v>
      </c>
    </row>
    <row r="1451" spans="1:56" ht="51" customHeight="1" x14ac:dyDescent="0.25">
      <c r="A1451" s="7" t="s">
        <v>58</v>
      </c>
      <c r="B1451" s="2" t="s">
        <v>18177</v>
      </c>
      <c r="C1451" s="2" t="s">
        <v>18178</v>
      </c>
      <c r="D1451" s="2" t="s">
        <v>18179</v>
      </c>
      <c r="F1451" s="3" t="s">
        <v>58</v>
      </c>
      <c r="G1451" s="3" t="s">
        <v>59</v>
      </c>
      <c r="H1451" s="3" t="s">
        <v>58</v>
      </c>
      <c r="I1451" s="3" t="s">
        <v>58</v>
      </c>
      <c r="J1451" s="3" t="s">
        <v>60</v>
      </c>
      <c r="K1451" s="2" t="s">
        <v>16985</v>
      </c>
      <c r="L1451" s="2" t="s">
        <v>18180</v>
      </c>
      <c r="M1451" s="3" t="s">
        <v>138</v>
      </c>
      <c r="O1451" s="3" t="s">
        <v>63</v>
      </c>
      <c r="P1451" s="3" t="s">
        <v>816</v>
      </c>
      <c r="Q1451" s="2" t="s">
        <v>16987</v>
      </c>
      <c r="R1451" s="3" t="s">
        <v>65</v>
      </c>
      <c r="S1451" s="4">
        <v>8</v>
      </c>
      <c r="T1451" s="4">
        <v>8</v>
      </c>
      <c r="U1451" s="5" t="s">
        <v>18181</v>
      </c>
      <c r="V1451" s="5" t="s">
        <v>18181</v>
      </c>
      <c r="W1451" s="5" t="s">
        <v>17235</v>
      </c>
      <c r="X1451" s="5" t="s">
        <v>17235</v>
      </c>
      <c r="Y1451" s="4">
        <v>1675</v>
      </c>
      <c r="Z1451" s="4">
        <v>1621</v>
      </c>
      <c r="AA1451" s="4">
        <v>1628</v>
      </c>
      <c r="AB1451" s="4">
        <v>17</v>
      </c>
      <c r="AC1451" s="4">
        <v>18</v>
      </c>
      <c r="AD1451" s="4">
        <v>28</v>
      </c>
      <c r="AE1451" s="4">
        <v>28</v>
      </c>
      <c r="AF1451" s="4">
        <v>11</v>
      </c>
      <c r="AG1451" s="4">
        <v>11</v>
      </c>
      <c r="AH1451" s="4">
        <v>6</v>
      </c>
      <c r="AI1451" s="4">
        <v>6</v>
      </c>
      <c r="AJ1451" s="4">
        <v>17</v>
      </c>
      <c r="AK1451" s="4">
        <v>17</v>
      </c>
      <c r="AL1451" s="4">
        <v>2</v>
      </c>
      <c r="AM1451" s="4">
        <v>2</v>
      </c>
      <c r="AN1451" s="4">
        <v>0</v>
      </c>
      <c r="AO1451" s="4">
        <v>0</v>
      </c>
      <c r="AP1451" s="3" t="s">
        <v>58</v>
      </c>
      <c r="AQ1451" s="3" t="s">
        <v>58</v>
      </c>
      <c r="AS1451" s="6" t="str">
        <f>HYPERLINK("https://creighton-primo.hosted.exlibrisgroup.com/primo-explore/search?tab=default_tab&amp;search_scope=EVERYTHING&amp;vid=01CRU&amp;lang=en_US&amp;offset=0&amp;query=any,contains,991000114279702656","Catalog Record")</f>
        <v>Catalog Record</v>
      </c>
      <c r="AT1451" s="6" t="str">
        <f>HYPERLINK("http://www.worldcat.org/oclc/9024069","WorldCat Record")</f>
        <v>WorldCat Record</v>
      </c>
      <c r="AU1451" s="3" t="s">
        <v>18182</v>
      </c>
      <c r="AV1451" s="3" t="s">
        <v>18183</v>
      </c>
      <c r="AW1451" s="3" t="s">
        <v>18184</v>
      </c>
      <c r="AX1451" s="3" t="s">
        <v>18184</v>
      </c>
      <c r="AY1451" s="3" t="s">
        <v>18185</v>
      </c>
      <c r="AZ1451" s="3" t="s">
        <v>73</v>
      </c>
      <c r="BB1451" s="3" t="s">
        <v>18186</v>
      </c>
      <c r="BC1451" s="3" t="s">
        <v>18187</v>
      </c>
      <c r="BD1451" s="3" t="s">
        <v>18188</v>
      </c>
    </row>
    <row r="1452" spans="1:56" ht="51" customHeight="1" x14ac:dyDescent="0.25">
      <c r="A1452" s="7" t="s">
        <v>58</v>
      </c>
      <c r="B1452" s="2" t="s">
        <v>18189</v>
      </c>
      <c r="C1452" s="2" t="s">
        <v>18190</v>
      </c>
      <c r="D1452" s="2" t="s">
        <v>18191</v>
      </c>
      <c r="F1452" s="3" t="s">
        <v>58</v>
      </c>
      <c r="G1452" s="3" t="s">
        <v>59</v>
      </c>
      <c r="H1452" s="3" t="s">
        <v>58</v>
      </c>
      <c r="I1452" s="3" t="s">
        <v>58</v>
      </c>
      <c r="J1452" s="3" t="s">
        <v>60</v>
      </c>
      <c r="K1452" s="2" t="s">
        <v>18192</v>
      </c>
      <c r="L1452" s="2" t="s">
        <v>18193</v>
      </c>
      <c r="M1452" s="3" t="s">
        <v>423</v>
      </c>
      <c r="O1452" s="3" t="s">
        <v>63</v>
      </c>
      <c r="P1452" s="3" t="s">
        <v>510</v>
      </c>
      <c r="Q1452" s="2" t="s">
        <v>18194</v>
      </c>
      <c r="R1452" s="3" t="s">
        <v>65</v>
      </c>
      <c r="S1452" s="4">
        <v>12</v>
      </c>
      <c r="T1452" s="4">
        <v>12</v>
      </c>
      <c r="U1452" s="5" t="s">
        <v>8784</v>
      </c>
      <c r="V1452" s="5" t="s">
        <v>8784</v>
      </c>
      <c r="W1452" s="5" t="s">
        <v>18195</v>
      </c>
      <c r="X1452" s="5" t="s">
        <v>18195</v>
      </c>
      <c r="Y1452" s="4">
        <v>742</v>
      </c>
      <c r="Z1452" s="4">
        <v>669</v>
      </c>
      <c r="AA1452" s="4">
        <v>675</v>
      </c>
      <c r="AB1452" s="4">
        <v>5</v>
      </c>
      <c r="AC1452" s="4">
        <v>5</v>
      </c>
      <c r="AD1452" s="4">
        <v>30</v>
      </c>
      <c r="AE1452" s="4">
        <v>30</v>
      </c>
      <c r="AF1452" s="4">
        <v>12</v>
      </c>
      <c r="AG1452" s="4">
        <v>12</v>
      </c>
      <c r="AH1452" s="4">
        <v>10</v>
      </c>
      <c r="AI1452" s="4">
        <v>10</v>
      </c>
      <c r="AJ1452" s="4">
        <v>14</v>
      </c>
      <c r="AK1452" s="4">
        <v>14</v>
      </c>
      <c r="AL1452" s="4">
        <v>3</v>
      </c>
      <c r="AM1452" s="4">
        <v>3</v>
      </c>
      <c r="AN1452" s="4">
        <v>0</v>
      </c>
      <c r="AO1452" s="4">
        <v>0</v>
      </c>
      <c r="AP1452" s="3" t="s">
        <v>58</v>
      </c>
      <c r="AQ1452" s="3" t="s">
        <v>68</v>
      </c>
      <c r="AR1452" s="6" t="str">
        <f>HYPERLINK("http://catalog.hathitrust.org/Record/004013378","HathiTrust Record")</f>
        <v>HathiTrust Record</v>
      </c>
      <c r="AS1452" s="6" t="str">
        <f>HYPERLINK("https://creighton-primo.hosted.exlibrisgroup.com/primo-explore/search?tab=default_tab&amp;search_scope=EVERYTHING&amp;vid=01CRU&amp;lang=en_US&amp;offset=0&amp;query=any,contains,991002922569702656","Catalog Record")</f>
        <v>Catalog Record</v>
      </c>
      <c r="AT1452" s="6" t="str">
        <f>HYPERLINK("http://www.worldcat.org/oclc/38842099","WorldCat Record")</f>
        <v>WorldCat Record</v>
      </c>
      <c r="AU1452" s="3" t="s">
        <v>18196</v>
      </c>
      <c r="AV1452" s="3" t="s">
        <v>18197</v>
      </c>
      <c r="AW1452" s="3" t="s">
        <v>18198</v>
      </c>
      <c r="AX1452" s="3" t="s">
        <v>18198</v>
      </c>
      <c r="AY1452" s="3" t="s">
        <v>18199</v>
      </c>
      <c r="AZ1452" s="3" t="s">
        <v>73</v>
      </c>
      <c r="BB1452" s="3" t="s">
        <v>18200</v>
      </c>
      <c r="BC1452" s="3" t="s">
        <v>18201</v>
      </c>
      <c r="BD1452" s="3" t="s">
        <v>18202</v>
      </c>
    </row>
    <row r="1453" spans="1:56" ht="51" customHeight="1" x14ac:dyDescent="0.25">
      <c r="A1453" s="7" t="s">
        <v>58</v>
      </c>
      <c r="B1453" s="2" t="s">
        <v>18203</v>
      </c>
      <c r="C1453" s="2" t="s">
        <v>18204</v>
      </c>
      <c r="D1453" s="2" t="s">
        <v>18205</v>
      </c>
      <c r="F1453" s="3" t="s">
        <v>58</v>
      </c>
      <c r="G1453" s="3" t="s">
        <v>59</v>
      </c>
      <c r="H1453" s="3" t="s">
        <v>58</v>
      </c>
      <c r="I1453" s="3" t="s">
        <v>58</v>
      </c>
      <c r="J1453" s="3" t="s">
        <v>60</v>
      </c>
      <c r="K1453" s="2" t="s">
        <v>18206</v>
      </c>
      <c r="L1453" s="2" t="s">
        <v>12902</v>
      </c>
      <c r="M1453" s="3" t="s">
        <v>397</v>
      </c>
      <c r="O1453" s="3" t="s">
        <v>63</v>
      </c>
      <c r="P1453" s="3" t="s">
        <v>816</v>
      </c>
      <c r="R1453" s="3" t="s">
        <v>65</v>
      </c>
      <c r="S1453" s="4">
        <v>6</v>
      </c>
      <c r="T1453" s="4">
        <v>6</v>
      </c>
      <c r="U1453" s="5" t="s">
        <v>17958</v>
      </c>
      <c r="V1453" s="5" t="s">
        <v>17958</v>
      </c>
      <c r="W1453" s="5" t="s">
        <v>17235</v>
      </c>
      <c r="X1453" s="5" t="s">
        <v>17235</v>
      </c>
      <c r="Y1453" s="4">
        <v>671</v>
      </c>
      <c r="Z1453" s="4">
        <v>631</v>
      </c>
      <c r="AA1453" s="4">
        <v>736</v>
      </c>
      <c r="AB1453" s="4">
        <v>3</v>
      </c>
      <c r="AC1453" s="4">
        <v>3</v>
      </c>
      <c r="AD1453" s="4">
        <v>10</v>
      </c>
      <c r="AE1453" s="4">
        <v>11</v>
      </c>
      <c r="AF1453" s="4">
        <v>3</v>
      </c>
      <c r="AG1453" s="4">
        <v>3</v>
      </c>
      <c r="AH1453" s="4">
        <v>3</v>
      </c>
      <c r="AI1453" s="4">
        <v>3</v>
      </c>
      <c r="AJ1453" s="4">
        <v>6</v>
      </c>
      <c r="AK1453" s="4">
        <v>7</v>
      </c>
      <c r="AL1453" s="4">
        <v>1</v>
      </c>
      <c r="AM1453" s="4">
        <v>1</v>
      </c>
      <c r="AN1453" s="4">
        <v>0</v>
      </c>
      <c r="AO1453" s="4">
        <v>0</v>
      </c>
      <c r="AP1453" s="3" t="s">
        <v>58</v>
      </c>
      <c r="AQ1453" s="3" t="s">
        <v>68</v>
      </c>
      <c r="AR1453" s="6" t="str">
        <f>HYPERLINK("http://catalog.hathitrust.org/Record/000349534","HathiTrust Record")</f>
        <v>HathiTrust Record</v>
      </c>
      <c r="AS1453" s="6" t="str">
        <f>HYPERLINK("https://creighton-primo.hosted.exlibrisgroup.com/primo-explore/search?tab=default_tab&amp;search_scope=EVERYTHING&amp;vid=01CRU&amp;lang=en_US&amp;offset=0&amp;query=any,contains,991000645969702656","Catalog Record")</f>
        <v>Catalog Record</v>
      </c>
      <c r="AT1453" s="6" t="str">
        <f>HYPERLINK("http://www.worldcat.org/oclc/12133308","WorldCat Record")</f>
        <v>WorldCat Record</v>
      </c>
      <c r="AU1453" s="3" t="s">
        <v>18207</v>
      </c>
      <c r="AV1453" s="3" t="s">
        <v>18208</v>
      </c>
      <c r="AW1453" s="3" t="s">
        <v>18209</v>
      </c>
      <c r="AX1453" s="3" t="s">
        <v>18209</v>
      </c>
      <c r="AY1453" s="3" t="s">
        <v>18210</v>
      </c>
      <c r="AZ1453" s="3" t="s">
        <v>73</v>
      </c>
      <c r="BB1453" s="3" t="s">
        <v>18211</v>
      </c>
      <c r="BC1453" s="3" t="s">
        <v>18212</v>
      </c>
      <c r="BD1453" s="3" t="s">
        <v>18213</v>
      </c>
    </row>
    <row r="1454" spans="1:56" ht="51" customHeight="1" x14ac:dyDescent="0.25">
      <c r="A1454" s="7" t="s">
        <v>58</v>
      </c>
      <c r="B1454" s="2" t="s">
        <v>18214</v>
      </c>
      <c r="C1454" s="2" t="s">
        <v>18215</v>
      </c>
      <c r="D1454" s="2" t="s">
        <v>18216</v>
      </c>
      <c r="F1454" s="3" t="s">
        <v>58</v>
      </c>
      <c r="G1454" s="3" t="s">
        <v>59</v>
      </c>
      <c r="H1454" s="3" t="s">
        <v>58</v>
      </c>
      <c r="I1454" s="3" t="s">
        <v>58</v>
      </c>
      <c r="J1454" s="3" t="s">
        <v>60</v>
      </c>
      <c r="K1454" s="2" t="s">
        <v>18217</v>
      </c>
      <c r="L1454" s="2" t="s">
        <v>18218</v>
      </c>
      <c r="M1454" s="3" t="s">
        <v>337</v>
      </c>
      <c r="O1454" s="3" t="s">
        <v>63</v>
      </c>
      <c r="P1454" s="3" t="s">
        <v>214</v>
      </c>
      <c r="R1454" s="3" t="s">
        <v>65</v>
      </c>
      <c r="S1454" s="4">
        <v>3</v>
      </c>
      <c r="T1454" s="4">
        <v>3</v>
      </c>
      <c r="U1454" s="5" t="s">
        <v>14050</v>
      </c>
      <c r="V1454" s="5" t="s">
        <v>14050</v>
      </c>
      <c r="W1454" s="5" t="s">
        <v>18219</v>
      </c>
      <c r="X1454" s="5" t="s">
        <v>18219</v>
      </c>
      <c r="Y1454" s="4">
        <v>1725</v>
      </c>
      <c r="Z1454" s="4">
        <v>1588</v>
      </c>
      <c r="AA1454" s="4">
        <v>1804</v>
      </c>
      <c r="AB1454" s="4">
        <v>13</v>
      </c>
      <c r="AC1454" s="4">
        <v>14</v>
      </c>
      <c r="AD1454" s="4">
        <v>39</v>
      </c>
      <c r="AE1454" s="4">
        <v>42</v>
      </c>
      <c r="AF1454" s="4">
        <v>17</v>
      </c>
      <c r="AG1454" s="4">
        <v>18</v>
      </c>
      <c r="AH1454" s="4">
        <v>10</v>
      </c>
      <c r="AI1454" s="4">
        <v>10</v>
      </c>
      <c r="AJ1454" s="4">
        <v>16</v>
      </c>
      <c r="AK1454" s="4">
        <v>17</v>
      </c>
      <c r="AL1454" s="4">
        <v>6</v>
      </c>
      <c r="AM1454" s="4">
        <v>7</v>
      </c>
      <c r="AN1454" s="4">
        <v>0</v>
      </c>
      <c r="AO1454" s="4">
        <v>0</v>
      </c>
      <c r="AP1454" s="3" t="s">
        <v>58</v>
      </c>
      <c r="AQ1454" s="3" t="s">
        <v>68</v>
      </c>
      <c r="AR1454" s="6" t="str">
        <f>HYPERLINK("http://catalog.hathitrust.org/Record/004285644","HathiTrust Record")</f>
        <v>HathiTrust Record</v>
      </c>
      <c r="AS1454" s="6" t="str">
        <f>HYPERLINK("https://creighton-primo.hosted.exlibrisgroup.com/primo-explore/search?tab=default_tab&amp;search_scope=EVERYTHING&amp;vid=01CRU&amp;lang=en_US&amp;offset=0&amp;query=any,contains,991003899399702656","Catalog Record")</f>
        <v>Catalog Record</v>
      </c>
      <c r="AT1454" s="6" t="str">
        <f>HYPERLINK("http://www.worldcat.org/oclc/49386042","WorldCat Record")</f>
        <v>WorldCat Record</v>
      </c>
      <c r="AU1454" s="3" t="s">
        <v>18220</v>
      </c>
      <c r="AV1454" s="3" t="s">
        <v>18221</v>
      </c>
      <c r="AW1454" s="3" t="s">
        <v>18222</v>
      </c>
      <c r="AX1454" s="3" t="s">
        <v>18222</v>
      </c>
      <c r="AY1454" s="3" t="s">
        <v>18223</v>
      </c>
      <c r="AZ1454" s="3" t="s">
        <v>73</v>
      </c>
      <c r="BB1454" s="3" t="s">
        <v>18224</v>
      </c>
      <c r="BC1454" s="3" t="s">
        <v>18225</v>
      </c>
      <c r="BD1454" s="3" t="s">
        <v>18226</v>
      </c>
    </row>
    <row r="1455" spans="1:56" ht="51" customHeight="1" x14ac:dyDescent="0.25">
      <c r="A1455" s="7" t="s">
        <v>58</v>
      </c>
      <c r="B1455" s="2" t="s">
        <v>18227</v>
      </c>
      <c r="C1455" s="2" t="s">
        <v>18228</v>
      </c>
      <c r="D1455" s="2" t="s">
        <v>18229</v>
      </c>
      <c r="F1455" s="3" t="s">
        <v>58</v>
      </c>
      <c r="G1455" s="3" t="s">
        <v>59</v>
      </c>
      <c r="H1455" s="3" t="s">
        <v>58</v>
      </c>
      <c r="I1455" s="3" t="s">
        <v>58</v>
      </c>
      <c r="J1455" s="3" t="s">
        <v>60</v>
      </c>
      <c r="K1455" s="2" t="s">
        <v>18230</v>
      </c>
      <c r="L1455" s="2" t="s">
        <v>18231</v>
      </c>
      <c r="M1455" s="3" t="s">
        <v>898</v>
      </c>
      <c r="O1455" s="3" t="s">
        <v>63</v>
      </c>
      <c r="P1455" s="3" t="s">
        <v>3109</v>
      </c>
      <c r="Q1455" s="2" t="s">
        <v>17573</v>
      </c>
      <c r="R1455" s="3" t="s">
        <v>65</v>
      </c>
      <c r="S1455" s="4">
        <v>1</v>
      </c>
      <c r="T1455" s="4">
        <v>1</v>
      </c>
      <c r="U1455" s="5" t="s">
        <v>6379</v>
      </c>
      <c r="V1455" s="5" t="s">
        <v>6379</v>
      </c>
      <c r="W1455" s="5" t="s">
        <v>6379</v>
      </c>
      <c r="X1455" s="5" t="s">
        <v>6379</v>
      </c>
      <c r="Y1455" s="4">
        <v>631</v>
      </c>
      <c r="Z1455" s="4">
        <v>559</v>
      </c>
      <c r="AA1455" s="4">
        <v>594</v>
      </c>
      <c r="AB1455" s="4">
        <v>3</v>
      </c>
      <c r="AC1455" s="4">
        <v>4</v>
      </c>
      <c r="AD1455" s="4">
        <v>21</v>
      </c>
      <c r="AE1455" s="4">
        <v>24</v>
      </c>
      <c r="AF1455" s="4">
        <v>11</v>
      </c>
      <c r="AG1455" s="4">
        <v>12</v>
      </c>
      <c r="AH1455" s="4">
        <v>3</v>
      </c>
      <c r="AI1455" s="4">
        <v>5</v>
      </c>
      <c r="AJ1455" s="4">
        <v>10</v>
      </c>
      <c r="AK1455" s="4">
        <v>10</v>
      </c>
      <c r="AL1455" s="4">
        <v>2</v>
      </c>
      <c r="AM1455" s="4">
        <v>3</v>
      </c>
      <c r="AN1455" s="4">
        <v>0</v>
      </c>
      <c r="AO1455" s="4">
        <v>0</v>
      </c>
      <c r="AP1455" s="3" t="s">
        <v>58</v>
      </c>
      <c r="AQ1455" s="3" t="s">
        <v>68</v>
      </c>
      <c r="AR1455" s="6" t="str">
        <f>HYPERLINK("http://catalog.hathitrust.org/Record/005345236","HathiTrust Record")</f>
        <v>HathiTrust Record</v>
      </c>
      <c r="AS1455" s="6" t="str">
        <f>HYPERLINK("https://creighton-primo.hosted.exlibrisgroup.com/primo-explore/search?tab=default_tab&amp;search_scope=EVERYTHING&amp;vid=01CRU&amp;lang=en_US&amp;offset=0&amp;query=any,contains,991004906079702656","Catalog Record")</f>
        <v>Catalog Record</v>
      </c>
      <c r="AT1455" s="6" t="str">
        <f>HYPERLINK("http://www.worldcat.org/oclc/65820147","WorldCat Record")</f>
        <v>WorldCat Record</v>
      </c>
      <c r="AU1455" s="3" t="s">
        <v>18232</v>
      </c>
      <c r="AV1455" s="3" t="s">
        <v>18233</v>
      </c>
      <c r="AW1455" s="3" t="s">
        <v>18234</v>
      </c>
      <c r="AX1455" s="3" t="s">
        <v>18234</v>
      </c>
      <c r="AY1455" s="3" t="s">
        <v>18235</v>
      </c>
      <c r="AZ1455" s="3" t="s">
        <v>73</v>
      </c>
      <c r="BB1455" s="3" t="s">
        <v>18236</v>
      </c>
      <c r="BC1455" s="3" t="s">
        <v>18237</v>
      </c>
      <c r="BD1455" s="3" t="s">
        <v>18238</v>
      </c>
    </row>
    <row r="1456" spans="1:56" ht="51" customHeight="1" x14ac:dyDescent="0.25">
      <c r="A1456" s="7" t="s">
        <v>58</v>
      </c>
      <c r="B1456" s="2" t="s">
        <v>18239</v>
      </c>
      <c r="C1456" s="2" t="s">
        <v>18240</v>
      </c>
      <c r="D1456" s="2" t="s">
        <v>18241</v>
      </c>
      <c r="F1456" s="3" t="s">
        <v>58</v>
      </c>
      <c r="G1456" s="3" t="s">
        <v>59</v>
      </c>
      <c r="H1456" s="3" t="s">
        <v>58</v>
      </c>
      <c r="I1456" s="3" t="s">
        <v>58</v>
      </c>
      <c r="J1456" s="3" t="s">
        <v>60</v>
      </c>
      <c r="K1456" s="2" t="s">
        <v>18242</v>
      </c>
      <c r="L1456" s="2" t="s">
        <v>18243</v>
      </c>
      <c r="M1456" s="3" t="s">
        <v>800</v>
      </c>
      <c r="O1456" s="3" t="s">
        <v>63</v>
      </c>
      <c r="P1456" s="3" t="s">
        <v>411</v>
      </c>
      <c r="R1456" s="3" t="s">
        <v>65</v>
      </c>
      <c r="S1456" s="4">
        <v>1</v>
      </c>
      <c r="T1456" s="4">
        <v>1</v>
      </c>
      <c r="U1456" s="5" t="s">
        <v>18244</v>
      </c>
      <c r="V1456" s="5" t="s">
        <v>18244</v>
      </c>
      <c r="W1456" s="5" t="s">
        <v>18245</v>
      </c>
      <c r="X1456" s="5" t="s">
        <v>18245</v>
      </c>
      <c r="Y1456" s="4">
        <v>995</v>
      </c>
      <c r="Z1456" s="4">
        <v>896</v>
      </c>
      <c r="AA1456" s="4">
        <v>1000</v>
      </c>
      <c r="AB1456" s="4">
        <v>10</v>
      </c>
      <c r="AC1456" s="4">
        <v>11</v>
      </c>
      <c r="AD1456" s="4">
        <v>30</v>
      </c>
      <c r="AE1456" s="4">
        <v>35</v>
      </c>
      <c r="AF1456" s="4">
        <v>11</v>
      </c>
      <c r="AG1456" s="4">
        <v>14</v>
      </c>
      <c r="AH1456" s="4">
        <v>7</v>
      </c>
      <c r="AI1456" s="4">
        <v>8</v>
      </c>
      <c r="AJ1456" s="4">
        <v>12</v>
      </c>
      <c r="AK1456" s="4">
        <v>14</v>
      </c>
      <c r="AL1456" s="4">
        <v>6</v>
      </c>
      <c r="AM1456" s="4">
        <v>7</v>
      </c>
      <c r="AN1456" s="4">
        <v>0</v>
      </c>
      <c r="AO1456" s="4">
        <v>0</v>
      </c>
      <c r="AP1456" s="3" t="s">
        <v>58</v>
      </c>
      <c r="AQ1456" s="3" t="s">
        <v>68</v>
      </c>
      <c r="AR1456" s="6" t="str">
        <f>HYPERLINK("http://catalog.hathitrust.org/Record/002991292","HathiTrust Record")</f>
        <v>HathiTrust Record</v>
      </c>
      <c r="AS1456" s="6" t="str">
        <f>HYPERLINK("https://creighton-primo.hosted.exlibrisgroup.com/primo-explore/search?tab=default_tab&amp;search_scope=EVERYTHING&amp;vid=01CRU&amp;lang=en_US&amp;offset=0&amp;query=any,contains,991002475639702656","Catalog Record")</f>
        <v>Catalog Record</v>
      </c>
      <c r="AT1456" s="6" t="str">
        <f>HYPERLINK("http://www.worldcat.org/oclc/32237168","WorldCat Record")</f>
        <v>WorldCat Record</v>
      </c>
      <c r="AU1456" s="3" t="s">
        <v>18246</v>
      </c>
      <c r="AV1456" s="3" t="s">
        <v>18247</v>
      </c>
      <c r="AW1456" s="3" t="s">
        <v>18248</v>
      </c>
      <c r="AX1456" s="3" t="s">
        <v>18248</v>
      </c>
      <c r="AY1456" s="3" t="s">
        <v>18249</v>
      </c>
      <c r="AZ1456" s="3" t="s">
        <v>73</v>
      </c>
      <c r="BB1456" s="3" t="s">
        <v>18250</v>
      </c>
      <c r="BC1456" s="3" t="s">
        <v>18251</v>
      </c>
      <c r="BD1456" s="3" t="s">
        <v>18252</v>
      </c>
    </row>
    <row r="1457" spans="1:56" ht="51" customHeight="1" x14ac:dyDescent="0.25">
      <c r="A1457" s="7" t="s">
        <v>58</v>
      </c>
      <c r="B1457" s="2" t="s">
        <v>18253</v>
      </c>
      <c r="C1457" s="2" t="s">
        <v>18254</v>
      </c>
      <c r="D1457" s="2" t="s">
        <v>18255</v>
      </c>
      <c r="F1457" s="3" t="s">
        <v>58</v>
      </c>
      <c r="G1457" s="3" t="s">
        <v>59</v>
      </c>
      <c r="H1457" s="3" t="s">
        <v>58</v>
      </c>
      <c r="I1457" s="3" t="s">
        <v>58</v>
      </c>
      <c r="J1457" s="3" t="s">
        <v>60</v>
      </c>
      <c r="K1457" s="2" t="s">
        <v>18256</v>
      </c>
      <c r="L1457" s="2" t="s">
        <v>18257</v>
      </c>
      <c r="M1457" s="3" t="s">
        <v>196</v>
      </c>
      <c r="N1457" s="2" t="s">
        <v>338</v>
      </c>
      <c r="O1457" s="3" t="s">
        <v>63</v>
      </c>
      <c r="P1457" s="3" t="s">
        <v>214</v>
      </c>
      <c r="R1457" s="3" t="s">
        <v>65</v>
      </c>
      <c r="S1457" s="4">
        <v>2</v>
      </c>
      <c r="T1457" s="4">
        <v>2</v>
      </c>
      <c r="U1457" s="5" t="s">
        <v>12091</v>
      </c>
      <c r="V1457" s="5" t="s">
        <v>12091</v>
      </c>
      <c r="W1457" s="5" t="s">
        <v>18258</v>
      </c>
      <c r="X1457" s="5" t="s">
        <v>18258</v>
      </c>
      <c r="Y1457" s="4">
        <v>1396</v>
      </c>
      <c r="Z1457" s="4">
        <v>1320</v>
      </c>
      <c r="AA1457" s="4">
        <v>1497</v>
      </c>
      <c r="AB1457" s="4">
        <v>14</v>
      </c>
      <c r="AC1457" s="4">
        <v>15</v>
      </c>
      <c r="AD1457" s="4">
        <v>37</v>
      </c>
      <c r="AE1457" s="4">
        <v>40</v>
      </c>
      <c r="AF1457" s="4">
        <v>16</v>
      </c>
      <c r="AG1457" s="4">
        <v>17</v>
      </c>
      <c r="AH1457" s="4">
        <v>7</v>
      </c>
      <c r="AI1457" s="4">
        <v>7</v>
      </c>
      <c r="AJ1457" s="4">
        <v>16</v>
      </c>
      <c r="AK1457" s="4">
        <v>17</v>
      </c>
      <c r="AL1457" s="4">
        <v>6</v>
      </c>
      <c r="AM1457" s="4">
        <v>7</v>
      </c>
      <c r="AN1457" s="4">
        <v>0</v>
      </c>
      <c r="AO1457" s="4">
        <v>0</v>
      </c>
      <c r="AP1457" s="3" t="s">
        <v>58</v>
      </c>
      <c r="AQ1457" s="3" t="s">
        <v>68</v>
      </c>
      <c r="AR1457" s="6" t="str">
        <f>HYPERLINK("http://catalog.hathitrust.org/Record/003094530","HathiTrust Record")</f>
        <v>HathiTrust Record</v>
      </c>
      <c r="AS1457" s="6" t="str">
        <f>HYPERLINK("https://creighton-primo.hosted.exlibrisgroup.com/primo-explore/search?tab=default_tab&amp;search_scope=EVERYTHING&amp;vid=01CRU&amp;lang=en_US&amp;offset=0&amp;query=any,contains,991002622549702656","Catalog Record")</f>
        <v>Catalog Record</v>
      </c>
      <c r="AT1457" s="6" t="str">
        <f>HYPERLINK("http://www.worldcat.org/oclc/34356653","WorldCat Record")</f>
        <v>WorldCat Record</v>
      </c>
      <c r="AU1457" s="3" t="s">
        <v>18259</v>
      </c>
      <c r="AV1457" s="3" t="s">
        <v>18260</v>
      </c>
      <c r="AW1457" s="3" t="s">
        <v>18261</v>
      </c>
      <c r="AX1457" s="3" t="s">
        <v>18261</v>
      </c>
      <c r="AY1457" s="3" t="s">
        <v>18262</v>
      </c>
      <c r="AZ1457" s="3" t="s">
        <v>73</v>
      </c>
      <c r="BB1457" s="3" t="s">
        <v>18263</v>
      </c>
      <c r="BC1457" s="3" t="s">
        <v>18264</v>
      </c>
      <c r="BD1457" s="3" t="s">
        <v>18265</v>
      </c>
    </row>
    <row r="1458" spans="1:56" ht="51" customHeight="1" x14ac:dyDescent="0.25">
      <c r="A1458" s="7" t="s">
        <v>58</v>
      </c>
      <c r="B1458" s="2" t="s">
        <v>18266</v>
      </c>
      <c r="C1458" s="2" t="s">
        <v>18267</v>
      </c>
      <c r="D1458" s="2" t="s">
        <v>18268</v>
      </c>
      <c r="F1458" s="3" t="s">
        <v>58</v>
      </c>
      <c r="G1458" s="3" t="s">
        <v>59</v>
      </c>
      <c r="H1458" s="3" t="s">
        <v>58</v>
      </c>
      <c r="I1458" s="3" t="s">
        <v>58</v>
      </c>
      <c r="J1458" s="3" t="s">
        <v>60</v>
      </c>
      <c r="K1458" s="2" t="s">
        <v>18269</v>
      </c>
      <c r="L1458" s="2" t="s">
        <v>18270</v>
      </c>
      <c r="M1458" s="3" t="s">
        <v>524</v>
      </c>
      <c r="N1458" s="2" t="s">
        <v>338</v>
      </c>
      <c r="O1458" s="3" t="s">
        <v>63</v>
      </c>
      <c r="P1458" s="3" t="s">
        <v>214</v>
      </c>
      <c r="R1458" s="3" t="s">
        <v>65</v>
      </c>
      <c r="S1458" s="4">
        <v>7</v>
      </c>
      <c r="T1458" s="4">
        <v>7</v>
      </c>
      <c r="U1458" s="5" t="s">
        <v>18271</v>
      </c>
      <c r="V1458" s="5" t="s">
        <v>18271</v>
      </c>
      <c r="W1458" s="5" t="s">
        <v>17235</v>
      </c>
      <c r="X1458" s="5" t="s">
        <v>17235</v>
      </c>
      <c r="Y1458" s="4">
        <v>1302</v>
      </c>
      <c r="Z1458" s="4">
        <v>1179</v>
      </c>
      <c r="AA1458" s="4">
        <v>1403</v>
      </c>
      <c r="AB1458" s="4">
        <v>10</v>
      </c>
      <c r="AC1458" s="4">
        <v>12</v>
      </c>
      <c r="AD1458" s="4">
        <v>49</v>
      </c>
      <c r="AE1458" s="4">
        <v>57</v>
      </c>
      <c r="AF1458" s="4">
        <v>23</v>
      </c>
      <c r="AG1458" s="4">
        <v>26</v>
      </c>
      <c r="AH1458" s="4">
        <v>10</v>
      </c>
      <c r="AI1458" s="4">
        <v>10</v>
      </c>
      <c r="AJ1458" s="4">
        <v>20</v>
      </c>
      <c r="AK1458" s="4">
        <v>25</v>
      </c>
      <c r="AL1458" s="4">
        <v>7</v>
      </c>
      <c r="AM1458" s="4">
        <v>9</v>
      </c>
      <c r="AN1458" s="4">
        <v>1</v>
      </c>
      <c r="AO1458" s="4">
        <v>1</v>
      </c>
      <c r="AP1458" s="3" t="s">
        <v>58</v>
      </c>
      <c r="AQ1458" s="3" t="s">
        <v>68</v>
      </c>
      <c r="AR1458" s="6" t="str">
        <f>HYPERLINK("http://catalog.hathitrust.org/Record/000623897","HathiTrust Record")</f>
        <v>HathiTrust Record</v>
      </c>
      <c r="AS1458" s="6" t="str">
        <f>HYPERLINK("https://creighton-primo.hosted.exlibrisgroup.com/primo-explore/search?tab=default_tab&amp;search_scope=EVERYTHING&amp;vid=01CRU&amp;lang=en_US&amp;offset=0&amp;query=any,contains,991000762769702656","Catalog Record")</f>
        <v>Catalog Record</v>
      </c>
      <c r="AT1458" s="6" t="str">
        <f>HYPERLINK("http://www.worldcat.org/oclc/12974988","WorldCat Record")</f>
        <v>WorldCat Record</v>
      </c>
      <c r="AU1458" s="3" t="s">
        <v>18272</v>
      </c>
      <c r="AV1458" s="3" t="s">
        <v>18273</v>
      </c>
      <c r="AW1458" s="3" t="s">
        <v>18274</v>
      </c>
      <c r="AX1458" s="3" t="s">
        <v>18274</v>
      </c>
      <c r="AY1458" s="3" t="s">
        <v>18275</v>
      </c>
      <c r="AZ1458" s="3" t="s">
        <v>73</v>
      </c>
      <c r="BB1458" s="3" t="s">
        <v>18276</v>
      </c>
      <c r="BC1458" s="3" t="s">
        <v>18277</v>
      </c>
      <c r="BD1458" s="3" t="s">
        <v>18278</v>
      </c>
    </row>
    <row r="1459" spans="1:56" ht="51" customHeight="1" x14ac:dyDescent="0.25">
      <c r="A1459" s="7" t="s">
        <v>58</v>
      </c>
      <c r="B1459" s="2" t="s">
        <v>18279</v>
      </c>
      <c r="C1459" s="2" t="s">
        <v>18280</v>
      </c>
      <c r="D1459" s="2" t="s">
        <v>18281</v>
      </c>
      <c r="F1459" s="3" t="s">
        <v>58</v>
      </c>
      <c r="G1459" s="3" t="s">
        <v>59</v>
      </c>
      <c r="H1459" s="3" t="s">
        <v>58</v>
      </c>
      <c r="I1459" s="3" t="s">
        <v>58</v>
      </c>
      <c r="J1459" s="3" t="s">
        <v>60</v>
      </c>
      <c r="K1459" s="2" t="s">
        <v>18282</v>
      </c>
      <c r="L1459" s="2" t="s">
        <v>18283</v>
      </c>
      <c r="M1459" s="3" t="s">
        <v>951</v>
      </c>
      <c r="O1459" s="3" t="s">
        <v>63</v>
      </c>
      <c r="P1459" s="3" t="s">
        <v>816</v>
      </c>
      <c r="R1459" s="3" t="s">
        <v>65</v>
      </c>
      <c r="S1459" s="4">
        <v>3</v>
      </c>
      <c r="T1459" s="4">
        <v>3</v>
      </c>
      <c r="U1459" s="5" t="s">
        <v>18284</v>
      </c>
      <c r="V1459" s="5" t="s">
        <v>18284</v>
      </c>
      <c r="W1459" s="5" t="s">
        <v>4972</v>
      </c>
      <c r="X1459" s="5" t="s">
        <v>4972</v>
      </c>
      <c r="Y1459" s="4">
        <v>1763</v>
      </c>
      <c r="Z1459" s="4">
        <v>1563</v>
      </c>
      <c r="AA1459" s="4">
        <v>1569</v>
      </c>
      <c r="AB1459" s="4">
        <v>16</v>
      </c>
      <c r="AC1459" s="4">
        <v>16</v>
      </c>
      <c r="AD1459" s="4">
        <v>57</v>
      </c>
      <c r="AE1459" s="4">
        <v>57</v>
      </c>
      <c r="AF1459" s="4">
        <v>24</v>
      </c>
      <c r="AG1459" s="4">
        <v>24</v>
      </c>
      <c r="AH1459" s="4">
        <v>10</v>
      </c>
      <c r="AI1459" s="4">
        <v>10</v>
      </c>
      <c r="AJ1459" s="4">
        <v>22</v>
      </c>
      <c r="AK1459" s="4">
        <v>22</v>
      </c>
      <c r="AL1459" s="4">
        <v>12</v>
      </c>
      <c r="AM1459" s="4">
        <v>12</v>
      </c>
      <c r="AN1459" s="4">
        <v>1</v>
      </c>
      <c r="AO1459" s="4">
        <v>1</v>
      </c>
      <c r="AP1459" s="3" t="s">
        <v>58</v>
      </c>
      <c r="AQ1459" s="3" t="s">
        <v>68</v>
      </c>
      <c r="AR1459" s="6" t="str">
        <f>HYPERLINK("http://catalog.hathitrust.org/Record/004084950","HathiTrust Record")</f>
        <v>HathiTrust Record</v>
      </c>
      <c r="AS1459" s="6" t="str">
        <f>HYPERLINK("https://creighton-primo.hosted.exlibrisgroup.com/primo-explore/search?tab=default_tab&amp;search_scope=EVERYTHING&amp;vid=01CRU&amp;lang=en_US&amp;offset=0&amp;query=any,contains,991003698199702656","Catalog Record")</f>
        <v>Catalog Record</v>
      </c>
      <c r="AT1459" s="6" t="str">
        <f>HYPERLINK("http://www.worldcat.org/oclc/42652758","WorldCat Record")</f>
        <v>WorldCat Record</v>
      </c>
      <c r="AU1459" s="3" t="s">
        <v>18285</v>
      </c>
      <c r="AV1459" s="3" t="s">
        <v>18286</v>
      </c>
      <c r="AW1459" s="3" t="s">
        <v>18287</v>
      </c>
      <c r="AX1459" s="3" t="s">
        <v>18287</v>
      </c>
      <c r="AY1459" s="3" t="s">
        <v>18288</v>
      </c>
      <c r="AZ1459" s="3" t="s">
        <v>73</v>
      </c>
      <c r="BB1459" s="3" t="s">
        <v>18289</v>
      </c>
      <c r="BC1459" s="3" t="s">
        <v>18290</v>
      </c>
      <c r="BD1459" s="3" t="s">
        <v>18291</v>
      </c>
    </row>
    <row r="1460" spans="1:56" ht="51" customHeight="1" x14ac:dyDescent="0.25">
      <c r="A1460" s="7" t="s">
        <v>58</v>
      </c>
      <c r="B1460" s="2" t="s">
        <v>18292</v>
      </c>
      <c r="C1460" s="2" t="s">
        <v>18293</v>
      </c>
      <c r="D1460" s="2" t="s">
        <v>18294</v>
      </c>
      <c r="F1460" s="3" t="s">
        <v>58</v>
      </c>
      <c r="G1460" s="3" t="s">
        <v>59</v>
      </c>
      <c r="H1460" s="3" t="s">
        <v>58</v>
      </c>
      <c r="I1460" s="3" t="s">
        <v>58</v>
      </c>
      <c r="J1460" s="3" t="s">
        <v>60</v>
      </c>
      <c r="K1460" s="2" t="s">
        <v>18295</v>
      </c>
      <c r="L1460" s="2" t="s">
        <v>18296</v>
      </c>
      <c r="M1460" s="3" t="s">
        <v>524</v>
      </c>
      <c r="O1460" s="3" t="s">
        <v>63</v>
      </c>
      <c r="P1460" s="3" t="s">
        <v>3109</v>
      </c>
      <c r="R1460" s="3" t="s">
        <v>65</v>
      </c>
      <c r="S1460" s="4">
        <v>8</v>
      </c>
      <c r="T1460" s="4">
        <v>8</v>
      </c>
      <c r="U1460" s="5" t="s">
        <v>18117</v>
      </c>
      <c r="V1460" s="5" t="s">
        <v>18117</v>
      </c>
      <c r="W1460" s="5" t="s">
        <v>2282</v>
      </c>
      <c r="X1460" s="5" t="s">
        <v>2282</v>
      </c>
      <c r="Y1460" s="4">
        <v>1014</v>
      </c>
      <c r="Z1460" s="4">
        <v>905</v>
      </c>
      <c r="AA1460" s="4">
        <v>1027</v>
      </c>
      <c r="AB1460" s="4">
        <v>7</v>
      </c>
      <c r="AC1460" s="4">
        <v>9</v>
      </c>
      <c r="AD1460" s="4">
        <v>37</v>
      </c>
      <c r="AE1460" s="4">
        <v>40</v>
      </c>
      <c r="AF1460" s="4">
        <v>19</v>
      </c>
      <c r="AG1460" s="4">
        <v>19</v>
      </c>
      <c r="AH1460" s="4">
        <v>7</v>
      </c>
      <c r="AI1460" s="4">
        <v>7</v>
      </c>
      <c r="AJ1460" s="4">
        <v>14</v>
      </c>
      <c r="AK1460" s="4">
        <v>15</v>
      </c>
      <c r="AL1460" s="4">
        <v>6</v>
      </c>
      <c r="AM1460" s="4">
        <v>8</v>
      </c>
      <c r="AN1460" s="4">
        <v>0</v>
      </c>
      <c r="AO1460" s="4">
        <v>0</v>
      </c>
      <c r="AP1460" s="3" t="s">
        <v>58</v>
      </c>
      <c r="AQ1460" s="3" t="s">
        <v>68</v>
      </c>
      <c r="AR1460" s="6" t="str">
        <f>HYPERLINK("http://catalog.hathitrust.org/Record/000393626","HathiTrust Record")</f>
        <v>HathiTrust Record</v>
      </c>
      <c r="AS1460" s="6" t="str">
        <f>HYPERLINK("https://creighton-primo.hosted.exlibrisgroup.com/primo-explore/search?tab=default_tab&amp;search_scope=EVERYTHING&amp;vid=01CRU&amp;lang=en_US&amp;offset=0&amp;query=any,contains,991000762889702656","Catalog Record")</f>
        <v>Catalog Record</v>
      </c>
      <c r="AT1460" s="6" t="str">
        <f>HYPERLINK("http://www.worldcat.org/oclc/12975032","WorldCat Record")</f>
        <v>WorldCat Record</v>
      </c>
      <c r="AU1460" s="3" t="s">
        <v>18297</v>
      </c>
      <c r="AV1460" s="3" t="s">
        <v>18298</v>
      </c>
      <c r="AW1460" s="3" t="s">
        <v>18299</v>
      </c>
      <c r="AX1460" s="3" t="s">
        <v>18299</v>
      </c>
      <c r="AY1460" s="3" t="s">
        <v>18300</v>
      </c>
      <c r="AZ1460" s="3" t="s">
        <v>73</v>
      </c>
      <c r="BB1460" s="3" t="s">
        <v>18301</v>
      </c>
      <c r="BC1460" s="3" t="s">
        <v>18302</v>
      </c>
      <c r="BD1460" s="3" t="s">
        <v>18303</v>
      </c>
    </row>
    <row r="1461" spans="1:56" ht="51" customHeight="1" x14ac:dyDescent="0.25">
      <c r="A1461" s="7" t="s">
        <v>58</v>
      </c>
      <c r="B1461" s="2" t="s">
        <v>18304</v>
      </c>
      <c r="C1461" s="2" t="s">
        <v>18305</v>
      </c>
      <c r="D1461" s="2" t="s">
        <v>18306</v>
      </c>
      <c r="F1461" s="3" t="s">
        <v>58</v>
      </c>
      <c r="G1461" s="3" t="s">
        <v>59</v>
      </c>
      <c r="H1461" s="3" t="s">
        <v>58</v>
      </c>
      <c r="I1461" s="3" t="s">
        <v>58</v>
      </c>
      <c r="J1461" s="3" t="s">
        <v>60</v>
      </c>
      <c r="K1461" s="2" t="s">
        <v>18307</v>
      </c>
      <c r="L1461" s="2" t="s">
        <v>18308</v>
      </c>
      <c r="M1461" s="3" t="s">
        <v>951</v>
      </c>
      <c r="O1461" s="3" t="s">
        <v>63</v>
      </c>
      <c r="P1461" s="3" t="s">
        <v>214</v>
      </c>
      <c r="R1461" s="3" t="s">
        <v>65</v>
      </c>
      <c r="S1461" s="4">
        <v>5</v>
      </c>
      <c r="T1461" s="4">
        <v>5</v>
      </c>
      <c r="U1461" s="5" t="s">
        <v>18309</v>
      </c>
      <c r="V1461" s="5" t="s">
        <v>18309</v>
      </c>
      <c r="W1461" s="5" t="s">
        <v>16376</v>
      </c>
      <c r="X1461" s="5" t="s">
        <v>16376</v>
      </c>
      <c r="Y1461" s="4">
        <v>1671</v>
      </c>
      <c r="Z1461" s="4">
        <v>1573</v>
      </c>
      <c r="AA1461" s="4">
        <v>1650</v>
      </c>
      <c r="AB1461" s="4">
        <v>13</v>
      </c>
      <c r="AC1461" s="4">
        <v>14</v>
      </c>
      <c r="AD1461" s="4">
        <v>42</v>
      </c>
      <c r="AE1461" s="4">
        <v>42</v>
      </c>
      <c r="AF1461" s="4">
        <v>19</v>
      </c>
      <c r="AG1461" s="4">
        <v>19</v>
      </c>
      <c r="AH1461" s="4">
        <v>10</v>
      </c>
      <c r="AI1461" s="4">
        <v>10</v>
      </c>
      <c r="AJ1461" s="4">
        <v>16</v>
      </c>
      <c r="AK1461" s="4">
        <v>16</v>
      </c>
      <c r="AL1461" s="4">
        <v>7</v>
      </c>
      <c r="AM1461" s="4">
        <v>7</v>
      </c>
      <c r="AN1461" s="4">
        <v>0</v>
      </c>
      <c r="AO1461" s="4">
        <v>0</v>
      </c>
      <c r="AP1461" s="3" t="s">
        <v>58</v>
      </c>
      <c r="AQ1461" s="3" t="s">
        <v>68</v>
      </c>
      <c r="AR1461" s="6" t="str">
        <f>HYPERLINK("http://catalog.hathitrust.org/Record/004133775","HathiTrust Record")</f>
        <v>HathiTrust Record</v>
      </c>
      <c r="AS1461" s="6" t="str">
        <f>HYPERLINK("https://creighton-primo.hosted.exlibrisgroup.com/primo-explore/search?tab=default_tab&amp;search_scope=EVERYTHING&amp;vid=01CRU&amp;lang=en_US&amp;offset=0&amp;query=any,contains,991003467509702656","Catalog Record")</f>
        <v>Catalog Record</v>
      </c>
      <c r="AT1461" s="6" t="str">
        <f>HYPERLINK("http://www.worldcat.org/oclc/44509372","WorldCat Record")</f>
        <v>WorldCat Record</v>
      </c>
      <c r="AU1461" s="3" t="s">
        <v>18310</v>
      </c>
      <c r="AV1461" s="3" t="s">
        <v>18311</v>
      </c>
      <c r="AW1461" s="3" t="s">
        <v>18312</v>
      </c>
      <c r="AX1461" s="3" t="s">
        <v>18312</v>
      </c>
      <c r="AY1461" s="3" t="s">
        <v>18313</v>
      </c>
      <c r="AZ1461" s="3" t="s">
        <v>73</v>
      </c>
      <c r="BB1461" s="3" t="s">
        <v>18314</v>
      </c>
      <c r="BC1461" s="3" t="s">
        <v>18315</v>
      </c>
      <c r="BD1461" s="3" t="s">
        <v>18316</v>
      </c>
    </row>
    <row r="1462" spans="1:56" ht="51" customHeight="1" x14ac:dyDescent="0.25">
      <c r="A1462" s="7" t="s">
        <v>58</v>
      </c>
      <c r="B1462" s="2" t="s">
        <v>18317</v>
      </c>
      <c r="C1462" s="2" t="s">
        <v>18318</v>
      </c>
      <c r="D1462" s="2" t="s">
        <v>18319</v>
      </c>
      <c r="F1462" s="3" t="s">
        <v>58</v>
      </c>
      <c r="G1462" s="3" t="s">
        <v>59</v>
      </c>
      <c r="H1462" s="3" t="s">
        <v>58</v>
      </c>
      <c r="I1462" s="3" t="s">
        <v>58</v>
      </c>
      <c r="J1462" s="3" t="s">
        <v>60</v>
      </c>
      <c r="K1462" s="2" t="s">
        <v>18320</v>
      </c>
      <c r="L1462" s="2" t="s">
        <v>18321</v>
      </c>
      <c r="M1462" s="3" t="s">
        <v>653</v>
      </c>
      <c r="O1462" s="3" t="s">
        <v>63</v>
      </c>
      <c r="P1462" s="3" t="s">
        <v>3109</v>
      </c>
      <c r="Q1462" s="2" t="s">
        <v>18322</v>
      </c>
      <c r="R1462" s="3" t="s">
        <v>65</v>
      </c>
      <c r="S1462" s="4">
        <v>11</v>
      </c>
      <c r="T1462" s="4">
        <v>11</v>
      </c>
      <c r="U1462" s="5" t="s">
        <v>18323</v>
      </c>
      <c r="V1462" s="5" t="s">
        <v>18323</v>
      </c>
      <c r="W1462" s="5" t="s">
        <v>4311</v>
      </c>
      <c r="X1462" s="5" t="s">
        <v>4311</v>
      </c>
      <c r="Y1462" s="4">
        <v>524</v>
      </c>
      <c r="Z1462" s="4">
        <v>442</v>
      </c>
      <c r="AA1462" s="4">
        <v>617</v>
      </c>
      <c r="AB1462" s="4">
        <v>6</v>
      </c>
      <c r="AC1462" s="4">
        <v>6</v>
      </c>
      <c r="AD1462" s="4">
        <v>28</v>
      </c>
      <c r="AE1462" s="4">
        <v>33</v>
      </c>
      <c r="AF1462" s="4">
        <v>11</v>
      </c>
      <c r="AG1462" s="4">
        <v>13</v>
      </c>
      <c r="AH1462" s="4">
        <v>6</v>
      </c>
      <c r="AI1462" s="4">
        <v>6</v>
      </c>
      <c r="AJ1462" s="4">
        <v>14</v>
      </c>
      <c r="AK1462" s="4">
        <v>18</v>
      </c>
      <c r="AL1462" s="4">
        <v>5</v>
      </c>
      <c r="AM1462" s="4">
        <v>5</v>
      </c>
      <c r="AN1462" s="4">
        <v>0</v>
      </c>
      <c r="AO1462" s="4">
        <v>0</v>
      </c>
      <c r="AP1462" s="3" t="s">
        <v>58</v>
      </c>
      <c r="AQ1462" s="3" t="s">
        <v>68</v>
      </c>
      <c r="AR1462" s="6" t="str">
        <f>HYPERLINK("http://catalog.hathitrust.org/Record/002448254","HathiTrust Record")</f>
        <v>HathiTrust Record</v>
      </c>
      <c r="AS1462" s="6" t="str">
        <f>HYPERLINK("https://creighton-primo.hosted.exlibrisgroup.com/primo-explore/search?tab=default_tab&amp;search_scope=EVERYTHING&amp;vid=01CRU&amp;lang=en_US&amp;offset=0&amp;query=any,contains,991001785119702656","Catalog Record")</f>
        <v>Catalog Record</v>
      </c>
      <c r="AT1462" s="6" t="str">
        <f>HYPERLINK("http://www.worldcat.org/oclc/22494132","WorldCat Record")</f>
        <v>WorldCat Record</v>
      </c>
      <c r="AU1462" s="3" t="s">
        <v>18324</v>
      </c>
      <c r="AV1462" s="3" t="s">
        <v>18325</v>
      </c>
      <c r="AW1462" s="3" t="s">
        <v>18326</v>
      </c>
      <c r="AX1462" s="3" t="s">
        <v>18326</v>
      </c>
      <c r="AY1462" s="3" t="s">
        <v>18327</v>
      </c>
      <c r="AZ1462" s="3" t="s">
        <v>73</v>
      </c>
      <c r="BB1462" s="3" t="s">
        <v>18328</v>
      </c>
      <c r="BC1462" s="3" t="s">
        <v>18329</v>
      </c>
      <c r="BD1462" s="3" t="s">
        <v>18330</v>
      </c>
    </row>
    <row r="1463" spans="1:56" ht="51" customHeight="1" x14ac:dyDescent="0.25">
      <c r="A1463" s="7" t="s">
        <v>58</v>
      </c>
      <c r="B1463" s="2" t="s">
        <v>18331</v>
      </c>
      <c r="C1463" s="2" t="s">
        <v>18332</v>
      </c>
      <c r="D1463" s="2" t="s">
        <v>18333</v>
      </c>
      <c r="F1463" s="3" t="s">
        <v>58</v>
      </c>
      <c r="G1463" s="3" t="s">
        <v>59</v>
      </c>
      <c r="H1463" s="3" t="s">
        <v>58</v>
      </c>
      <c r="I1463" s="3" t="s">
        <v>58</v>
      </c>
      <c r="J1463" s="3" t="s">
        <v>60</v>
      </c>
      <c r="K1463" s="2" t="s">
        <v>18334</v>
      </c>
      <c r="L1463" s="2" t="s">
        <v>18335</v>
      </c>
      <c r="M1463" s="3" t="s">
        <v>382</v>
      </c>
      <c r="O1463" s="3" t="s">
        <v>63</v>
      </c>
      <c r="P1463" s="3" t="s">
        <v>214</v>
      </c>
      <c r="R1463" s="3" t="s">
        <v>65</v>
      </c>
      <c r="S1463" s="4">
        <v>7</v>
      </c>
      <c r="T1463" s="4">
        <v>7</v>
      </c>
      <c r="U1463" s="5" t="s">
        <v>7819</v>
      </c>
      <c r="V1463" s="5" t="s">
        <v>7819</v>
      </c>
      <c r="W1463" s="5" t="s">
        <v>18336</v>
      </c>
      <c r="X1463" s="5" t="s">
        <v>18336</v>
      </c>
      <c r="Y1463" s="4">
        <v>1269</v>
      </c>
      <c r="Z1463" s="4">
        <v>1102</v>
      </c>
      <c r="AA1463" s="4">
        <v>1182</v>
      </c>
      <c r="AB1463" s="4">
        <v>12</v>
      </c>
      <c r="AC1463" s="4">
        <v>12</v>
      </c>
      <c r="AD1463" s="4">
        <v>43</v>
      </c>
      <c r="AE1463" s="4">
        <v>43</v>
      </c>
      <c r="AF1463" s="4">
        <v>17</v>
      </c>
      <c r="AG1463" s="4">
        <v>17</v>
      </c>
      <c r="AH1463" s="4">
        <v>9</v>
      </c>
      <c r="AI1463" s="4">
        <v>9</v>
      </c>
      <c r="AJ1463" s="4">
        <v>20</v>
      </c>
      <c r="AK1463" s="4">
        <v>20</v>
      </c>
      <c r="AL1463" s="4">
        <v>7</v>
      </c>
      <c r="AM1463" s="4">
        <v>7</v>
      </c>
      <c r="AN1463" s="4">
        <v>1</v>
      </c>
      <c r="AO1463" s="4">
        <v>1</v>
      </c>
      <c r="AP1463" s="3" t="s">
        <v>58</v>
      </c>
      <c r="AQ1463" s="3" t="s">
        <v>68</v>
      </c>
      <c r="AR1463" s="6" t="str">
        <f>HYPERLINK("http://catalog.hathitrust.org/Record/004053148","HathiTrust Record")</f>
        <v>HathiTrust Record</v>
      </c>
      <c r="AS1463" s="6" t="str">
        <f>HYPERLINK("https://creighton-primo.hosted.exlibrisgroup.com/primo-explore/search?tab=default_tab&amp;search_scope=EVERYTHING&amp;vid=01CRU&amp;lang=en_US&amp;offset=0&amp;query=any,contains,991003028019702656","Catalog Record")</f>
        <v>Catalog Record</v>
      </c>
      <c r="AT1463" s="6" t="str">
        <f>HYPERLINK("http://www.worldcat.org/oclc/41411932","WorldCat Record")</f>
        <v>WorldCat Record</v>
      </c>
      <c r="AU1463" s="3" t="s">
        <v>18337</v>
      </c>
      <c r="AV1463" s="3" t="s">
        <v>18338</v>
      </c>
      <c r="AW1463" s="3" t="s">
        <v>18339</v>
      </c>
      <c r="AX1463" s="3" t="s">
        <v>18339</v>
      </c>
      <c r="AY1463" s="3" t="s">
        <v>18340</v>
      </c>
      <c r="AZ1463" s="3" t="s">
        <v>73</v>
      </c>
      <c r="BB1463" s="3" t="s">
        <v>18341</v>
      </c>
      <c r="BC1463" s="3" t="s">
        <v>18342</v>
      </c>
      <c r="BD1463" s="3" t="s">
        <v>18343</v>
      </c>
    </row>
    <row r="1464" spans="1:56" ht="51" customHeight="1" x14ac:dyDescent="0.25">
      <c r="A1464" s="7" t="s">
        <v>58</v>
      </c>
      <c r="B1464" s="2" t="s">
        <v>18344</v>
      </c>
      <c r="C1464" s="2" t="s">
        <v>18345</v>
      </c>
      <c r="D1464" s="2" t="s">
        <v>18346</v>
      </c>
      <c r="F1464" s="3" t="s">
        <v>58</v>
      </c>
      <c r="G1464" s="3" t="s">
        <v>59</v>
      </c>
      <c r="H1464" s="3" t="s">
        <v>58</v>
      </c>
      <c r="I1464" s="3" t="s">
        <v>58</v>
      </c>
      <c r="J1464" s="3" t="s">
        <v>60</v>
      </c>
      <c r="L1464" s="2" t="s">
        <v>18347</v>
      </c>
      <c r="M1464" s="3" t="s">
        <v>855</v>
      </c>
      <c r="O1464" s="3" t="s">
        <v>63</v>
      </c>
      <c r="P1464" s="3" t="s">
        <v>510</v>
      </c>
      <c r="R1464" s="3" t="s">
        <v>65</v>
      </c>
      <c r="S1464" s="4">
        <v>16</v>
      </c>
      <c r="T1464" s="4">
        <v>16</v>
      </c>
      <c r="U1464" s="5" t="s">
        <v>18323</v>
      </c>
      <c r="V1464" s="5" t="s">
        <v>18323</v>
      </c>
      <c r="W1464" s="5" t="s">
        <v>3985</v>
      </c>
      <c r="X1464" s="5" t="s">
        <v>3985</v>
      </c>
      <c r="Y1464" s="4">
        <v>107</v>
      </c>
      <c r="Z1464" s="4">
        <v>89</v>
      </c>
      <c r="AA1464" s="4">
        <v>292</v>
      </c>
      <c r="AB1464" s="4">
        <v>1</v>
      </c>
      <c r="AC1464" s="4">
        <v>3</v>
      </c>
      <c r="AD1464" s="4">
        <v>4</v>
      </c>
      <c r="AE1464" s="4">
        <v>16</v>
      </c>
      <c r="AF1464" s="4">
        <v>1</v>
      </c>
      <c r="AG1464" s="4">
        <v>3</v>
      </c>
      <c r="AH1464" s="4">
        <v>2</v>
      </c>
      <c r="AI1464" s="4">
        <v>6</v>
      </c>
      <c r="AJ1464" s="4">
        <v>1</v>
      </c>
      <c r="AK1464" s="4">
        <v>9</v>
      </c>
      <c r="AL1464" s="4">
        <v>0</v>
      </c>
      <c r="AM1464" s="4">
        <v>2</v>
      </c>
      <c r="AN1464" s="4">
        <v>0</v>
      </c>
      <c r="AO1464" s="4">
        <v>0</v>
      </c>
      <c r="AP1464" s="3" t="s">
        <v>58</v>
      </c>
      <c r="AQ1464" s="3" t="s">
        <v>58</v>
      </c>
      <c r="AS1464" s="6" t="str">
        <f>HYPERLINK("https://creighton-primo.hosted.exlibrisgroup.com/primo-explore/search?tab=default_tab&amp;search_scope=EVERYTHING&amp;vid=01CRU&amp;lang=en_US&amp;offset=0&amp;query=any,contains,991002099219702656","Catalog Record")</f>
        <v>Catalog Record</v>
      </c>
      <c r="AT1464" s="6" t="str">
        <f>HYPERLINK("http://www.worldcat.org/oclc/26932880","WorldCat Record")</f>
        <v>WorldCat Record</v>
      </c>
      <c r="AU1464" s="3" t="s">
        <v>18348</v>
      </c>
      <c r="AV1464" s="3" t="s">
        <v>18349</v>
      </c>
      <c r="AW1464" s="3" t="s">
        <v>18350</v>
      </c>
      <c r="AX1464" s="3" t="s">
        <v>18350</v>
      </c>
      <c r="AY1464" s="3" t="s">
        <v>18351</v>
      </c>
      <c r="AZ1464" s="3" t="s">
        <v>73</v>
      </c>
      <c r="BB1464" s="3" t="s">
        <v>18352</v>
      </c>
      <c r="BC1464" s="3" t="s">
        <v>18353</v>
      </c>
      <c r="BD1464" s="3" t="s">
        <v>18354</v>
      </c>
    </row>
    <row r="1465" spans="1:56" ht="51" customHeight="1" x14ac:dyDescent="0.25">
      <c r="A1465" s="7" t="s">
        <v>58</v>
      </c>
      <c r="B1465" s="2" t="s">
        <v>18355</v>
      </c>
      <c r="C1465" s="2" t="s">
        <v>18356</v>
      </c>
      <c r="D1465" s="2" t="s">
        <v>18357</v>
      </c>
      <c r="F1465" s="3" t="s">
        <v>58</v>
      </c>
      <c r="G1465" s="3" t="s">
        <v>59</v>
      </c>
      <c r="H1465" s="3" t="s">
        <v>58</v>
      </c>
      <c r="I1465" s="3" t="s">
        <v>58</v>
      </c>
      <c r="J1465" s="3" t="s">
        <v>60</v>
      </c>
      <c r="K1465" s="2" t="s">
        <v>18358</v>
      </c>
      <c r="L1465" s="2" t="s">
        <v>18359</v>
      </c>
      <c r="M1465" s="3" t="s">
        <v>552</v>
      </c>
      <c r="O1465" s="3" t="s">
        <v>63</v>
      </c>
      <c r="P1465" s="3" t="s">
        <v>214</v>
      </c>
      <c r="R1465" s="3" t="s">
        <v>65</v>
      </c>
      <c r="S1465" s="4">
        <v>13</v>
      </c>
      <c r="T1465" s="4">
        <v>13</v>
      </c>
      <c r="U1465" s="5" t="s">
        <v>18360</v>
      </c>
      <c r="V1465" s="5" t="s">
        <v>18360</v>
      </c>
      <c r="W1465" s="5" t="s">
        <v>18361</v>
      </c>
      <c r="X1465" s="5" t="s">
        <v>18361</v>
      </c>
      <c r="Y1465" s="4">
        <v>454</v>
      </c>
      <c r="Z1465" s="4">
        <v>442</v>
      </c>
      <c r="AA1465" s="4">
        <v>566</v>
      </c>
      <c r="AB1465" s="4">
        <v>1</v>
      </c>
      <c r="AC1465" s="4">
        <v>1</v>
      </c>
      <c r="AD1465" s="4">
        <v>3</v>
      </c>
      <c r="AE1465" s="4">
        <v>4</v>
      </c>
      <c r="AF1465" s="4">
        <v>2</v>
      </c>
      <c r="AG1465" s="4">
        <v>2</v>
      </c>
      <c r="AH1465" s="4">
        <v>0</v>
      </c>
      <c r="AI1465" s="4">
        <v>0</v>
      </c>
      <c r="AJ1465" s="4">
        <v>1</v>
      </c>
      <c r="AK1465" s="4">
        <v>2</v>
      </c>
      <c r="AL1465" s="4">
        <v>0</v>
      </c>
      <c r="AM1465" s="4">
        <v>0</v>
      </c>
      <c r="AN1465" s="4">
        <v>0</v>
      </c>
      <c r="AO1465" s="4">
        <v>0</v>
      </c>
      <c r="AP1465" s="3" t="s">
        <v>58</v>
      </c>
      <c r="AQ1465" s="3" t="s">
        <v>58</v>
      </c>
      <c r="AS1465" s="6" t="str">
        <f>HYPERLINK("https://creighton-primo.hosted.exlibrisgroup.com/primo-explore/search?tab=default_tab&amp;search_scope=EVERYTHING&amp;vid=01CRU&amp;lang=en_US&amp;offset=0&amp;query=any,contains,991001513419702656","Catalog Record")</f>
        <v>Catalog Record</v>
      </c>
      <c r="AT1465" s="6" t="str">
        <f>HYPERLINK("http://www.worldcat.org/oclc/19920565","WorldCat Record")</f>
        <v>WorldCat Record</v>
      </c>
      <c r="AU1465" s="3" t="s">
        <v>18362</v>
      </c>
      <c r="AV1465" s="3" t="s">
        <v>18363</v>
      </c>
      <c r="AW1465" s="3" t="s">
        <v>18364</v>
      </c>
      <c r="AX1465" s="3" t="s">
        <v>18364</v>
      </c>
      <c r="AY1465" s="3" t="s">
        <v>18365</v>
      </c>
      <c r="AZ1465" s="3" t="s">
        <v>73</v>
      </c>
      <c r="BC1465" s="3" t="s">
        <v>18366</v>
      </c>
      <c r="BD1465" s="3" t="s">
        <v>18367</v>
      </c>
    </row>
    <row r="1466" spans="1:56" ht="51" customHeight="1" x14ac:dyDescent="0.25">
      <c r="A1466" s="7" t="s">
        <v>58</v>
      </c>
      <c r="B1466" s="2" t="s">
        <v>18368</v>
      </c>
      <c r="C1466" s="2" t="s">
        <v>18369</v>
      </c>
      <c r="D1466" s="2" t="s">
        <v>18370</v>
      </c>
      <c r="F1466" s="3" t="s">
        <v>58</v>
      </c>
      <c r="G1466" s="3" t="s">
        <v>59</v>
      </c>
      <c r="H1466" s="3" t="s">
        <v>58</v>
      </c>
      <c r="I1466" s="3" t="s">
        <v>58</v>
      </c>
      <c r="J1466" s="3" t="s">
        <v>60</v>
      </c>
      <c r="K1466" s="2" t="s">
        <v>18371</v>
      </c>
      <c r="L1466" s="2" t="s">
        <v>18372</v>
      </c>
      <c r="M1466" s="3" t="s">
        <v>1091</v>
      </c>
      <c r="N1466" s="2" t="s">
        <v>338</v>
      </c>
      <c r="O1466" s="3" t="s">
        <v>63</v>
      </c>
      <c r="P1466" s="3" t="s">
        <v>214</v>
      </c>
      <c r="R1466" s="3" t="s">
        <v>65</v>
      </c>
      <c r="S1466" s="4">
        <v>3</v>
      </c>
      <c r="T1466" s="4">
        <v>3</v>
      </c>
      <c r="U1466" s="5" t="s">
        <v>18373</v>
      </c>
      <c r="V1466" s="5" t="s">
        <v>18373</v>
      </c>
      <c r="W1466" s="5" t="s">
        <v>1302</v>
      </c>
      <c r="X1466" s="5" t="s">
        <v>1302</v>
      </c>
      <c r="Y1466" s="4">
        <v>1438</v>
      </c>
      <c r="Z1466" s="4">
        <v>1346</v>
      </c>
      <c r="AA1466" s="4">
        <v>1370</v>
      </c>
      <c r="AB1466" s="4">
        <v>13</v>
      </c>
      <c r="AC1466" s="4">
        <v>13</v>
      </c>
      <c r="AD1466" s="4">
        <v>45</v>
      </c>
      <c r="AE1466" s="4">
        <v>45</v>
      </c>
      <c r="AF1466" s="4">
        <v>21</v>
      </c>
      <c r="AG1466" s="4">
        <v>21</v>
      </c>
      <c r="AH1466" s="4">
        <v>9</v>
      </c>
      <c r="AI1466" s="4">
        <v>9</v>
      </c>
      <c r="AJ1466" s="4">
        <v>17</v>
      </c>
      <c r="AK1466" s="4">
        <v>17</v>
      </c>
      <c r="AL1466" s="4">
        <v>9</v>
      </c>
      <c r="AM1466" s="4">
        <v>9</v>
      </c>
      <c r="AN1466" s="4">
        <v>0</v>
      </c>
      <c r="AO1466" s="4">
        <v>0</v>
      </c>
      <c r="AP1466" s="3" t="s">
        <v>58</v>
      </c>
      <c r="AQ1466" s="3" t="s">
        <v>68</v>
      </c>
      <c r="AR1466" s="6" t="str">
        <f>HYPERLINK("http://catalog.hathitrust.org/Record/004143277","HathiTrust Record")</f>
        <v>HathiTrust Record</v>
      </c>
      <c r="AS1466" s="6" t="str">
        <f>HYPERLINK("https://creighton-primo.hosted.exlibrisgroup.com/primo-explore/search?tab=default_tab&amp;search_scope=EVERYTHING&amp;vid=01CRU&amp;lang=en_US&amp;offset=0&amp;query=any,contains,991003491669702656","Catalog Record")</f>
        <v>Catalog Record</v>
      </c>
      <c r="AT1466" s="6" t="str">
        <f>HYPERLINK("http://www.worldcat.org/oclc/45136691","WorldCat Record")</f>
        <v>WorldCat Record</v>
      </c>
      <c r="AU1466" s="3" t="s">
        <v>18374</v>
      </c>
      <c r="AV1466" s="3" t="s">
        <v>18375</v>
      </c>
      <c r="AW1466" s="3" t="s">
        <v>18376</v>
      </c>
      <c r="AX1466" s="3" t="s">
        <v>18376</v>
      </c>
      <c r="AY1466" s="3" t="s">
        <v>18377</v>
      </c>
      <c r="AZ1466" s="3" t="s">
        <v>73</v>
      </c>
      <c r="BB1466" s="3" t="s">
        <v>18378</v>
      </c>
      <c r="BC1466" s="3" t="s">
        <v>18379</v>
      </c>
      <c r="BD1466" s="3" t="s">
        <v>18380</v>
      </c>
    </row>
    <row r="1467" spans="1:56" ht="51" customHeight="1" x14ac:dyDescent="0.25">
      <c r="A1467" s="7" t="s">
        <v>58</v>
      </c>
      <c r="B1467" s="2" t="s">
        <v>18381</v>
      </c>
      <c r="C1467" s="2" t="s">
        <v>18382</v>
      </c>
      <c r="D1467" s="2" t="s">
        <v>18383</v>
      </c>
      <c r="F1467" s="3" t="s">
        <v>58</v>
      </c>
      <c r="G1467" s="3" t="s">
        <v>59</v>
      </c>
      <c r="H1467" s="3" t="s">
        <v>58</v>
      </c>
      <c r="I1467" s="3" t="s">
        <v>58</v>
      </c>
      <c r="J1467" s="3" t="s">
        <v>60</v>
      </c>
      <c r="K1467" s="2" t="s">
        <v>18384</v>
      </c>
      <c r="L1467" s="2" t="s">
        <v>18385</v>
      </c>
      <c r="M1467" s="3" t="s">
        <v>2295</v>
      </c>
      <c r="O1467" s="3" t="s">
        <v>63</v>
      </c>
      <c r="P1467" s="3" t="s">
        <v>214</v>
      </c>
      <c r="R1467" s="3" t="s">
        <v>65</v>
      </c>
      <c r="S1467" s="4">
        <v>8</v>
      </c>
      <c r="T1467" s="4">
        <v>8</v>
      </c>
      <c r="U1467" s="5" t="s">
        <v>18386</v>
      </c>
      <c r="V1467" s="5" t="s">
        <v>18386</v>
      </c>
      <c r="W1467" s="5" t="s">
        <v>18387</v>
      </c>
      <c r="X1467" s="5" t="s">
        <v>18387</v>
      </c>
      <c r="Y1467" s="4">
        <v>1848</v>
      </c>
      <c r="Z1467" s="4">
        <v>1768</v>
      </c>
      <c r="AA1467" s="4">
        <v>1915</v>
      </c>
      <c r="AB1467" s="4">
        <v>17</v>
      </c>
      <c r="AC1467" s="4">
        <v>19</v>
      </c>
      <c r="AD1467" s="4">
        <v>39</v>
      </c>
      <c r="AE1467" s="4">
        <v>40</v>
      </c>
      <c r="AF1467" s="4">
        <v>19</v>
      </c>
      <c r="AG1467" s="4">
        <v>19</v>
      </c>
      <c r="AH1467" s="4">
        <v>7</v>
      </c>
      <c r="AI1467" s="4">
        <v>7</v>
      </c>
      <c r="AJ1467" s="4">
        <v>15</v>
      </c>
      <c r="AK1467" s="4">
        <v>15</v>
      </c>
      <c r="AL1467" s="4">
        <v>6</v>
      </c>
      <c r="AM1467" s="4">
        <v>7</v>
      </c>
      <c r="AN1467" s="4">
        <v>0</v>
      </c>
      <c r="AO1467" s="4">
        <v>0</v>
      </c>
      <c r="AP1467" s="3" t="s">
        <v>58</v>
      </c>
      <c r="AQ1467" s="3" t="s">
        <v>58</v>
      </c>
      <c r="AS1467" s="6" t="str">
        <f>HYPERLINK("https://creighton-primo.hosted.exlibrisgroup.com/primo-explore/search?tab=default_tab&amp;search_scope=EVERYTHING&amp;vid=01CRU&amp;lang=en_US&amp;offset=0&amp;query=any,contains,991004121769702656","Catalog Record")</f>
        <v>Catalog Record</v>
      </c>
      <c r="AT1467" s="6" t="str">
        <f>HYPERLINK("http://www.worldcat.org/oclc/52251467","WorldCat Record")</f>
        <v>WorldCat Record</v>
      </c>
      <c r="AU1467" s="3" t="s">
        <v>18388</v>
      </c>
      <c r="AV1467" s="3" t="s">
        <v>18389</v>
      </c>
      <c r="AW1467" s="3" t="s">
        <v>18390</v>
      </c>
      <c r="AX1467" s="3" t="s">
        <v>18390</v>
      </c>
      <c r="AY1467" s="3" t="s">
        <v>18391</v>
      </c>
      <c r="AZ1467" s="3" t="s">
        <v>73</v>
      </c>
      <c r="BB1467" s="3" t="s">
        <v>18392</v>
      </c>
      <c r="BC1467" s="3" t="s">
        <v>18393</v>
      </c>
      <c r="BD1467" s="3" t="s">
        <v>18394</v>
      </c>
    </row>
    <row r="1468" spans="1:56" ht="51" customHeight="1" x14ac:dyDescent="0.25">
      <c r="A1468" s="7" t="s">
        <v>58</v>
      </c>
      <c r="B1468" s="2" t="s">
        <v>18395</v>
      </c>
      <c r="C1468" s="2" t="s">
        <v>18396</v>
      </c>
      <c r="D1468" s="2" t="s">
        <v>18397</v>
      </c>
      <c r="F1468" s="3" t="s">
        <v>58</v>
      </c>
      <c r="G1468" s="3" t="s">
        <v>59</v>
      </c>
      <c r="H1468" s="3" t="s">
        <v>58</v>
      </c>
      <c r="I1468" s="3" t="s">
        <v>58</v>
      </c>
      <c r="J1468" s="3" t="s">
        <v>60</v>
      </c>
      <c r="K1468" s="2" t="s">
        <v>18398</v>
      </c>
      <c r="L1468" s="2" t="s">
        <v>18399</v>
      </c>
      <c r="M1468" s="3" t="s">
        <v>2214</v>
      </c>
      <c r="O1468" s="3" t="s">
        <v>63</v>
      </c>
      <c r="P1468" s="3" t="s">
        <v>411</v>
      </c>
      <c r="Q1468" s="2" t="s">
        <v>18400</v>
      </c>
      <c r="R1468" s="3" t="s">
        <v>65</v>
      </c>
      <c r="S1468" s="4">
        <v>1</v>
      </c>
      <c r="T1468" s="4">
        <v>1</v>
      </c>
      <c r="U1468" s="5" t="s">
        <v>7041</v>
      </c>
      <c r="V1468" s="5" t="s">
        <v>7041</v>
      </c>
      <c r="W1468" s="5" t="s">
        <v>7041</v>
      </c>
      <c r="X1468" s="5" t="s">
        <v>7041</v>
      </c>
      <c r="Y1468" s="4">
        <v>546</v>
      </c>
      <c r="Z1468" s="4">
        <v>499</v>
      </c>
      <c r="AA1468" s="4">
        <v>500</v>
      </c>
      <c r="AB1468" s="4">
        <v>2</v>
      </c>
      <c r="AC1468" s="4">
        <v>2</v>
      </c>
      <c r="AD1468" s="4">
        <v>17</v>
      </c>
      <c r="AE1468" s="4">
        <v>17</v>
      </c>
      <c r="AF1468" s="4">
        <v>9</v>
      </c>
      <c r="AG1468" s="4">
        <v>9</v>
      </c>
      <c r="AH1468" s="4">
        <v>6</v>
      </c>
      <c r="AI1468" s="4">
        <v>6</v>
      </c>
      <c r="AJ1468" s="4">
        <v>8</v>
      </c>
      <c r="AK1468" s="4">
        <v>8</v>
      </c>
      <c r="AL1468" s="4">
        <v>1</v>
      </c>
      <c r="AM1468" s="4">
        <v>1</v>
      </c>
      <c r="AN1468" s="4">
        <v>0</v>
      </c>
      <c r="AO1468" s="4">
        <v>0</v>
      </c>
      <c r="AP1468" s="3" t="s">
        <v>58</v>
      </c>
      <c r="AQ1468" s="3" t="s">
        <v>68</v>
      </c>
      <c r="AR1468" s="6" t="str">
        <f>HYPERLINK("http://catalog.hathitrust.org/Record/005118074","HathiTrust Record")</f>
        <v>HathiTrust Record</v>
      </c>
      <c r="AS1468" s="6" t="str">
        <f>HYPERLINK("https://creighton-primo.hosted.exlibrisgroup.com/primo-explore/search?tab=default_tab&amp;search_scope=EVERYTHING&amp;vid=01CRU&amp;lang=en_US&amp;offset=0&amp;query=any,contains,991005195759702656","Catalog Record")</f>
        <v>Catalog Record</v>
      </c>
      <c r="AT1468" s="6" t="str">
        <f>HYPERLINK("http://www.worldcat.org/oclc/56482330","WorldCat Record")</f>
        <v>WorldCat Record</v>
      </c>
      <c r="AU1468" s="3" t="s">
        <v>18401</v>
      </c>
      <c r="AV1468" s="3" t="s">
        <v>18402</v>
      </c>
      <c r="AW1468" s="3" t="s">
        <v>18403</v>
      </c>
      <c r="AX1468" s="3" t="s">
        <v>18403</v>
      </c>
      <c r="AY1468" s="3" t="s">
        <v>18404</v>
      </c>
      <c r="AZ1468" s="3" t="s">
        <v>73</v>
      </c>
      <c r="BB1468" s="3" t="s">
        <v>18405</v>
      </c>
      <c r="BC1468" s="3" t="s">
        <v>18406</v>
      </c>
      <c r="BD1468" s="3" t="s">
        <v>18407</v>
      </c>
    </row>
    <row r="1469" spans="1:56" ht="51" customHeight="1" x14ac:dyDescent="0.25">
      <c r="A1469" s="7" t="s">
        <v>58</v>
      </c>
      <c r="B1469" s="2" t="s">
        <v>18408</v>
      </c>
      <c r="C1469" s="2" t="s">
        <v>18409</v>
      </c>
      <c r="D1469" s="2" t="s">
        <v>18410</v>
      </c>
      <c r="F1469" s="3" t="s">
        <v>58</v>
      </c>
      <c r="G1469" s="3" t="s">
        <v>59</v>
      </c>
      <c r="H1469" s="3" t="s">
        <v>58</v>
      </c>
      <c r="I1469" s="3" t="s">
        <v>58</v>
      </c>
      <c r="J1469" s="3" t="s">
        <v>60</v>
      </c>
      <c r="K1469" s="2" t="s">
        <v>18411</v>
      </c>
      <c r="L1469" s="2" t="s">
        <v>18412</v>
      </c>
      <c r="M1469" s="3" t="s">
        <v>842</v>
      </c>
      <c r="O1469" s="3" t="s">
        <v>63</v>
      </c>
      <c r="P1469" s="3" t="s">
        <v>1584</v>
      </c>
      <c r="R1469" s="3" t="s">
        <v>65</v>
      </c>
      <c r="S1469" s="4">
        <v>8</v>
      </c>
      <c r="T1469" s="4">
        <v>8</v>
      </c>
      <c r="U1469" s="5" t="s">
        <v>18413</v>
      </c>
      <c r="V1469" s="5" t="s">
        <v>18413</v>
      </c>
      <c r="W1469" s="5" t="s">
        <v>16796</v>
      </c>
      <c r="X1469" s="5" t="s">
        <v>16796</v>
      </c>
      <c r="Y1469" s="4">
        <v>586</v>
      </c>
      <c r="Z1469" s="4">
        <v>500</v>
      </c>
      <c r="AA1469" s="4">
        <v>509</v>
      </c>
      <c r="AB1469" s="4">
        <v>4</v>
      </c>
      <c r="AC1469" s="4">
        <v>4</v>
      </c>
      <c r="AD1469" s="4">
        <v>21</v>
      </c>
      <c r="AE1469" s="4">
        <v>21</v>
      </c>
      <c r="AF1469" s="4">
        <v>9</v>
      </c>
      <c r="AG1469" s="4">
        <v>9</v>
      </c>
      <c r="AH1469" s="4">
        <v>3</v>
      </c>
      <c r="AI1469" s="4">
        <v>3</v>
      </c>
      <c r="AJ1469" s="4">
        <v>10</v>
      </c>
      <c r="AK1469" s="4">
        <v>10</v>
      </c>
      <c r="AL1469" s="4">
        <v>3</v>
      </c>
      <c r="AM1469" s="4">
        <v>3</v>
      </c>
      <c r="AN1469" s="4">
        <v>0</v>
      </c>
      <c r="AO1469" s="4">
        <v>0</v>
      </c>
      <c r="AP1469" s="3" t="s">
        <v>58</v>
      </c>
      <c r="AQ1469" s="3" t="s">
        <v>68</v>
      </c>
      <c r="AR1469" s="6" t="str">
        <f>HYPERLINK("http://catalog.hathitrust.org/Record/000100232","HathiTrust Record")</f>
        <v>HathiTrust Record</v>
      </c>
      <c r="AS1469" s="6" t="str">
        <f>HYPERLINK("https://creighton-primo.hosted.exlibrisgroup.com/primo-explore/search?tab=default_tab&amp;search_scope=EVERYTHING&amp;vid=01CRU&amp;lang=en_US&amp;offset=0&amp;query=any,contains,991005012549702656","Catalog Record")</f>
        <v>Catalog Record</v>
      </c>
      <c r="AT1469" s="6" t="str">
        <f>HYPERLINK("http://www.worldcat.org/oclc/6603912","WorldCat Record")</f>
        <v>WorldCat Record</v>
      </c>
      <c r="AU1469" s="3" t="s">
        <v>18414</v>
      </c>
      <c r="AV1469" s="3" t="s">
        <v>18415</v>
      </c>
      <c r="AW1469" s="3" t="s">
        <v>18416</v>
      </c>
      <c r="AX1469" s="3" t="s">
        <v>18416</v>
      </c>
      <c r="AY1469" s="3" t="s">
        <v>18417</v>
      </c>
      <c r="AZ1469" s="3" t="s">
        <v>73</v>
      </c>
      <c r="BB1469" s="3" t="s">
        <v>18418</v>
      </c>
      <c r="BC1469" s="3" t="s">
        <v>18419</v>
      </c>
      <c r="BD1469" s="3" t="s">
        <v>18420</v>
      </c>
    </row>
    <row r="1470" spans="1:56" ht="51" customHeight="1" x14ac:dyDescent="0.25">
      <c r="A1470" s="7" t="s">
        <v>58</v>
      </c>
      <c r="B1470" s="2" t="s">
        <v>18421</v>
      </c>
      <c r="C1470" s="2" t="s">
        <v>18422</v>
      </c>
      <c r="D1470" s="2" t="s">
        <v>18423</v>
      </c>
      <c r="F1470" s="3" t="s">
        <v>58</v>
      </c>
      <c r="G1470" s="3" t="s">
        <v>59</v>
      </c>
      <c r="H1470" s="3" t="s">
        <v>58</v>
      </c>
      <c r="I1470" s="3" t="s">
        <v>58</v>
      </c>
      <c r="J1470" s="3" t="s">
        <v>60</v>
      </c>
      <c r="K1470" s="2" t="s">
        <v>18424</v>
      </c>
      <c r="L1470" s="2" t="s">
        <v>18425</v>
      </c>
      <c r="M1470" s="3" t="s">
        <v>138</v>
      </c>
      <c r="O1470" s="3" t="s">
        <v>63</v>
      </c>
      <c r="P1470" s="3" t="s">
        <v>214</v>
      </c>
      <c r="R1470" s="3" t="s">
        <v>65</v>
      </c>
      <c r="S1470" s="4">
        <v>4</v>
      </c>
      <c r="T1470" s="4">
        <v>4</v>
      </c>
      <c r="U1470" s="5" t="s">
        <v>6753</v>
      </c>
      <c r="V1470" s="5" t="s">
        <v>6753</v>
      </c>
      <c r="W1470" s="5" t="s">
        <v>17158</v>
      </c>
      <c r="X1470" s="5" t="s">
        <v>17158</v>
      </c>
      <c r="Y1470" s="4">
        <v>1168</v>
      </c>
      <c r="Z1470" s="4">
        <v>1064</v>
      </c>
      <c r="AA1470" s="4">
        <v>1126</v>
      </c>
      <c r="AB1470" s="4">
        <v>5</v>
      </c>
      <c r="AC1470" s="4">
        <v>6</v>
      </c>
      <c r="AD1470" s="4">
        <v>34</v>
      </c>
      <c r="AE1470" s="4">
        <v>37</v>
      </c>
      <c r="AF1470" s="4">
        <v>14</v>
      </c>
      <c r="AG1470" s="4">
        <v>14</v>
      </c>
      <c r="AH1470" s="4">
        <v>6</v>
      </c>
      <c r="AI1470" s="4">
        <v>7</v>
      </c>
      <c r="AJ1470" s="4">
        <v>18</v>
      </c>
      <c r="AK1470" s="4">
        <v>20</v>
      </c>
      <c r="AL1470" s="4">
        <v>3</v>
      </c>
      <c r="AM1470" s="4">
        <v>4</v>
      </c>
      <c r="AN1470" s="4">
        <v>0</v>
      </c>
      <c r="AO1470" s="4">
        <v>0</v>
      </c>
      <c r="AP1470" s="3" t="s">
        <v>58</v>
      </c>
      <c r="AQ1470" s="3" t="s">
        <v>68</v>
      </c>
      <c r="AR1470" s="6" t="str">
        <f>HYPERLINK("http://catalog.hathitrust.org/Record/000763539","HathiTrust Record")</f>
        <v>HathiTrust Record</v>
      </c>
      <c r="AS1470" s="6" t="str">
        <f>HYPERLINK("https://creighton-primo.hosted.exlibrisgroup.com/primo-explore/search?tab=default_tab&amp;search_scope=EVERYTHING&amp;vid=01CRU&amp;lang=en_US&amp;offset=0&amp;query=any,contains,991005194849702656","Catalog Record")</f>
        <v>Catalog Record</v>
      </c>
      <c r="AT1470" s="6" t="str">
        <f>HYPERLINK("http://www.worldcat.org/oclc/8034528","WorldCat Record")</f>
        <v>WorldCat Record</v>
      </c>
      <c r="AU1470" s="3" t="s">
        <v>18426</v>
      </c>
      <c r="AV1470" s="3" t="s">
        <v>18427</v>
      </c>
      <c r="AW1470" s="3" t="s">
        <v>18428</v>
      </c>
      <c r="AX1470" s="3" t="s">
        <v>18428</v>
      </c>
      <c r="AY1470" s="3" t="s">
        <v>18429</v>
      </c>
      <c r="AZ1470" s="3" t="s">
        <v>73</v>
      </c>
      <c r="BB1470" s="3" t="s">
        <v>18430</v>
      </c>
      <c r="BC1470" s="3" t="s">
        <v>18431</v>
      </c>
      <c r="BD1470" s="3" t="s">
        <v>18432</v>
      </c>
    </row>
    <row r="1471" spans="1:56" ht="51" customHeight="1" x14ac:dyDescent="0.25">
      <c r="A1471" s="7" t="s">
        <v>58</v>
      </c>
      <c r="B1471" s="2" t="s">
        <v>18433</v>
      </c>
      <c r="C1471" s="2" t="s">
        <v>18434</v>
      </c>
      <c r="D1471" s="2" t="s">
        <v>18435</v>
      </c>
      <c r="F1471" s="3" t="s">
        <v>58</v>
      </c>
      <c r="G1471" s="3" t="s">
        <v>59</v>
      </c>
      <c r="H1471" s="3" t="s">
        <v>58</v>
      </c>
      <c r="I1471" s="3" t="s">
        <v>58</v>
      </c>
      <c r="J1471" s="3" t="s">
        <v>60</v>
      </c>
      <c r="K1471" s="2" t="s">
        <v>18436</v>
      </c>
      <c r="L1471" s="2" t="s">
        <v>18243</v>
      </c>
      <c r="M1471" s="3" t="s">
        <v>800</v>
      </c>
      <c r="O1471" s="3" t="s">
        <v>63</v>
      </c>
      <c r="P1471" s="3" t="s">
        <v>411</v>
      </c>
      <c r="R1471" s="3" t="s">
        <v>65</v>
      </c>
      <c r="S1471" s="4">
        <v>3</v>
      </c>
      <c r="T1471" s="4">
        <v>3</v>
      </c>
      <c r="U1471" s="5" t="s">
        <v>18437</v>
      </c>
      <c r="V1471" s="5" t="s">
        <v>18437</v>
      </c>
      <c r="W1471" s="5" t="s">
        <v>18438</v>
      </c>
      <c r="X1471" s="5" t="s">
        <v>18438</v>
      </c>
      <c r="Y1471" s="4">
        <v>976</v>
      </c>
      <c r="Z1471" s="4">
        <v>885</v>
      </c>
      <c r="AA1471" s="4">
        <v>978</v>
      </c>
      <c r="AB1471" s="4">
        <v>8</v>
      </c>
      <c r="AC1471" s="4">
        <v>8</v>
      </c>
      <c r="AD1471" s="4">
        <v>32</v>
      </c>
      <c r="AE1471" s="4">
        <v>36</v>
      </c>
      <c r="AF1471" s="4">
        <v>14</v>
      </c>
      <c r="AG1471" s="4">
        <v>17</v>
      </c>
      <c r="AH1471" s="4">
        <v>6</v>
      </c>
      <c r="AI1471" s="4">
        <v>6</v>
      </c>
      <c r="AJ1471" s="4">
        <v>15</v>
      </c>
      <c r="AK1471" s="4">
        <v>17</v>
      </c>
      <c r="AL1471" s="4">
        <v>5</v>
      </c>
      <c r="AM1471" s="4">
        <v>5</v>
      </c>
      <c r="AN1471" s="4">
        <v>0</v>
      </c>
      <c r="AO1471" s="4">
        <v>0</v>
      </c>
      <c r="AP1471" s="3" t="s">
        <v>58</v>
      </c>
      <c r="AQ1471" s="3" t="s">
        <v>68</v>
      </c>
      <c r="AR1471" s="6" t="str">
        <f>HYPERLINK("http://catalog.hathitrust.org/Record/002966706","HathiTrust Record")</f>
        <v>HathiTrust Record</v>
      </c>
      <c r="AS1471" s="6" t="str">
        <f>HYPERLINK("https://creighton-primo.hosted.exlibrisgroup.com/primo-explore/search?tab=default_tab&amp;search_scope=EVERYTHING&amp;vid=01CRU&amp;lang=en_US&amp;offset=0&amp;query=any,contains,991002433989702656","Catalog Record")</f>
        <v>Catalog Record</v>
      </c>
      <c r="AT1471" s="6" t="str">
        <f>HYPERLINK("http://www.worldcat.org/oclc/31738679","WorldCat Record")</f>
        <v>WorldCat Record</v>
      </c>
      <c r="AU1471" s="3" t="s">
        <v>18439</v>
      </c>
      <c r="AV1471" s="3" t="s">
        <v>18440</v>
      </c>
      <c r="AW1471" s="3" t="s">
        <v>18441</v>
      </c>
      <c r="AX1471" s="3" t="s">
        <v>18441</v>
      </c>
      <c r="AY1471" s="3" t="s">
        <v>18442</v>
      </c>
      <c r="AZ1471" s="3" t="s">
        <v>73</v>
      </c>
      <c r="BB1471" s="3" t="s">
        <v>18443</v>
      </c>
      <c r="BC1471" s="3" t="s">
        <v>18444</v>
      </c>
      <c r="BD1471" s="3" t="s">
        <v>18445</v>
      </c>
    </row>
    <row r="1472" spans="1:56" ht="51" customHeight="1" x14ac:dyDescent="0.25">
      <c r="A1472" s="7" t="s">
        <v>58</v>
      </c>
      <c r="B1472" s="2" t="s">
        <v>18446</v>
      </c>
      <c r="C1472" s="2" t="s">
        <v>18447</v>
      </c>
      <c r="D1472" s="2" t="s">
        <v>18448</v>
      </c>
      <c r="F1472" s="3" t="s">
        <v>58</v>
      </c>
      <c r="G1472" s="3" t="s">
        <v>59</v>
      </c>
      <c r="H1472" s="3" t="s">
        <v>58</v>
      </c>
      <c r="I1472" s="3" t="s">
        <v>58</v>
      </c>
      <c r="J1472" s="3" t="s">
        <v>60</v>
      </c>
      <c r="K1472" s="2" t="s">
        <v>18436</v>
      </c>
      <c r="L1472" s="2" t="s">
        <v>18449</v>
      </c>
      <c r="M1472" s="3" t="s">
        <v>382</v>
      </c>
      <c r="O1472" s="3" t="s">
        <v>63</v>
      </c>
      <c r="P1472" s="3" t="s">
        <v>214</v>
      </c>
      <c r="R1472" s="3" t="s">
        <v>65</v>
      </c>
      <c r="S1472" s="4">
        <v>2</v>
      </c>
      <c r="T1472" s="4">
        <v>2</v>
      </c>
      <c r="U1472" s="5" t="s">
        <v>18450</v>
      </c>
      <c r="V1472" s="5" t="s">
        <v>18450</v>
      </c>
      <c r="W1472" s="5" t="s">
        <v>18451</v>
      </c>
      <c r="X1472" s="5" t="s">
        <v>18451</v>
      </c>
      <c r="Y1472" s="4">
        <v>916</v>
      </c>
      <c r="Z1472" s="4">
        <v>839</v>
      </c>
      <c r="AA1472" s="4">
        <v>852</v>
      </c>
      <c r="AB1472" s="4">
        <v>8</v>
      </c>
      <c r="AC1472" s="4">
        <v>8</v>
      </c>
      <c r="AD1472" s="4">
        <v>31</v>
      </c>
      <c r="AE1472" s="4">
        <v>31</v>
      </c>
      <c r="AF1472" s="4">
        <v>12</v>
      </c>
      <c r="AG1472" s="4">
        <v>12</v>
      </c>
      <c r="AH1472" s="4">
        <v>8</v>
      </c>
      <c r="AI1472" s="4">
        <v>8</v>
      </c>
      <c r="AJ1472" s="4">
        <v>12</v>
      </c>
      <c r="AK1472" s="4">
        <v>12</v>
      </c>
      <c r="AL1472" s="4">
        <v>6</v>
      </c>
      <c r="AM1472" s="4">
        <v>6</v>
      </c>
      <c r="AN1472" s="4">
        <v>0</v>
      </c>
      <c r="AO1472" s="4">
        <v>0</v>
      </c>
      <c r="AP1472" s="3" t="s">
        <v>58</v>
      </c>
      <c r="AQ1472" s="3" t="s">
        <v>68</v>
      </c>
      <c r="AR1472" s="6" t="str">
        <f>HYPERLINK("http://catalog.hathitrust.org/Record/004002349","HathiTrust Record")</f>
        <v>HathiTrust Record</v>
      </c>
      <c r="AS1472" s="6" t="str">
        <f>HYPERLINK("https://creighton-primo.hosted.exlibrisgroup.com/primo-explore/search?tab=default_tab&amp;search_scope=EVERYTHING&amp;vid=01CRU&amp;lang=en_US&amp;offset=0&amp;query=any,contains,991002897589702656","Catalog Record")</f>
        <v>Catalog Record</v>
      </c>
      <c r="AT1472" s="6" t="str">
        <f>HYPERLINK("http://www.worldcat.org/oclc/38199521","WorldCat Record")</f>
        <v>WorldCat Record</v>
      </c>
      <c r="AU1472" s="3" t="s">
        <v>18452</v>
      </c>
      <c r="AV1472" s="3" t="s">
        <v>18453</v>
      </c>
      <c r="AW1472" s="3" t="s">
        <v>18454</v>
      </c>
      <c r="AX1472" s="3" t="s">
        <v>18454</v>
      </c>
      <c r="AY1472" s="3" t="s">
        <v>18455</v>
      </c>
      <c r="AZ1472" s="3" t="s">
        <v>73</v>
      </c>
      <c r="BB1472" s="3" t="s">
        <v>18456</v>
      </c>
      <c r="BC1472" s="3" t="s">
        <v>18457</v>
      </c>
      <c r="BD1472" s="3" t="s">
        <v>18458</v>
      </c>
    </row>
    <row r="1473" spans="1:56" ht="51" customHeight="1" x14ac:dyDescent="0.25">
      <c r="A1473" s="7" t="s">
        <v>58</v>
      </c>
      <c r="B1473" s="2" t="s">
        <v>18459</v>
      </c>
      <c r="C1473" s="2" t="s">
        <v>18460</v>
      </c>
      <c r="D1473" s="2" t="s">
        <v>18461</v>
      </c>
      <c r="F1473" s="3" t="s">
        <v>58</v>
      </c>
      <c r="G1473" s="3" t="s">
        <v>59</v>
      </c>
      <c r="H1473" s="3" t="s">
        <v>58</v>
      </c>
      <c r="I1473" s="3" t="s">
        <v>58</v>
      </c>
      <c r="J1473" s="3" t="s">
        <v>60</v>
      </c>
      <c r="K1473" s="2" t="s">
        <v>18462</v>
      </c>
      <c r="L1473" s="2" t="s">
        <v>18463</v>
      </c>
      <c r="M1473" s="3" t="s">
        <v>423</v>
      </c>
      <c r="O1473" s="3" t="s">
        <v>63</v>
      </c>
      <c r="P1473" s="3" t="s">
        <v>510</v>
      </c>
      <c r="Q1473" s="2" t="s">
        <v>18464</v>
      </c>
      <c r="R1473" s="3" t="s">
        <v>65</v>
      </c>
      <c r="S1473" s="4">
        <v>4</v>
      </c>
      <c r="T1473" s="4">
        <v>4</v>
      </c>
      <c r="U1473" s="5" t="s">
        <v>18323</v>
      </c>
      <c r="V1473" s="5" t="s">
        <v>18323</v>
      </c>
      <c r="W1473" s="5" t="s">
        <v>18195</v>
      </c>
      <c r="X1473" s="5" t="s">
        <v>18195</v>
      </c>
      <c r="Y1473" s="4">
        <v>380</v>
      </c>
      <c r="Z1473" s="4">
        <v>309</v>
      </c>
      <c r="AA1473" s="4">
        <v>671</v>
      </c>
      <c r="AB1473" s="4">
        <v>3</v>
      </c>
      <c r="AC1473" s="4">
        <v>5</v>
      </c>
      <c r="AD1473" s="4">
        <v>18</v>
      </c>
      <c r="AE1473" s="4">
        <v>25</v>
      </c>
      <c r="AF1473" s="4">
        <v>6</v>
      </c>
      <c r="AG1473" s="4">
        <v>10</v>
      </c>
      <c r="AH1473" s="4">
        <v>6</v>
      </c>
      <c r="AI1473" s="4">
        <v>7</v>
      </c>
      <c r="AJ1473" s="4">
        <v>10</v>
      </c>
      <c r="AK1473" s="4">
        <v>12</v>
      </c>
      <c r="AL1473" s="4">
        <v>2</v>
      </c>
      <c r="AM1473" s="4">
        <v>4</v>
      </c>
      <c r="AN1473" s="4">
        <v>0</v>
      </c>
      <c r="AO1473" s="4">
        <v>0</v>
      </c>
      <c r="AP1473" s="3" t="s">
        <v>58</v>
      </c>
      <c r="AQ1473" s="3" t="s">
        <v>68</v>
      </c>
      <c r="AR1473" s="6" t="str">
        <f>HYPERLINK("http://catalog.hathitrust.org/Record/004001483","HathiTrust Record")</f>
        <v>HathiTrust Record</v>
      </c>
      <c r="AS1473" s="6" t="str">
        <f>HYPERLINK("https://creighton-primo.hosted.exlibrisgroup.com/primo-explore/search?tab=default_tab&amp;search_scope=EVERYTHING&amp;vid=01CRU&amp;lang=en_US&amp;offset=0&amp;query=any,contains,991002925289702656","Catalog Record")</f>
        <v>Catalog Record</v>
      </c>
      <c r="AT1473" s="6" t="str">
        <f>HYPERLINK("http://www.worldcat.org/oclc/38883752","WorldCat Record")</f>
        <v>WorldCat Record</v>
      </c>
      <c r="AU1473" s="3" t="s">
        <v>18465</v>
      </c>
      <c r="AV1473" s="3" t="s">
        <v>18466</v>
      </c>
      <c r="AW1473" s="3" t="s">
        <v>18467</v>
      </c>
      <c r="AX1473" s="3" t="s">
        <v>18467</v>
      </c>
      <c r="AY1473" s="3" t="s">
        <v>18468</v>
      </c>
      <c r="AZ1473" s="3" t="s">
        <v>73</v>
      </c>
      <c r="BB1473" s="3" t="s">
        <v>18469</v>
      </c>
      <c r="BC1473" s="3" t="s">
        <v>18470</v>
      </c>
      <c r="BD1473" s="3" t="s">
        <v>18471</v>
      </c>
    </row>
    <row r="1474" spans="1:56" ht="51" customHeight="1" x14ac:dyDescent="0.25">
      <c r="A1474" s="7" t="s">
        <v>58</v>
      </c>
      <c r="B1474" s="2" t="s">
        <v>18472</v>
      </c>
      <c r="C1474" s="2" t="s">
        <v>18473</v>
      </c>
      <c r="D1474" s="2" t="s">
        <v>18474</v>
      </c>
      <c r="F1474" s="3" t="s">
        <v>58</v>
      </c>
      <c r="G1474" s="3" t="s">
        <v>59</v>
      </c>
      <c r="H1474" s="3" t="s">
        <v>58</v>
      </c>
      <c r="I1474" s="3" t="s">
        <v>58</v>
      </c>
      <c r="J1474" s="3" t="s">
        <v>60</v>
      </c>
      <c r="K1474" s="2" t="s">
        <v>18475</v>
      </c>
      <c r="L1474" s="2" t="s">
        <v>5859</v>
      </c>
      <c r="M1474" s="3" t="s">
        <v>83</v>
      </c>
      <c r="O1474" s="3" t="s">
        <v>63</v>
      </c>
      <c r="P1474" s="3" t="s">
        <v>2061</v>
      </c>
      <c r="R1474" s="3" t="s">
        <v>65</v>
      </c>
      <c r="S1474" s="4">
        <v>6</v>
      </c>
      <c r="T1474" s="4">
        <v>6</v>
      </c>
      <c r="U1474" s="5" t="s">
        <v>18476</v>
      </c>
      <c r="V1474" s="5" t="s">
        <v>18476</v>
      </c>
      <c r="W1474" s="5" t="s">
        <v>2282</v>
      </c>
      <c r="X1474" s="5" t="s">
        <v>2282</v>
      </c>
      <c r="Y1474" s="4">
        <v>687</v>
      </c>
      <c r="Z1474" s="4">
        <v>618</v>
      </c>
      <c r="AA1474" s="4">
        <v>761</v>
      </c>
      <c r="AB1474" s="4">
        <v>3</v>
      </c>
      <c r="AC1474" s="4">
        <v>5</v>
      </c>
      <c r="AD1474" s="4">
        <v>23</v>
      </c>
      <c r="AE1474" s="4">
        <v>31</v>
      </c>
      <c r="AF1474" s="4">
        <v>9</v>
      </c>
      <c r="AG1474" s="4">
        <v>11</v>
      </c>
      <c r="AH1474" s="4">
        <v>7</v>
      </c>
      <c r="AI1474" s="4">
        <v>8</v>
      </c>
      <c r="AJ1474" s="4">
        <v>12</v>
      </c>
      <c r="AK1474" s="4">
        <v>17</v>
      </c>
      <c r="AL1474" s="4">
        <v>2</v>
      </c>
      <c r="AM1474" s="4">
        <v>4</v>
      </c>
      <c r="AN1474" s="4">
        <v>0</v>
      </c>
      <c r="AO1474" s="4">
        <v>0</v>
      </c>
      <c r="AP1474" s="3" t="s">
        <v>58</v>
      </c>
      <c r="AQ1474" s="3" t="s">
        <v>68</v>
      </c>
      <c r="AR1474" s="6" t="str">
        <f>HYPERLINK("http://catalog.hathitrust.org/Record/000175428","HathiTrust Record")</f>
        <v>HathiTrust Record</v>
      </c>
      <c r="AS1474" s="6" t="str">
        <f>HYPERLINK("https://creighton-primo.hosted.exlibrisgroup.com/primo-explore/search?tab=default_tab&amp;search_scope=EVERYTHING&amp;vid=01CRU&amp;lang=en_US&amp;offset=0&amp;query=any,contains,991004555509702656","Catalog Record")</f>
        <v>Catalog Record</v>
      </c>
      <c r="AT1474" s="6" t="str">
        <f>HYPERLINK("http://www.worldcat.org/oclc/3966077","WorldCat Record")</f>
        <v>WorldCat Record</v>
      </c>
      <c r="AU1474" s="3" t="s">
        <v>18477</v>
      </c>
      <c r="AV1474" s="3" t="s">
        <v>18478</v>
      </c>
      <c r="AW1474" s="3" t="s">
        <v>18479</v>
      </c>
      <c r="AX1474" s="3" t="s">
        <v>18479</v>
      </c>
      <c r="AY1474" s="3" t="s">
        <v>18480</v>
      </c>
      <c r="AZ1474" s="3" t="s">
        <v>73</v>
      </c>
      <c r="BB1474" s="3" t="s">
        <v>18481</v>
      </c>
      <c r="BC1474" s="3" t="s">
        <v>18482</v>
      </c>
      <c r="BD1474" s="3" t="s">
        <v>18483</v>
      </c>
    </row>
    <row r="1475" spans="1:56" ht="51" customHeight="1" x14ac:dyDescent="0.25">
      <c r="A1475" s="7" t="s">
        <v>58</v>
      </c>
      <c r="B1475" s="2" t="s">
        <v>18484</v>
      </c>
      <c r="C1475" s="2" t="s">
        <v>18485</v>
      </c>
      <c r="D1475" s="2" t="s">
        <v>18486</v>
      </c>
      <c r="F1475" s="3" t="s">
        <v>58</v>
      </c>
      <c r="G1475" s="3" t="s">
        <v>59</v>
      </c>
      <c r="H1475" s="3" t="s">
        <v>58</v>
      </c>
      <c r="I1475" s="3" t="s">
        <v>58</v>
      </c>
      <c r="J1475" s="3" t="s">
        <v>60</v>
      </c>
      <c r="K1475" s="2" t="s">
        <v>18487</v>
      </c>
      <c r="L1475" s="2" t="s">
        <v>18488</v>
      </c>
      <c r="M1475" s="3" t="s">
        <v>2214</v>
      </c>
      <c r="O1475" s="3" t="s">
        <v>63</v>
      </c>
      <c r="P1475" s="3" t="s">
        <v>411</v>
      </c>
      <c r="Q1475" s="2" t="s">
        <v>18489</v>
      </c>
      <c r="R1475" s="3" t="s">
        <v>65</v>
      </c>
      <c r="S1475" s="4">
        <v>1</v>
      </c>
      <c r="T1475" s="4">
        <v>1</v>
      </c>
      <c r="U1475" s="5" t="s">
        <v>17198</v>
      </c>
      <c r="V1475" s="5" t="s">
        <v>17198</v>
      </c>
      <c r="W1475" s="5" t="s">
        <v>17198</v>
      </c>
      <c r="X1475" s="5" t="s">
        <v>17198</v>
      </c>
      <c r="Y1475" s="4">
        <v>771</v>
      </c>
      <c r="Z1475" s="4">
        <v>691</v>
      </c>
      <c r="AA1475" s="4">
        <v>699</v>
      </c>
      <c r="AB1475" s="4">
        <v>4</v>
      </c>
      <c r="AC1475" s="4">
        <v>4</v>
      </c>
      <c r="AD1475" s="4">
        <v>23</v>
      </c>
      <c r="AE1475" s="4">
        <v>23</v>
      </c>
      <c r="AF1475" s="4">
        <v>11</v>
      </c>
      <c r="AG1475" s="4">
        <v>11</v>
      </c>
      <c r="AH1475" s="4">
        <v>4</v>
      </c>
      <c r="AI1475" s="4">
        <v>4</v>
      </c>
      <c r="AJ1475" s="4">
        <v>12</v>
      </c>
      <c r="AK1475" s="4">
        <v>12</v>
      </c>
      <c r="AL1475" s="4">
        <v>3</v>
      </c>
      <c r="AM1475" s="4">
        <v>3</v>
      </c>
      <c r="AN1475" s="4">
        <v>0</v>
      </c>
      <c r="AO1475" s="4">
        <v>0</v>
      </c>
      <c r="AP1475" s="3" t="s">
        <v>58</v>
      </c>
      <c r="AQ1475" s="3" t="s">
        <v>68</v>
      </c>
      <c r="AR1475" s="6" t="str">
        <f>HYPERLINK("http://catalog.hathitrust.org/Record/004987128","HathiTrust Record")</f>
        <v>HathiTrust Record</v>
      </c>
      <c r="AS1475" s="6" t="str">
        <f>HYPERLINK("https://creighton-primo.hosted.exlibrisgroup.com/primo-explore/search?tab=default_tab&amp;search_scope=EVERYTHING&amp;vid=01CRU&amp;lang=en_US&amp;offset=0&amp;query=any,contains,991005063619702656","Catalog Record")</f>
        <v>Catalog Record</v>
      </c>
      <c r="AT1475" s="6" t="str">
        <f>HYPERLINK("http://www.worldcat.org/oclc/56686568","WorldCat Record")</f>
        <v>WorldCat Record</v>
      </c>
      <c r="AU1475" s="3" t="s">
        <v>18490</v>
      </c>
      <c r="AV1475" s="3" t="s">
        <v>18491</v>
      </c>
      <c r="AW1475" s="3" t="s">
        <v>18492</v>
      </c>
      <c r="AX1475" s="3" t="s">
        <v>18492</v>
      </c>
      <c r="AY1475" s="3" t="s">
        <v>18493</v>
      </c>
      <c r="AZ1475" s="3" t="s">
        <v>73</v>
      </c>
      <c r="BB1475" s="3" t="s">
        <v>18494</v>
      </c>
      <c r="BC1475" s="3" t="s">
        <v>18495</v>
      </c>
      <c r="BD1475" s="3" t="s">
        <v>18496</v>
      </c>
    </row>
    <row r="1476" spans="1:56" ht="51" customHeight="1" x14ac:dyDescent="0.25">
      <c r="A1476" s="7" t="s">
        <v>58</v>
      </c>
      <c r="B1476" s="2" t="s">
        <v>18497</v>
      </c>
      <c r="C1476" s="2" t="s">
        <v>18498</v>
      </c>
      <c r="D1476" s="2" t="s">
        <v>18499</v>
      </c>
      <c r="F1476" s="3" t="s">
        <v>58</v>
      </c>
      <c r="G1476" s="3" t="s">
        <v>59</v>
      </c>
      <c r="H1476" s="3" t="s">
        <v>58</v>
      </c>
      <c r="I1476" s="3" t="s">
        <v>58</v>
      </c>
      <c r="J1476" s="3" t="s">
        <v>60</v>
      </c>
      <c r="K1476" s="2" t="s">
        <v>18500</v>
      </c>
      <c r="L1476" s="2" t="s">
        <v>18501</v>
      </c>
      <c r="M1476" s="3" t="s">
        <v>196</v>
      </c>
      <c r="O1476" s="3" t="s">
        <v>63</v>
      </c>
      <c r="P1476" s="3" t="s">
        <v>495</v>
      </c>
      <c r="R1476" s="3" t="s">
        <v>65</v>
      </c>
      <c r="S1476" s="4">
        <v>2</v>
      </c>
      <c r="T1476" s="4">
        <v>2</v>
      </c>
      <c r="U1476" s="5" t="s">
        <v>18502</v>
      </c>
      <c r="V1476" s="5" t="s">
        <v>18502</v>
      </c>
      <c r="W1476" s="5" t="s">
        <v>2616</v>
      </c>
      <c r="X1476" s="5" t="s">
        <v>2616</v>
      </c>
      <c r="Y1476" s="4">
        <v>355</v>
      </c>
      <c r="Z1476" s="4">
        <v>309</v>
      </c>
      <c r="AA1476" s="4">
        <v>930</v>
      </c>
      <c r="AB1476" s="4">
        <v>3</v>
      </c>
      <c r="AC1476" s="4">
        <v>11</v>
      </c>
      <c r="AD1476" s="4">
        <v>16</v>
      </c>
      <c r="AE1476" s="4">
        <v>39</v>
      </c>
      <c r="AF1476" s="4">
        <v>3</v>
      </c>
      <c r="AG1476" s="4">
        <v>11</v>
      </c>
      <c r="AH1476" s="4">
        <v>5</v>
      </c>
      <c r="AI1476" s="4">
        <v>10</v>
      </c>
      <c r="AJ1476" s="4">
        <v>9</v>
      </c>
      <c r="AK1476" s="4">
        <v>14</v>
      </c>
      <c r="AL1476" s="4">
        <v>2</v>
      </c>
      <c r="AM1476" s="4">
        <v>9</v>
      </c>
      <c r="AN1476" s="4">
        <v>1</v>
      </c>
      <c r="AO1476" s="4">
        <v>2</v>
      </c>
      <c r="AP1476" s="3" t="s">
        <v>58</v>
      </c>
      <c r="AQ1476" s="3" t="s">
        <v>68</v>
      </c>
      <c r="AR1476" s="6" t="str">
        <f>HYPERLINK("http://catalog.hathitrust.org/Record/003062564","HathiTrust Record")</f>
        <v>HathiTrust Record</v>
      </c>
      <c r="AS1476" s="6" t="str">
        <f>HYPERLINK("https://creighton-primo.hosted.exlibrisgroup.com/primo-explore/search?tab=default_tab&amp;search_scope=EVERYTHING&amp;vid=01CRU&amp;lang=en_US&amp;offset=0&amp;query=any,contains,991002590299702656","Catalog Record")</f>
        <v>Catalog Record</v>
      </c>
      <c r="AT1476" s="6" t="str">
        <f>HYPERLINK("http://www.worldcat.org/oclc/33947900","WorldCat Record")</f>
        <v>WorldCat Record</v>
      </c>
      <c r="AU1476" s="3" t="s">
        <v>18503</v>
      </c>
      <c r="AV1476" s="3" t="s">
        <v>18504</v>
      </c>
      <c r="AW1476" s="3" t="s">
        <v>18505</v>
      </c>
      <c r="AX1476" s="3" t="s">
        <v>18505</v>
      </c>
      <c r="AY1476" s="3" t="s">
        <v>18506</v>
      </c>
      <c r="AZ1476" s="3" t="s">
        <v>73</v>
      </c>
      <c r="BB1476" s="3" t="s">
        <v>18507</v>
      </c>
      <c r="BC1476" s="3" t="s">
        <v>18508</v>
      </c>
      <c r="BD1476" s="3" t="s">
        <v>18509</v>
      </c>
    </row>
    <row r="1477" spans="1:56" ht="51" customHeight="1" x14ac:dyDescent="0.25">
      <c r="A1477" s="7" t="s">
        <v>58</v>
      </c>
      <c r="B1477" s="2" t="s">
        <v>18510</v>
      </c>
      <c r="C1477" s="2" t="s">
        <v>18511</v>
      </c>
      <c r="D1477" s="2" t="s">
        <v>18512</v>
      </c>
      <c r="F1477" s="3" t="s">
        <v>58</v>
      </c>
      <c r="G1477" s="3" t="s">
        <v>59</v>
      </c>
      <c r="H1477" s="3" t="s">
        <v>58</v>
      </c>
      <c r="I1477" s="3" t="s">
        <v>58</v>
      </c>
      <c r="J1477" s="3" t="s">
        <v>60</v>
      </c>
      <c r="K1477" s="2" t="s">
        <v>18513</v>
      </c>
      <c r="L1477" s="2" t="s">
        <v>18514</v>
      </c>
      <c r="M1477" s="3" t="s">
        <v>855</v>
      </c>
      <c r="O1477" s="3" t="s">
        <v>63</v>
      </c>
      <c r="P1477" s="3" t="s">
        <v>17407</v>
      </c>
      <c r="Q1477" s="2" t="s">
        <v>17534</v>
      </c>
      <c r="R1477" s="3" t="s">
        <v>65</v>
      </c>
      <c r="S1477" s="4">
        <v>1</v>
      </c>
      <c r="T1477" s="4">
        <v>1</v>
      </c>
      <c r="U1477" s="5" t="s">
        <v>18515</v>
      </c>
      <c r="V1477" s="5" t="s">
        <v>18515</v>
      </c>
      <c r="W1477" s="5" t="s">
        <v>3749</v>
      </c>
      <c r="X1477" s="5" t="s">
        <v>3749</v>
      </c>
      <c r="Y1477" s="4">
        <v>885</v>
      </c>
      <c r="Z1477" s="4">
        <v>775</v>
      </c>
      <c r="AA1477" s="4">
        <v>777</v>
      </c>
      <c r="AB1477" s="4">
        <v>6</v>
      </c>
      <c r="AC1477" s="4">
        <v>6</v>
      </c>
      <c r="AD1477" s="4">
        <v>41</v>
      </c>
      <c r="AE1477" s="4">
        <v>41</v>
      </c>
      <c r="AF1477" s="4">
        <v>19</v>
      </c>
      <c r="AG1477" s="4">
        <v>19</v>
      </c>
      <c r="AH1477" s="4">
        <v>7</v>
      </c>
      <c r="AI1477" s="4">
        <v>7</v>
      </c>
      <c r="AJ1477" s="4">
        <v>19</v>
      </c>
      <c r="AK1477" s="4">
        <v>19</v>
      </c>
      <c r="AL1477" s="4">
        <v>5</v>
      </c>
      <c r="AM1477" s="4">
        <v>5</v>
      </c>
      <c r="AN1477" s="4">
        <v>1</v>
      </c>
      <c r="AO1477" s="4">
        <v>1</v>
      </c>
      <c r="AP1477" s="3" t="s">
        <v>58</v>
      </c>
      <c r="AQ1477" s="3" t="s">
        <v>68</v>
      </c>
      <c r="AR1477" s="6" t="str">
        <f>HYPERLINK("http://catalog.hathitrust.org/Record/002712768","HathiTrust Record")</f>
        <v>HathiTrust Record</v>
      </c>
      <c r="AS1477" s="6" t="str">
        <f>HYPERLINK("https://creighton-primo.hosted.exlibrisgroup.com/primo-explore/search?tab=default_tab&amp;search_scope=EVERYTHING&amp;vid=01CRU&amp;lang=en_US&amp;offset=0&amp;query=any,contains,991002169999702656","Catalog Record")</f>
        <v>Catalog Record</v>
      </c>
      <c r="AT1477" s="6" t="str">
        <f>HYPERLINK("http://www.worldcat.org/oclc/27935100","WorldCat Record")</f>
        <v>WorldCat Record</v>
      </c>
      <c r="AU1477" s="3" t="s">
        <v>18516</v>
      </c>
      <c r="AV1477" s="3" t="s">
        <v>18517</v>
      </c>
      <c r="AW1477" s="3" t="s">
        <v>18518</v>
      </c>
      <c r="AX1477" s="3" t="s">
        <v>18518</v>
      </c>
      <c r="AY1477" s="3" t="s">
        <v>18519</v>
      </c>
      <c r="AZ1477" s="3" t="s">
        <v>73</v>
      </c>
      <c r="BB1477" s="3" t="s">
        <v>18520</v>
      </c>
      <c r="BC1477" s="3" t="s">
        <v>18521</v>
      </c>
      <c r="BD1477" s="3" t="s">
        <v>18522</v>
      </c>
    </row>
    <row r="1478" spans="1:56" ht="51" customHeight="1" x14ac:dyDescent="0.25">
      <c r="A1478" s="7" t="s">
        <v>58</v>
      </c>
      <c r="B1478" s="2" t="s">
        <v>18523</v>
      </c>
      <c r="C1478" s="2" t="s">
        <v>18524</v>
      </c>
      <c r="D1478" s="2" t="s">
        <v>18525</v>
      </c>
      <c r="F1478" s="3" t="s">
        <v>58</v>
      </c>
      <c r="G1478" s="3" t="s">
        <v>59</v>
      </c>
      <c r="H1478" s="3" t="s">
        <v>58</v>
      </c>
      <c r="I1478" s="3" t="s">
        <v>58</v>
      </c>
      <c r="J1478" s="3" t="s">
        <v>60</v>
      </c>
      <c r="K1478" s="2" t="s">
        <v>18526</v>
      </c>
      <c r="L1478" s="2" t="s">
        <v>18527</v>
      </c>
      <c r="M1478" s="3" t="s">
        <v>759</v>
      </c>
      <c r="O1478" s="3" t="s">
        <v>63</v>
      </c>
      <c r="P1478" s="3" t="s">
        <v>1584</v>
      </c>
      <c r="R1478" s="3" t="s">
        <v>65</v>
      </c>
      <c r="S1478" s="4">
        <v>2</v>
      </c>
      <c r="T1478" s="4">
        <v>2</v>
      </c>
      <c r="U1478" s="5" t="s">
        <v>18528</v>
      </c>
      <c r="V1478" s="5" t="s">
        <v>18528</v>
      </c>
      <c r="W1478" s="5" t="s">
        <v>17235</v>
      </c>
      <c r="X1478" s="5" t="s">
        <v>17235</v>
      </c>
      <c r="Y1478" s="4">
        <v>695</v>
      </c>
      <c r="Z1478" s="4">
        <v>630</v>
      </c>
      <c r="AA1478" s="4">
        <v>633</v>
      </c>
      <c r="AB1478" s="4">
        <v>5</v>
      </c>
      <c r="AC1478" s="4">
        <v>5</v>
      </c>
      <c r="AD1478" s="4">
        <v>26</v>
      </c>
      <c r="AE1478" s="4">
        <v>26</v>
      </c>
      <c r="AF1478" s="4">
        <v>10</v>
      </c>
      <c r="AG1478" s="4">
        <v>10</v>
      </c>
      <c r="AH1478" s="4">
        <v>8</v>
      </c>
      <c r="AI1478" s="4">
        <v>8</v>
      </c>
      <c r="AJ1478" s="4">
        <v>9</v>
      </c>
      <c r="AK1478" s="4">
        <v>9</v>
      </c>
      <c r="AL1478" s="4">
        <v>4</v>
      </c>
      <c r="AM1478" s="4">
        <v>4</v>
      </c>
      <c r="AN1478" s="4">
        <v>0</v>
      </c>
      <c r="AO1478" s="4">
        <v>0</v>
      </c>
      <c r="AP1478" s="3" t="s">
        <v>58</v>
      </c>
      <c r="AQ1478" s="3" t="s">
        <v>68</v>
      </c>
      <c r="AR1478" s="6" t="str">
        <f>HYPERLINK("http://catalog.hathitrust.org/Record/000701825","HathiTrust Record")</f>
        <v>HathiTrust Record</v>
      </c>
      <c r="AS1478" s="6" t="str">
        <f>HYPERLINK("https://creighton-primo.hosted.exlibrisgroup.com/primo-explore/search?tab=default_tab&amp;search_scope=EVERYTHING&amp;vid=01CRU&amp;lang=en_US&amp;offset=0&amp;query=any,contains,991004728979702656","Catalog Record")</f>
        <v>Catalog Record</v>
      </c>
      <c r="AT1478" s="6" t="str">
        <f>HYPERLINK("http://www.worldcat.org/oclc/4832344","WorldCat Record")</f>
        <v>WorldCat Record</v>
      </c>
      <c r="AU1478" s="3" t="s">
        <v>18529</v>
      </c>
      <c r="AV1478" s="3" t="s">
        <v>18530</v>
      </c>
      <c r="AW1478" s="3" t="s">
        <v>18531</v>
      </c>
      <c r="AX1478" s="3" t="s">
        <v>18531</v>
      </c>
      <c r="AY1478" s="3" t="s">
        <v>18532</v>
      </c>
      <c r="AZ1478" s="3" t="s">
        <v>73</v>
      </c>
      <c r="BB1478" s="3" t="s">
        <v>18533</v>
      </c>
      <c r="BC1478" s="3" t="s">
        <v>18534</v>
      </c>
      <c r="BD1478" s="3" t="s">
        <v>18535</v>
      </c>
    </row>
    <row r="1479" spans="1:56" ht="51" customHeight="1" x14ac:dyDescent="0.25">
      <c r="A1479" s="7" t="s">
        <v>58</v>
      </c>
      <c r="B1479" s="2" t="s">
        <v>18536</v>
      </c>
      <c r="C1479" s="2" t="s">
        <v>18537</v>
      </c>
      <c r="D1479" s="2" t="s">
        <v>18538</v>
      </c>
      <c r="F1479" s="3" t="s">
        <v>58</v>
      </c>
      <c r="G1479" s="3" t="s">
        <v>59</v>
      </c>
      <c r="H1479" s="3" t="s">
        <v>58</v>
      </c>
      <c r="I1479" s="3" t="s">
        <v>58</v>
      </c>
      <c r="J1479" s="3" t="s">
        <v>60</v>
      </c>
      <c r="K1479" s="2" t="s">
        <v>18539</v>
      </c>
      <c r="L1479" s="2" t="s">
        <v>18540</v>
      </c>
      <c r="M1479" s="3" t="s">
        <v>1385</v>
      </c>
      <c r="N1479" s="2" t="s">
        <v>1009</v>
      </c>
      <c r="O1479" s="3" t="s">
        <v>63</v>
      </c>
      <c r="P1479" s="3" t="s">
        <v>214</v>
      </c>
      <c r="R1479" s="3" t="s">
        <v>65</v>
      </c>
      <c r="S1479" s="4">
        <v>2</v>
      </c>
      <c r="T1479" s="4">
        <v>2</v>
      </c>
      <c r="U1479" s="5" t="s">
        <v>11875</v>
      </c>
      <c r="V1479" s="5" t="s">
        <v>11875</v>
      </c>
      <c r="W1479" s="5" t="s">
        <v>2034</v>
      </c>
      <c r="X1479" s="5" t="s">
        <v>2034</v>
      </c>
      <c r="Y1479" s="4">
        <v>399</v>
      </c>
      <c r="Z1479" s="4">
        <v>373</v>
      </c>
      <c r="AA1479" s="4">
        <v>430</v>
      </c>
      <c r="AB1479" s="4">
        <v>2</v>
      </c>
      <c r="AC1479" s="4">
        <v>3</v>
      </c>
      <c r="AD1479" s="4">
        <v>20</v>
      </c>
      <c r="AE1479" s="4">
        <v>23</v>
      </c>
      <c r="AF1479" s="4">
        <v>9</v>
      </c>
      <c r="AG1479" s="4">
        <v>10</v>
      </c>
      <c r="AH1479" s="4">
        <v>5</v>
      </c>
      <c r="AI1479" s="4">
        <v>5</v>
      </c>
      <c r="AJ1479" s="4">
        <v>13</v>
      </c>
      <c r="AK1479" s="4">
        <v>14</v>
      </c>
      <c r="AL1479" s="4">
        <v>1</v>
      </c>
      <c r="AM1479" s="4">
        <v>2</v>
      </c>
      <c r="AN1479" s="4">
        <v>0</v>
      </c>
      <c r="AO1479" s="4">
        <v>0</v>
      </c>
      <c r="AP1479" s="3" t="s">
        <v>58</v>
      </c>
      <c r="AQ1479" s="3" t="s">
        <v>68</v>
      </c>
      <c r="AR1479" s="6" t="str">
        <f>HYPERLINK("http://catalog.hathitrust.org/Record/010095049","HathiTrust Record")</f>
        <v>HathiTrust Record</v>
      </c>
      <c r="AS1479" s="6" t="str">
        <f>HYPERLINK("https://creighton-primo.hosted.exlibrisgroup.com/primo-explore/search?tab=default_tab&amp;search_scope=EVERYTHING&amp;vid=01CRU&amp;lang=en_US&amp;offset=0&amp;query=any,contains,991003631269702656","Catalog Record")</f>
        <v>Catalog Record</v>
      </c>
      <c r="AT1479" s="6" t="str">
        <f>HYPERLINK("http://www.worldcat.org/oclc/1224093","WorldCat Record")</f>
        <v>WorldCat Record</v>
      </c>
      <c r="AU1479" s="3" t="s">
        <v>18541</v>
      </c>
      <c r="AV1479" s="3" t="s">
        <v>18542</v>
      </c>
      <c r="AW1479" s="3" t="s">
        <v>18543</v>
      </c>
      <c r="AX1479" s="3" t="s">
        <v>18543</v>
      </c>
      <c r="AY1479" s="3" t="s">
        <v>18544</v>
      </c>
      <c r="AZ1479" s="3" t="s">
        <v>73</v>
      </c>
      <c r="BB1479" s="3" t="s">
        <v>18545</v>
      </c>
      <c r="BC1479" s="3" t="s">
        <v>18546</v>
      </c>
      <c r="BD1479" s="3" t="s">
        <v>18547</v>
      </c>
    </row>
    <row r="1480" spans="1:56" ht="51" customHeight="1" x14ac:dyDescent="0.25">
      <c r="A1480" s="7" t="s">
        <v>58</v>
      </c>
      <c r="B1480" s="2" t="s">
        <v>18548</v>
      </c>
      <c r="C1480" s="2" t="s">
        <v>18549</v>
      </c>
      <c r="D1480" s="2" t="s">
        <v>18550</v>
      </c>
      <c r="F1480" s="3" t="s">
        <v>58</v>
      </c>
      <c r="G1480" s="3" t="s">
        <v>59</v>
      </c>
      <c r="H1480" s="3" t="s">
        <v>58</v>
      </c>
      <c r="I1480" s="3" t="s">
        <v>58</v>
      </c>
      <c r="J1480" s="3" t="s">
        <v>60</v>
      </c>
      <c r="L1480" s="2" t="s">
        <v>8375</v>
      </c>
      <c r="M1480" s="3" t="s">
        <v>552</v>
      </c>
      <c r="O1480" s="3" t="s">
        <v>63</v>
      </c>
      <c r="P1480" s="3" t="s">
        <v>495</v>
      </c>
      <c r="R1480" s="3" t="s">
        <v>65</v>
      </c>
      <c r="S1480" s="4">
        <v>4</v>
      </c>
      <c r="T1480" s="4">
        <v>4</v>
      </c>
      <c r="U1480" s="5" t="s">
        <v>6753</v>
      </c>
      <c r="V1480" s="5" t="s">
        <v>6753</v>
      </c>
      <c r="W1480" s="5" t="s">
        <v>18551</v>
      </c>
      <c r="X1480" s="5" t="s">
        <v>18551</v>
      </c>
      <c r="Y1480" s="4">
        <v>292</v>
      </c>
      <c r="Z1480" s="4">
        <v>256</v>
      </c>
      <c r="AA1480" s="4">
        <v>534</v>
      </c>
      <c r="AB1480" s="4">
        <v>3</v>
      </c>
      <c r="AC1480" s="4">
        <v>6</v>
      </c>
      <c r="AD1480" s="4">
        <v>17</v>
      </c>
      <c r="AE1480" s="4">
        <v>27</v>
      </c>
      <c r="AF1480" s="4">
        <v>5</v>
      </c>
      <c r="AG1480" s="4">
        <v>9</v>
      </c>
      <c r="AH1480" s="4">
        <v>4</v>
      </c>
      <c r="AI1480" s="4">
        <v>6</v>
      </c>
      <c r="AJ1480" s="4">
        <v>10</v>
      </c>
      <c r="AK1480" s="4">
        <v>15</v>
      </c>
      <c r="AL1480" s="4">
        <v>2</v>
      </c>
      <c r="AM1480" s="4">
        <v>4</v>
      </c>
      <c r="AN1480" s="4">
        <v>0</v>
      </c>
      <c r="AO1480" s="4">
        <v>1</v>
      </c>
      <c r="AP1480" s="3" t="s">
        <v>58</v>
      </c>
      <c r="AQ1480" s="3" t="s">
        <v>58</v>
      </c>
      <c r="AS1480" s="6" t="str">
        <f>HYPERLINK("https://creighton-primo.hosted.exlibrisgroup.com/primo-explore/search?tab=default_tab&amp;search_scope=EVERYTHING&amp;vid=01CRU&amp;lang=en_US&amp;offset=0&amp;query=any,contains,991003509489702656","Catalog Record")</f>
        <v>Catalog Record</v>
      </c>
      <c r="AT1480" s="6" t="str">
        <f>HYPERLINK("http://www.worldcat.org/oclc/20594850","WorldCat Record")</f>
        <v>WorldCat Record</v>
      </c>
      <c r="AU1480" s="3" t="s">
        <v>18552</v>
      </c>
      <c r="AV1480" s="3" t="s">
        <v>18553</v>
      </c>
      <c r="AW1480" s="3" t="s">
        <v>18554</v>
      </c>
      <c r="AX1480" s="3" t="s">
        <v>18554</v>
      </c>
      <c r="AY1480" s="3" t="s">
        <v>18555</v>
      </c>
      <c r="AZ1480" s="3" t="s">
        <v>73</v>
      </c>
      <c r="BB1480" s="3" t="s">
        <v>18556</v>
      </c>
      <c r="BC1480" s="3" t="s">
        <v>18557</v>
      </c>
      <c r="BD1480" s="3" t="s">
        <v>18558</v>
      </c>
    </row>
    <row r="1481" spans="1:56" ht="51" customHeight="1" x14ac:dyDescent="0.25">
      <c r="A1481" s="7" t="s">
        <v>58</v>
      </c>
      <c r="B1481" s="2" t="s">
        <v>18559</v>
      </c>
      <c r="C1481" s="2" t="s">
        <v>18560</v>
      </c>
      <c r="D1481" s="2" t="s">
        <v>18561</v>
      </c>
      <c r="F1481" s="3" t="s">
        <v>58</v>
      </c>
      <c r="G1481" s="3" t="s">
        <v>59</v>
      </c>
      <c r="H1481" s="3" t="s">
        <v>58</v>
      </c>
      <c r="I1481" s="3" t="s">
        <v>58</v>
      </c>
      <c r="J1481" s="3" t="s">
        <v>60</v>
      </c>
      <c r="L1481" s="2" t="s">
        <v>18091</v>
      </c>
      <c r="M1481" s="3" t="s">
        <v>397</v>
      </c>
      <c r="N1481" s="2" t="s">
        <v>338</v>
      </c>
      <c r="O1481" s="3" t="s">
        <v>63</v>
      </c>
      <c r="P1481" s="3" t="s">
        <v>214</v>
      </c>
      <c r="R1481" s="3" t="s">
        <v>65</v>
      </c>
      <c r="S1481" s="4">
        <v>3</v>
      </c>
      <c r="T1481" s="4">
        <v>3</v>
      </c>
      <c r="U1481" s="5" t="s">
        <v>18562</v>
      </c>
      <c r="V1481" s="5" t="s">
        <v>18562</v>
      </c>
      <c r="W1481" s="5" t="s">
        <v>4831</v>
      </c>
      <c r="X1481" s="5" t="s">
        <v>4831</v>
      </c>
      <c r="Y1481" s="4">
        <v>503</v>
      </c>
      <c r="Z1481" s="4">
        <v>467</v>
      </c>
      <c r="AA1481" s="4">
        <v>485</v>
      </c>
      <c r="AB1481" s="4">
        <v>2</v>
      </c>
      <c r="AC1481" s="4">
        <v>3</v>
      </c>
      <c r="AD1481" s="4">
        <v>15</v>
      </c>
      <c r="AE1481" s="4">
        <v>15</v>
      </c>
      <c r="AF1481" s="4">
        <v>9</v>
      </c>
      <c r="AG1481" s="4">
        <v>9</v>
      </c>
      <c r="AH1481" s="4">
        <v>2</v>
      </c>
      <c r="AI1481" s="4">
        <v>2</v>
      </c>
      <c r="AJ1481" s="4">
        <v>9</v>
      </c>
      <c r="AK1481" s="4">
        <v>9</v>
      </c>
      <c r="AL1481" s="4">
        <v>1</v>
      </c>
      <c r="AM1481" s="4">
        <v>1</v>
      </c>
      <c r="AN1481" s="4">
        <v>0</v>
      </c>
      <c r="AO1481" s="4">
        <v>0</v>
      </c>
      <c r="AP1481" s="3" t="s">
        <v>58</v>
      </c>
      <c r="AQ1481" s="3" t="s">
        <v>68</v>
      </c>
      <c r="AR1481" s="6" t="str">
        <f>HYPERLINK("http://catalog.hathitrust.org/Record/000361516","HathiTrust Record")</f>
        <v>HathiTrust Record</v>
      </c>
      <c r="AS1481" s="6" t="str">
        <f>HYPERLINK("https://creighton-primo.hosted.exlibrisgroup.com/primo-explore/search?tab=default_tab&amp;search_scope=EVERYTHING&amp;vid=01CRU&amp;lang=en_US&amp;offset=0&amp;query=any,contains,991000560819702656","Catalog Record")</f>
        <v>Catalog Record</v>
      </c>
      <c r="AT1481" s="6" t="str">
        <f>HYPERLINK("http://www.worldcat.org/oclc/11585548","WorldCat Record")</f>
        <v>WorldCat Record</v>
      </c>
      <c r="AU1481" s="3" t="s">
        <v>18563</v>
      </c>
      <c r="AV1481" s="3" t="s">
        <v>18564</v>
      </c>
      <c r="AW1481" s="3" t="s">
        <v>18565</v>
      </c>
      <c r="AX1481" s="3" t="s">
        <v>18565</v>
      </c>
      <c r="AY1481" s="3" t="s">
        <v>18566</v>
      </c>
      <c r="AZ1481" s="3" t="s">
        <v>73</v>
      </c>
      <c r="BB1481" s="3" t="s">
        <v>18567</v>
      </c>
      <c r="BC1481" s="3" t="s">
        <v>18568</v>
      </c>
      <c r="BD1481" s="3" t="s">
        <v>18569</v>
      </c>
    </row>
    <row r="1482" spans="1:56" ht="51" customHeight="1" x14ac:dyDescent="0.25">
      <c r="A1482" s="7" t="s">
        <v>58</v>
      </c>
      <c r="B1482" s="2" t="s">
        <v>18570</v>
      </c>
      <c r="C1482" s="2" t="s">
        <v>18571</v>
      </c>
      <c r="D1482" s="2" t="s">
        <v>18572</v>
      </c>
      <c r="F1482" s="3" t="s">
        <v>58</v>
      </c>
      <c r="G1482" s="3" t="s">
        <v>59</v>
      </c>
      <c r="H1482" s="3" t="s">
        <v>58</v>
      </c>
      <c r="I1482" s="3" t="s">
        <v>58</v>
      </c>
      <c r="J1482" s="3" t="s">
        <v>60</v>
      </c>
      <c r="L1482" s="2" t="s">
        <v>18573</v>
      </c>
      <c r="M1482" s="3" t="s">
        <v>2186</v>
      </c>
      <c r="O1482" s="3" t="s">
        <v>63</v>
      </c>
      <c r="P1482" s="3" t="s">
        <v>584</v>
      </c>
      <c r="Q1482" s="2" t="s">
        <v>18574</v>
      </c>
      <c r="R1482" s="3" t="s">
        <v>65</v>
      </c>
      <c r="S1482" s="4">
        <v>2</v>
      </c>
      <c r="T1482" s="4">
        <v>2</v>
      </c>
      <c r="U1482" s="5" t="s">
        <v>18575</v>
      </c>
      <c r="V1482" s="5" t="s">
        <v>18575</v>
      </c>
      <c r="W1482" s="5" t="s">
        <v>18576</v>
      </c>
      <c r="X1482" s="5" t="s">
        <v>18576</v>
      </c>
      <c r="Y1482" s="4">
        <v>167</v>
      </c>
      <c r="Z1482" s="4">
        <v>110</v>
      </c>
      <c r="AA1482" s="4">
        <v>153</v>
      </c>
      <c r="AB1482" s="4">
        <v>1</v>
      </c>
      <c r="AC1482" s="4">
        <v>2</v>
      </c>
      <c r="AD1482" s="4">
        <v>5</v>
      </c>
      <c r="AE1482" s="4">
        <v>8</v>
      </c>
      <c r="AF1482" s="4">
        <v>1</v>
      </c>
      <c r="AG1482" s="4">
        <v>3</v>
      </c>
      <c r="AH1482" s="4">
        <v>4</v>
      </c>
      <c r="AI1482" s="4">
        <v>4</v>
      </c>
      <c r="AJ1482" s="4">
        <v>3</v>
      </c>
      <c r="AK1482" s="4">
        <v>5</v>
      </c>
      <c r="AL1482" s="4">
        <v>0</v>
      </c>
      <c r="AM1482" s="4">
        <v>1</v>
      </c>
      <c r="AN1482" s="4">
        <v>0</v>
      </c>
      <c r="AO1482" s="4">
        <v>0</v>
      </c>
      <c r="AP1482" s="3" t="s">
        <v>58</v>
      </c>
      <c r="AQ1482" s="3" t="s">
        <v>68</v>
      </c>
      <c r="AR1482" s="6" t="str">
        <f>HYPERLINK("http://catalog.hathitrust.org/Record/005641542","HathiTrust Record")</f>
        <v>HathiTrust Record</v>
      </c>
      <c r="AS1482" s="6" t="str">
        <f>HYPERLINK("https://creighton-primo.hosted.exlibrisgroup.com/primo-explore/search?tab=default_tab&amp;search_scope=EVERYTHING&amp;vid=01CRU&amp;lang=en_US&amp;offset=0&amp;query=any,contains,991005270289702656","Catalog Record")</f>
        <v>Catalog Record</v>
      </c>
      <c r="AT1482" s="6" t="str">
        <f>HYPERLINK("http://www.worldcat.org/oclc/156890888","WorldCat Record")</f>
        <v>WorldCat Record</v>
      </c>
      <c r="AU1482" s="3" t="s">
        <v>18577</v>
      </c>
      <c r="AV1482" s="3" t="s">
        <v>18578</v>
      </c>
      <c r="AW1482" s="3" t="s">
        <v>18579</v>
      </c>
      <c r="AX1482" s="3" t="s">
        <v>18579</v>
      </c>
      <c r="AY1482" s="3" t="s">
        <v>18580</v>
      </c>
      <c r="AZ1482" s="3" t="s">
        <v>73</v>
      </c>
      <c r="BB1482" s="3" t="s">
        <v>18581</v>
      </c>
      <c r="BC1482" s="3" t="s">
        <v>18582</v>
      </c>
      <c r="BD1482" s="3" t="s">
        <v>18583</v>
      </c>
    </row>
    <row r="1483" spans="1:56" ht="51" customHeight="1" x14ac:dyDescent="0.25">
      <c r="A1483" s="7" t="s">
        <v>58</v>
      </c>
      <c r="B1483" s="2" t="s">
        <v>18584</v>
      </c>
      <c r="C1483" s="2" t="s">
        <v>18585</v>
      </c>
      <c r="D1483" s="2" t="s">
        <v>18586</v>
      </c>
      <c r="F1483" s="3" t="s">
        <v>58</v>
      </c>
      <c r="G1483" s="3" t="s">
        <v>59</v>
      </c>
      <c r="H1483" s="3" t="s">
        <v>58</v>
      </c>
      <c r="I1483" s="3" t="s">
        <v>58</v>
      </c>
      <c r="J1483" s="3" t="s">
        <v>60</v>
      </c>
      <c r="K1483" s="2" t="s">
        <v>18587</v>
      </c>
      <c r="L1483" s="2" t="s">
        <v>18588</v>
      </c>
      <c r="M1483" s="3" t="s">
        <v>368</v>
      </c>
      <c r="O1483" s="3" t="s">
        <v>63</v>
      </c>
      <c r="P1483" s="3" t="s">
        <v>2061</v>
      </c>
      <c r="R1483" s="3" t="s">
        <v>65</v>
      </c>
      <c r="S1483" s="4">
        <v>5</v>
      </c>
      <c r="T1483" s="4">
        <v>5</v>
      </c>
      <c r="U1483" s="5" t="s">
        <v>18589</v>
      </c>
      <c r="V1483" s="5" t="s">
        <v>18589</v>
      </c>
      <c r="W1483" s="5" t="s">
        <v>18590</v>
      </c>
      <c r="X1483" s="5" t="s">
        <v>18590</v>
      </c>
      <c r="Y1483" s="4">
        <v>573</v>
      </c>
      <c r="Z1483" s="4">
        <v>537</v>
      </c>
      <c r="AA1483" s="4">
        <v>603</v>
      </c>
      <c r="AB1483" s="4">
        <v>5</v>
      </c>
      <c r="AC1483" s="4">
        <v>6</v>
      </c>
      <c r="AD1483" s="4">
        <v>21</v>
      </c>
      <c r="AE1483" s="4">
        <v>22</v>
      </c>
      <c r="AF1483" s="4">
        <v>9</v>
      </c>
      <c r="AG1483" s="4">
        <v>10</v>
      </c>
      <c r="AH1483" s="4">
        <v>5</v>
      </c>
      <c r="AI1483" s="4">
        <v>5</v>
      </c>
      <c r="AJ1483" s="4">
        <v>11</v>
      </c>
      <c r="AK1483" s="4">
        <v>11</v>
      </c>
      <c r="AL1483" s="4">
        <v>3</v>
      </c>
      <c r="AM1483" s="4">
        <v>3</v>
      </c>
      <c r="AN1483" s="4">
        <v>0</v>
      </c>
      <c r="AO1483" s="4">
        <v>0</v>
      </c>
      <c r="AP1483" s="3" t="s">
        <v>58</v>
      </c>
      <c r="AQ1483" s="3" t="s">
        <v>58</v>
      </c>
      <c r="AS1483" s="6" t="str">
        <f>HYPERLINK("https://creighton-primo.hosted.exlibrisgroup.com/primo-explore/search?tab=default_tab&amp;search_scope=EVERYTHING&amp;vid=01CRU&amp;lang=en_US&amp;offset=0&amp;query=any,contains,991004250299702656","Catalog Record")</f>
        <v>Catalog Record</v>
      </c>
      <c r="AT1483" s="6" t="str">
        <f>HYPERLINK("http://www.worldcat.org/oclc/2809300","WorldCat Record")</f>
        <v>WorldCat Record</v>
      </c>
      <c r="AU1483" s="3" t="s">
        <v>18591</v>
      </c>
      <c r="AV1483" s="3" t="s">
        <v>18592</v>
      </c>
      <c r="AW1483" s="3" t="s">
        <v>18593</v>
      </c>
      <c r="AX1483" s="3" t="s">
        <v>18593</v>
      </c>
      <c r="AY1483" s="3" t="s">
        <v>18594</v>
      </c>
      <c r="AZ1483" s="3" t="s">
        <v>73</v>
      </c>
      <c r="BB1483" s="3" t="s">
        <v>18595</v>
      </c>
      <c r="BC1483" s="3" t="s">
        <v>18596</v>
      </c>
      <c r="BD1483" s="3" t="s">
        <v>18597</v>
      </c>
    </row>
    <row r="1484" spans="1:56" ht="51" customHeight="1" x14ac:dyDescent="0.25">
      <c r="A1484" s="7" t="s">
        <v>58</v>
      </c>
      <c r="B1484" s="2" t="s">
        <v>18598</v>
      </c>
      <c r="C1484" s="2" t="s">
        <v>18599</v>
      </c>
      <c r="D1484" s="2" t="s">
        <v>18600</v>
      </c>
      <c r="F1484" s="3" t="s">
        <v>58</v>
      </c>
      <c r="G1484" s="3" t="s">
        <v>59</v>
      </c>
      <c r="H1484" s="3" t="s">
        <v>58</v>
      </c>
      <c r="I1484" s="3" t="s">
        <v>58</v>
      </c>
      <c r="J1484" s="3" t="s">
        <v>60</v>
      </c>
      <c r="L1484" s="2" t="s">
        <v>18601</v>
      </c>
      <c r="M1484" s="3" t="s">
        <v>353</v>
      </c>
      <c r="O1484" s="3" t="s">
        <v>63</v>
      </c>
      <c r="P1484" s="3" t="s">
        <v>816</v>
      </c>
      <c r="Q1484" s="2" t="s">
        <v>16987</v>
      </c>
      <c r="R1484" s="3" t="s">
        <v>65</v>
      </c>
      <c r="S1484" s="4">
        <v>3</v>
      </c>
      <c r="T1484" s="4">
        <v>3</v>
      </c>
      <c r="U1484" s="5" t="s">
        <v>14814</v>
      </c>
      <c r="V1484" s="5" t="s">
        <v>14814</v>
      </c>
      <c r="W1484" s="5" t="s">
        <v>18602</v>
      </c>
      <c r="X1484" s="5" t="s">
        <v>18602</v>
      </c>
      <c r="Y1484" s="4">
        <v>794</v>
      </c>
      <c r="Z1484" s="4">
        <v>759</v>
      </c>
      <c r="AA1484" s="4">
        <v>767</v>
      </c>
      <c r="AB1484" s="4">
        <v>7</v>
      </c>
      <c r="AC1484" s="4">
        <v>7</v>
      </c>
      <c r="AD1484" s="4">
        <v>9</v>
      </c>
      <c r="AE1484" s="4">
        <v>9</v>
      </c>
      <c r="AF1484" s="4">
        <v>4</v>
      </c>
      <c r="AG1484" s="4">
        <v>4</v>
      </c>
      <c r="AH1484" s="4">
        <v>2</v>
      </c>
      <c r="AI1484" s="4">
        <v>2</v>
      </c>
      <c r="AJ1484" s="4">
        <v>7</v>
      </c>
      <c r="AK1484" s="4">
        <v>7</v>
      </c>
      <c r="AL1484" s="4">
        <v>0</v>
      </c>
      <c r="AM1484" s="4">
        <v>0</v>
      </c>
      <c r="AN1484" s="4">
        <v>0</v>
      </c>
      <c r="AO1484" s="4">
        <v>0</v>
      </c>
      <c r="AP1484" s="3" t="s">
        <v>58</v>
      </c>
      <c r="AQ1484" s="3" t="s">
        <v>68</v>
      </c>
      <c r="AR1484" s="6" t="str">
        <f>HYPERLINK("http://catalog.hathitrust.org/Record/000902454","HathiTrust Record")</f>
        <v>HathiTrust Record</v>
      </c>
      <c r="AS1484" s="6" t="str">
        <f>HYPERLINK("https://creighton-primo.hosted.exlibrisgroup.com/primo-explore/search?tab=default_tab&amp;search_scope=EVERYTHING&amp;vid=01CRU&amp;lang=en_US&amp;offset=0&amp;query=any,contains,991001164029702656","Catalog Record")</f>
        <v>Catalog Record</v>
      </c>
      <c r="AT1484" s="6" t="str">
        <f>HYPERLINK("http://www.worldcat.org/oclc/16918809","WorldCat Record")</f>
        <v>WorldCat Record</v>
      </c>
      <c r="AU1484" s="3" t="s">
        <v>18603</v>
      </c>
      <c r="AV1484" s="3" t="s">
        <v>18604</v>
      </c>
      <c r="AW1484" s="3" t="s">
        <v>18605</v>
      </c>
      <c r="AX1484" s="3" t="s">
        <v>18605</v>
      </c>
      <c r="AY1484" s="3" t="s">
        <v>18606</v>
      </c>
      <c r="AZ1484" s="3" t="s">
        <v>73</v>
      </c>
      <c r="BB1484" s="3" t="s">
        <v>18607</v>
      </c>
      <c r="BC1484" s="3" t="s">
        <v>18608</v>
      </c>
      <c r="BD1484" s="3" t="s">
        <v>18609</v>
      </c>
    </row>
    <row r="1485" spans="1:56" ht="51" customHeight="1" x14ac:dyDescent="0.25">
      <c r="A1485" s="7" t="s">
        <v>58</v>
      </c>
      <c r="B1485" s="2" t="s">
        <v>18610</v>
      </c>
      <c r="C1485" s="2" t="s">
        <v>18611</v>
      </c>
      <c r="D1485" s="2" t="s">
        <v>18612</v>
      </c>
      <c r="F1485" s="3" t="s">
        <v>58</v>
      </c>
      <c r="G1485" s="3" t="s">
        <v>59</v>
      </c>
      <c r="H1485" s="3" t="s">
        <v>58</v>
      </c>
      <c r="I1485" s="3" t="s">
        <v>58</v>
      </c>
      <c r="J1485" s="3" t="s">
        <v>60</v>
      </c>
      <c r="K1485" s="2" t="s">
        <v>18613</v>
      </c>
      <c r="L1485" s="2" t="s">
        <v>18614</v>
      </c>
      <c r="M1485" s="3" t="s">
        <v>353</v>
      </c>
      <c r="O1485" s="3" t="s">
        <v>63</v>
      </c>
      <c r="P1485" s="3" t="s">
        <v>816</v>
      </c>
      <c r="Q1485" s="2" t="s">
        <v>16987</v>
      </c>
      <c r="R1485" s="3" t="s">
        <v>65</v>
      </c>
      <c r="S1485" s="4">
        <v>3</v>
      </c>
      <c r="T1485" s="4">
        <v>3</v>
      </c>
      <c r="U1485" s="5" t="s">
        <v>11361</v>
      </c>
      <c r="V1485" s="5" t="s">
        <v>11361</v>
      </c>
      <c r="W1485" s="5" t="s">
        <v>3486</v>
      </c>
      <c r="X1485" s="5" t="s">
        <v>3486</v>
      </c>
      <c r="Y1485" s="4">
        <v>805</v>
      </c>
      <c r="Z1485" s="4">
        <v>773</v>
      </c>
      <c r="AA1485" s="4">
        <v>782</v>
      </c>
      <c r="AB1485" s="4">
        <v>6</v>
      </c>
      <c r="AC1485" s="4">
        <v>6</v>
      </c>
      <c r="AD1485" s="4">
        <v>9</v>
      </c>
      <c r="AE1485" s="4">
        <v>9</v>
      </c>
      <c r="AF1485" s="4">
        <v>4</v>
      </c>
      <c r="AG1485" s="4">
        <v>4</v>
      </c>
      <c r="AH1485" s="4">
        <v>2</v>
      </c>
      <c r="AI1485" s="4">
        <v>2</v>
      </c>
      <c r="AJ1485" s="4">
        <v>7</v>
      </c>
      <c r="AK1485" s="4">
        <v>7</v>
      </c>
      <c r="AL1485" s="4">
        <v>0</v>
      </c>
      <c r="AM1485" s="4">
        <v>0</v>
      </c>
      <c r="AN1485" s="4">
        <v>0</v>
      </c>
      <c r="AO1485" s="4">
        <v>0</v>
      </c>
      <c r="AP1485" s="3" t="s">
        <v>58</v>
      </c>
      <c r="AQ1485" s="3" t="s">
        <v>68</v>
      </c>
      <c r="AR1485" s="6" t="str">
        <f>HYPERLINK("http://catalog.hathitrust.org/Record/000877865","HathiTrust Record")</f>
        <v>HathiTrust Record</v>
      </c>
      <c r="AS1485" s="6" t="str">
        <f>HYPERLINK("https://creighton-primo.hosted.exlibrisgroup.com/primo-explore/search?tab=default_tab&amp;search_scope=EVERYTHING&amp;vid=01CRU&amp;lang=en_US&amp;offset=0&amp;query=any,contains,991001141189702656","Catalog Record")</f>
        <v>Catalog Record</v>
      </c>
      <c r="AT1485" s="6" t="str">
        <f>HYPERLINK("http://www.worldcat.org/oclc/16744113","WorldCat Record")</f>
        <v>WorldCat Record</v>
      </c>
      <c r="AU1485" s="3" t="s">
        <v>18615</v>
      </c>
      <c r="AV1485" s="3" t="s">
        <v>18616</v>
      </c>
      <c r="AW1485" s="3" t="s">
        <v>18617</v>
      </c>
      <c r="AX1485" s="3" t="s">
        <v>18617</v>
      </c>
      <c r="AY1485" s="3" t="s">
        <v>18618</v>
      </c>
      <c r="AZ1485" s="3" t="s">
        <v>73</v>
      </c>
      <c r="BB1485" s="3" t="s">
        <v>18619</v>
      </c>
      <c r="BC1485" s="3" t="s">
        <v>18620</v>
      </c>
      <c r="BD1485" s="3" t="s">
        <v>18621</v>
      </c>
    </row>
    <row r="1486" spans="1:56" ht="51" customHeight="1" x14ac:dyDescent="0.25">
      <c r="A1486" s="7" t="s">
        <v>58</v>
      </c>
      <c r="B1486" s="2" t="s">
        <v>18622</v>
      </c>
      <c r="C1486" s="2" t="s">
        <v>18623</v>
      </c>
      <c r="D1486" s="2" t="s">
        <v>18624</v>
      </c>
      <c r="F1486" s="3" t="s">
        <v>58</v>
      </c>
      <c r="G1486" s="3" t="s">
        <v>59</v>
      </c>
      <c r="H1486" s="3" t="s">
        <v>58</v>
      </c>
      <c r="I1486" s="3" t="s">
        <v>58</v>
      </c>
      <c r="J1486" s="3" t="s">
        <v>60</v>
      </c>
      <c r="K1486" s="2" t="s">
        <v>18625</v>
      </c>
      <c r="L1486" s="2" t="s">
        <v>18626</v>
      </c>
      <c r="M1486" s="3" t="s">
        <v>1784</v>
      </c>
      <c r="O1486" s="3" t="s">
        <v>63</v>
      </c>
      <c r="P1486" s="3" t="s">
        <v>354</v>
      </c>
      <c r="R1486" s="3" t="s">
        <v>65</v>
      </c>
      <c r="S1486" s="4">
        <v>10</v>
      </c>
      <c r="T1486" s="4">
        <v>10</v>
      </c>
      <c r="U1486" s="5" t="s">
        <v>17701</v>
      </c>
      <c r="V1486" s="5" t="s">
        <v>17701</v>
      </c>
      <c r="W1486" s="5" t="s">
        <v>7778</v>
      </c>
      <c r="X1486" s="5" t="s">
        <v>7778</v>
      </c>
      <c r="Y1486" s="4">
        <v>422</v>
      </c>
      <c r="Z1486" s="4">
        <v>392</v>
      </c>
      <c r="AA1486" s="4">
        <v>401</v>
      </c>
      <c r="AB1486" s="4">
        <v>3</v>
      </c>
      <c r="AC1486" s="4">
        <v>3</v>
      </c>
      <c r="AD1486" s="4">
        <v>21</v>
      </c>
      <c r="AE1486" s="4">
        <v>21</v>
      </c>
      <c r="AF1486" s="4">
        <v>6</v>
      </c>
      <c r="AG1486" s="4">
        <v>6</v>
      </c>
      <c r="AH1486" s="4">
        <v>6</v>
      </c>
      <c r="AI1486" s="4">
        <v>6</v>
      </c>
      <c r="AJ1486" s="4">
        <v>10</v>
      </c>
      <c r="AK1486" s="4">
        <v>10</v>
      </c>
      <c r="AL1486" s="4">
        <v>2</v>
      </c>
      <c r="AM1486" s="4">
        <v>2</v>
      </c>
      <c r="AN1486" s="4">
        <v>0</v>
      </c>
      <c r="AO1486" s="4">
        <v>0</v>
      </c>
      <c r="AP1486" s="3" t="s">
        <v>58</v>
      </c>
      <c r="AQ1486" s="3" t="s">
        <v>68</v>
      </c>
      <c r="AR1486" s="6" t="str">
        <f>HYPERLINK("http://catalog.hathitrust.org/Record/000028962","HathiTrust Record")</f>
        <v>HathiTrust Record</v>
      </c>
      <c r="AS1486" s="6" t="str">
        <f>HYPERLINK("https://creighton-primo.hosted.exlibrisgroup.com/primo-explore/search?tab=default_tab&amp;search_scope=EVERYTHING&amp;vid=01CRU&amp;lang=en_US&amp;offset=0&amp;query=any,contains,991004826249702656","Catalog Record")</f>
        <v>Catalog Record</v>
      </c>
      <c r="AT1486" s="6" t="str">
        <f>HYPERLINK("http://www.worldcat.org/oclc/5354387","WorldCat Record")</f>
        <v>WorldCat Record</v>
      </c>
      <c r="AU1486" s="3" t="s">
        <v>18627</v>
      </c>
      <c r="AV1486" s="3" t="s">
        <v>18628</v>
      </c>
      <c r="AW1486" s="3" t="s">
        <v>18629</v>
      </c>
      <c r="AX1486" s="3" t="s">
        <v>18629</v>
      </c>
      <c r="AY1486" s="3" t="s">
        <v>18630</v>
      </c>
      <c r="AZ1486" s="3" t="s">
        <v>73</v>
      </c>
      <c r="BB1486" s="3" t="s">
        <v>18631</v>
      </c>
      <c r="BC1486" s="3" t="s">
        <v>18632</v>
      </c>
      <c r="BD1486" s="3" t="s">
        <v>18633</v>
      </c>
    </row>
    <row r="1487" spans="1:56" ht="51" customHeight="1" x14ac:dyDescent="0.25">
      <c r="A1487" s="7" t="s">
        <v>58</v>
      </c>
      <c r="B1487" s="2" t="s">
        <v>18634</v>
      </c>
      <c r="C1487" s="2" t="s">
        <v>18635</v>
      </c>
      <c r="D1487" s="2" t="s">
        <v>18636</v>
      </c>
      <c r="F1487" s="3" t="s">
        <v>58</v>
      </c>
      <c r="G1487" s="3" t="s">
        <v>59</v>
      </c>
      <c r="H1487" s="3" t="s">
        <v>58</v>
      </c>
      <c r="I1487" s="3" t="s">
        <v>58</v>
      </c>
      <c r="J1487" s="3" t="s">
        <v>60</v>
      </c>
      <c r="K1487" s="2" t="s">
        <v>18637</v>
      </c>
      <c r="L1487" s="2" t="s">
        <v>18638</v>
      </c>
      <c r="M1487" s="3" t="s">
        <v>138</v>
      </c>
      <c r="O1487" s="3" t="s">
        <v>63</v>
      </c>
      <c r="P1487" s="3" t="s">
        <v>2061</v>
      </c>
      <c r="R1487" s="3" t="s">
        <v>65</v>
      </c>
      <c r="S1487" s="4">
        <v>16</v>
      </c>
      <c r="T1487" s="4">
        <v>16</v>
      </c>
      <c r="U1487" s="5" t="s">
        <v>17639</v>
      </c>
      <c r="V1487" s="5" t="s">
        <v>17639</v>
      </c>
      <c r="W1487" s="5" t="s">
        <v>17421</v>
      </c>
      <c r="X1487" s="5" t="s">
        <v>17421</v>
      </c>
      <c r="Y1487" s="4">
        <v>990</v>
      </c>
      <c r="Z1487" s="4">
        <v>894</v>
      </c>
      <c r="AA1487" s="4">
        <v>1102</v>
      </c>
      <c r="AB1487" s="4">
        <v>6</v>
      </c>
      <c r="AC1487" s="4">
        <v>7</v>
      </c>
      <c r="AD1487" s="4">
        <v>36</v>
      </c>
      <c r="AE1487" s="4">
        <v>45</v>
      </c>
      <c r="AF1487" s="4">
        <v>14</v>
      </c>
      <c r="AG1487" s="4">
        <v>20</v>
      </c>
      <c r="AH1487" s="4">
        <v>7</v>
      </c>
      <c r="AI1487" s="4">
        <v>7</v>
      </c>
      <c r="AJ1487" s="4">
        <v>17</v>
      </c>
      <c r="AK1487" s="4">
        <v>21</v>
      </c>
      <c r="AL1487" s="4">
        <v>5</v>
      </c>
      <c r="AM1487" s="4">
        <v>6</v>
      </c>
      <c r="AN1487" s="4">
        <v>1</v>
      </c>
      <c r="AO1487" s="4">
        <v>1</v>
      </c>
      <c r="AP1487" s="3" t="s">
        <v>58</v>
      </c>
      <c r="AQ1487" s="3" t="s">
        <v>68</v>
      </c>
      <c r="AR1487" s="6" t="str">
        <f>HYPERLINK("http://catalog.hathitrust.org/Record/000106568","HathiTrust Record")</f>
        <v>HathiTrust Record</v>
      </c>
      <c r="AS1487" s="6" t="str">
        <f>HYPERLINK("https://creighton-primo.hosted.exlibrisgroup.com/primo-explore/search?tab=default_tab&amp;search_scope=EVERYTHING&amp;vid=01CRU&amp;lang=en_US&amp;offset=0&amp;query=any,contains,991005236649702656","Catalog Record")</f>
        <v>Catalog Record</v>
      </c>
      <c r="AT1487" s="6" t="str">
        <f>HYPERLINK("http://www.worldcat.org/oclc/8387203","WorldCat Record")</f>
        <v>WorldCat Record</v>
      </c>
      <c r="AU1487" s="3" t="s">
        <v>18639</v>
      </c>
      <c r="AV1487" s="3" t="s">
        <v>18640</v>
      </c>
      <c r="AW1487" s="3" t="s">
        <v>18641</v>
      </c>
      <c r="AX1487" s="3" t="s">
        <v>18641</v>
      </c>
      <c r="AY1487" s="3" t="s">
        <v>18642</v>
      </c>
      <c r="AZ1487" s="3" t="s">
        <v>73</v>
      </c>
      <c r="BB1487" s="3" t="s">
        <v>18643</v>
      </c>
      <c r="BC1487" s="3" t="s">
        <v>18644</v>
      </c>
      <c r="BD1487" s="3" t="s">
        <v>18645</v>
      </c>
    </row>
    <row r="1488" spans="1:56" ht="51" customHeight="1" x14ac:dyDescent="0.25">
      <c r="A1488" s="7" t="s">
        <v>58</v>
      </c>
      <c r="B1488" s="2" t="s">
        <v>18646</v>
      </c>
      <c r="C1488" s="2" t="s">
        <v>18647</v>
      </c>
      <c r="D1488" s="2" t="s">
        <v>18648</v>
      </c>
      <c r="F1488" s="3" t="s">
        <v>58</v>
      </c>
      <c r="G1488" s="3" t="s">
        <v>59</v>
      </c>
      <c r="H1488" s="3" t="s">
        <v>58</v>
      </c>
      <c r="I1488" s="3" t="s">
        <v>58</v>
      </c>
      <c r="J1488" s="3" t="s">
        <v>60</v>
      </c>
      <c r="L1488" s="2" t="s">
        <v>18649</v>
      </c>
      <c r="M1488" s="3" t="s">
        <v>337</v>
      </c>
      <c r="O1488" s="3" t="s">
        <v>63</v>
      </c>
      <c r="P1488" s="3" t="s">
        <v>17407</v>
      </c>
      <c r="Q1488" s="2" t="s">
        <v>17534</v>
      </c>
      <c r="R1488" s="3" t="s">
        <v>65</v>
      </c>
      <c r="S1488" s="4">
        <v>7</v>
      </c>
      <c r="T1488" s="4">
        <v>7</v>
      </c>
      <c r="U1488" s="5" t="s">
        <v>18650</v>
      </c>
      <c r="V1488" s="5" t="s">
        <v>18650</v>
      </c>
      <c r="W1488" s="5" t="s">
        <v>18651</v>
      </c>
      <c r="X1488" s="5" t="s">
        <v>18651</v>
      </c>
      <c r="Y1488" s="4">
        <v>718</v>
      </c>
      <c r="Z1488" s="4">
        <v>644</v>
      </c>
      <c r="AA1488" s="4">
        <v>661</v>
      </c>
      <c r="AB1488" s="4">
        <v>4</v>
      </c>
      <c r="AC1488" s="4">
        <v>4</v>
      </c>
      <c r="AD1488" s="4">
        <v>35</v>
      </c>
      <c r="AE1488" s="4">
        <v>35</v>
      </c>
      <c r="AF1488" s="4">
        <v>20</v>
      </c>
      <c r="AG1488" s="4">
        <v>20</v>
      </c>
      <c r="AH1488" s="4">
        <v>6</v>
      </c>
      <c r="AI1488" s="4">
        <v>6</v>
      </c>
      <c r="AJ1488" s="4">
        <v>15</v>
      </c>
      <c r="AK1488" s="4">
        <v>15</v>
      </c>
      <c r="AL1488" s="4">
        <v>3</v>
      </c>
      <c r="AM1488" s="4">
        <v>3</v>
      </c>
      <c r="AN1488" s="4">
        <v>0</v>
      </c>
      <c r="AO1488" s="4">
        <v>0</v>
      </c>
      <c r="AP1488" s="3" t="s">
        <v>58</v>
      </c>
      <c r="AQ1488" s="3" t="s">
        <v>68</v>
      </c>
      <c r="AR1488" s="6" t="str">
        <f>HYPERLINK("http://catalog.hathitrust.org/Record/004249529","HathiTrust Record")</f>
        <v>HathiTrust Record</v>
      </c>
      <c r="AS1488" s="6" t="str">
        <f>HYPERLINK("https://creighton-primo.hosted.exlibrisgroup.com/primo-explore/search?tab=default_tab&amp;search_scope=EVERYTHING&amp;vid=01CRU&amp;lang=en_US&amp;offset=0&amp;query=any,contains,991004050439702656","Catalog Record")</f>
        <v>Catalog Record</v>
      </c>
      <c r="AT1488" s="6" t="str">
        <f>HYPERLINK("http://www.worldcat.org/oclc/48223698","WorldCat Record")</f>
        <v>WorldCat Record</v>
      </c>
      <c r="AU1488" s="3" t="s">
        <v>18652</v>
      </c>
      <c r="AV1488" s="3" t="s">
        <v>18653</v>
      </c>
      <c r="AW1488" s="3" t="s">
        <v>18654</v>
      </c>
      <c r="AX1488" s="3" t="s">
        <v>18654</v>
      </c>
      <c r="AY1488" s="3" t="s">
        <v>18655</v>
      </c>
      <c r="AZ1488" s="3" t="s">
        <v>73</v>
      </c>
      <c r="BB1488" s="3" t="s">
        <v>18656</v>
      </c>
      <c r="BC1488" s="3" t="s">
        <v>18657</v>
      </c>
      <c r="BD1488" s="3" t="s">
        <v>18658</v>
      </c>
    </row>
    <row r="1489" spans="1:56" ht="51" customHeight="1" x14ac:dyDescent="0.25">
      <c r="A1489" s="7" t="s">
        <v>58</v>
      </c>
      <c r="B1489" s="2" t="s">
        <v>18659</v>
      </c>
      <c r="C1489" s="2" t="s">
        <v>18660</v>
      </c>
      <c r="D1489" s="2" t="s">
        <v>18661</v>
      </c>
      <c r="F1489" s="3" t="s">
        <v>58</v>
      </c>
      <c r="G1489" s="3" t="s">
        <v>59</v>
      </c>
      <c r="H1489" s="3" t="s">
        <v>58</v>
      </c>
      <c r="I1489" s="3" t="s">
        <v>58</v>
      </c>
      <c r="J1489" s="3" t="s">
        <v>60</v>
      </c>
      <c r="K1489" s="2" t="s">
        <v>18662</v>
      </c>
      <c r="L1489" s="2" t="s">
        <v>17261</v>
      </c>
      <c r="M1489" s="3" t="s">
        <v>2295</v>
      </c>
      <c r="O1489" s="3" t="s">
        <v>63</v>
      </c>
      <c r="P1489" s="3" t="s">
        <v>584</v>
      </c>
      <c r="R1489" s="3" t="s">
        <v>65</v>
      </c>
      <c r="S1489" s="4">
        <v>1</v>
      </c>
      <c r="T1489" s="4">
        <v>1</v>
      </c>
      <c r="U1489" s="5" t="s">
        <v>18663</v>
      </c>
      <c r="V1489" s="5" t="s">
        <v>18663</v>
      </c>
      <c r="W1489" s="5" t="s">
        <v>18663</v>
      </c>
      <c r="X1489" s="5" t="s">
        <v>18663</v>
      </c>
      <c r="Y1489" s="4">
        <v>332</v>
      </c>
      <c r="Z1489" s="4">
        <v>242</v>
      </c>
      <c r="AA1489" s="4">
        <v>242</v>
      </c>
      <c r="AB1489" s="4">
        <v>3</v>
      </c>
      <c r="AC1489" s="4">
        <v>3</v>
      </c>
      <c r="AD1489" s="4">
        <v>16</v>
      </c>
      <c r="AE1489" s="4">
        <v>16</v>
      </c>
      <c r="AF1489" s="4">
        <v>5</v>
      </c>
      <c r="AG1489" s="4">
        <v>5</v>
      </c>
      <c r="AH1489" s="4">
        <v>5</v>
      </c>
      <c r="AI1489" s="4">
        <v>5</v>
      </c>
      <c r="AJ1489" s="4">
        <v>7</v>
      </c>
      <c r="AK1489" s="4">
        <v>7</v>
      </c>
      <c r="AL1489" s="4">
        <v>2</v>
      </c>
      <c r="AM1489" s="4">
        <v>2</v>
      </c>
      <c r="AN1489" s="4">
        <v>0</v>
      </c>
      <c r="AO1489" s="4">
        <v>0</v>
      </c>
      <c r="AP1489" s="3" t="s">
        <v>58</v>
      </c>
      <c r="AQ1489" s="3" t="s">
        <v>58</v>
      </c>
      <c r="AS1489" s="6" t="str">
        <f>HYPERLINK("https://creighton-primo.hosted.exlibrisgroup.com/primo-explore/search?tab=default_tab&amp;search_scope=EVERYTHING&amp;vid=01CRU&amp;lang=en_US&amp;offset=0&amp;query=any,contains,991004256559702656","Catalog Record")</f>
        <v>Catalog Record</v>
      </c>
      <c r="AT1489" s="6" t="str">
        <f>HYPERLINK("http://www.worldcat.org/oclc/51001526","WorldCat Record")</f>
        <v>WorldCat Record</v>
      </c>
      <c r="AU1489" s="3" t="s">
        <v>18664</v>
      </c>
      <c r="AV1489" s="3" t="s">
        <v>18665</v>
      </c>
      <c r="AW1489" s="3" t="s">
        <v>18666</v>
      </c>
      <c r="AX1489" s="3" t="s">
        <v>18666</v>
      </c>
      <c r="AY1489" s="3" t="s">
        <v>18667</v>
      </c>
      <c r="AZ1489" s="3" t="s">
        <v>73</v>
      </c>
      <c r="BB1489" s="3" t="s">
        <v>18668</v>
      </c>
      <c r="BC1489" s="3" t="s">
        <v>18669</v>
      </c>
      <c r="BD1489" s="3" t="s">
        <v>18670</v>
      </c>
    </row>
    <row r="1490" spans="1:56" ht="51" customHeight="1" x14ac:dyDescent="0.25">
      <c r="A1490" s="7" t="s">
        <v>58</v>
      </c>
      <c r="B1490" s="2" t="s">
        <v>18671</v>
      </c>
      <c r="C1490" s="2" t="s">
        <v>18672</v>
      </c>
      <c r="D1490" s="2" t="s">
        <v>18673</v>
      </c>
      <c r="F1490" s="3" t="s">
        <v>58</v>
      </c>
      <c r="G1490" s="3" t="s">
        <v>59</v>
      </c>
      <c r="H1490" s="3" t="s">
        <v>58</v>
      </c>
      <c r="I1490" s="3" t="s">
        <v>58</v>
      </c>
      <c r="J1490" s="3" t="s">
        <v>60</v>
      </c>
      <c r="K1490" s="2" t="s">
        <v>18674</v>
      </c>
      <c r="L1490" s="2" t="s">
        <v>18675</v>
      </c>
      <c r="M1490" s="3" t="s">
        <v>1061</v>
      </c>
      <c r="O1490" s="3" t="s">
        <v>63</v>
      </c>
      <c r="P1490" s="3" t="s">
        <v>3109</v>
      </c>
      <c r="R1490" s="3" t="s">
        <v>65</v>
      </c>
      <c r="S1490" s="4">
        <v>2</v>
      </c>
      <c r="T1490" s="4">
        <v>2</v>
      </c>
      <c r="U1490" s="5" t="s">
        <v>18676</v>
      </c>
      <c r="V1490" s="5" t="s">
        <v>18676</v>
      </c>
      <c r="W1490" s="5" t="s">
        <v>18677</v>
      </c>
      <c r="X1490" s="5" t="s">
        <v>18677</v>
      </c>
      <c r="Y1490" s="4">
        <v>298</v>
      </c>
      <c r="Z1490" s="4">
        <v>275</v>
      </c>
      <c r="AA1490" s="4">
        <v>277</v>
      </c>
      <c r="AB1490" s="4">
        <v>2</v>
      </c>
      <c r="AC1490" s="4">
        <v>2</v>
      </c>
      <c r="AD1490" s="4">
        <v>12</v>
      </c>
      <c r="AE1490" s="4">
        <v>12</v>
      </c>
      <c r="AF1490" s="4">
        <v>4</v>
      </c>
      <c r="AG1490" s="4">
        <v>4</v>
      </c>
      <c r="AH1490" s="4">
        <v>4</v>
      </c>
      <c r="AI1490" s="4">
        <v>4</v>
      </c>
      <c r="AJ1490" s="4">
        <v>8</v>
      </c>
      <c r="AK1490" s="4">
        <v>8</v>
      </c>
      <c r="AL1490" s="4">
        <v>1</v>
      </c>
      <c r="AM1490" s="4">
        <v>1</v>
      </c>
      <c r="AN1490" s="4">
        <v>0</v>
      </c>
      <c r="AO1490" s="4">
        <v>0</v>
      </c>
      <c r="AP1490" s="3" t="s">
        <v>58</v>
      </c>
      <c r="AQ1490" s="3" t="s">
        <v>68</v>
      </c>
      <c r="AR1490" s="6" t="str">
        <f>HYPERLINK("http://catalog.hathitrust.org/Record/003152185","HathiTrust Record")</f>
        <v>HathiTrust Record</v>
      </c>
      <c r="AS1490" s="6" t="str">
        <f>HYPERLINK("https://creighton-primo.hosted.exlibrisgroup.com/primo-explore/search?tab=default_tab&amp;search_scope=EVERYTHING&amp;vid=01CRU&amp;lang=en_US&amp;offset=0&amp;query=any,contains,991002697449702656","Catalog Record")</f>
        <v>Catalog Record</v>
      </c>
      <c r="AT1490" s="6" t="str">
        <f>HYPERLINK("http://www.worldcat.org/oclc/35223023","WorldCat Record")</f>
        <v>WorldCat Record</v>
      </c>
      <c r="AU1490" s="3" t="s">
        <v>18678</v>
      </c>
      <c r="AV1490" s="3" t="s">
        <v>18679</v>
      </c>
      <c r="AW1490" s="3" t="s">
        <v>18680</v>
      </c>
      <c r="AX1490" s="3" t="s">
        <v>18680</v>
      </c>
      <c r="AY1490" s="3" t="s">
        <v>18681</v>
      </c>
      <c r="AZ1490" s="3" t="s">
        <v>73</v>
      </c>
      <c r="BB1490" s="3" t="s">
        <v>18682</v>
      </c>
      <c r="BC1490" s="3" t="s">
        <v>18683</v>
      </c>
      <c r="BD1490" s="3" t="s">
        <v>18684</v>
      </c>
    </row>
    <row r="1491" spans="1:56" ht="51" customHeight="1" x14ac:dyDescent="0.25">
      <c r="A1491" s="7" t="s">
        <v>58</v>
      </c>
      <c r="B1491" s="2" t="s">
        <v>18685</v>
      </c>
      <c r="C1491" s="2" t="s">
        <v>18686</v>
      </c>
      <c r="D1491" s="2" t="s">
        <v>18687</v>
      </c>
      <c r="F1491" s="3" t="s">
        <v>58</v>
      </c>
      <c r="G1491" s="3" t="s">
        <v>59</v>
      </c>
      <c r="H1491" s="3" t="s">
        <v>58</v>
      </c>
      <c r="I1491" s="3" t="s">
        <v>58</v>
      </c>
      <c r="J1491" s="3" t="s">
        <v>60</v>
      </c>
      <c r="K1491" s="2" t="s">
        <v>18688</v>
      </c>
      <c r="L1491" s="2" t="s">
        <v>18689</v>
      </c>
      <c r="M1491" s="3" t="s">
        <v>154</v>
      </c>
      <c r="O1491" s="3" t="s">
        <v>63</v>
      </c>
      <c r="P1491" s="3" t="s">
        <v>214</v>
      </c>
      <c r="R1491" s="3" t="s">
        <v>65</v>
      </c>
      <c r="S1491" s="4">
        <v>1</v>
      </c>
      <c r="T1491" s="4">
        <v>1</v>
      </c>
      <c r="U1491" s="5" t="s">
        <v>16821</v>
      </c>
      <c r="V1491" s="5" t="s">
        <v>16821</v>
      </c>
      <c r="W1491" s="5" t="s">
        <v>5064</v>
      </c>
      <c r="X1491" s="5" t="s">
        <v>5064</v>
      </c>
      <c r="Y1491" s="4">
        <v>806</v>
      </c>
      <c r="Z1491" s="4">
        <v>721</v>
      </c>
      <c r="AA1491" s="4">
        <v>776</v>
      </c>
      <c r="AB1491" s="4">
        <v>4</v>
      </c>
      <c r="AC1491" s="4">
        <v>5</v>
      </c>
      <c r="AD1491" s="4">
        <v>27</v>
      </c>
      <c r="AE1491" s="4">
        <v>28</v>
      </c>
      <c r="AF1491" s="4">
        <v>10</v>
      </c>
      <c r="AG1491" s="4">
        <v>10</v>
      </c>
      <c r="AH1491" s="4">
        <v>6</v>
      </c>
      <c r="AI1491" s="4">
        <v>6</v>
      </c>
      <c r="AJ1491" s="4">
        <v>20</v>
      </c>
      <c r="AK1491" s="4">
        <v>20</v>
      </c>
      <c r="AL1491" s="4">
        <v>2</v>
      </c>
      <c r="AM1491" s="4">
        <v>3</v>
      </c>
      <c r="AN1491" s="4">
        <v>0</v>
      </c>
      <c r="AO1491" s="4">
        <v>0</v>
      </c>
      <c r="AP1491" s="3" t="s">
        <v>58</v>
      </c>
      <c r="AQ1491" s="3" t="s">
        <v>68</v>
      </c>
      <c r="AR1491" s="6" t="str">
        <f>HYPERLINK("http://catalog.hathitrust.org/Record/001533305","HathiTrust Record")</f>
        <v>HathiTrust Record</v>
      </c>
      <c r="AS1491" s="6" t="str">
        <f>HYPERLINK("https://creighton-primo.hosted.exlibrisgroup.com/primo-explore/search?tab=default_tab&amp;search_scope=EVERYTHING&amp;vid=01CRU&amp;lang=en_US&amp;offset=0&amp;query=any,contains,991001422139702656","Catalog Record")</f>
        <v>Catalog Record</v>
      </c>
      <c r="AT1491" s="6" t="str">
        <f>HYPERLINK("http://www.worldcat.org/oclc/18982930","WorldCat Record")</f>
        <v>WorldCat Record</v>
      </c>
      <c r="AU1491" s="3" t="s">
        <v>18690</v>
      </c>
      <c r="AV1491" s="3" t="s">
        <v>18691</v>
      </c>
      <c r="AW1491" s="3" t="s">
        <v>18692</v>
      </c>
      <c r="AX1491" s="3" t="s">
        <v>18692</v>
      </c>
      <c r="AY1491" s="3" t="s">
        <v>18693</v>
      </c>
      <c r="AZ1491" s="3" t="s">
        <v>73</v>
      </c>
      <c r="BB1491" s="3" t="s">
        <v>18694</v>
      </c>
      <c r="BC1491" s="3" t="s">
        <v>18695</v>
      </c>
      <c r="BD1491" s="3" t="s">
        <v>18696</v>
      </c>
    </row>
    <row r="1492" spans="1:56" ht="51" customHeight="1" x14ac:dyDescent="0.25">
      <c r="A1492" s="7" t="s">
        <v>58</v>
      </c>
      <c r="B1492" s="2" t="s">
        <v>18697</v>
      </c>
      <c r="C1492" s="2" t="s">
        <v>18698</v>
      </c>
      <c r="D1492" s="2" t="s">
        <v>18699</v>
      </c>
      <c r="F1492" s="3" t="s">
        <v>58</v>
      </c>
      <c r="G1492" s="3" t="s">
        <v>59</v>
      </c>
      <c r="H1492" s="3" t="s">
        <v>58</v>
      </c>
      <c r="I1492" s="3" t="s">
        <v>58</v>
      </c>
      <c r="J1492" s="3" t="s">
        <v>60</v>
      </c>
      <c r="K1492" s="2" t="s">
        <v>18700</v>
      </c>
      <c r="L1492" s="2" t="s">
        <v>18701</v>
      </c>
      <c r="M1492" s="3" t="s">
        <v>154</v>
      </c>
      <c r="N1492" s="2" t="s">
        <v>338</v>
      </c>
      <c r="O1492" s="3" t="s">
        <v>63</v>
      </c>
      <c r="P1492" s="3" t="s">
        <v>214</v>
      </c>
      <c r="R1492" s="3" t="s">
        <v>65</v>
      </c>
      <c r="S1492" s="4">
        <v>8</v>
      </c>
      <c r="T1492" s="4">
        <v>8</v>
      </c>
      <c r="U1492" s="5" t="s">
        <v>18702</v>
      </c>
      <c r="V1492" s="5" t="s">
        <v>18702</v>
      </c>
      <c r="W1492" s="5" t="s">
        <v>15147</v>
      </c>
      <c r="X1492" s="5" t="s">
        <v>15147</v>
      </c>
      <c r="Y1492" s="4">
        <v>158</v>
      </c>
      <c r="Z1492" s="4">
        <v>152</v>
      </c>
      <c r="AA1492" s="4">
        <v>157</v>
      </c>
      <c r="AB1492" s="4">
        <v>2</v>
      </c>
      <c r="AC1492" s="4">
        <v>2</v>
      </c>
      <c r="AD1492" s="4">
        <v>3</v>
      </c>
      <c r="AE1492" s="4">
        <v>3</v>
      </c>
      <c r="AF1492" s="4">
        <v>1</v>
      </c>
      <c r="AG1492" s="4">
        <v>1</v>
      </c>
      <c r="AH1492" s="4">
        <v>1</v>
      </c>
      <c r="AI1492" s="4">
        <v>1</v>
      </c>
      <c r="AJ1492" s="4">
        <v>1</v>
      </c>
      <c r="AK1492" s="4">
        <v>1</v>
      </c>
      <c r="AL1492" s="4">
        <v>1</v>
      </c>
      <c r="AM1492" s="4">
        <v>1</v>
      </c>
      <c r="AN1492" s="4">
        <v>0</v>
      </c>
      <c r="AO1492" s="4">
        <v>0</v>
      </c>
      <c r="AP1492" s="3" t="s">
        <v>58</v>
      </c>
      <c r="AQ1492" s="3" t="s">
        <v>58</v>
      </c>
      <c r="AS1492" s="6" t="str">
        <f>HYPERLINK("https://creighton-primo.hosted.exlibrisgroup.com/primo-explore/search?tab=default_tab&amp;search_scope=EVERYTHING&amp;vid=01CRU&amp;lang=en_US&amp;offset=0&amp;query=any,contains,991001607139702656","Catalog Record")</f>
        <v>Catalog Record</v>
      </c>
      <c r="AT1492" s="6" t="str">
        <f>HYPERLINK("http://www.worldcat.org/oclc/20695261","WorldCat Record")</f>
        <v>WorldCat Record</v>
      </c>
      <c r="AU1492" s="3" t="s">
        <v>18703</v>
      </c>
      <c r="AV1492" s="3" t="s">
        <v>18704</v>
      </c>
      <c r="AW1492" s="3" t="s">
        <v>18705</v>
      </c>
      <c r="AX1492" s="3" t="s">
        <v>18705</v>
      </c>
      <c r="AY1492" s="3" t="s">
        <v>18706</v>
      </c>
      <c r="AZ1492" s="3" t="s">
        <v>73</v>
      </c>
      <c r="BB1492" s="3" t="s">
        <v>18707</v>
      </c>
      <c r="BC1492" s="3" t="s">
        <v>18708</v>
      </c>
      <c r="BD1492" s="3" t="s">
        <v>18709</v>
      </c>
    </row>
    <row r="1493" spans="1:56" ht="51" customHeight="1" x14ac:dyDescent="0.25">
      <c r="A1493" s="7" t="s">
        <v>58</v>
      </c>
      <c r="B1493" s="2" t="s">
        <v>18710</v>
      </c>
      <c r="C1493" s="2" t="s">
        <v>18711</v>
      </c>
      <c r="D1493" s="2" t="s">
        <v>18712</v>
      </c>
      <c r="F1493" s="3" t="s">
        <v>58</v>
      </c>
      <c r="G1493" s="3" t="s">
        <v>59</v>
      </c>
      <c r="H1493" s="3" t="s">
        <v>58</v>
      </c>
      <c r="I1493" s="3" t="s">
        <v>58</v>
      </c>
      <c r="J1493" s="3" t="s">
        <v>60</v>
      </c>
      <c r="K1493" s="2" t="s">
        <v>18713</v>
      </c>
      <c r="L1493" s="2" t="s">
        <v>18714</v>
      </c>
      <c r="M1493" s="3" t="s">
        <v>101</v>
      </c>
      <c r="O1493" s="3" t="s">
        <v>63</v>
      </c>
      <c r="P1493" s="3" t="s">
        <v>816</v>
      </c>
      <c r="Q1493" s="2" t="s">
        <v>16987</v>
      </c>
      <c r="R1493" s="3" t="s">
        <v>65</v>
      </c>
      <c r="S1493" s="4">
        <v>3</v>
      </c>
      <c r="T1493" s="4">
        <v>3</v>
      </c>
      <c r="U1493" s="5" t="s">
        <v>2771</v>
      </c>
      <c r="V1493" s="5" t="s">
        <v>2771</v>
      </c>
      <c r="W1493" s="5" t="s">
        <v>17235</v>
      </c>
      <c r="X1493" s="5" t="s">
        <v>17235</v>
      </c>
      <c r="Y1493" s="4">
        <v>1632</v>
      </c>
      <c r="Z1493" s="4">
        <v>1568</v>
      </c>
      <c r="AA1493" s="4">
        <v>1583</v>
      </c>
      <c r="AB1493" s="4">
        <v>15</v>
      </c>
      <c r="AC1493" s="4">
        <v>15</v>
      </c>
      <c r="AD1493" s="4">
        <v>22</v>
      </c>
      <c r="AE1493" s="4">
        <v>24</v>
      </c>
      <c r="AF1493" s="4">
        <v>8</v>
      </c>
      <c r="AG1493" s="4">
        <v>9</v>
      </c>
      <c r="AH1493" s="4">
        <v>5</v>
      </c>
      <c r="AI1493" s="4">
        <v>6</v>
      </c>
      <c r="AJ1493" s="4">
        <v>12</v>
      </c>
      <c r="AK1493" s="4">
        <v>12</v>
      </c>
      <c r="AL1493" s="4">
        <v>2</v>
      </c>
      <c r="AM1493" s="4">
        <v>2</v>
      </c>
      <c r="AN1493" s="4">
        <v>0</v>
      </c>
      <c r="AO1493" s="4">
        <v>0</v>
      </c>
      <c r="AP1493" s="3" t="s">
        <v>58</v>
      </c>
      <c r="AQ1493" s="3" t="s">
        <v>68</v>
      </c>
      <c r="AR1493" s="6" t="str">
        <f>HYPERLINK("http://catalog.hathitrust.org/Record/000290377","HathiTrust Record")</f>
        <v>HathiTrust Record</v>
      </c>
      <c r="AS1493" s="6" t="str">
        <f>HYPERLINK("https://creighton-primo.hosted.exlibrisgroup.com/primo-explore/search?tab=default_tab&amp;search_scope=EVERYTHING&amp;vid=01CRU&amp;lang=en_US&amp;offset=0&amp;query=any,contains,991000410389702656","Catalog Record")</f>
        <v>Catalog Record</v>
      </c>
      <c r="AT1493" s="6" t="str">
        <f>HYPERLINK("http://www.worldcat.org/oclc/10709721","WorldCat Record")</f>
        <v>WorldCat Record</v>
      </c>
      <c r="AU1493" s="3" t="s">
        <v>18715</v>
      </c>
      <c r="AV1493" s="3" t="s">
        <v>18716</v>
      </c>
      <c r="AW1493" s="3" t="s">
        <v>18717</v>
      </c>
      <c r="AX1493" s="3" t="s">
        <v>18717</v>
      </c>
      <c r="AY1493" s="3" t="s">
        <v>18718</v>
      </c>
      <c r="AZ1493" s="3" t="s">
        <v>73</v>
      </c>
      <c r="BB1493" s="3" t="s">
        <v>18719</v>
      </c>
      <c r="BC1493" s="3" t="s">
        <v>18720</v>
      </c>
      <c r="BD1493" s="3" t="s">
        <v>18721</v>
      </c>
    </row>
    <row r="1494" spans="1:56" ht="51" customHeight="1" x14ac:dyDescent="0.25">
      <c r="A1494" s="7" t="s">
        <v>58</v>
      </c>
      <c r="B1494" s="2" t="s">
        <v>18722</v>
      </c>
      <c r="C1494" s="2" t="s">
        <v>18723</v>
      </c>
      <c r="D1494" s="2" t="s">
        <v>18724</v>
      </c>
      <c r="F1494" s="3" t="s">
        <v>58</v>
      </c>
      <c r="G1494" s="3" t="s">
        <v>59</v>
      </c>
      <c r="H1494" s="3" t="s">
        <v>58</v>
      </c>
      <c r="I1494" s="3" t="s">
        <v>58</v>
      </c>
      <c r="J1494" s="3" t="s">
        <v>60</v>
      </c>
      <c r="K1494" s="2" t="s">
        <v>18713</v>
      </c>
      <c r="L1494" s="2" t="s">
        <v>17170</v>
      </c>
      <c r="M1494" s="3" t="s">
        <v>397</v>
      </c>
      <c r="O1494" s="3" t="s">
        <v>63</v>
      </c>
      <c r="P1494" s="3" t="s">
        <v>816</v>
      </c>
      <c r="Q1494" s="2" t="s">
        <v>16987</v>
      </c>
      <c r="R1494" s="3" t="s">
        <v>65</v>
      </c>
      <c r="S1494" s="4">
        <v>6</v>
      </c>
      <c r="T1494" s="4">
        <v>6</v>
      </c>
      <c r="U1494" s="5" t="s">
        <v>18725</v>
      </c>
      <c r="V1494" s="5" t="s">
        <v>18725</v>
      </c>
      <c r="W1494" s="5" t="s">
        <v>17235</v>
      </c>
      <c r="X1494" s="5" t="s">
        <v>17235</v>
      </c>
      <c r="Y1494" s="4">
        <v>1485</v>
      </c>
      <c r="Z1494" s="4">
        <v>1420</v>
      </c>
      <c r="AA1494" s="4">
        <v>1430</v>
      </c>
      <c r="AB1494" s="4">
        <v>13</v>
      </c>
      <c r="AC1494" s="4">
        <v>13</v>
      </c>
      <c r="AD1494" s="4">
        <v>20</v>
      </c>
      <c r="AE1494" s="4">
        <v>20</v>
      </c>
      <c r="AF1494" s="4">
        <v>8</v>
      </c>
      <c r="AG1494" s="4">
        <v>8</v>
      </c>
      <c r="AH1494" s="4">
        <v>4</v>
      </c>
      <c r="AI1494" s="4">
        <v>4</v>
      </c>
      <c r="AJ1494" s="4">
        <v>12</v>
      </c>
      <c r="AK1494" s="4">
        <v>12</v>
      </c>
      <c r="AL1494" s="4">
        <v>1</v>
      </c>
      <c r="AM1494" s="4">
        <v>1</v>
      </c>
      <c r="AN1494" s="4">
        <v>0</v>
      </c>
      <c r="AO1494" s="4">
        <v>0</v>
      </c>
      <c r="AP1494" s="3" t="s">
        <v>58</v>
      </c>
      <c r="AQ1494" s="3" t="s">
        <v>68</v>
      </c>
      <c r="AR1494" s="6" t="str">
        <f>HYPERLINK("http://catalog.hathitrust.org/Record/000383052","HathiTrust Record")</f>
        <v>HathiTrust Record</v>
      </c>
      <c r="AS1494" s="6" t="str">
        <f>HYPERLINK("https://creighton-primo.hosted.exlibrisgroup.com/primo-explore/search?tab=default_tab&amp;search_scope=EVERYTHING&amp;vid=01CRU&amp;lang=en_US&amp;offset=0&amp;query=any,contains,991000603869702656","Catalog Record")</f>
        <v>Catalog Record</v>
      </c>
      <c r="AT1494" s="6" t="str">
        <f>HYPERLINK("http://www.worldcat.org/oclc/11843600","WorldCat Record")</f>
        <v>WorldCat Record</v>
      </c>
      <c r="AU1494" s="3" t="s">
        <v>18726</v>
      </c>
      <c r="AV1494" s="3" t="s">
        <v>18727</v>
      </c>
      <c r="AW1494" s="3" t="s">
        <v>18728</v>
      </c>
      <c r="AX1494" s="3" t="s">
        <v>18728</v>
      </c>
      <c r="AY1494" s="3" t="s">
        <v>18729</v>
      </c>
      <c r="AZ1494" s="3" t="s">
        <v>73</v>
      </c>
      <c r="BB1494" s="3" t="s">
        <v>18730</v>
      </c>
      <c r="BC1494" s="3" t="s">
        <v>18731</v>
      </c>
      <c r="BD1494" s="3" t="s">
        <v>18732</v>
      </c>
    </row>
    <row r="1495" spans="1:56" ht="51" customHeight="1" x14ac:dyDescent="0.25">
      <c r="A1495" s="7" t="s">
        <v>58</v>
      </c>
      <c r="B1495" s="2" t="s">
        <v>18733</v>
      </c>
      <c r="C1495" s="2" t="s">
        <v>18734</v>
      </c>
      <c r="D1495" s="2" t="s">
        <v>18735</v>
      </c>
      <c r="F1495" s="3" t="s">
        <v>58</v>
      </c>
      <c r="G1495" s="3" t="s">
        <v>59</v>
      </c>
      <c r="H1495" s="3" t="s">
        <v>58</v>
      </c>
      <c r="I1495" s="3" t="s">
        <v>58</v>
      </c>
      <c r="J1495" s="3" t="s">
        <v>60</v>
      </c>
      <c r="K1495" s="2" t="s">
        <v>18736</v>
      </c>
      <c r="L1495" s="2" t="s">
        <v>18737</v>
      </c>
      <c r="M1495" s="3" t="s">
        <v>18738</v>
      </c>
      <c r="O1495" s="3" t="s">
        <v>63</v>
      </c>
      <c r="P1495" s="3" t="s">
        <v>571</v>
      </c>
      <c r="R1495" s="3" t="s">
        <v>65</v>
      </c>
      <c r="S1495" s="4">
        <v>2</v>
      </c>
      <c r="T1495" s="4">
        <v>2</v>
      </c>
      <c r="U1495" s="5" t="s">
        <v>15843</v>
      </c>
      <c r="V1495" s="5" t="s">
        <v>15843</v>
      </c>
      <c r="W1495" s="5" t="s">
        <v>17547</v>
      </c>
      <c r="X1495" s="5" t="s">
        <v>17547</v>
      </c>
      <c r="Y1495" s="4">
        <v>175</v>
      </c>
      <c r="Z1495" s="4">
        <v>160</v>
      </c>
      <c r="AA1495" s="4">
        <v>184</v>
      </c>
      <c r="AB1495" s="4">
        <v>1</v>
      </c>
      <c r="AC1495" s="4">
        <v>1</v>
      </c>
      <c r="AD1495" s="4">
        <v>6</v>
      </c>
      <c r="AE1495" s="4">
        <v>6</v>
      </c>
      <c r="AF1495" s="4">
        <v>3</v>
      </c>
      <c r="AG1495" s="4">
        <v>3</v>
      </c>
      <c r="AH1495" s="4">
        <v>1</v>
      </c>
      <c r="AI1495" s="4">
        <v>1</v>
      </c>
      <c r="AJ1495" s="4">
        <v>4</v>
      </c>
      <c r="AK1495" s="4">
        <v>4</v>
      </c>
      <c r="AL1495" s="4">
        <v>0</v>
      </c>
      <c r="AM1495" s="4">
        <v>0</v>
      </c>
      <c r="AN1495" s="4">
        <v>0</v>
      </c>
      <c r="AO1495" s="4">
        <v>0</v>
      </c>
      <c r="AP1495" s="3" t="s">
        <v>68</v>
      </c>
      <c r="AQ1495" s="3" t="s">
        <v>58</v>
      </c>
      <c r="AR1495" s="6" t="str">
        <f>HYPERLINK("http://catalog.hathitrust.org/Record/001255746","HathiTrust Record")</f>
        <v>HathiTrust Record</v>
      </c>
      <c r="AS1495" s="6" t="str">
        <f>HYPERLINK("https://creighton-primo.hosted.exlibrisgroup.com/primo-explore/search?tab=default_tab&amp;search_scope=EVERYTHING&amp;vid=01CRU&amp;lang=en_US&amp;offset=0&amp;query=any,contains,991003656759702656","Catalog Record")</f>
        <v>Catalog Record</v>
      </c>
      <c r="AT1495" s="6" t="str">
        <f>HYPERLINK("http://www.worldcat.org/oclc/1262405","WorldCat Record")</f>
        <v>WorldCat Record</v>
      </c>
      <c r="AU1495" s="3" t="s">
        <v>18739</v>
      </c>
      <c r="AV1495" s="3" t="s">
        <v>18740</v>
      </c>
      <c r="AW1495" s="3" t="s">
        <v>18741</v>
      </c>
      <c r="AX1495" s="3" t="s">
        <v>18741</v>
      </c>
      <c r="AY1495" s="3" t="s">
        <v>18742</v>
      </c>
      <c r="AZ1495" s="3" t="s">
        <v>73</v>
      </c>
      <c r="BC1495" s="3" t="s">
        <v>18743</v>
      </c>
      <c r="BD1495" s="3" t="s">
        <v>18744</v>
      </c>
    </row>
    <row r="1496" spans="1:56" ht="51" customHeight="1" x14ac:dyDescent="0.25">
      <c r="A1496" s="7" t="s">
        <v>58</v>
      </c>
      <c r="B1496" s="2" t="s">
        <v>18745</v>
      </c>
      <c r="C1496" s="2" t="s">
        <v>18746</v>
      </c>
      <c r="D1496" s="2" t="s">
        <v>18747</v>
      </c>
      <c r="F1496" s="3" t="s">
        <v>58</v>
      </c>
      <c r="G1496" s="3" t="s">
        <v>59</v>
      </c>
      <c r="H1496" s="3" t="s">
        <v>58</v>
      </c>
      <c r="I1496" s="3" t="s">
        <v>58</v>
      </c>
      <c r="J1496" s="3" t="s">
        <v>60</v>
      </c>
      <c r="K1496" s="2" t="s">
        <v>18748</v>
      </c>
      <c r="L1496" s="2" t="s">
        <v>18749</v>
      </c>
      <c r="M1496" s="3" t="s">
        <v>62</v>
      </c>
      <c r="O1496" s="3" t="s">
        <v>63</v>
      </c>
      <c r="P1496" s="3" t="s">
        <v>5757</v>
      </c>
      <c r="Q1496" s="2" t="s">
        <v>18750</v>
      </c>
      <c r="R1496" s="3" t="s">
        <v>65</v>
      </c>
      <c r="S1496" s="4">
        <v>6</v>
      </c>
      <c r="T1496" s="4">
        <v>6</v>
      </c>
      <c r="U1496" s="5" t="s">
        <v>18751</v>
      </c>
      <c r="V1496" s="5" t="s">
        <v>18751</v>
      </c>
      <c r="W1496" s="5" t="s">
        <v>17235</v>
      </c>
      <c r="X1496" s="5" t="s">
        <v>17235</v>
      </c>
      <c r="Y1496" s="4">
        <v>38</v>
      </c>
      <c r="Z1496" s="4">
        <v>35</v>
      </c>
      <c r="AA1496" s="4">
        <v>619</v>
      </c>
      <c r="AB1496" s="4">
        <v>1</v>
      </c>
      <c r="AC1496" s="4">
        <v>4</v>
      </c>
      <c r="AD1496" s="4">
        <v>2</v>
      </c>
      <c r="AE1496" s="4">
        <v>28</v>
      </c>
      <c r="AF1496" s="4">
        <v>0</v>
      </c>
      <c r="AG1496" s="4">
        <v>9</v>
      </c>
      <c r="AH1496" s="4">
        <v>1</v>
      </c>
      <c r="AI1496" s="4">
        <v>8</v>
      </c>
      <c r="AJ1496" s="4">
        <v>1</v>
      </c>
      <c r="AK1496" s="4">
        <v>15</v>
      </c>
      <c r="AL1496" s="4">
        <v>0</v>
      </c>
      <c r="AM1496" s="4">
        <v>2</v>
      </c>
      <c r="AN1496" s="4">
        <v>0</v>
      </c>
      <c r="AO1496" s="4">
        <v>0</v>
      </c>
      <c r="AP1496" s="3" t="s">
        <v>58</v>
      </c>
      <c r="AQ1496" s="3" t="s">
        <v>58</v>
      </c>
      <c r="AS1496" s="6" t="str">
        <f>HYPERLINK("https://creighton-primo.hosted.exlibrisgroup.com/primo-explore/search?tab=default_tab&amp;search_scope=EVERYTHING&amp;vid=01CRU&amp;lang=en_US&amp;offset=0&amp;query=any,contains,991002921179702656","Catalog Record")</f>
        <v>Catalog Record</v>
      </c>
      <c r="AT1496" s="6" t="str">
        <f>HYPERLINK("http://www.worldcat.org/oclc/526716","WorldCat Record")</f>
        <v>WorldCat Record</v>
      </c>
      <c r="AU1496" s="3" t="s">
        <v>18752</v>
      </c>
      <c r="AV1496" s="3" t="s">
        <v>18753</v>
      </c>
      <c r="AW1496" s="3" t="s">
        <v>18754</v>
      </c>
      <c r="AX1496" s="3" t="s">
        <v>18754</v>
      </c>
      <c r="AY1496" s="3" t="s">
        <v>18755</v>
      </c>
      <c r="AZ1496" s="3" t="s">
        <v>73</v>
      </c>
      <c r="BC1496" s="3" t="s">
        <v>18756</v>
      </c>
      <c r="BD1496" s="3" t="s">
        <v>18757</v>
      </c>
    </row>
    <row r="1497" spans="1:56" ht="51" customHeight="1" x14ac:dyDescent="0.25">
      <c r="A1497" s="7" t="s">
        <v>58</v>
      </c>
      <c r="B1497" s="2" t="s">
        <v>18758</v>
      </c>
      <c r="C1497" s="2" t="s">
        <v>18759</v>
      </c>
      <c r="D1497" s="2" t="s">
        <v>18760</v>
      </c>
      <c r="F1497" s="3" t="s">
        <v>58</v>
      </c>
      <c r="G1497" s="3" t="s">
        <v>59</v>
      </c>
      <c r="H1497" s="3" t="s">
        <v>58</v>
      </c>
      <c r="I1497" s="3" t="s">
        <v>58</v>
      </c>
      <c r="J1497" s="3" t="s">
        <v>60</v>
      </c>
      <c r="K1497" s="2" t="s">
        <v>18761</v>
      </c>
      <c r="L1497" s="2" t="s">
        <v>18762</v>
      </c>
      <c r="M1497" s="3" t="s">
        <v>353</v>
      </c>
      <c r="N1497" s="2" t="s">
        <v>338</v>
      </c>
      <c r="O1497" s="3" t="s">
        <v>63</v>
      </c>
      <c r="P1497" s="3" t="s">
        <v>214</v>
      </c>
      <c r="R1497" s="3" t="s">
        <v>65</v>
      </c>
      <c r="S1497" s="4">
        <v>1</v>
      </c>
      <c r="T1497" s="4">
        <v>1</v>
      </c>
      <c r="U1497" s="5" t="s">
        <v>18725</v>
      </c>
      <c r="V1497" s="5" t="s">
        <v>18725</v>
      </c>
      <c r="W1497" s="5" t="s">
        <v>18763</v>
      </c>
      <c r="X1497" s="5" t="s">
        <v>18763</v>
      </c>
      <c r="Y1497" s="4">
        <v>411</v>
      </c>
      <c r="Z1497" s="4">
        <v>388</v>
      </c>
      <c r="AA1497" s="4">
        <v>892</v>
      </c>
      <c r="AB1497" s="4">
        <v>11</v>
      </c>
      <c r="AC1497" s="4">
        <v>15</v>
      </c>
      <c r="AD1497" s="4">
        <v>6</v>
      </c>
      <c r="AE1497" s="4">
        <v>26</v>
      </c>
      <c r="AF1497" s="4">
        <v>1</v>
      </c>
      <c r="AG1497" s="4">
        <v>7</v>
      </c>
      <c r="AH1497" s="4">
        <v>0</v>
      </c>
      <c r="AI1497" s="4">
        <v>7</v>
      </c>
      <c r="AJ1497" s="4">
        <v>2</v>
      </c>
      <c r="AK1497" s="4">
        <v>7</v>
      </c>
      <c r="AL1497" s="4">
        <v>3</v>
      </c>
      <c r="AM1497" s="4">
        <v>7</v>
      </c>
      <c r="AN1497" s="4">
        <v>0</v>
      </c>
      <c r="AO1497" s="4">
        <v>1</v>
      </c>
      <c r="AP1497" s="3" t="s">
        <v>58</v>
      </c>
      <c r="AQ1497" s="3" t="s">
        <v>68</v>
      </c>
      <c r="AR1497" s="6" t="str">
        <f>HYPERLINK("http://catalog.hathitrust.org/Record/007531129","HathiTrust Record")</f>
        <v>HathiTrust Record</v>
      </c>
      <c r="AS1497" s="6" t="str">
        <f>HYPERLINK("https://creighton-primo.hosted.exlibrisgroup.com/primo-explore/search?tab=default_tab&amp;search_scope=EVERYTHING&amp;vid=01CRU&amp;lang=en_US&amp;offset=0&amp;query=any,contains,991001072539702656","Catalog Record")</f>
        <v>Catalog Record</v>
      </c>
      <c r="AT1497" s="6" t="str">
        <f>HYPERLINK("http://www.worldcat.org/oclc/15990870","WorldCat Record")</f>
        <v>WorldCat Record</v>
      </c>
      <c r="AU1497" s="3" t="s">
        <v>18764</v>
      </c>
      <c r="AV1497" s="3" t="s">
        <v>18765</v>
      </c>
      <c r="AW1497" s="3" t="s">
        <v>18766</v>
      </c>
      <c r="AX1497" s="3" t="s">
        <v>18766</v>
      </c>
      <c r="AY1497" s="3" t="s">
        <v>18767</v>
      </c>
      <c r="AZ1497" s="3" t="s">
        <v>73</v>
      </c>
      <c r="BB1497" s="3" t="s">
        <v>18768</v>
      </c>
      <c r="BC1497" s="3" t="s">
        <v>18769</v>
      </c>
      <c r="BD1497" s="3" t="s">
        <v>18770</v>
      </c>
    </row>
    <row r="1498" spans="1:56" ht="51" customHeight="1" x14ac:dyDescent="0.25">
      <c r="A1498" s="7" t="s">
        <v>58</v>
      </c>
      <c r="B1498" s="2" t="s">
        <v>18771</v>
      </c>
      <c r="C1498" s="2" t="s">
        <v>18772</v>
      </c>
      <c r="D1498" s="2" t="s">
        <v>18773</v>
      </c>
      <c r="F1498" s="3" t="s">
        <v>58</v>
      </c>
      <c r="G1498" s="3" t="s">
        <v>59</v>
      </c>
      <c r="H1498" s="3" t="s">
        <v>58</v>
      </c>
      <c r="I1498" s="3" t="s">
        <v>58</v>
      </c>
      <c r="J1498" s="3" t="s">
        <v>60</v>
      </c>
      <c r="K1498" s="2" t="s">
        <v>18774</v>
      </c>
      <c r="L1498" s="2" t="s">
        <v>18775</v>
      </c>
      <c r="M1498" s="3" t="s">
        <v>4023</v>
      </c>
      <c r="O1498" s="3" t="s">
        <v>63</v>
      </c>
      <c r="P1498" s="3" t="s">
        <v>816</v>
      </c>
      <c r="R1498" s="3" t="s">
        <v>65</v>
      </c>
      <c r="S1498" s="4">
        <v>4</v>
      </c>
      <c r="T1498" s="4">
        <v>4</v>
      </c>
      <c r="U1498" s="5" t="s">
        <v>18776</v>
      </c>
      <c r="V1498" s="5" t="s">
        <v>18776</v>
      </c>
      <c r="W1498" s="5" t="s">
        <v>11455</v>
      </c>
      <c r="X1498" s="5" t="s">
        <v>11455</v>
      </c>
      <c r="Y1498" s="4">
        <v>798</v>
      </c>
      <c r="Z1498" s="4">
        <v>778</v>
      </c>
      <c r="AA1498" s="4">
        <v>843</v>
      </c>
      <c r="AB1498" s="4">
        <v>7</v>
      </c>
      <c r="AC1498" s="4">
        <v>7</v>
      </c>
      <c r="AD1498" s="4">
        <v>9</v>
      </c>
      <c r="AE1498" s="4">
        <v>9</v>
      </c>
      <c r="AF1498" s="4">
        <v>3</v>
      </c>
      <c r="AG1498" s="4">
        <v>3</v>
      </c>
      <c r="AH1498" s="4">
        <v>3</v>
      </c>
      <c r="AI1498" s="4">
        <v>3</v>
      </c>
      <c r="AJ1498" s="4">
        <v>5</v>
      </c>
      <c r="AK1498" s="4">
        <v>5</v>
      </c>
      <c r="AL1498" s="4">
        <v>1</v>
      </c>
      <c r="AM1498" s="4">
        <v>1</v>
      </c>
      <c r="AN1498" s="4">
        <v>0</v>
      </c>
      <c r="AO1498" s="4">
        <v>0</v>
      </c>
      <c r="AP1498" s="3" t="s">
        <v>58</v>
      </c>
      <c r="AQ1498" s="3" t="s">
        <v>58</v>
      </c>
      <c r="AS1498" s="6" t="str">
        <f>HYPERLINK("https://creighton-primo.hosted.exlibrisgroup.com/primo-explore/search?tab=default_tab&amp;search_scope=EVERYTHING&amp;vid=01CRU&amp;lang=en_US&amp;offset=0&amp;query=any,contains,991004357189702656","Catalog Record")</f>
        <v>Catalog Record</v>
      </c>
      <c r="AT1498" s="6" t="str">
        <f>HYPERLINK("http://www.worldcat.org/oclc/53896727","WorldCat Record")</f>
        <v>WorldCat Record</v>
      </c>
      <c r="AU1498" s="3" t="s">
        <v>18777</v>
      </c>
      <c r="AV1498" s="3" t="s">
        <v>18778</v>
      </c>
      <c r="AW1498" s="3" t="s">
        <v>18779</v>
      </c>
      <c r="AX1498" s="3" t="s">
        <v>18779</v>
      </c>
      <c r="AY1498" s="3" t="s">
        <v>18780</v>
      </c>
      <c r="AZ1498" s="3" t="s">
        <v>73</v>
      </c>
      <c r="BB1498" s="3" t="s">
        <v>18781</v>
      </c>
      <c r="BC1498" s="3" t="s">
        <v>18782</v>
      </c>
      <c r="BD1498" s="3" t="s">
        <v>18783</v>
      </c>
    </row>
    <row r="1499" spans="1:56" ht="51" customHeight="1" x14ac:dyDescent="0.25">
      <c r="A1499" s="7" t="s">
        <v>58</v>
      </c>
      <c r="B1499" s="2" t="s">
        <v>18784</v>
      </c>
      <c r="C1499" s="2" t="s">
        <v>18785</v>
      </c>
      <c r="D1499" s="2" t="s">
        <v>18786</v>
      </c>
      <c r="F1499" s="3" t="s">
        <v>58</v>
      </c>
      <c r="G1499" s="3" t="s">
        <v>59</v>
      </c>
      <c r="H1499" s="3" t="s">
        <v>58</v>
      </c>
      <c r="I1499" s="3" t="s">
        <v>58</v>
      </c>
      <c r="J1499" s="3" t="s">
        <v>60</v>
      </c>
      <c r="K1499" s="2" t="s">
        <v>18787</v>
      </c>
      <c r="L1499" s="2" t="s">
        <v>18788</v>
      </c>
      <c r="M1499" s="3" t="s">
        <v>382</v>
      </c>
      <c r="N1499" s="2" t="s">
        <v>18789</v>
      </c>
      <c r="O1499" s="3" t="s">
        <v>63</v>
      </c>
      <c r="P1499" s="3" t="s">
        <v>3109</v>
      </c>
      <c r="R1499" s="3" t="s">
        <v>65</v>
      </c>
      <c r="S1499" s="4">
        <v>2</v>
      </c>
      <c r="T1499" s="4">
        <v>2</v>
      </c>
      <c r="U1499" s="5" t="s">
        <v>18790</v>
      </c>
      <c r="V1499" s="5" t="s">
        <v>18790</v>
      </c>
      <c r="W1499" s="5" t="s">
        <v>12469</v>
      </c>
      <c r="X1499" s="5" t="s">
        <v>12469</v>
      </c>
      <c r="Y1499" s="4">
        <v>553</v>
      </c>
      <c r="Z1499" s="4">
        <v>514</v>
      </c>
      <c r="AA1499" s="4">
        <v>584</v>
      </c>
      <c r="AB1499" s="4">
        <v>5</v>
      </c>
      <c r="AC1499" s="4">
        <v>5</v>
      </c>
      <c r="AD1499" s="4">
        <v>18</v>
      </c>
      <c r="AE1499" s="4">
        <v>18</v>
      </c>
      <c r="AF1499" s="4">
        <v>9</v>
      </c>
      <c r="AG1499" s="4">
        <v>9</v>
      </c>
      <c r="AH1499" s="4">
        <v>2</v>
      </c>
      <c r="AI1499" s="4">
        <v>2</v>
      </c>
      <c r="AJ1499" s="4">
        <v>9</v>
      </c>
      <c r="AK1499" s="4">
        <v>9</v>
      </c>
      <c r="AL1499" s="4">
        <v>2</v>
      </c>
      <c r="AM1499" s="4">
        <v>2</v>
      </c>
      <c r="AN1499" s="4">
        <v>0</v>
      </c>
      <c r="AO1499" s="4">
        <v>0</v>
      </c>
      <c r="AP1499" s="3" t="s">
        <v>58</v>
      </c>
      <c r="AQ1499" s="3" t="s">
        <v>68</v>
      </c>
      <c r="AR1499" s="6" t="str">
        <f>HYPERLINK("http://catalog.hathitrust.org/Record/004043203","HathiTrust Record")</f>
        <v>HathiTrust Record</v>
      </c>
      <c r="AS1499" s="6" t="str">
        <f>HYPERLINK("https://creighton-primo.hosted.exlibrisgroup.com/primo-explore/search?tab=default_tab&amp;search_scope=EVERYTHING&amp;vid=01CRU&amp;lang=en_US&amp;offset=0&amp;query=any,contains,991002967199702656","Catalog Record")</f>
        <v>Catalog Record</v>
      </c>
      <c r="AT1499" s="6" t="str">
        <f>HYPERLINK("http://www.worldcat.org/oclc/39706922","WorldCat Record")</f>
        <v>WorldCat Record</v>
      </c>
      <c r="AU1499" s="3" t="s">
        <v>18791</v>
      </c>
      <c r="AV1499" s="3" t="s">
        <v>18792</v>
      </c>
      <c r="AW1499" s="3" t="s">
        <v>18793</v>
      </c>
      <c r="AX1499" s="3" t="s">
        <v>18793</v>
      </c>
      <c r="AY1499" s="3" t="s">
        <v>18794</v>
      </c>
      <c r="AZ1499" s="3" t="s">
        <v>73</v>
      </c>
      <c r="BB1499" s="3" t="s">
        <v>18795</v>
      </c>
      <c r="BC1499" s="3" t="s">
        <v>18796</v>
      </c>
      <c r="BD1499" s="3" t="s">
        <v>18797</v>
      </c>
    </row>
    <row r="1500" spans="1:56" ht="51" customHeight="1" x14ac:dyDescent="0.25">
      <c r="A1500" s="7" t="s">
        <v>58</v>
      </c>
      <c r="B1500" s="2" t="s">
        <v>18798</v>
      </c>
      <c r="C1500" s="2" t="s">
        <v>18799</v>
      </c>
      <c r="D1500" s="2" t="s">
        <v>18800</v>
      </c>
      <c r="F1500" s="3" t="s">
        <v>58</v>
      </c>
      <c r="G1500" s="3" t="s">
        <v>59</v>
      </c>
      <c r="H1500" s="3" t="s">
        <v>58</v>
      </c>
      <c r="I1500" s="3" t="s">
        <v>58</v>
      </c>
      <c r="J1500" s="3" t="s">
        <v>60</v>
      </c>
      <c r="L1500" s="2" t="s">
        <v>18801</v>
      </c>
      <c r="M1500" s="3" t="s">
        <v>261</v>
      </c>
      <c r="N1500" s="2" t="s">
        <v>338</v>
      </c>
      <c r="O1500" s="3" t="s">
        <v>63</v>
      </c>
      <c r="P1500" s="3" t="s">
        <v>214</v>
      </c>
      <c r="R1500" s="3" t="s">
        <v>65</v>
      </c>
      <c r="S1500" s="4">
        <v>0</v>
      </c>
      <c r="T1500" s="4">
        <v>0</v>
      </c>
      <c r="U1500" s="5" t="s">
        <v>18802</v>
      </c>
      <c r="V1500" s="5" t="s">
        <v>18802</v>
      </c>
      <c r="W1500" s="5" t="s">
        <v>10812</v>
      </c>
      <c r="X1500" s="5" t="s">
        <v>10812</v>
      </c>
      <c r="Y1500" s="4">
        <v>753</v>
      </c>
      <c r="Z1500" s="4">
        <v>716</v>
      </c>
      <c r="AA1500" s="4">
        <v>832</v>
      </c>
      <c r="AB1500" s="4">
        <v>5</v>
      </c>
      <c r="AC1500" s="4">
        <v>5</v>
      </c>
      <c r="AD1500" s="4">
        <v>17</v>
      </c>
      <c r="AE1500" s="4">
        <v>21</v>
      </c>
      <c r="AF1500" s="4">
        <v>9</v>
      </c>
      <c r="AG1500" s="4">
        <v>10</v>
      </c>
      <c r="AH1500" s="4">
        <v>3</v>
      </c>
      <c r="AI1500" s="4">
        <v>3</v>
      </c>
      <c r="AJ1500" s="4">
        <v>4</v>
      </c>
      <c r="AK1500" s="4">
        <v>6</v>
      </c>
      <c r="AL1500" s="4">
        <v>4</v>
      </c>
      <c r="AM1500" s="4">
        <v>4</v>
      </c>
      <c r="AN1500" s="4">
        <v>0</v>
      </c>
      <c r="AO1500" s="4">
        <v>1</v>
      </c>
      <c r="AP1500" s="3" t="s">
        <v>58</v>
      </c>
      <c r="AQ1500" s="3" t="s">
        <v>58</v>
      </c>
      <c r="AR1500" s="6" t="str">
        <f>HYPERLINK("http://catalog.hathitrust.org/Record/000704729","HathiTrust Record")</f>
        <v>HathiTrust Record</v>
      </c>
      <c r="AS1500" s="6" t="str">
        <f>HYPERLINK("https://creighton-primo.hosted.exlibrisgroup.com/primo-explore/search?tab=default_tab&amp;search_scope=EVERYTHING&amp;vid=01CRU&amp;lang=en_US&amp;offset=0&amp;query=any,contains,991003899759702656","Catalog Record")</f>
        <v>Catalog Record</v>
      </c>
      <c r="AT1500" s="6" t="str">
        <f>HYPERLINK("http://www.worldcat.org/oclc/1819843","WorldCat Record")</f>
        <v>WorldCat Record</v>
      </c>
      <c r="AU1500" s="3" t="s">
        <v>18803</v>
      </c>
      <c r="AV1500" s="3" t="s">
        <v>18804</v>
      </c>
      <c r="AW1500" s="3" t="s">
        <v>18805</v>
      </c>
      <c r="AX1500" s="3" t="s">
        <v>18805</v>
      </c>
      <c r="AY1500" s="3" t="s">
        <v>18806</v>
      </c>
      <c r="AZ1500" s="3" t="s">
        <v>73</v>
      </c>
      <c r="BB1500" s="3" t="s">
        <v>18807</v>
      </c>
      <c r="BC1500" s="3" t="s">
        <v>18808</v>
      </c>
      <c r="BD1500" s="3" t="s">
        <v>18809</v>
      </c>
    </row>
    <row r="1501" spans="1:56" ht="51" customHeight="1" x14ac:dyDescent="0.25">
      <c r="A1501" s="7" t="s">
        <v>58</v>
      </c>
      <c r="B1501" s="2" t="s">
        <v>18810</v>
      </c>
      <c r="C1501" s="2" t="s">
        <v>18811</v>
      </c>
      <c r="D1501" s="2" t="s">
        <v>18812</v>
      </c>
      <c r="F1501" s="3" t="s">
        <v>58</v>
      </c>
      <c r="G1501" s="3" t="s">
        <v>59</v>
      </c>
      <c r="H1501" s="3" t="s">
        <v>58</v>
      </c>
      <c r="I1501" s="3" t="s">
        <v>58</v>
      </c>
      <c r="J1501" s="3" t="s">
        <v>60</v>
      </c>
      <c r="K1501" s="2" t="s">
        <v>18813</v>
      </c>
      <c r="L1501" s="2" t="s">
        <v>18814</v>
      </c>
      <c r="M1501" s="3" t="s">
        <v>1399</v>
      </c>
      <c r="O1501" s="3" t="s">
        <v>63</v>
      </c>
      <c r="P1501" s="3" t="s">
        <v>17407</v>
      </c>
      <c r="R1501" s="3" t="s">
        <v>65</v>
      </c>
      <c r="S1501" s="4">
        <v>10</v>
      </c>
      <c r="T1501" s="4">
        <v>10</v>
      </c>
      <c r="U1501" s="5" t="s">
        <v>18815</v>
      </c>
      <c r="V1501" s="5" t="s">
        <v>18815</v>
      </c>
      <c r="W1501" s="5" t="s">
        <v>18816</v>
      </c>
      <c r="X1501" s="5" t="s">
        <v>18816</v>
      </c>
      <c r="Y1501" s="4">
        <v>79</v>
      </c>
      <c r="Z1501" s="4">
        <v>73</v>
      </c>
      <c r="AA1501" s="4">
        <v>73</v>
      </c>
      <c r="AB1501" s="4">
        <v>1</v>
      </c>
      <c r="AC1501" s="4">
        <v>1</v>
      </c>
      <c r="AD1501" s="4">
        <v>1</v>
      </c>
      <c r="AE1501" s="4">
        <v>1</v>
      </c>
      <c r="AF1501" s="4">
        <v>0</v>
      </c>
      <c r="AG1501" s="4">
        <v>0</v>
      </c>
      <c r="AH1501" s="4">
        <v>0</v>
      </c>
      <c r="AI1501" s="4">
        <v>0</v>
      </c>
      <c r="AJ1501" s="4">
        <v>1</v>
      </c>
      <c r="AK1501" s="4">
        <v>1</v>
      </c>
      <c r="AL1501" s="4">
        <v>0</v>
      </c>
      <c r="AM1501" s="4">
        <v>0</v>
      </c>
      <c r="AN1501" s="4">
        <v>0</v>
      </c>
      <c r="AO1501" s="4">
        <v>0</v>
      </c>
      <c r="AP1501" s="3" t="s">
        <v>58</v>
      </c>
      <c r="AQ1501" s="3" t="s">
        <v>58</v>
      </c>
      <c r="AS1501" s="6" t="str">
        <f>HYPERLINK("https://creighton-primo.hosted.exlibrisgroup.com/primo-explore/search?tab=default_tab&amp;search_scope=EVERYTHING&amp;vid=01CRU&amp;lang=en_US&amp;offset=0&amp;query=any,contains,991001505619702656","Catalog Record")</f>
        <v>Catalog Record</v>
      </c>
      <c r="AT1501" s="6" t="str">
        <f>HYPERLINK("http://www.worldcat.org/oclc/19840456","WorldCat Record")</f>
        <v>WorldCat Record</v>
      </c>
      <c r="AU1501" s="3" t="s">
        <v>18817</v>
      </c>
      <c r="AV1501" s="3" t="s">
        <v>18818</v>
      </c>
      <c r="AW1501" s="3" t="s">
        <v>18819</v>
      </c>
      <c r="AX1501" s="3" t="s">
        <v>18819</v>
      </c>
      <c r="AY1501" s="3" t="s">
        <v>18820</v>
      </c>
      <c r="AZ1501" s="3" t="s">
        <v>73</v>
      </c>
      <c r="BB1501" s="3" t="s">
        <v>18821</v>
      </c>
      <c r="BC1501" s="3" t="s">
        <v>18822</v>
      </c>
      <c r="BD1501" s="3" t="s">
        <v>18823</v>
      </c>
    </row>
    <row r="1502" spans="1:56" ht="51" customHeight="1" x14ac:dyDescent="0.25">
      <c r="A1502" s="7" t="s">
        <v>58</v>
      </c>
      <c r="B1502" s="2" t="s">
        <v>18824</v>
      </c>
      <c r="C1502" s="2" t="s">
        <v>18825</v>
      </c>
      <c r="D1502" s="2" t="s">
        <v>18826</v>
      </c>
      <c r="F1502" s="3" t="s">
        <v>58</v>
      </c>
      <c r="G1502" s="3" t="s">
        <v>59</v>
      </c>
      <c r="H1502" s="3" t="s">
        <v>58</v>
      </c>
      <c r="I1502" s="3" t="s">
        <v>58</v>
      </c>
      <c r="J1502" s="3" t="s">
        <v>60</v>
      </c>
      <c r="K1502" s="2" t="s">
        <v>18827</v>
      </c>
      <c r="L1502" s="2" t="s">
        <v>18828</v>
      </c>
      <c r="M1502" s="3" t="s">
        <v>1544</v>
      </c>
      <c r="N1502" s="2" t="s">
        <v>338</v>
      </c>
      <c r="O1502" s="3" t="s">
        <v>63</v>
      </c>
      <c r="P1502" s="3" t="s">
        <v>214</v>
      </c>
      <c r="R1502" s="3" t="s">
        <v>65</v>
      </c>
      <c r="S1502" s="4">
        <v>7</v>
      </c>
      <c r="T1502" s="4">
        <v>7</v>
      </c>
      <c r="U1502" s="5" t="s">
        <v>1233</v>
      </c>
      <c r="V1502" s="5" t="s">
        <v>1233</v>
      </c>
      <c r="W1502" s="5" t="s">
        <v>5886</v>
      </c>
      <c r="X1502" s="5" t="s">
        <v>5886</v>
      </c>
      <c r="Y1502" s="4">
        <v>847</v>
      </c>
      <c r="Z1502" s="4">
        <v>822</v>
      </c>
      <c r="AA1502" s="4">
        <v>900</v>
      </c>
      <c r="AB1502" s="4">
        <v>8</v>
      </c>
      <c r="AC1502" s="4">
        <v>9</v>
      </c>
      <c r="AD1502" s="4">
        <v>20</v>
      </c>
      <c r="AE1502" s="4">
        <v>23</v>
      </c>
      <c r="AF1502" s="4">
        <v>9</v>
      </c>
      <c r="AG1502" s="4">
        <v>10</v>
      </c>
      <c r="AH1502" s="4">
        <v>4</v>
      </c>
      <c r="AI1502" s="4">
        <v>4</v>
      </c>
      <c r="AJ1502" s="4">
        <v>9</v>
      </c>
      <c r="AK1502" s="4">
        <v>10</v>
      </c>
      <c r="AL1502" s="4">
        <v>4</v>
      </c>
      <c r="AM1502" s="4">
        <v>5</v>
      </c>
      <c r="AN1502" s="4">
        <v>0</v>
      </c>
      <c r="AO1502" s="4">
        <v>0</v>
      </c>
      <c r="AP1502" s="3" t="s">
        <v>58</v>
      </c>
      <c r="AQ1502" s="3" t="s">
        <v>68</v>
      </c>
      <c r="AR1502" s="6" t="str">
        <f>HYPERLINK("http://catalog.hathitrust.org/Record/002587831","HathiTrust Record")</f>
        <v>HathiTrust Record</v>
      </c>
      <c r="AS1502" s="6" t="str">
        <f>HYPERLINK("https://creighton-primo.hosted.exlibrisgroup.com/primo-explore/search?tab=default_tab&amp;search_scope=EVERYTHING&amp;vid=01CRU&amp;lang=en_US&amp;offset=0&amp;query=any,contains,991001934869702656","Catalog Record")</f>
        <v>Catalog Record</v>
      </c>
      <c r="AT1502" s="6" t="str">
        <f>HYPERLINK("http://www.worldcat.org/oclc/24430893","WorldCat Record")</f>
        <v>WorldCat Record</v>
      </c>
      <c r="AU1502" s="3" t="s">
        <v>18829</v>
      </c>
      <c r="AV1502" s="3" t="s">
        <v>18830</v>
      </c>
      <c r="AW1502" s="3" t="s">
        <v>18831</v>
      </c>
      <c r="AX1502" s="3" t="s">
        <v>18831</v>
      </c>
      <c r="AY1502" s="3" t="s">
        <v>18832</v>
      </c>
      <c r="AZ1502" s="3" t="s">
        <v>73</v>
      </c>
      <c r="BB1502" s="3" t="s">
        <v>18833</v>
      </c>
      <c r="BC1502" s="3" t="s">
        <v>18834</v>
      </c>
      <c r="BD1502" s="3" t="s">
        <v>18835</v>
      </c>
    </row>
    <row r="1503" spans="1:56" ht="51" customHeight="1" x14ac:dyDescent="0.25">
      <c r="A1503" s="7" t="s">
        <v>58</v>
      </c>
      <c r="B1503" s="2" t="s">
        <v>18836</v>
      </c>
      <c r="C1503" s="2" t="s">
        <v>18837</v>
      </c>
      <c r="D1503" s="2" t="s">
        <v>18838</v>
      </c>
      <c r="F1503" s="3" t="s">
        <v>58</v>
      </c>
      <c r="G1503" s="3" t="s">
        <v>59</v>
      </c>
      <c r="H1503" s="3" t="s">
        <v>58</v>
      </c>
      <c r="I1503" s="3" t="s">
        <v>58</v>
      </c>
      <c r="J1503" s="3" t="s">
        <v>60</v>
      </c>
      <c r="K1503" s="2" t="s">
        <v>18839</v>
      </c>
      <c r="L1503" s="2" t="s">
        <v>18840</v>
      </c>
      <c r="M1503" s="3" t="s">
        <v>815</v>
      </c>
      <c r="O1503" s="3" t="s">
        <v>63</v>
      </c>
      <c r="P1503" s="3" t="s">
        <v>816</v>
      </c>
      <c r="R1503" s="3" t="s">
        <v>65</v>
      </c>
      <c r="S1503" s="4">
        <v>3</v>
      </c>
      <c r="T1503" s="4">
        <v>3</v>
      </c>
      <c r="U1503" s="5" t="s">
        <v>18841</v>
      </c>
      <c r="V1503" s="5" t="s">
        <v>18841</v>
      </c>
      <c r="W1503" s="5" t="s">
        <v>18842</v>
      </c>
      <c r="X1503" s="5" t="s">
        <v>18842</v>
      </c>
      <c r="Y1503" s="4">
        <v>511</v>
      </c>
      <c r="Z1503" s="4">
        <v>481</v>
      </c>
      <c r="AA1503" s="4">
        <v>723</v>
      </c>
      <c r="AB1503" s="4">
        <v>5</v>
      </c>
      <c r="AC1503" s="4">
        <v>6</v>
      </c>
      <c r="AD1503" s="4">
        <v>21</v>
      </c>
      <c r="AE1503" s="4">
        <v>24</v>
      </c>
      <c r="AF1503" s="4">
        <v>11</v>
      </c>
      <c r="AG1503" s="4">
        <v>13</v>
      </c>
      <c r="AH1503" s="4">
        <v>4</v>
      </c>
      <c r="AI1503" s="4">
        <v>4</v>
      </c>
      <c r="AJ1503" s="4">
        <v>9</v>
      </c>
      <c r="AK1503" s="4">
        <v>10</v>
      </c>
      <c r="AL1503" s="4">
        <v>3</v>
      </c>
      <c r="AM1503" s="4">
        <v>4</v>
      </c>
      <c r="AN1503" s="4">
        <v>0</v>
      </c>
      <c r="AO1503" s="4">
        <v>0</v>
      </c>
      <c r="AP1503" s="3" t="s">
        <v>58</v>
      </c>
      <c r="AQ1503" s="3" t="s">
        <v>68</v>
      </c>
      <c r="AR1503" s="6" t="str">
        <f>HYPERLINK("http://catalog.hathitrust.org/Record/005826720","HathiTrust Record")</f>
        <v>HathiTrust Record</v>
      </c>
      <c r="AS1503" s="6" t="str">
        <f>HYPERLINK("https://creighton-primo.hosted.exlibrisgroup.com/primo-explore/search?tab=default_tab&amp;search_scope=EVERYTHING&amp;vid=01CRU&amp;lang=en_US&amp;offset=0&amp;query=any,contains,991005252099702656","Catalog Record")</f>
        <v>Catalog Record</v>
      </c>
      <c r="AT1503" s="6" t="str">
        <f>HYPERLINK("http://www.worldcat.org/oclc/192134416","WorldCat Record")</f>
        <v>WorldCat Record</v>
      </c>
      <c r="AU1503" s="3" t="s">
        <v>18843</v>
      </c>
      <c r="AV1503" s="3" t="s">
        <v>18844</v>
      </c>
      <c r="AW1503" s="3" t="s">
        <v>18845</v>
      </c>
      <c r="AX1503" s="3" t="s">
        <v>18845</v>
      </c>
      <c r="AY1503" s="3" t="s">
        <v>18846</v>
      </c>
      <c r="AZ1503" s="3" t="s">
        <v>73</v>
      </c>
      <c r="BB1503" s="3" t="s">
        <v>18847</v>
      </c>
      <c r="BC1503" s="3" t="s">
        <v>18848</v>
      </c>
      <c r="BD1503" s="3" t="s">
        <v>18849</v>
      </c>
    </row>
    <row r="1504" spans="1:56" ht="51" customHeight="1" x14ac:dyDescent="0.25">
      <c r="A1504" s="7" t="s">
        <v>58</v>
      </c>
      <c r="B1504" s="2" t="s">
        <v>18850</v>
      </c>
      <c r="C1504" s="2" t="s">
        <v>18851</v>
      </c>
      <c r="D1504" s="2" t="s">
        <v>18852</v>
      </c>
      <c r="F1504" s="3" t="s">
        <v>58</v>
      </c>
      <c r="G1504" s="3" t="s">
        <v>59</v>
      </c>
      <c r="H1504" s="3" t="s">
        <v>58</v>
      </c>
      <c r="I1504" s="3" t="s">
        <v>58</v>
      </c>
      <c r="J1504" s="3" t="s">
        <v>60</v>
      </c>
      <c r="K1504" s="2" t="s">
        <v>18853</v>
      </c>
      <c r="L1504" s="2" t="s">
        <v>18854</v>
      </c>
      <c r="M1504" s="3" t="s">
        <v>898</v>
      </c>
      <c r="N1504" s="2" t="s">
        <v>338</v>
      </c>
      <c r="O1504" s="3" t="s">
        <v>63</v>
      </c>
      <c r="P1504" s="3" t="s">
        <v>214</v>
      </c>
      <c r="Q1504" s="2" t="s">
        <v>18855</v>
      </c>
      <c r="R1504" s="3" t="s">
        <v>65</v>
      </c>
      <c r="S1504" s="4">
        <v>3</v>
      </c>
      <c r="T1504" s="4">
        <v>3</v>
      </c>
      <c r="U1504" s="5" t="s">
        <v>18856</v>
      </c>
      <c r="V1504" s="5" t="s">
        <v>18856</v>
      </c>
      <c r="W1504" s="5" t="s">
        <v>18856</v>
      </c>
      <c r="X1504" s="5" t="s">
        <v>18856</v>
      </c>
      <c r="Y1504" s="4">
        <v>439</v>
      </c>
      <c r="Z1504" s="4">
        <v>354</v>
      </c>
      <c r="AA1504" s="4">
        <v>701</v>
      </c>
      <c r="AB1504" s="4">
        <v>3</v>
      </c>
      <c r="AC1504" s="4">
        <v>7</v>
      </c>
      <c r="AD1504" s="4">
        <v>19</v>
      </c>
      <c r="AE1504" s="4">
        <v>35</v>
      </c>
      <c r="AF1504" s="4">
        <v>9</v>
      </c>
      <c r="AG1504" s="4">
        <v>13</v>
      </c>
      <c r="AH1504" s="4">
        <v>6</v>
      </c>
      <c r="AI1504" s="4">
        <v>8</v>
      </c>
      <c r="AJ1504" s="4">
        <v>8</v>
      </c>
      <c r="AK1504" s="4">
        <v>14</v>
      </c>
      <c r="AL1504" s="4">
        <v>2</v>
      </c>
      <c r="AM1504" s="4">
        <v>6</v>
      </c>
      <c r="AN1504" s="4">
        <v>0</v>
      </c>
      <c r="AO1504" s="4">
        <v>1</v>
      </c>
      <c r="AP1504" s="3" t="s">
        <v>58</v>
      </c>
      <c r="AQ1504" s="3" t="s">
        <v>58</v>
      </c>
      <c r="AS1504" s="6" t="str">
        <f>HYPERLINK("https://creighton-primo.hosted.exlibrisgroup.com/primo-explore/search?tab=default_tab&amp;search_scope=EVERYTHING&amp;vid=01CRU&amp;lang=en_US&amp;offset=0&amp;query=any,contains,991005211939702656","Catalog Record")</f>
        <v>Catalog Record</v>
      </c>
      <c r="AT1504" s="6" t="str">
        <f>HYPERLINK("http://www.worldcat.org/oclc/63703952","WorldCat Record")</f>
        <v>WorldCat Record</v>
      </c>
      <c r="AU1504" s="3" t="s">
        <v>18857</v>
      </c>
      <c r="AV1504" s="3" t="s">
        <v>18858</v>
      </c>
      <c r="AW1504" s="3" t="s">
        <v>18859</v>
      </c>
      <c r="AX1504" s="3" t="s">
        <v>18859</v>
      </c>
      <c r="AY1504" s="3" t="s">
        <v>18860</v>
      </c>
      <c r="AZ1504" s="3" t="s">
        <v>73</v>
      </c>
      <c r="BB1504" s="3" t="s">
        <v>18861</v>
      </c>
      <c r="BC1504" s="3" t="s">
        <v>18862</v>
      </c>
      <c r="BD1504" s="3" t="s">
        <v>18863</v>
      </c>
    </row>
    <row r="1505" spans="1:56" ht="51" customHeight="1" x14ac:dyDescent="0.25">
      <c r="A1505" s="7" t="s">
        <v>58</v>
      </c>
      <c r="B1505" s="2" t="s">
        <v>18864</v>
      </c>
      <c r="C1505" s="2" t="s">
        <v>18865</v>
      </c>
      <c r="D1505" s="2" t="s">
        <v>18866</v>
      </c>
      <c r="F1505" s="3" t="s">
        <v>58</v>
      </c>
      <c r="G1505" s="3" t="s">
        <v>59</v>
      </c>
      <c r="H1505" s="3" t="s">
        <v>58</v>
      </c>
      <c r="I1505" s="3" t="s">
        <v>58</v>
      </c>
      <c r="J1505" s="3" t="s">
        <v>60</v>
      </c>
      <c r="K1505" s="2" t="s">
        <v>18867</v>
      </c>
      <c r="L1505" s="2" t="s">
        <v>18868</v>
      </c>
      <c r="M1505" s="3" t="s">
        <v>397</v>
      </c>
      <c r="O1505" s="3" t="s">
        <v>63</v>
      </c>
      <c r="P1505" s="3" t="s">
        <v>411</v>
      </c>
      <c r="R1505" s="3" t="s">
        <v>65</v>
      </c>
      <c r="S1505" s="4">
        <v>13</v>
      </c>
      <c r="T1505" s="4">
        <v>13</v>
      </c>
      <c r="U1505" s="5" t="s">
        <v>18244</v>
      </c>
      <c r="V1505" s="5" t="s">
        <v>18244</v>
      </c>
      <c r="W1505" s="5" t="s">
        <v>16218</v>
      </c>
      <c r="X1505" s="5" t="s">
        <v>16218</v>
      </c>
      <c r="Y1505" s="4">
        <v>969</v>
      </c>
      <c r="Z1505" s="4">
        <v>845</v>
      </c>
      <c r="AA1505" s="4">
        <v>851</v>
      </c>
      <c r="AB1505" s="4">
        <v>4</v>
      </c>
      <c r="AC1505" s="4">
        <v>4</v>
      </c>
      <c r="AD1505" s="4">
        <v>45</v>
      </c>
      <c r="AE1505" s="4">
        <v>45</v>
      </c>
      <c r="AF1505" s="4">
        <v>23</v>
      </c>
      <c r="AG1505" s="4">
        <v>23</v>
      </c>
      <c r="AH1505" s="4">
        <v>8</v>
      </c>
      <c r="AI1505" s="4">
        <v>8</v>
      </c>
      <c r="AJ1505" s="4">
        <v>22</v>
      </c>
      <c r="AK1505" s="4">
        <v>22</v>
      </c>
      <c r="AL1505" s="4">
        <v>3</v>
      </c>
      <c r="AM1505" s="4">
        <v>3</v>
      </c>
      <c r="AN1505" s="4">
        <v>0</v>
      </c>
      <c r="AO1505" s="4">
        <v>0</v>
      </c>
      <c r="AP1505" s="3" t="s">
        <v>58</v>
      </c>
      <c r="AQ1505" s="3" t="s">
        <v>58</v>
      </c>
      <c r="AS1505" s="6" t="str">
        <f>HYPERLINK("https://creighton-primo.hosted.exlibrisgroup.com/primo-explore/search?tab=default_tab&amp;search_scope=EVERYTHING&amp;vid=01CRU&amp;lang=en_US&amp;offset=0&amp;query=any,contains,991000476419702656","Catalog Record")</f>
        <v>Catalog Record</v>
      </c>
      <c r="AT1505" s="6" t="str">
        <f>HYPERLINK("http://www.worldcat.org/oclc/11030172","WorldCat Record")</f>
        <v>WorldCat Record</v>
      </c>
      <c r="AU1505" s="3" t="s">
        <v>18869</v>
      </c>
      <c r="AV1505" s="3" t="s">
        <v>18870</v>
      </c>
      <c r="AW1505" s="3" t="s">
        <v>18871</v>
      </c>
      <c r="AX1505" s="3" t="s">
        <v>18871</v>
      </c>
      <c r="AY1505" s="3" t="s">
        <v>18872</v>
      </c>
      <c r="AZ1505" s="3" t="s">
        <v>73</v>
      </c>
      <c r="BB1505" s="3" t="s">
        <v>18873</v>
      </c>
      <c r="BC1505" s="3" t="s">
        <v>18874</v>
      </c>
      <c r="BD1505" s="3" t="s">
        <v>18875</v>
      </c>
    </row>
    <row r="1506" spans="1:56" ht="51" customHeight="1" x14ac:dyDescent="0.25">
      <c r="A1506" s="7" t="s">
        <v>58</v>
      </c>
      <c r="B1506" s="2" t="s">
        <v>18876</v>
      </c>
      <c r="C1506" s="2" t="s">
        <v>18877</v>
      </c>
      <c r="D1506" s="2" t="s">
        <v>18878</v>
      </c>
      <c r="F1506" s="3" t="s">
        <v>58</v>
      </c>
      <c r="G1506" s="3" t="s">
        <v>59</v>
      </c>
      <c r="H1506" s="3" t="s">
        <v>58</v>
      </c>
      <c r="I1506" s="3" t="s">
        <v>58</v>
      </c>
      <c r="J1506" s="3" t="s">
        <v>60</v>
      </c>
      <c r="K1506" s="2" t="s">
        <v>18879</v>
      </c>
      <c r="L1506" s="2" t="s">
        <v>18880</v>
      </c>
      <c r="M1506" s="3" t="s">
        <v>368</v>
      </c>
      <c r="O1506" s="3" t="s">
        <v>63</v>
      </c>
      <c r="P1506" s="3" t="s">
        <v>214</v>
      </c>
      <c r="R1506" s="3" t="s">
        <v>65</v>
      </c>
      <c r="S1506" s="4">
        <v>4</v>
      </c>
      <c r="T1506" s="4">
        <v>4</v>
      </c>
      <c r="U1506" s="5" t="s">
        <v>18881</v>
      </c>
      <c r="V1506" s="5" t="s">
        <v>18881</v>
      </c>
      <c r="W1506" s="5" t="s">
        <v>18882</v>
      </c>
      <c r="X1506" s="5" t="s">
        <v>18882</v>
      </c>
      <c r="Y1506" s="4">
        <v>1119</v>
      </c>
      <c r="Z1506" s="4">
        <v>1085</v>
      </c>
      <c r="AA1506" s="4">
        <v>1229</v>
      </c>
      <c r="AB1506" s="4">
        <v>8</v>
      </c>
      <c r="AC1506" s="4">
        <v>8</v>
      </c>
      <c r="AD1506" s="4">
        <v>26</v>
      </c>
      <c r="AE1506" s="4">
        <v>27</v>
      </c>
      <c r="AF1506" s="4">
        <v>12</v>
      </c>
      <c r="AG1506" s="4">
        <v>13</v>
      </c>
      <c r="AH1506" s="4">
        <v>7</v>
      </c>
      <c r="AI1506" s="4">
        <v>7</v>
      </c>
      <c r="AJ1506" s="4">
        <v>8</v>
      </c>
      <c r="AK1506" s="4">
        <v>8</v>
      </c>
      <c r="AL1506" s="4">
        <v>5</v>
      </c>
      <c r="AM1506" s="4">
        <v>5</v>
      </c>
      <c r="AN1506" s="4">
        <v>0</v>
      </c>
      <c r="AO1506" s="4">
        <v>0</v>
      </c>
      <c r="AP1506" s="3" t="s">
        <v>58</v>
      </c>
      <c r="AQ1506" s="3" t="s">
        <v>58</v>
      </c>
      <c r="AS1506" s="6" t="str">
        <f>HYPERLINK("https://creighton-primo.hosted.exlibrisgroup.com/primo-explore/search?tab=default_tab&amp;search_scope=EVERYTHING&amp;vid=01CRU&amp;lang=en_US&amp;offset=0&amp;query=any,contains,991004043589702656","Catalog Record")</f>
        <v>Catalog Record</v>
      </c>
      <c r="AT1506" s="6" t="str">
        <f>HYPERLINK("http://www.worldcat.org/oclc/2193249","WorldCat Record")</f>
        <v>WorldCat Record</v>
      </c>
      <c r="AU1506" s="3" t="s">
        <v>18883</v>
      </c>
      <c r="AV1506" s="3" t="s">
        <v>18884</v>
      </c>
      <c r="AW1506" s="3" t="s">
        <v>18885</v>
      </c>
      <c r="AX1506" s="3" t="s">
        <v>18885</v>
      </c>
      <c r="AY1506" s="3" t="s">
        <v>18886</v>
      </c>
      <c r="AZ1506" s="3" t="s">
        <v>73</v>
      </c>
      <c r="BB1506" s="3" t="s">
        <v>18887</v>
      </c>
      <c r="BC1506" s="3" t="s">
        <v>18888</v>
      </c>
      <c r="BD1506" s="3" t="s">
        <v>18889</v>
      </c>
    </row>
    <row r="1507" spans="1:56" ht="51" customHeight="1" x14ac:dyDescent="0.25">
      <c r="A1507" s="7" t="s">
        <v>58</v>
      </c>
      <c r="B1507" s="2" t="s">
        <v>18890</v>
      </c>
      <c r="C1507" s="2" t="s">
        <v>18891</v>
      </c>
      <c r="D1507" s="2" t="s">
        <v>18892</v>
      </c>
      <c r="F1507" s="3" t="s">
        <v>58</v>
      </c>
      <c r="G1507" s="3" t="s">
        <v>59</v>
      </c>
      <c r="H1507" s="3" t="s">
        <v>58</v>
      </c>
      <c r="I1507" s="3" t="s">
        <v>58</v>
      </c>
      <c r="J1507" s="3" t="s">
        <v>60</v>
      </c>
      <c r="K1507" s="2" t="s">
        <v>18893</v>
      </c>
      <c r="L1507" s="2" t="s">
        <v>18894</v>
      </c>
      <c r="M1507" s="3" t="s">
        <v>423</v>
      </c>
      <c r="O1507" s="3" t="s">
        <v>63</v>
      </c>
      <c r="P1507" s="3" t="s">
        <v>3109</v>
      </c>
      <c r="R1507" s="3" t="s">
        <v>65</v>
      </c>
      <c r="S1507" s="4">
        <v>1</v>
      </c>
      <c r="T1507" s="4">
        <v>1</v>
      </c>
      <c r="U1507" s="5" t="s">
        <v>234</v>
      </c>
      <c r="V1507" s="5" t="s">
        <v>234</v>
      </c>
      <c r="W1507" s="5" t="s">
        <v>234</v>
      </c>
      <c r="X1507" s="5" t="s">
        <v>234</v>
      </c>
      <c r="Y1507" s="4">
        <v>244</v>
      </c>
      <c r="Z1507" s="4">
        <v>225</v>
      </c>
      <c r="AA1507" s="4">
        <v>228</v>
      </c>
      <c r="AB1507" s="4">
        <v>2</v>
      </c>
      <c r="AC1507" s="4">
        <v>2</v>
      </c>
      <c r="AD1507" s="4">
        <v>13</v>
      </c>
      <c r="AE1507" s="4">
        <v>13</v>
      </c>
      <c r="AF1507" s="4">
        <v>2</v>
      </c>
      <c r="AG1507" s="4">
        <v>2</v>
      </c>
      <c r="AH1507" s="4">
        <v>4</v>
      </c>
      <c r="AI1507" s="4">
        <v>4</v>
      </c>
      <c r="AJ1507" s="4">
        <v>10</v>
      </c>
      <c r="AK1507" s="4">
        <v>10</v>
      </c>
      <c r="AL1507" s="4">
        <v>1</v>
      </c>
      <c r="AM1507" s="4">
        <v>1</v>
      </c>
      <c r="AN1507" s="4">
        <v>0</v>
      </c>
      <c r="AO1507" s="4">
        <v>0</v>
      </c>
      <c r="AP1507" s="3" t="s">
        <v>58</v>
      </c>
      <c r="AQ1507" s="3" t="s">
        <v>68</v>
      </c>
      <c r="AR1507" s="6" t="str">
        <f>HYPERLINK("http://catalog.hathitrust.org/Record/003979906","HathiTrust Record")</f>
        <v>HathiTrust Record</v>
      </c>
      <c r="AS1507" s="6" t="str">
        <f>HYPERLINK("https://creighton-primo.hosted.exlibrisgroup.com/primo-explore/search?tab=default_tab&amp;search_scope=EVERYTHING&amp;vid=01CRU&amp;lang=en_US&amp;offset=0&amp;query=any,contains,991003259509702656","Catalog Record")</f>
        <v>Catalog Record</v>
      </c>
      <c r="AT1507" s="6" t="str">
        <f>HYPERLINK("http://www.worldcat.org/oclc/38295257","WorldCat Record")</f>
        <v>WorldCat Record</v>
      </c>
      <c r="AU1507" s="3" t="s">
        <v>18895</v>
      </c>
      <c r="AV1507" s="3" t="s">
        <v>18896</v>
      </c>
      <c r="AW1507" s="3" t="s">
        <v>18897</v>
      </c>
      <c r="AX1507" s="3" t="s">
        <v>18897</v>
      </c>
      <c r="AY1507" s="3" t="s">
        <v>18898</v>
      </c>
      <c r="AZ1507" s="3" t="s">
        <v>73</v>
      </c>
      <c r="BB1507" s="3" t="s">
        <v>18899</v>
      </c>
      <c r="BC1507" s="3" t="s">
        <v>18900</v>
      </c>
      <c r="BD1507" s="3" t="s">
        <v>18901</v>
      </c>
    </row>
    <row r="1508" spans="1:56" ht="51" customHeight="1" x14ac:dyDescent="0.25">
      <c r="A1508" s="7" t="s">
        <v>58</v>
      </c>
      <c r="B1508" s="2" t="s">
        <v>18902</v>
      </c>
      <c r="C1508" s="2" t="s">
        <v>18903</v>
      </c>
      <c r="D1508" s="2" t="s">
        <v>18904</v>
      </c>
      <c r="F1508" s="3" t="s">
        <v>58</v>
      </c>
      <c r="G1508" s="3" t="s">
        <v>59</v>
      </c>
      <c r="H1508" s="3" t="s">
        <v>58</v>
      </c>
      <c r="I1508" s="3" t="s">
        <v>58</v>
      </c>
      <c r="J1508" s="3" t="s">
        <v>60</v>
      </c>
      <c r="L1508" s="2" t="s">
        <v>18905</v>
      </c>
      <c r="M1508" s="3" t="s">
        <v>842</v>
      </c>
      <c r="N1508" s="2" t="s">
        <v>338</v>
      </c>
      <c r="O1508" s="3" t="s">
        <v>63</v>
      </c>
      <c r="P1508" s="3" t="s">
        <v>214</v>
      </c>
      <c r="R1508" s="3" t="s">
        <v>65</v>
      </c>
      <c r="S1508" s="4">
        <v>8</v>
      </c>
      <c r="T1508" s="4">
        <v>8</v>
      </c>
      <c r="U1508" s="5" t="s">
        <v>18906</v>
      </c>
      <c r="V1508" s="5" t="s">
        <v>18906</v>
      </c>
      <c r="W1508" s="5" t="s">
        <v>3486</v>
      </c>
      <c r="X1508" s="5" t="s">
        <v>3486</v>
      </c>
      <c r="Y1508" s="4">
        <v>1747</v>
      </c>
      <c r="Z1508" s="4">
        <v>1684</v>
      </c>
      <c r="AA1508" s="4">
        <v>2060</v>
      </c>
      <c r="AB1508" s="4">
        <v>11</v>
      </c>
      <c r="AC1508" s="4">
        <v>13</v>
      </c>
      <c r="AD1508" s="4">
        <v>37</v>
      </c>
      <c r="AE1508" s="4">
        <v>45</v>
      </c>
      <c r="AF1508" s="4">
        <v>16</v>
      </c>
      <c r="AG1508" s="4">
        <v>19</v>
      </c>
      <c r="AH1508" s="4">
        <v>7</v>
      </c>
      <c r="AI1508" s="4">
        <v>9</v>
      </c>
      <c r="AJ1508" s="4">
        <v>18</v>
      </c>
      <c r="AK1508" s="4">
        <v>20</v>
      </c>
      <c r="AL1508" s="4">
        <v>5</v>
      </c>
      <c r="AM1508" s="4">
        <v>7</v>
      </c>
      <c r="AN1508" s="4">
        <v>1</v>
      </c>
      <c r="AO1508" s="4">
        <v>1</v>
      </c>
      <c r="AP1508" s="3" t="s">
        <v>58</v>
      </c>
      <c r="AQ1508" s="3" t="s">
        <v>68</v>
      </c>
      <c r="AR1508" s="6" t="str">
        <f>HYPERLINK("http://catalog.hathitrust.org/Record/000727340","HathiTrust Record")</f>
        <v>HathiTrust Record</v>
      </c>
      <c r="AS1508" s="6" t="str">
        <f>HYPERLINK("https://creighton-primo.hosted.exlibrisgroup.com/primo-explore/search?tab=default_tab&amp;search_scope=EVERYTHING&amp;vid=01CRU&amp;lang=en_US&amp;offset=0&amp;query=any,contains,991005082929702656","Catalog Record")</f>
        <v>Catalog Record</v>
      </c>
      <c r="AT1508" s="6" t="str">
        <f>HYPERLINK("http://www.worldcat.org/oclc/7175474","WorldCat Record")</f>
        <v>WorldCat Record</v>
      </c>
      <c r="AU1508" s="3" t="s">
        <v>18907</v>
      </c>
      <c r="AV1508" s="3" t="s">
        <v>18908</v>
      </c>
      <c r="AW1508" s="3" t="s">
        <v>18909</v>
      </c>
      <c r="AX1508" s="3" t="s">
        <v>18909</v>
      </c>
      <c r="AY1508" s="3" t="s">
        <v>18910</v>
      </c>
      <c r="AZ1508" s="3" t="s">
        <v>73</v>
      </c>
      <c r="BB1508" s="3" t="s">
        <v>18911</v>
      </c>
      <c r="BC1508" s="3" t="s">
        <v>18912</v>
      </c>
      <c r="BD1508" s="3" t="s">
        <v>18913</v>
      </c>
    </row>
    <row r="1509" spans="1:56" ht="51" customHeight="1" x14ac:dyDescent="0.25">
      <c r="A1509" s="7" t="s">
        <v>58</v>
      </c>
      <c r="B1509" s="2" t="s">
        <v>18914</v>
      </c>
      <c r="C1509" s="2" t="s">
        <v>18915</v>
      </c>
      <c r="D1509" s="2" t="s">
        <v>18916</v>
      </c>
      <c r="F1509" s="3" t="s">
        <v>58</v>
      </c>
      <c r="G1509" s="3" t="s">
        <v>59</v>
      </c>
      <c r="H1509" s="3" t="s">
        <v>58</v>
      </c>
      <c r="I1509" s="3" t="s">
        <v>58</v>
      </c>
      <c r="J1509" s="3" t="s">
        <v>60</v>
      </c>
      <c r="K1509" s="2" t="s">
        <v>18917</v>
      </c>
      <c r="L1509" s="2" t="s">
        <v>18918</v>
      </c>
      <c r="M1509" s="3" t="s">
        <v>353</v>
      </c>
      <c r="O1509" s="3" t="s">
        <v>63</v>
      </c>
      <c r="P1509" s="3" t="s">
        <v>2061</v>
      </c>
      <c r="R1509" s="3" t="s">
        <v>65</v>
      </c>
      <c r="S1509" s="4">
        <v>1</v>
      </c>
      <c r="T1509" s="4">
        <v>1</v>
      </c>
      <c r="U1509" s="5" t="s">
        <v>7843</v>
      </c>
      <c r="V1509" s="5" t="s">
        <v>7843</v>
      </c>
      <c r="W1509" s="5" t="s">
        <v>425</v>
      </c>
      <c r="X1509" s="5" t="s">
        <v>425</v>
      </c>
      <c r="Y1509" s="4">
        <v>378</v>
      </c>
      <c r="Z1509" s="4">
        <v>360</v>
      </c>
      <c r="AA1509" s="4">
        <v>414</v>
      </c>
      <c r="AB1509" s="4">
        <v>3</v>
      </c>
      <c r="AC1509" s="4">
        <v>3</v>
      </c>
      <c r="AD1509" s="4">
        <v>8</v>
      </c>
      <c r="AE1509" s="4">
        <v>8</v>
      </c>
      <c r="AF1509" s="4">
        <v>5</v>
      </c>
      <c r="AG1509" s="4">
        <v>5</v>
      </c>
      <c r="AH1509" s="4">
        <v>2</v>
      </c>
      <c r="AI1509" s="4">
        <v>2</v>
      </c>
      <c r="AJ1509" s="4">
        <v>4</v>
      </c>
      <c r="AK1509" s="4">
        <v>4</v>
      </c>
      <c r="AL1509" s="4">
        <v>0</v>
      </c>
      <c r="AM1509" s="4">
        <v>0</v>
      </c>
      <c r="AN1509" s="4">
        <v>0</v>
      </c>
      <c r="AO1509" s="4">
        <v>0</v>
      </c>
      <c r="AP1509" s="3" t="s">
        <v>58</v>
      </c>
      <c r="AQ1509" s="3" t="s">
        <v>58</v>
      </c>
      <c r="AS1509" s="6" t="str">
        <f>HYPERLINK("https://creighton-primo.hosted.exlibrisgroup.com/primo-explore/search?tab=default_tab&amp;search_scope=EVERYTHING&amp;vid=01CRU&amp;lang=en_US&amp;offset=0&amp;query=any,contains,991003592419702656","Catalog Record")</f>
        <v>Catalog Record</v>
      </c>
      <c r="AT1509" s="6" t="str">
        <f>HYPERLINK("http://www.worldcat.org/oclc/15696075","WorldCat Record")</f>
        <v>WorldCat Record</v>
      </c>
      <c r="AU1509" s="3" t="s">
        <v>18919</v>
      </c>
      <c r="AV1509" s="3" t="s">
        <v>18920</v>
      </c>
      <c r="AW1509" s="3" t="s">
        <v>18921</v>
      </c>
      <c r="AX1509" s="3" t="s">
        <v>18921</v>
      </c>
      <c r="AY1509" s="3" t="s">
        <v>18922</v>
      </c>
      <c r="AZ1509" s="3" t="s">
        <v>73</v>
      </c>
      <c r="BB1509" s="3" t="s">
        <v>18923</v>
      </c>
      <c r="BC1509" s="3" t="s">
        <v>18924</v>
      </c>
      <c r="BD1509" s="3" t="s">
        <v>18925</v>
      </c>
    </row>
    <row r="1510" spans="1:56" ht="51" customHeight="1" x14ac:dyDescent="0.25">
      <c r="A1510" s="7" t="s">
        <v>58</v>
      </c>
      <c r="B1510" s="2" t="s">
        <v>18926</v>
      </c>
      <c r="C1510" s="2" t="s">
        <v>18927</v>
      </c>
      <c r="D1510" s="2" t="s">
        <v>18928</v>
      </c>
      <c r="F1510" s="3" t="s">
        <v>58</v>
      </c>
      <c r="G1510" s="3" t="s">
        <v>59</v>
      </c>
      <c r="H1510" s="3" t="s">
        <v>58</v>
      </c>
      <c r="I1510" s="3" t="s">
        <v>58</v>
      </c>
      <c r="J1510" s="3" t="s">
        <v>60</v>
      </c>
      <c r="L1510" s="2" t="s">
        <v>18929</v>
      </c>
      <c r="M1510" s="3" t="s">
        <v>1399</v>
      </c>
      <c r="O1510" s="3" t="s">
        <v>63</v>
      </c>
      <c r="P1510" s="3" t="s">
        <v>816</v>
      </c>
      <c r="Q1510" s="2" t="s">
        <v>16987</v>
      </c>
      <c r="R1510" s="3" t="s">
        <v>65</v>
      </c>
      <c r="S1510" s="4">
        <v>6</v>
      </c>
      <c r="T1510" s="4">
        <v>6</v>
      </c>
      <c r="U1510" s="5" t="s">
        <v>18930</v>
      </c>
      <c r="V1510" s="5" t="s">
        <v>18930</v>
      </c>
      <c r="W1510" s="5" t="s">
        <v>3486</v>
      </c>
      <c r="X1510" s="5" t="s">
        <v>3486</v>
      </c>
      <c r="Y1510" s="4">
        <v>834</v>
      </c>
      <c r="Z1510" s="4">
        <v>790</v>
      </c>
      <c r="AA1510" s="4">
        <v>798</v>
      </c>
      <c r="AB1510" s="4">
        <v>8</v>
      </c>
      <c r="AC1510" s="4">
        <v>8</v>
      </c>
      <c r="AD1510" s="4">
        <v>10</v>
      </c>
      <c r="AE1510" s="4">
        <v>10</v>
      </c>
      <c r="AF1510" s="4">
        <v>4</v>
      </c>
      <c r="AG1510" s="4">
        <v>4</v>
      </c>
      <c r="AH1510" s="4">
        <v>3</v>
      </c>
      <c r="AI1510" s="4">
        <v>3</v>
      </c>
      <c r="AJ1510" s="4">
        <v>7</v>
      </c>
      <c r="AK1510" s="4">
        <v>7</v>
      </c>
      <c r="AL1510" s="4">
        <v>1</v>
      </c>
      <c r="AM1510" s="4">
        <v>1</v>
      </c>
      <c r="AN1510" s="4">
        <v>0</v>
      </c>
      <c r="AO1510" s="4">
        <v>0</v>
      </c>
      <c r="AP1510" s="3" t="s">
        <v>58</v>
      </c>
      <c r="AQ1510" s="3" t="s">
        <v>68</v>
      </c>
      <c r="AR1510" s="6" t="str">
        <f>HYPERLINK("http://catalog.hathitrust.org/Record/000951168","HathiTrust Record")</f>
        <v>HathiTrust Record</v>
      </c>
      <c r="AS1510" s="6" t="str">
        <f>HYPERLINK("https://creighton-primo.hosted.exlibrisgroup.com/primo-explore/search?tab=default_tab&amp;search_scope=EVERYTHING&amp;vid=01CRU&amp;lang=en_US&amp;offset=0&amp;query=any,contains,991001239469702656","Catalog Record")</f>
        <v>Catalog Record</v>
      </c>
      <c r="AT1510" s="6" t="str">
        <f>HYPERLINK("http://www.worldcat.org/oclc/17601308","WorldCat Record")</f>
        <v>WorldCat Record</v>
      </c>
      <c r="AU1510" s="3" t="s">
        <v>18931</v>
      </c>
      <c r="AV1510" s="3" t="s">
        <v>18932</v>
      </c>
      <c r="AW1510" s="3" t="s">
        <v>18933</v>
      </c>
      <c r="AX1510" s="3" t="s">
        <v>18933</v>
      </c>
      <c r="AY1510" s="3" t="s">
        <v>18934</v>
      </c>
      <c r="AZ1510" s="3" t="s">
        <v>73</v>
      </c>
      <c r="BB1510" s="3" t="s">
        <v>18935</v>
      </c>
      <c r="BC1510" s="3" t="s">
        <v>18936</v>
      </c>
      <c r="BD1510" s="3" t="s">
        <v>18937</v>
      </c>
    </row>
    <row r="1511" spans="1:56" ht="51" customHeight="1" x14ac:dyDescent="0.25">
      <c r="A1511" s="7" t="s">
        <v>58</v>
      </c>
      <c r="B1511" s="2" t="s">
        <v>18938</v>
      </c>
      <c r="C1511" s="2" t="s">
        <v>18939</v>
      </c>
      <c r="D1511" s="2" t="s">
        <v>18940</v>
      </c>
      <c r="F1511" s="3" t="s">
        <v>58</v>
      </c>
      <c r="G1511" s="3" t="s">
        <v>59</v>
      </c>
      <c r="H1511" s="3" t="s">
        <v>58</v>
      </c>
      <c r="I1511" s="3" t="s">
        <v>58</v>
      </c>
      <c r="J1511" s="3" t="s">
        <v>60</v>
      </c>
      <c r="K1511" s="2" t="s">
        <v>18941</v>
      </c>
      <c r="L1511" s="2" t="s">
        <v>18942</v>
      </c>
      <c r="M1511" s="3" t="s">
        <v>2214</v>
      </c>
      <c r="N1511" s="2" t="s">
        <v>338</v>
      </c>
      <c r="O1511" s="3" t="s">
        <v>63</v>
      </c>
      <c r="P1511" s="3" t="s">
        <v>1837</v>
      </c>
      <c r="R1511" s="3" t="s">
        <v>65</v>
      </c>
      <c r="S1511" s="4">
        <v>3</v>
      </c>
      <c r="T1511" s="4">
        <v>3</v>
      </c>
      <c r="U1511" s="5" t="s">
        <v>18943</v>
      </c>
      <c r="V1511" s="5" t="s">
        <v>18943</v>
      </c>
      <c r="W1511" s="5" t="s">
        <v>18944</v>
      </c>
      <c r="X1511" s="5" t="s">
        <v>18944</v>
      </c>
      <c r="Y1511" s="4">
        <v>70</v>
      </c>
      <c r="Z1511" s="4">
        <v>70</v>
      </c>
      <c r="AA1511" s="4">
        <v>70</v>
      </c>
      <c r="AB1511" s="4">
        <v>1</v>
      </c>
      <c r="AC1511" s="4">
        <v>1</v>
      </c>
      <c r="AD1511" s="4">
        <v>0</v>
      </c>
      <c r="AE1511" s="4">
        <v>0</v>
      </c>
      <c r="AF1511" s="4">
        <v>0</v>
      </c>
      <c r="AG1511" s="4">
        <v>0</v>
      </c>
      <c r="AH1511" s="4">
        <v>0</v>
      </c>
      <c r="AI1511" s="4">
        <v>0</v>
      </c>
      <c r="AJ1511" s="4">
        <v>0</v>
      </c>
      <c r="AK1511" s="4">
        <v>0</v>
      </c>
      <c r="AL1511" s="4">
        <v>0</v>
      </c>
      <c r="AM1511" s="4">
        <v>0</v>
      </c>
      <c r="AN1511" s="4">
        <v>0</v>
      </c>
      <c r="AO1511" s="4">
        <v>0</v>
      </c>
      <c r="AP1511" s="3" t="s">
        <v>58</v>
      </c>
      <c r="AQ1511" s="3" t="s">
        <v>58</v>
      </c>
      <c r="AS1511" s="6" t="str">
        <f>HYPERLINK("https://creighton-primo.hosted.exlibrisgroup.com/primo-explore/search?tab=default_tab&amp;search_scope=EVERYTHING&amp;vid=01CRU&amp;lang=en_US&amp;offset=0&amp;query=any,contains,991004716759702656","Catalog Record")</f>
        <v>Catalog Record</v>
      </c>
      <c r="AT1511" s="6" t="str">
        <f>HYPERLINK("http://www.worldcat.org/oclc/61917494","WorldCat Record")</f>
        <v>WorldCat Record</v>
      </c>
      <c r="AU1511" s="3" t="s">
        <v>18945</v>
      </c>
      <c r="AV1511" s="3" t="s">
        <v>18946</v>
      </c>
      <c r="AW1511" s="3" t="s">
        <v>18947</v>
      </c>
      <c r="AX1511" s="3" t="s">
        <v>18947</v>
      </c>
      <c r="AY1511" s="3" t="s">
        <v>18948</v>
      </c>
      <c r="AZ1511" s="3" t="s">
        <v>73</v>
      </c>
      <c r="BB1511" s="3" t="s">
        <v>18949</v>
      </c>
      <c r="BC1511" s="3" t="s">
        <v>18950</v>
      </c>
      <c r="BD1511" s="3" t="s">
        <v>18951</v>
      </c>
    </row>
    <row r="1512" spans="1:56" ht="51" customHeight="1" x14ac:dyDescent="0.25">
      <c r="A1512" s="7" t="s">
        <v>58</v>
      </c>
      <c r="B1512" s="2" t="s">
        <v>18952</v>
      </c>
      <c r="C1512" s="2" t="s">
        <v>18953</v>
      </c>
      <c r="D1512" s="2" t="s">
        <v>18954</v>
      </c>
      <c r="F1512" s="3" t="s">
        <v>58</v>
      </c>
      <c r="G1512" s="3" t="s">
        <v>59</v>
      </c>
      <c r="H1512" s="3" t="s">
        <v>58</v>
      </c>
      <c r="I1512" s="3" t="s">
        <v>58</v>
      </c>
      <c r="J1512" s="3" t="s">
        <v>60</v>
      </c>
      <c r="K1512" s="2" t="s">
        <v>18955</v>
      </c>
      <c r="L1512" s="2" t="s">
        <v>18956</v>
      </c>
      <c r="M1512" s="3" t="s">
        <v>183</v>
      </c>
      <c r="O1512" s="3" t="s">
        <v>63</v>
      </c>
      <c r="P1512" s="3" t="s">
        <v>214</v>
      </c>
      <c r="R1512" s="3" t="s">
        <v>65</v>
      </c>
      <c r="S1512" s="4">
        <v>13</v>
      </c>
      <c r="T1512" s="4">
        <v>13</v>
      </c>
      <c r="U1512" s="5" t="s">
        <v>12596</v>
      </c>
      <c r="V1512" s="5" t="s">
        <v>12596</v>
      </c>
      <c r="W1512" s="5" t="s">
        <v>18957</v>
      </c>
      <c r="X1512" s="5" t="s">
        <v>18957</v>
      </c>
      <c r="Y1512" s="4">
        <v>535</v>
      </c>
      <c r="Z1512" s="4">
        <v>497</v>
      </c>
      <c r="AA1512" s="4">
        <v>2621</v>
      </c>
      <c r="AB1512" s="4">
        <v>3</v>
      </c>
      <c r="AC1512" s="4">
        <v>27</v>
      </c>
      <c r="AD1512" s="4">
        <v>6</v>
      </c>
      <c r="AE1512" s="4">
        <v>53</v>
      </c>
      <c r="AF1512" s="4">
        <v>4</v>
      </c>
      <c r="AG1512" s="4">
        <v>20</v>
      </c>
      <c r="AH1512" s="4">
        <v>2</v>
      </c>
      <c r="AI1512" s="4">
        <v>10</v>
      </c>
      <c r="AJ1512" s="4">
        <v>2</v>
      </c>
      <c r="AK1512" s="4">
        <v>20</v>
      </c>
      <c r="AL1512" s="4">
        <v>0</v>
      </c>
      <c r="AM1512" s="4">
        <v>11</v>
      </c>
      <c r="AN1512" s="4">
        <v>0</v>
      </c>
      <c r="AO1512" s="4">
        <v>1</v>
      </c>
      <c r="AP1512" s="3" t="s">
        <v>58</v>
      </c>
      <c r="AQ1512" s="3" t="s">
        <v>68</v>
      </c>
      <c r="AR1512" s="6" t="str">
        <f>HYPERLINK("http://catalog.hathitrust.org/Record/012276304","HathiTrust Record")</f>
        <v>HathiTrust Record</v>
      </c>
      <c r="AS1512" s="6" t="str">
        <f>HYPERLINK("https://creighton-primo.hosted.exlibrisgroup.com/primo-explore/search?tab=default_tab&amp;search_scope=EVERYTHING&amp;vid=01CRU&amp;lang=en_US&amp;offset=0&amp;query=any,contains,991001838729702656","Catalog Record")</f>
        <v>Catalog Record</v>
      </c>
      <c r="AT1512" s="6" t="str">
        <f>HYPERLINK("http://www.worldcat.org/oclc/23103275","WorldCat Record")</f>
        <v>WorldCat Record</v>
      </c>
      <c r="AU1512" s="3" t="s">
        <v>18958</v>
      </c>
      <c r="AV1512" s="3" t="s">
        <v>18959</v>
      </c>
      <c r="AW1512" s="3" t="s">
        <v>18960</v>
      </c>
      <c r="AX1512" s="3" t="s">
        <v>18960</v>
      </c>
      <c r="AY1512" s="3" t="s">
        <v>18961</v>
      </c>
      <c r="AZ1512" s="3" t="s">
        <v>73</v>
      </c>
      <c r="BB1512" s="3" t="s">
        <v>18962</v>
      </c>
      <c r="BC1512" s="3" t="s">
        <v>18963</v>
      </c>
      <c r="BD1512" s="3" t="s">
        <v>18964</v>
      </c>
    </row>
    <row r="1513" spans="1:56" ht="51" customHeight="1" x14ac:dyDescent="0.25">
      <c r="A1513" s="7" t="s">
        <v>58</v>
      </c>
      <c r="B1513" s="2" t="s">
        <v>18965</v>
      </c>
      <c r="C1513" s="2" t="s">
        <v>18966</v>
      </c>
      <c r="D1513" s="2" t="s">
        <v>18967</v>
      </c>
      <c r="F1513" s="3" t="s">
        <v>58</v>
      </c>
      <c r="G1513" s="3" t="s">
        <v>59</v>
      </c>
      <c r="H1513" s="3" t="s">
        <v>58</v>
      </c>
      <c r="I1513" s="3" t="s">
        <v>58</v>
      </c>
      <c r="J1513" s="3" t="s">
        <v>60</v>
      </c>
      <c r="L1513" s="2" t="s">
        <v>18968</v>
      </c>
      <c r="M1513" s="3" t="s">
        <v>951</v>
      </c>
      <c r="O1513" s="3" t="s">
        <v>63</v>
      </c>
      <c r="P1513" s="3" t="s">
        <v>214</v>
      </c>
      <c r="R1513" s="3" t="s">
        <v>65</v>
      </c>
      <c r="S1513" s="4">
        <v>1</v>
      </c>
      <c r="T1513" s="4">
        <v>1</v>
      </c>
      <c r="U1513" s="5" t="s">
        <v>18969</v>
      </c>
      <c r="V1513" s="5" t="s">
        <v>18969</v>
      </c>
      <c r="W1513" s="5" t="s">
        <v>18969</v>
      </c>
      <c r="X1513" s="5" t="s">
        <v>18969</v>
      </c>
      <c r="Y1513" s="4">
        <v>129</v>
      </c>
      <c r="Z1513" s="4">
        <v>102</v>
      </c>
      <c r="AA1513" s="4">
        <v>104</v>
      </c>
      <c r="AB1513" s="4">
        <v>1</v>
      </c>
      <c r="AC1513" s="4">
        <v>1</v>
      </c>
      <c r="AD1513" s="4">
        <v>4</v>
      </c>
      <c r="AE1513" s="4">
        <v>4</v>
      </c>
      <c r="AF1513" s="4">
        <v>3</v>
      </c>
      <c r="AG1513" s="4">
        <v>3</v>
      </c>
      <c r="AH1513" s="4">
        <v>1</v>
      </c>
      <c r="AI1513" s="4">
        <v>1</v>
      </c>
      <c r="AJ1513" s="4">
        <v>2</v>
      </c>
      <c r="AK1513" s="4">
        <v>2</v>
      </c>
      <c r="AL1513" s="4">
        <v>0</v>
      </c>
      <c r="AM1513" s="4">
        <v>0</v>
      </c>
      <c r="AN1513" s="4">
        <v>0</v>
      </c>
      <c r="AO1513" s="4">
        <v>0</v>
      </c>
      <c r="AP1513" s="3" t="s">
        <v>58</v>
      </c>
      <c r="AQ1513" s="3" t="s">
        <v>68</v>
      </c>
      <c r="AR1513" s="6" t="str">
        <f>HYPERLINK("http://catalog.hathitrust.org/Record/004081692","HathiTrust Record")</f>
        <v>HathiTrust Record</v>
      </c>
      <c r="AS1513" s="6" t="str">
        <f>HYPERLINK("https://creighton-primo.hosted.exlibrisgroup.com/primo-explore/search?tab=default_tab&amp;search_scope=EVERYTHING&amp;vid=01CRU&amp;lang=en_US&amp;offset=0&amp;query=any,contains,991003243319702656","Catalog Record")</f>
        <v>Catalog Record</v>
      </c>
      <c r="AT1513" s="6" t="str">
        <f>HYPERLINK("http://www.worldcat.org/oclc/41266238","WorldCat Record")</f>
        <v>WorldCat Record</v>
      </c>
      <c r="AU1513" s="3" t="s">
        <v>18970</v>
      </c>
      <c r="AV1513" s="3" t="s">
        <v>18971</v>
      </c>
      <c r="AW1513" s="3" t="s">
        <v>18972</v>
      </c>
      <c r="AX1513" s="3" t="s">
        <v>18972</v>
      </c>
      <c r="AY1513" s="3" t="s">
        <v>18973</v>
      </c>
      <c r="AZ1513" s="3" t="s">
        <v>73</v>
      </c>
      <c r="BB1513" s="3" t="s">
        <v>18974</v>
      </c>
      <c r="BC1513" s="3" t="s">
        <v>18975</v>
      </c>
      <c r="BD1513" s="3" t="s">
        <v>18976</v>
      </c>
    </row>
    <row r="1514" spans="1:56" ht="51" customHeight="1" x14ac:dyDescent="0.25">
      <c r="A1514" s="7" t="s">
        <v>58</v>
      </c>
      <c r="B1514" s="2" t="s">
        <v>18977</v>
      </c>
      <c r="C1514" s="2" t="s">
        <v>18978</v>
      </c>
      <c r="D1514" s="2" t="s">
        <v>18979</v>
      </c>
      <c r="F1514" s="3" t="s">
        <v>58</v>
      </c>
      <c r="G1514" s="3" t="s">
        <v>59</v>
      </c>
      <c r="H1514" s="3" t="s">
        <v>58</v>
      </c>
      <c r="I1514" s="3" t="s">
        <v>58</v>
      </c>
      <c r="J1514" s="3" t="s">
        <v>60</v>
      </c>
      <c r="K1514" s="2" t="s">
        <v>18980</v>
      </c>
      <c r="L1514" s="2" t="s">
        <v>18981</v>
      </c>
      <c r="M1514" s="3" t="s">
        <v>397</v>
      </c>
      <c r="O1514" s="3" t="s">
        <v>63</v>
      </c>
      <c r="P1514" s="3" t="s">
        <v>510</v>
      </c>
      <c r="Q1514" s="2" t="s">
        <v>18982</v>
      </c>
      <c r="R1514" s="3" t="s">
        <v>65</v>
      </c>
      <c r="S1514" s="4">
        <v>1</v>
      </c>
      <c r="T1514" s="4">
        <v>1</v>
      </c>
      <c r="U1514" s="5" t="s">
        <v>18983</v>
      </c>
      <c r="V1514" s="5" t="s">
        <v>18983</v>
      </c>
      <c r="W1514" s="5" t="s">
        <v>3486</v>
      </c>
      <c r="X1514" s="5" t="s">
        <v>3486</v>
      </c>
      <c r="Y1514" s="4">
        <v>495</v>
      </c>
      <c r="Z1514" s="4">
        <v>431</v>
      </c>
      <c r="AA1514" s="4">
        <v>432</v>
      </c>
      <c r="AB1514" s="4">
        <v>3</v>
      </c>
      <c r="AC1514" s="4">
        <v>3</v>
      </c>
      <c r="AD1514" s="4">
        <v>20</v>
      </c>
      <c r="AE1514" s="4">
        <v>20</v>
      </c>
      <c r="AF1514" s="4">
        <v>11</v>
      </c>
      <c r="AG1514" s="4">
        <v>11</v>
      </c>
      <c r="AH1514" s="4">
        <v>5</v>
      </c>
      <c r="AI1514" s="4">
        <v>5</v>
      </c>
      <c r="AJ1514" s="4">
        <v>8</v>
      </c>
      <c r="AK1514" s="4">
        <v>8</v>
      </c>
      <c r="AL1514" s="4">
        <v>2</v>
      </c>
      <c r="AM1514" s="4">
        <v>2</v>
      </c>
      <c r="AN1514" s="4">
        <v>0</v>
      </c>
      <c r="AO1514" s="4">
        <v>0</v>
      </c>
      <c r="AP1514" s="3" t="s">
        <v>58</v>
      </c>
      <c r="AQ1514" s="3" t="s">
        <v>68</v>
      </c>
      <c r="AR1514" s="6" t="str">
        <f>HYPERLINK("http://catalog.hathitrust.org/Record/000581773","HathiTrust Record")</f>
        <v>HathiTrust Record</v>
      </c>
      <c r="AS1514" s="6" t="str">
        <f>HYPERLINK("https://creighton-primo.hosted.exlibrisgroup.com/primo-explore/search?tab=default_tab&amp;search_scope=EVERYTHING&amp;vid=01CRU&amp;lang=en_US&amp;offset=0&amp;query=any,contains,991000551509702656","Catalog Record")</f>
        <v>Catalog Record</v>
      </c>
      <c r="AT1514" s="6" t="str">
        <f>HYPERLINK("http://www.worldcat.org/oclc/11533529","WorldCat Record")</f>
        <v>WorldCat Record</v>
      </c>
      <c r="AU1514" s="3" t="s">
        <v>18984</v>
      </c>
      <c r="AV1514" s="3" t="s">
        <v>18985</v>
      </c>
      <c r="AW1514" s="3" t="s">
        <v>18986</v>
      </c>
      <c r="AX1514" s="3" t="s">
        <v>18986</v>
      </c>
      <c r="AY1514" s="3" t="s">
        <v>18987</v>
      </c>
      <c r="AZ1514" s="3" t="s">
        <v>73</v>
      </c>
      <c r="BB1514" s="3" t="s">
        <v>18988</v>
      </c>
      <c r="BC1514" s="3" t="s">
        <v>18989</v>
      </c>
      <c r="BD1514" s="3" t="s">
        <v>18990</v>
      </c>
    </row>
    <row r="1515" spans="1:56" ht="51" customHeight="1" x14ac:dyDescent="0.25">
      <c r="A1515" s="7" t="s">
        <v>58</v>
      </c>
      <c r="B1515" s="2" t="s">
        <v>18991</v>
      </c>
      <c r="C1515" s="2" t="s">
        <v>18992</v>
      </c>
      <c r="D1515" s="2" t="s">
        <v>18993</v>
      </c>
      <c r="F1515" s="3" t="s">
        <v>58</v>
      </c>
      <c r="G1515" s="3" t="s">
        <v>59</v>
      </c>
      <c r="H1515" s="3" t="s">
        <v>58</v>
      </c>
      <c r="I1515" s="3" t="s">
        <v>58</v>
      </c>
      <c r="J1515" s="3" t="s">
        <v>60</v>
      </c>
      <c r="K1515" s="2" t="s">
        <v>18994</v>
      </c>
      <c r="L1515" s="2" t="s">
        <v>18995</v>
      </c>
      <c r="M1515" s="3" t="s">
        <v>626</v>
      </c>
      <c r="O1515" s="3" t="s">
        <v>63</v>
      </c>
      <c r="P1515" s="3" t="s">
        <v>214</v>
      </c>
      <c r="R1515" s="3" t="s">
        <v>65</v>
      </c>
      <c r="S1515" s="4">
        <v>7</v>
      </c>
      <c r="T1515" s="4">
        <v>7</v>
      </c>
      <c r="U1515" s="5" t="s">
        <v>18881</v>
      </c>
      <c r="V1515" s="5" t="s">
        <v>18881</v>
      </c>
      <c r="W1515" s="5" t="s">
        <v>4831</v>
      </c>
      <c r="X1515" s="5" t="s">
        <v>4831</v>
      </c>
      <c r="Y1515" s="4">
        <v>1353</v>
      </c>
      <c r="Z1515" s="4">
        <v>1304</v>
      </c>
      <c r="AA1515" s="4">
        <v>2129</v>
      </c>
      <c r="AB1515" s="4">
        <v>14</v>
      </c>
      <c r="AC1515" s="4">
        <v>22</v>
      </c>
      <c r="AD1515" s="4">
        <v>18</v>
      </c>
      <c r="AE1515" s="4">
        <v>38</v>
      </c>
      <c r="AF1515" s="4">
        <v>7</v>
      </c>
      <c r="AG1515" s="4">
        <v>15</v>
      </c>
      <c r="AH1515" s="4">
        <v>1</v>
      </c>
      <c r="AI1515" s="4">
        <v>6</v>
      </c>
      <c r="AJ1515" s="4">
        <v>9</v>
      </c>
      <c r="AK1515" s="4">
        <v>17</v>
      </c>
      <c r="AL1515" s="4">
        <v>4</v>
      </c>
      <c r="AM1515" s="4">
        <v>8</v>
      </c>
      <c r="AN1515" s="4">
        <v>0</v>
      </c>
      <c r="AO1515" s="4">
        <v>0</v>
      </c>
      <c r="AP1515" s="3" t="s">
        <v>58</v>
      </c>
      <c r="AQ1515" s="3" t="s">
        <v>58</v>
      </c>
      <c r="AS1515" s="6" t="str">
        <f>HYPERLINK("https://creighton-primo.hosted.exlibrisgroup.com/primo-explore/search?tab=default_tab&amp;search_scope=EVERYTHING&amp;vid=01CRU&amp;lang=en_US&amp;offset=0&amp;query=any,contains,991000184129702656","Catalog Record")</f>
        <v>Catalog Record</v>
      </c>
      <c r="AT1515" s="6" t="str">
        <f>HYPERLINK("http://www.worldcat.org/oclc/9393102","WorldCat Record")</f>
        <v>WorldCat Record</v>
      </c>
      <c r="AU1515" s="3" t="s">
        <v>18996</v>
      </c>
      <c r="AV1515" s="3" t="s">
        <v>18997</v>
      </c>
      <c r="AW1515" s="3" t="s">
        <v>18998</v>
      </c>
      <c r="AX1515" s="3" t="s">
        <v>18998</v>
      </c>
      <c r="AY1515" s="3" t="s">
        <v>18999</v>
      </c>
      <c r="AZ1515" s="3" t="s">
        <v>73</v>
      </c>
      <c r="BB1515" s="3" t="s">
        <v>19000</v>
      </c>
      <c r="BC1515" s="3" t="s">
        <v>19001</v>
      </c>
      <c r="BD1515" s="3" t="s">
        <v>19002</v>
      </c>
    </row>
    <row r="1516" spans="1:56" ht="51" customHeight="1" x14ac:dyDescent="0.25">
      <c r="A1516" s="7" t="s">
        <v>58</v>
      </c>
      <c r="B1516" s="2" t="s">
        <v>19003</v>
      </c>
      <c r="C1516" s="2" t="s">
        <v>19004</v>
      </c>
      <c r="D1516" s="2" t="s">
        <v>19005</v>
      </c>
      <c r="F1516" s="3" t="s">
        <v>58</v>
      </c>
      <c r="G1516" s="3" t="s">
        <v>59</v>
      </c>
      <c r="H1516" s="3" t="s">
        <v>58</v>
      </c>
      <c r="I1516" s="3" t="s">
        <v>58</v>
      </c>
      <c r="J1516" s="3" t="s">
        <v>60</v>
      </c>
      <c r="K1516" s="2" t="s">
        <v>19006</v>
      </c>
      <c r="L1516" s="2" t="s">
        <v>19007</v>
      </c>
      <c r="M1516" s="3" t="s">
        <v>1399</v>
      </c>
      <c r="N1516" s="2" t="s">
        <v>338</v>
      </c>
      <c r="O1516" s="3" t="s">
        <v>63</v>
      </c>
      <c r="P1516" s="3" t="s">
        <v>214</v>
      </c>
      <c r="R1516" s="3" t="s">
        <v>65</v>
      </c>
      <c r="S1516" s="4">
        <v>5</v>
      </c>
      <c r="T1516" s="4">
        <v>5</v>
      </c>
      <c r="U1516" s="5" t="s">
        <v>13444</v>
      </c>
      <c r="V1516" s="5" t="s">
        <v>13444</v>
      </c>
      <c r="W1516" s="5" t="s">
        <v>19008</v>
      </c>
      <c r="X1516" s="5" t="s">
        <v>19008</v>
      </c>
      <c r="Y1516" s="4">
        <v>469</v>
      </c>
      <c r="Z1516" s="4">
        <v>430</v>
      </c>
      <c r="AA1516" s="4">
        <v>598</v>
      </c>
      <c r="AB1516" s="4">
        <v>2</v>
      </c>
      <c r="AC1516" s="4">
        <v>2</v>
      </c>
      <c r="AD1516" s="4">
        <v>15</v>
      </c>
      <c r="AE1516" s="4">
        <v>19</v>
      </c>
      <c r="AF1516" s="4">
        <v>6</v>
      </c>
      <c r="AG1516" s="4">
        <v>8</v>
      </c>
      <c r="AH1516" s="4">
        <v>3</v>
      </c>
      <c r="AI1516" s="4">
        <v>3</v>
      </c>
      <c r="AJ1516" s="4">
        <v>12</v>
      </c>
      <c r="AK1516" s="4">
        <v>15</v>
      </c>
      <c r="AL1516" s="4">
        <v>1</v>
      </c>
      <c r="AM1516" s="4">
        <v>1</v>
      </c>
      <c r="AN1516" s="4">
        <v>0</v>
      </c>
      <c r="AO1516" s="4">
        <v>0</v>
      </c>
      <c r="AP1516" s="3" t="s">
        <v>58</v>
      </c>
      <c r="AQ1516" s="3" t="s">
        <v>68</v>
      </c>
      <c r="AR1516" s="6" t="str">
        <f>HYPERLINK("http://catalog.hathitrust.org/Record/000913996","HathiTrust Record")</f>
        <v>HathiTrust Record</v>
      </c>
      <c r="AS1516" s="6" t="str">
        <f>HYPERLINK("https://creighton-primo.hosted.exlibrisgroup.com/primo-explore/search?tab=default_tab&amp;search_scope=EVERYTHING&amp;vid=01CRU&amp;lang=en_US&amp;offset=0&amp;query=any,contains,991001201179702656","Catalog Record")</f>
        <v>Catalog Record</v>
      </c>
      <c r="AT1516" s="6" t="str">
        <f>HYPERLINK("http://www.worldcat.org/oclc/17301174","WorldCat Record")</f>
        <v>WorldCat Record</v>
      </c>
      <c r="AU1516" s="3" t="s">
        <v>19009</v>
      </c>
      <c r="AV1516" s="3" t="s">
        <v>19010</v>
      </c>
      <c r="AW1516" s="3" t="s">
        <v>19011</v>
      </c>
      <c r="AX1516" s="3" t="s">
        <v>19011</v>
      </c>
      <c r="AY1516" s="3" t="s">
        <v>19012</v>
      </c>
      <c r="AZ1516" s="3" t="s">
        <v>73</v>
      </c>
      <c r="BC1516" s="3" t="s">
        <v>19013</v>
      </c>
      <c r="BD1516" s="3" t="s">
        <v>19014</v>
      </c>
    </row>
    <row r="1517" spans="1:56" ht="51" customHeight="1" x14ac:dyDescent="0.25">
      <c r="A1517" s="7" t="s">
        <v>58</v>
      </c>
      <c r="B1517" s="2" t="s">
        <v>19015</v>
      </c>
      <c r="C1517" s="2" t="s">
        <v>19016</v>
      </c>
      <c r="D1517" s="2" t="s">
        <v>19017</v>
      </c>
      <c r="F1517" s="3" t="s">
        <v>58</v>
      </c>
      <c r="G1517" s="3" t="s">
        <v>59</v>
      </c>
      <c r="H1517" s="3" t="s">
        <v>58</v>
      </c>
      <c r="I1517" s="3" t="s">
        <v>58</v>
      </c>
      <c r="J1517" s="3" t="s">
        <v>60</v>
      </c>
      <c r="K1517" s="2" t="s">
        <v>19018</v>
      </c>
      <c r="L1517" s="2" t="s">
        <v>18894</v>
      </c>
      <c r="M1517" s="3" t="s">
        <v>423</v>
      </c>
      <c r="O1517" s="3" t="s">
        <v>63</v>
      </c>
      <c r="P1517" s="3" t="s">
        <v>3109</v>
      </c>
      <c r="Q1517" s="2" t="s">
        <v>19019</v>
      </c>
      <c r="R1517" s="3" t="s">
        <v>65</v>
      </c>
      <c r="S1517" s="4">
        <v>3</v>
      </c>
      <c r="T1517" s="4">
        <v>3</v>
      </c>
      <c r="U1517" s="5" t="s">
        <v>15843</v>
      </c>
      <c r="V1517" s="5" t="s">
        <v>15843</v>
      </c>
      <c r="W1517" s="5" t="s">
        <v>18245</v>
      </c>
      <c r="X1517" s="5" t="s">
        <v>18245</v>
      </c>
      <c r="Y1517" s="4">
        <v>179</v>
      </c>
      <c r="Z1517" s="4">
        <v>161</v>
      </c>
      <c r="AA1517" s="4">
        <v>284</v>
      </c>
      <c r="AB1517" s="4">
        <v>2</v>
      </c>
      <c r="AC1517" s="4">
        <v>5</v>
      </c>
      <c r="AD1517" s="4">
        <v>9</v>
      </c>
      <c r="AE1517" s="4">
        <v>17</v>
      </c>
      <c r="AF1517" s="4">
        <v>3</v>
      </c>
      <c r="AG1517" s="4">
        <v>5</v>
      </c>
      <c r="AH1517" s="4">
        <v>4</v>
      </c>
      <c r="AI1517" s="4">
        <v>8</v>
      </c>
      <c r="AJ1517" s="4">
        <v>4</v>
      </c>
      <c r="AK1517" s="4">
        <v>5</v>
      </c>
      <c r="AL1517" s="4">
        <v>1</v>
      </c>
      <c r="AM1517" s="4">
        <v>4</v>
      </c>
      <c r="AN1517" s="4">
        <v>0</v>
      </c>
      <c r="AO1517" s="4">
        <v>0</v>
      </c>
      <c r="AP1517" s="3" t="s">
        <v>58</v>
      </c>
      <c r="AQ1517" s="3" t="s">
        <v>68</v>
      </c>
      <c r="AR1517" s="6" t="str">
        <f>HYPERLINK("http://catalog.hathitrust.org/Record/004023431","HathiTrust Record")</f>
        <v>HathiTrust Record</v>
      </c>
      <c r="AS1517" s="6" t="str">
        <f>HYPERLINK("https://creighton-primo.hosted.exlibrisgroup.com/primo-explore/search?tab=default_tab&amp;search_scope=EVERYTHING&amp;vid=01CRU&amp;lang=en_US&amp;offset=0&amp;query=any,contains,991002942859702656","Catalog Record")</f>
        <v>Catalog Record</v>
      </c>
      <c r="AT1517" s="6" t="str">
        <f>HYPERLINK("http://www.worldcat.org/oclc/39182232","WorldCat Record")</f>
        <v>WorldCat Record</v>
      </c>
      <c r="AU1517" s="3" t="s">
        <v>19020</v>
      </c>
      <c r="AV1517" s="3" t="s">
        <v>19021</v>
      </c>
      <c r="AW1517" s="3" t="s">
        <v>19022</v>
      </c>
      <c r="AX1517" s="3" t="s">
        <v>19022</v>
      </c>
      <c r="AY1517" s="3" t="s">
        <v>19023</v>
      </c>
      <c r="AZ1517" s="3" t="s">
        <v>73</v>
      </c>
      <c r="BB1517" s="3" t="s">
        <v>19024</v>
      </c>
      <c r="BC1517" s="3" t="s">
        <v>19025</v>
      </c>
      <c r="BD1517" s="3" t="s">
        <v>19026</v>
      </c>
    </row>
    <row r="1518" spans="1:56" ht="51" customHeight="1" x14ac:dyDescent="0.25">
      <c r="A1518" s="7" t="s">
        <v>58</v>
      </c>
      <c r="B1518" s="2" t="s">
        <v>19027</v>
      </c>
      <c r="C1518" s="2" t="s">
        <v>19028</v>
      </c>
      <c r="D1518" s="2" t="s">
        <v>19029</v>
      </c>
      <c r="F1518" s="3" t="s">
        <v>58</v>
      </c>
      <c r="G1518" s="3" t="s">
        <v>59</v>
      </c>
      <c r="H1518" s="3" t="s">
        <v>58</v>
      </c>
      <c r="I1518" s="3" t="s">
        <v>58</v>
      </c>
      <c r="J1518" s="3" t="s">
        <v>60</v>
      </c>
      <c r="L1518" s="2" t="s">
        <v>19030</v>
      </c>
      <c r="M1518" s="3" t="s">
        <v>524</v>
      </c>
      <c r="O1518" s="3" t="s">
        <v>63</v>
      </c>
      <c r="P1518" s="3" t="s">
        <v>816</v>
      </c>
      <c r="Q1518" s="2" t="s">
        <v>16987</v>
      </c>
      <c r="R1518" s="3" t="s">
        <v>65</v>
      </c>
      <c r="S1518" s="4">
        <v>10</v>
      </c>
      <c r="T1518" s="4">
        <v>10</v>
      </c>
      <c r="U1518" s="5" t="s">
        <v>14814</v>
      </c>
      <c r="V1518" s="5" t="s">
        <v>14814</v>
      </c>
      <c r="W1518" s="5" t="s">
        <v>3486</v>
      </c>
      <c r="X1518" s="5" t="s">
        <v>3486</v>
      </c>
      <c r="Y1518" s="4">
        <v>1281</v>
      </c>
      <c r="Z1518" s="4">
        <v>1237</v>
      </c>
      <c r="AA1518" s="4">
        <v>1242</v>
      </c>
      <c r="AB1518" s="4">
        <v>12</v>
      </c>
      <c r="AC1518" s="4">
        <v>12</v>
      </c>
      <c r="AD1518" s="4">
        <v>15</v>
      </c>
      <c r="AE1518" s="4">
        <v>15</v>
      </c>
      <c r="AF1518" s="4">
        <v>5</v>
      </c>
      <c r="AG1518" s="4">
        <v>5</v>
      </c>
      <c r="AH1518" s="4">
        <v>3</v>
      </c>
      <c r="AI1518" s="4">
        <v>3</v>
      </c>
      <c r="AJ1518" s="4">
        <v>9</v>
      </c>
      <c r="AK1518" s="4">
        <v>9</v>
      </c>
      <c r="AL1518" s="4">
        <v>2</v>
      </c>
      <c r="AM1518" s="4">
        <v>2</v>
      </c>
      <c r="AN1518" s="4">
        <v>0</v>
      </c>
      <c r="AO1518" s="4">
        <v>0</v>
      </c>
      <c r="AP1518" s="3" t="s">
        <v>58</v>
      </c>
      <c r="AQ1518" s="3" t="s">
        <v>58</v>
      </c>
      <c r="AS1518" s="6" t="str">
        <f>HYPERLINK("https://creighton-primo.hosted.exlibrisgroup.com/primo-explore/search?tab=default_tab&amp;search_scope=EVERYTHING&amp;vid=01CRU&amp;lang=en_US&amp;offset=0&amp;query=any,contains,991000856359702656","Catalog Record")</f>
        <v>Catalog Record</v>
      </c>
      <c r="AT1518" s="6" t="str">
        <f>HYPERLINK("http://www.worldcat.org/oclc/13655353","WorldCat Record")</f>
        <v>WorldCat Record</v>
      </c>
      <c r="AU1518" s="3" t="s">
        <v>19031</v>
      </c>
      <c r="AV1518" s="3" t="s">
        <v>19032</v>
      </c>
      <c r="AW1518" s="3" t="s">
        <v>19033</v>
      </c>
      <c r="AX1518" s="3" t="s">
        <v>19033</v>
      </c>
      <c r="AY1518" s="3" t="s">
        <v>19034</v>
      </c>
      <c r="AZ1518" s="3" t="s">
        <v>73</v>
      </c>
      <c r="BB1518" s="3" t="s">
        <v>19035</v>
      </c>
      <c r="BC1518" s="3" t="s">
        <v>19036</v>
      </c>
      <c r="BD1518" s="3" t="s">
        <v>19037</v>
      </c>
    </row>
    <row r="1519" spans="1:56" ht="51" customHeight="1" x14ac:dyDescent="0.25">
      <c r="A1519" s="7" t="s">
        <v>58</v>
      </c>
      <c r="B1519" s="2" t="s">
        <v>19038</v>
      </c>
      <c r="C1519" s="2" t="s">
        <v>19039</v>
      </c>
      <c r="D1519" s="2" t="s">
        <v>19040</v>
      </c>
      <c r="F1519" s="3" t="s">
        <v>58</v>
      </c>
      <c r="G1519" s="3" t="s">
        <v>59</v>
      </c>
      <c r="H1519" s="3" t="s">
        <v>58</v>
      </c>
      <c r="I1519" s="3" t="s">
        <v>58</v>
      </c>
      <c r="J1519" s="3" t="s">
        <v>60</v>
      </c>
      <c r="K1519" s="2" t="s">
        <v>19041</v>
      </c>
      <c r="L1519" s="2" t="s">
        <v>19042</v>
      </c>
      <c r="M1519" s="3" t="s">
        <v>479</v>
      </c>
      <c r="N1519" s="2" t="s">
        <v>338</v>
      </c>
      <c r="O1519" s="3" t="s">
        <v>63</v>
      </c>
      <c r="P1519" s="3" t="s">
        <v>214</v>
      </c>
      <c r="R1519" s="3" t="s">
        <v>65</v>
      </c>
      <c r="S1519" s="4">
        <v>4</v>
      </c>
      <c r="T1519" s="4">
        <v>4</v>
      </c>
      <c r="U1519" s="5" t="s">
        <v>19043</v>
      </c>
      <c r="V1519" s="5" t="s">
        <v>19043</v>
      </c>
      <c r="W1519" s="5" t="s">
        <v>19044</v>
      </c>
      <c r="X1519" s="5" t="s">
        <v>19044</v>
      </c>
      <c r="Y1519" s="4">
        <v>1160</v>
      </c>
      <c r="Z1519" s="4">
        <v>1110</v>
      </c>
      <c r="AA1519" s="4">
        <v>1418</v>
      </c>
      <c r="AB1519" s="4">
        <v>8</v>
      </c>
      <c r="AC1519" s="4">
        <v>10</v>
      </c>
      <c r="AD1519" s="4">
        <v>32</v>
      </c>
      <c r="AE1519" s="4">
        <v>40</v>
      </c>
      <c r="AF1519" s="4">
        <v>11</v>
      </c>
      <c r="AG1519" s="4">
        <v>15</v>
      </c>
      <c r="AH1519" s="4">
        <v>8</v>
      </c>
      <c r="AI1519" s="4">
        <v>8</v>
      </c>
      <c r="AJ1519" s="4">
        <v>15</v>
      </c>
      <c r="AK1519" s="4">
        <v>18</v>
      </c>
      <c r="AL1519" s="4">
        <v>6</v>
      </c>
      <c r="AM1519" s="4">
        <v>7</v>
      </c>
      <c r="AN1519" s="4">
        <v>0</v>
      </c>
      <c r="AO1519" s="4">
        <v>0</v>
      </c>
      <c r="AP1519" s="3" t="s">
        <v>58</v>
      </c>
      <c r="AQ1519" s="3" t="s">
        <v>68</v>
      </c>
      <c r="AR1519" s="6" t="str">
        <f>HYPERLINK("http://catalog.hathitrust.org/Record/002896326","HathiTrust Record")</f>
        <v>HathiTrust Record</v>
      </c>
      <c r="AS1519" s="6" t="str">
        <f>HYPERLINK("https://creighton-primo.hosted.exlibrisgroup.com/primo-explore/search?tab=default_tab&amp;search_scope=EVERYTHING&amp;vid=01CRU&amp;lang=en_US&amp;offset=0&amp;query=any,contains,991002337699702656","Catalog Record")</f>
        <v>Catalog Record</v>
      </c>
      <c r="AT1519" s="6" t="str">
        <f>HYPERLINK("http://www.worldcat.org/oclc/30436634","WorldCat Record")</f>
        <v>WorldCat Record</v>
      </c>
      <c r="AU1519" s="3" t="s">
        <v>19045</v>
      </c>
      <c r="AV1519" s="3" t="s">
        <v>19046</v>
      </c>
      <c r="AW1519" s="3" t="s">
        <v>19047</v>
      </c>
      <c r="AX1519" s="3" t="s">
        <v>19047</v>
      </c>
      <c r="AY1519" s="3" t="s">
        <v>19048</v>
      </c>
      <c r="AZ1519" s="3" t="s">
        <v>73</v>
      </c>
      <c r="BB1519" s="3" t="s">
        <v>19049</v>
      </c>
      <c r="BC1519" s="3" t="s">
        <v>19050</v>
      </c>
      <c r="BD1519" s="3" t="s">
        <v>19051</v>
      </c>
    </row>
    <row r="1520" spans="1:56" ht="51" customHeight="1" x14ac:dyDescent="0.25">
      <c r="A1520" s="7" t="s">
        <v>58</v>
      </c>
      <c r="B1520" s="2" t="s">
        <v>19052</v>
      </c>
      <c r="C1520" s="2" t="s">
        <v>19053</v>
      </c>
      <c r="D1520" s="2" t="s">
        <v>19054</v>
      </c>
      <c r="F1520" s="3" t="s">
        <v>58</v>
      </c>
      <c r="G1520" s="3" t="s">
        <v>59</v>
      </c>
      <c r="H1520" s="3" t="s">
        <v>58</v>
      </c>
      <c r="I1520" s="3" t="s">
        <v>58</v>
      </c>
      <c r="J1520" s="3" t="s">
        <v>60</v>
      </c>
      <c r="K1520" s="2" t="s">
        <v>19055</v>
      </c>
      <c r="L1520" s="2" t="s">
        <v>19056</v>
      </c>
      <c r="M1520" s="3" t="s">
        <v>800</v>
      </c>
      <c r="O1520" s="3" t="s">
        <v>63</v>
      </c>
      <c r="P1520" s="3" t="s">
        <v>1192</v>
      </c>
      <c r="R1520" s="3" t="s">
        <v>65</v>
      </c>
      <c r="S1520" s="4">
        <v>1</v>
      </c>
      <c r="T1520" s="4">
        <v>1</v>
      </c>
      <c r="U1520" s="5" t="s">
        <v>19057</v>
      </c>
      <c r="V1520" s="5" t="s">
        <v>19057</v>
      </c>
      <c r="W1520" s="5" t="s">
        <v>11838</v>
      </c>
      <c r="X1520" s="5" t="s">
        <v>11838</v>
      </c>
      <c r="Y1520" s="4">
        <v>49</v>
      </c>
      <c r="Z1520" s="4">
        <v>46</v>
      </c>
      <c r="AA1520" s="4">
        <v>46</v>
      </c>
      <c r="AB1520" s="4">
        <v>1</v>
      </c>
      <c r="AC1520" s="4">
        <v>1</v>
      </c>
      <c r="AD1520" s="4">
        <v>6</v>
      </c>
      <c r="AE1520" s="4">
        <v>6</v>
      </c>
      <c r="AF1520" s="4">
        <v>3</v>
      </c>
      <c r="AG1520" s="4">
        <v>3</v>
      </c>
      <c r="AH1520" s="4">
        <v>1</v>
      </c>
      <c r="AI1520" s="4">
        <v>1</v>
      </c>
      <c r="AJ1520" s="4">
        <v>5</v>
      </c>
      <c r="AK1520" s="4">
        <v>5</v>
      </c>
      <c r="AL1520" s="4">
        <v>0</v>
      </c>
      <c r="AM1520" s="4">
        <v>0</v>
      </c>
      <c r="AN1520" s="4">
        <v>0</v>
      </c>
      <c r="AO1520" s="4">
        <v>0</v>
      </c>
      <c r="AP1520" s="3" t="s">
        <v>58</v>
      </c>
      <c r="AQ1520" s="3" t="s">
        <v>58</v>
      </c>
      <c r="AS1520" s="6" t="str">
        <f>HYPERLINK("https://creighton-primo.hosted.exlibrisgroup.com/primo-explore/search?tab=default_tab&amp;search_scope=EVERYTHING&amp;vid=01CRU&amp;lang=en_US&amp;offset=0&amp;query=any,contains,991002521689702656","Catalog Record")</f>
        <v>Catalog Record</v>
      </c>
      <c r="AT1520" s="6" t="str">
        <f>HYPERLINK("http://www.worldcat.org/oclc/32780562","WorldCat Record")</f>
        <v>WorldCat Record</v>
      </c>
      <c r="AU1520" s="3" t="s">
        <v>19058</v>
      </c>
      <c r="AV1520" s="3" t="s">
        <v>19059</v>
      </c>
      <c r="AW1520" s="3" t="s">
        <v>19060</v>
      </c>
      <c r="AX1520" s="3" t="s">
        <v>19060</v>
      </c>
      <c r="AY1520" s="3" t="s">
        <v>19061</v>
      </c>
      <c r="AZ1520" s="3" t="s">
        <v>73</v>
      </c>
      <c r="BB1520" s="3" t="s">
        <v>19062</v>
      </c>
      <c r="BC1520" s="3" t="s">
        <v>19063</v>
      </c>
      <c r="BD1520" s="3" t="s">
        <v>19064</v>
      </c>
    </row>
    <row r="1521" spans="1:56" ht="51" customHeight="1" x14ac:dyDescent="0.25">
      <c r="A1521" s="7" t="s">
        <v>58</v>
      </c>
      <c r="B1521" s="2" t="s">
        <v>19065</v>
      </c>
      <c r="C1521" s="2" t="s">
        <v>19066</v>
      </c>
      <c r="D1521" s="2" t="s">
        <v>19067</v>
      </c>
      <c r="F1521" s="3" t="s">
        <v>58</v>
      </c>
      <c r="G1521" s="3" t="s">
        <v>59</v>
      </c>
      <c r="H1521" s="3" t="s">
        <v>58</v>
      </c>
      <c r="I1521" s="3" t="s">
        <v>58</v>
      </c>
      <c r="J1521" s="3" t="s">
        <v>60</v>
      </c>
      <c r="K1521" s="2" t="s">
        <v>19068</v>
      </c>
      <c r="L1521" s="2" t="s">
        <v>19069</v>
      </c>
      <c r="M1521" s="3" t="s">
        <v>1061</v>
      </c>
      <c r="O1521" s="3" t="s">
        <v>63</v>
      </c>
      <c r="P1521" s="3" t="s">
        <v>64</v>
      </c>
      <c r="Q1521" s="2" t="s">
        <v>19070</v>
      </c>
      <c r="R1521" s="3" t="s">
        <v>65</v>
      </c>
      <c r="S1521" s="4">
        <v>1</v>
      </c>
      <c r="T1521" s="4">
        <v>1</v>
      </c>
      <c r="U1521" s="5" t="s">
        <v>19071</v>
      </c>
      <c r="V1521" s="5" t="s">
        <v>19071</v>
      </c>
      <c r="W1521" s="5" t="s">
        <v>19071</v>
      </c>
      <c r="X1521" s="5" t="s">
        <v>19071</v>
      </c>
      <c r="Y1521" s="4">
        <v>231</v>
      </c>
      <c r="Z1521" s="4">
        <v>108</v>
      </c>
      <c r="AA1521" s="4">
        <v>108</v>
      </c>
      <c r="AB1521" s="4">
        <v>2</v>
      </c>
      <c r="AC1521" s="4">
        <v>2</v>
      </c>
      <c r="AD1521" s="4">
        <v>9</v>
      </c>
      <c r="AE1521" s="4">
        <v>9</v>
      </c>
      <c r="AF1521" s="4">
        <v>3</v>
      </c>
      <c r="AG1521" s="4">
        <v>3</v>
      </c>
      <c r="AH1521" s="4">
        <v>3</v>
      </c>
      <c r="AI1521" s="4">
        <v>3</v>
      </c>
      <c r="AJ1521" s="4">
        <v>6</v>
      </c>
      <c r="AK1521" s="4">
        <v>6</v>
      </c>
      <c r="AL1521" s="4">
        <v>1</v>
      </c>
      <c r="AM1521" s="4">
        <v>1</v>
      </c>
      <c r="AN1521" s="4">
        <v>0</v>
      </c>
      <c r="AO1521" s="4">
        <v>0</v>
      </c>
      <c r="AP1521" s="3" t="s">
        <v>58</v>
      </c>
      <c r="AQ1521" s="3" t="s">
        <v>58</v>
      </c>
      <c r="AS1521" s="6" t="str">
        <f>HYPERLINK("https://creighton-primo.hosted.exlibrisgroup.com/primo-explore/search?tab=default_tab&amp;search_scope=EVERYTHING&amp;vid=01CRU&amp;lang=en_US&amp;offset=0&amp;query=any,contains,991003344629702656","Catalog Record")</f>
        <v>Catalog Record</v>
      </c>
      <c r="AT1521" s="6" t="str">
        <f>HYPERLINK("http://www.worldcat.org/oclc/37738526","WorldCat Record")</f>
        <v>WorldCat Record</v>
      </c>
      <c r="AU1521" s="3" t="s">
        <v>19072</v>
      </c>
      <c r="AV1521" s="3" t="s">
        <v>19073</v>
      </c>
      <c r="AW1521" s="3" t="s">
        <v>19074</v>
      </c>
      <c r="AX1521" s="3" t="s">
        <v>19074</v>
      </c>
      <c r="AY1521" s="3" t="s">
        <v>19075</v>
      </c>
      <c r="AZ1521" s="3" t="s">
        <v>73</v>
      </c>
      <c r="BB1521" s="3" t="s">
        <v>19076</v>
      </c>
      <c r="BC1521" s="3" t="s">
        <v>19077</v>
      </c>
      <c r="BD1521" s="3" t="s">
        <v>19078</v>
      </c>
    </row>
    <row r="1522" spans="1:56" ht="51" customHeight="1" x14ac:dyDescent="0.25">
      <c r="A1522" s="7" t="s">
        <v>58</v>
      </c>
      <c r="B1522" s="2" t="s">
        <v>19079</v>
      </c>
      <c r="C1522" s="2" t="s">
        <v>19080</v>
      </c>
      <c r="D1522" s="2" t="s">
        <v>19081</v>
      </c>
      <c r="F1522" s="3" t="s">
        <v>58</v>
      </c>
      <c r="G1522" s="3" t="s">
        <v>59</v>
      </c>
      <c r="H1522" s="3" t="s">
        <v>58</v>
      </c>
      <c r="I1522" s="3" t="s">
        <v>58</v>
      </c>
      <c r="J1522" s="3" t="s">
        <v>60</v>
      </c>
      <c r="K1522" s="2" t="s">
        <v>19082</v>
      </c>
      <c r="L1522" s="2" t="s">
        <v>19083</v>
      </c>
      <c r="M1522" s="3" t="s">
        <v>951</v>
      </c>
      <c r="O1522" s="3" t="s">
        <v>63</v>
      </c>
      <c r="P1522" s="3" t="s">
        <v>816</v>
      </c>
      <c r="Q1522" s="2" t="s">
        <v>19084</v>
      </c>
      <c r="R1522" s="3" t="s">
        <v>65</v>
      </c>
      <c r="S1522" s="4">
        <v>3</v>
      </c>
      <c r="T1522" s="4">
        <v>3</v>
      </c>
      <c r="U1522" s="5" t="s">
        <v>19085</v>
      </c>
      <c r="V1522" s="5" t="s">
        <v>19085</v>
      </c>
      <c r="W1522" s="5" t="s">
        <v>19086</v>
      </c>
      <c r="X1522" s="5" t="s">
        <v>19086</v>
      </c>
      <c r="Y1522" s="4">
        <v>715</v>
      </c>
      <c r="Z1522" s="4">
        <v>620</v>
      </c>
      <c r="AA1522" s="4">
        <v>630</v>
      </c>
      <c r="AB1522" s="4">
        <v>4</v>
      </c>
      <c r="AC1522" s="4">
        <v>4</v>
      </c>
      <c r="AD1522" s="4">
        <v>29</v>
      </c>
      <c r="AE1522" s="4">
        <v>29</v>
      </c>
      <c r="AF1522" s="4">
        <v>11</v>
      </c>
      <c r="AG1522" s="4">
        <v>11</v>
      </c>
      <c r="AH1522" s="4">
        <v>8</v>
      </c>
      <c r="AI1522" s="4">
        <v>8</v>
      </c>
      <c r="AJ1522" s="4">
        <v>15</v>
      </c>
      <c r="AK1522" s="4">
        <v>15</v>
      </c>
      <c r="AL1522" s="4">
        <v>3</v>
      </c>
      <c r="AM1522" s="4">
        <v>3</v>
      </c>
      <c r="AN1522" s="4">
        <v>0</v>
      </c>
      <c r="AO1522" s="4">
        <v>0</v>
      </c>
      <c r="AP1522" s="3" t="s">
        <v>58</v>
      </c>
      <c r="AQ1522" s="3" t="s">
        <v>68</v>
      </c>
      <c r="AR1522" s="6" t="str">
        <f>HYPERLINK("http://catalog.hathitrust.org/Record/004130405","HathiTrust Record")</f>
        <v>HathiTrust Record</v>
      </c>
      <c r="AS1522" s="6" t="str">
        <f>HYPERLINK("https://creighton-primo.hosted.exlibrisgroup.com/primo-explore/search?tab=default_tab&amp;search_scope=EVERYTHING&amp;vid=01CRU&amp;lang=en_US&amp;offset=0&amp;query=any,contains,991003593719702656","Catalog Record")</f>
        <v>Catalog Record</v>
      </c>
      <c r="AT1522" s="6" t="str">
        <f>HYPERLINK("http://www.worldcat.org/oclc/43929798","WorldCat Record")</f>
        <v>WorldCat Record</v>
      </c>
      <c r="AU1522" s="3" t="s">
        <v>19087</v>
      </c>
      <c r="AV1522" s="3" t="s">
        <v>19088</v>
      </c>
      <c r="AW1522" s="3" t="s">
        <v>19089</v>
      </c>
      <c r="AX1522" s="3" t="s">
        <v>19089</v>
      </c>
      <c r="AY1522" s="3" t="s">
        <v>19090</v>
      </c>
      <c r="AZ1522" s="3" t="s">
        <v>73</v>
      </c>
      <c r="BB1522" s="3" t="s">
        <v>19091</v>
      </c>
      <c r="BC1522" s="3" t="s">
        <v>19092</v>
      </c>
      <c r="BD1522" s="3" t="s">
        <v>19093</v>
      </c>
    </row>
    <row r="1523" spans="1:56" ht="51" customHeight="1" x14ac:dyDescent="0.25">
      <c r="A1523" s="7" t="s">
        <v>58</v>
      </c>
      <c r="B1523" s="2" t="s">
        <v>19094</v>
      </c>
      <c r="C1523" s="2" t="s">
        <v>19095</v>
      </c>
      <c r="D1523" s="2" t="s">
        <v>19096</v>
      </c>
      <c r="F1523" s="3" t="s">
        <v>58</v>
      </c>
      <c r="G1523" s="3" t="s">
        <v>59</v>
      </c>
      <c r="H1523" s="3" t="s">
        <v>58</v>
      </c>
      <c r="I1523" s="3" t="s">
        <v>58</v>
      </c>
      <c r="J1523" s="3" t="s">
        <v>60</v>
      </c>
      <c r="K1523" s="2" t="s">
        <v>19097</v>
      </c>
      <c r="L1523" s="2" t="s">
        <v>19098</v>
      </c>
      <c r="M1523" s="3" t="s">
        <v>1061</v>
      </c>
      <c r="N1523" s="2" t="s">
        <v>19099</v>
      </c>
      <c r="O1523" s="3" t="s">
        <v>63</v>
      </c>
      <c r="P1523" s="3" t="s">
        <v>214</v>
      </c>
      <c r="R1523" s="3" t="s">
        <v>65</v>
      </c>
      <c r="S1523" s="4">
        <v>5</v>
      </c>
      <c r="T1523" s="4">
        <v>5</v>
      </c>
      <c r="U1523" s="5" t="s">
        <v>8126</v>
      </c>
      <c r="V1523" s="5" t="s">
        <v>8126</v>
      </c>
      <c r="W1523" s="5" t="s">
        <v>19100</v>
      </c>
      <c r="X1523" s="5" t="s">
        <v>19100</v>
      </c>
      <c r="Y1523" s="4">
        <v>101</v>
      </c>
      <c r="Z1523" s="4">
        <v>85</v>
      </c>
      <c r="AA1523" s="4">
        <v>937</v>
      </c>
      <c r="AB1523" s="4">
        <v>1</v>
      </c>
      <c r="AC1523" s="4">
        <v>7</v>
      </c>
      <c r="AD1523" s="4">
        <v>2</v>
      </c>
      <c r="AE1523" s="4">
        <v>37</v>
      </c>
      <c r="AF1523" s="4">
        <v>2</v>
      </c>
      <c r="AG1523" s="4">
        <v>15</v>
      </c>
      <c r="AH1523" s="4">
        <v>0</v>
      </c>
      <c r="AI1523" s="4">
        <v>9</v>
      </c>
      <c r="AJ1523" s="4">
        <v>1</v>
      </c>
      <c r="AK1523" s="4">
        <v>17</v>
      </c>
      <c r="AL1523" s="4">
        <v>0</v>
      </c>
      <c r="AM1523" s="4">
        <v>5</v>
      </c>
      <c r="AN1523" s="4">
        <v>0</v>
      </c>
      <c r="AO1523" s="4">
        <v>0</v>
      </c>
      <c r="AP1523" s="3" t="s">
        <v>58</v>
      </c>
      <c r="AQ1523" s="3" t="s">
        <v>58</v>
      </c>
      <c r="AS1523" s="6" t="str">
        <f>HYPERLINK("https://creighton-primo.hosted.exlibrisgroup.com/primo-explore/search?tab=default_tab&amp;search_scope=EVERYTHING&amp;vid=01CRU&amp;lang=en_US&amp;offset=0&amp;query=any,contains,991002780739702656","Catalog Record")</f>
        <v>Catalog Record</v>
      </c>
      <c r="AT1523" s="6" t="str">
        <f>HYPERLINK("http://www.worldcat.org/oclc/36504114","WorldCat Record")</f>
        <v>WorldCat Record</v>
      </c>
      <c r="AU1523" s="3" t="s">
        <v>19101</v>
      </c>
      <c r="AV1523" s="3" t="s">
        <v>19102</v>
      </c>
      <c r="AW1523" s="3" t="s">
        <v>19103</v>
      </c>
      <c r="AX1523" s="3" t="s">
        <v>19103</v>
      </c>
      <c r="AY1523" s="3" t="s">
        <v>19104</v>
      </c>
      <c r="AZ1523" s="3" t="s">
        <v>73</v>
      </c>
      <c r="BB1523" s="3" t="s">
        <v>19105</v>
      </c>
      <c r="BC1523" s="3" t="s">
        <v>19106</v>
      </c>
      <c r="BD1523" s="3" t="s">
        <v>19107</v>
      </c>
    </row>
    <row r="1524" spans="1:56" ht="51" customHeight="1" x14ac:dyDescent="0.25">
      <c r="A1524" s="7" t="s">
        <v>58</v>
      </c>
      <c r="B1524" s="2" t="s">
        <v>19108</v>
      </c>
      <c r="C1524" s="2" t="s">
        <v>19109</v>
      </c>
      <c r="D1524" s="2" t="s">
        <v>19110</v>
      </c>
      <c r="F1524" s="3" t="s">
        <v>58</v>
      </c>
      <c r="G1524" s="3" t="s">
        <v>59</v>
      </c>
      <c r="H1524" s="3" t="s">
        <v>58</v>
      </c>
      <c r="I1524" s="3" t="s">
        <v>58</v>
      </c>
      <c r="J1524" s="3" t="s">
        <v>60</v>
      </c>
      <c r="K1524" s="2" t="s">
        <v>19111</v>
      </c>
      <c r="L1524" s="2" t="s">
        <v>19112</v>
      </c>
      <c r="M1524" s="3" t="s">
        <v>855</v>
      </c>
      <c r="O1524" s="3" t="s">
        <v>63</v>
      </c>
      <c r="P1524" s="3" t="s">
        <v>214</v>
      </c>
      <c r="R1524" s="3" t="s">
        <v>65</v>
      </c>
      <c r="S1524" s="4">
        <v>13</v>
      </c>
      <c r="T1524" s="4">
        <v>13</v>
      </c>
      <c r="U1524" s="5" t="s">
        <v>19113</v>
      </c>
      <c r="V1524" s="5" t="s">
        <v>19113</v>
      </c>
      <c r="W1524" s="5" t="s">
        <v>11373</v>
      </c>
      <c r="X1524" s="5" t="s">
        <v>11373</v>
      </c>
      <c r="Y1524" s="4">
        <v>777</v>
      </c>
      <c r="Z1524" s="4">
        <v>685</v>
      </c>
      <c r="AA1524" s="4">
        <v>1425</v>
      </c>
      <c r="AB1524" s="4">
        <v>5</v>
      </c>
      <c r="AC1524" s="4">
        <v>7</v>
      </c>
      <c r="AD1524" s="4">
        <v>36</v>
      </c>
      <c r="AE1524" s="4">
        <v>46</v>
      </c>
      <c r="AF1524" s="4">
        <v>14</v>
      </c>
      <c r="AG1524" s="4">
        <v>21</v>
      </c>
      <c r="AH1524" s="4">
        <v>8</v>
      </c>
      <c r="AI1524" s="4">
        <v>10</v>
      </c>
      <c r="AJ1524" s="4">
        <v>20</v>
      </c>
      <c r="AK1524" s="4">
        <v>21</v>
      </c>
      <c r="AL1524" s="4">
        <v>4</v>
      </c>
      <c r="AM1524" s="4">
        <v>5</v>
      </c>
      <c r="AN1524" s="4">
        <v>0</v>
      </c>
      <c r="AO1524" s="4">
        <v>0</v>
      </c>
      <c r="AP1524" s="3" t="s">
        <v>58</v>
      </c>
      <c r="AQ1524" s="3" t="s">
        <v>58</v>
      </c>
      <c r="AS1524" s="6" t="str">
        <f>HYPERLINK("https://creighton-primo.hosted.exlibrisgroup.com/primo-explore/search?tab=default_tab&amp;search_scope=EVERYTHING&amp;vid=01CRU&amp;lang=en_US&amp;offset=0&amp;query=any,contains,991002074559702656","Catalog Record")</f>
        <v>Catalog Record</v>
      </c>
      <c r="AT1524" s="6" t="str">
        <f>HYPERLINK("http://www.worldcat.org/oclc/26588365","WorldCat Record")</f>
        <v>WorldCat Record</v>
      </c>
      <c r="AU1524" s="3" t="s">
        <v>19114</v>
      </c>
      <c r="AV1524" s="3" t="s">
        <v>19115</v>
      </c>
      <c r="AW1524" s="3" t="s">
        <v>19116</v>
      </c>
      <c r="AX1524" s="3" t="s">
        <v>19116</v>
      </c>
      <c r="AY1524" s="3" t="s">
        <v>19117</v>
      </c>
      <c r="AZ1524" s="3" t="s">
        <v>73</v>
      </c>
      <c r="BB1524" s="3" t="s">
        <v>19118</v>
      </c>
      <c r="BC1524" s="3" t="s">
        <v>19119</v>
      </c>
      <c r="BD1524" s="3" t="s">
        <v>19120</v>
      </c>
    </row>
    <row r="1525" spans="1:56" ht="51" customHeight="1" x14ac:dyDescent="0.25">
      <c r="A1525" s="7" t="s">
        <v>58</v>
      </c>
      <c r="B1525" s="2" t="s">
        <v>19121</v>
      </c>
      <c r="C1525" s="2" t="s">
        <v>19122</v>
      </c>
      <c r="D1525" s="2" t="s">
        <v>19123</v>
      </c>
      <c r="F1525" s="3" t="s">
        <v>58</v>
      </c>
      <c r="G1525" s="3" t="s">
        <v>59</v>
      </c>
      <c r="H1525" s="3" t="s">
        <v>58</v>
      </c>
      <c r="I1525" s="3" t="s">
        <v>58</v>
      </c>
      <c r="J1525" s="3" t="s">
        <v>60</v>
      </c>
      <c r="K1525" s="2" t="s">
        <v>19124</v>
      </c>
      <c r="L1525" s="2" t="s">
        <v>19125</v>
      </c>
      <c r="M1525" s="3" t="s">
        <v>382</v>
      </c>
      <c r="O1525" s="3" t="s">
        <v>63</v>
      </c>
      <c r="P1525" s="3" t="s">
        <v>214</v>
      </c>
      <c r="R1525" s="3" t="s">
        <v>65</v>
      </c>
      <c r="S1525" s="4">
        <v>4</v>
      </c>
      <c r="T1525" s="4">
        <v>4</v>
      </c>
      <c r="U1525" s="5" t="s">
        <v>19126</v>
      </c>
      <c r="V1525" s="5" t="s">
        <v>19126</v>
      </c>
      <c r="W1525" s="5" t="s">
        <v>19127</v>
      </c>
      <c r="X1525" s="5" t="s">
        <v>19127</v>
      </c>
      <c r="Y1525" s="4">
        <v>813</v>
      </c>
      <c r="Z1525" s="4">
        <v>728</v>
      </c>
      <c r="AA1525" s="4">
        <v>1574</v>
      </c>
      <c r="AB1525" s="4">
        <v>4</v>
      </c>
      <c r="AC1525" s="4">
        <v>9</v>
      </c>
      <c r="AD1525" s="4">
        <v>35</v>
      </c>
      <c r="AE1525" s="4">
        <v>50</v>
      </c>
      <c r="AF1525" s="4">
        <v>15</v>
      </c>
      <c r="AG1525" s="4">
        <v>20</v>
      </c>
      <c r="AH1525" s="4">
        <v>8</v>
      </c>
      <c r="AI1525" s="4">
        <v>10</v>
      </c>
      <c r="AJ1525" s="4">
        <v>18</v>
      </c>
      <c r="AK1525" s="4">
        <v>22</v>
      </c>
      <c r="AL1525" s="4">
        <v>3</v>
      </c>
      <c r="AM1525" s="4">
        <v>7</v>
      </c>
      <c r="AN1525" s="4">
        <v>0</v>
      </c>
      <c r="AO1525" s="4">
        <v>1</v>
      </c>
      <c r="AP1525" s="3" t="s">
        <v>58</v>
      </c>
      <c r="AQ1525" s="3" t="s">
        <v>58</v>
      </c>
      <c r="AS1525" s="6" t="str">
        <f>HYPERLINK("https://creighton-primo.hosted.exlibrisgroup.com/primo-explore/search?tab=default_tab&amp;search_scope=EVERYTHING&amp;vid=01CRU&amp;lang=en_US&amp;offset=0&amp;query=any,contains,991003209639702656","Catalog Record")</f>
        <v>Catalog Record</v>
      </c>
      <c r="AT1525" s="6" t="str">
        <f>HYPERLINK("http://www.worldcat.org/oclc/40848421","WorldCat Record")</f>
        <v>WorldCat Record</v>
      </c>
      <c r="AU1525" s="3" t="s">
        <v>19128</v>
      </c>
      <c r="AV1525" s="3" t="s">
        <v>19129</v>
      </c>
      <c r="AW1525" s="3" t="s">
        <v>19130</v>
      </c>
      <c r="AX1525" s="3" t="s">
        <v>19130</v>
      </c>
      <c r="AY1525" s="3" t="s">
        <v>19131</v>
      </c>
      <c r="AZ1525" s="3" t="s">
        <v>73</v>
      </c>
      <c r="BB1525" s="3" t="s">
        <v>19132</v>
      </c>
      <c r="BC1525" s="3" t="s">
        <v>19133</v>
      </c>
      <c r="BD1525" s="3" t="s">
        <v>19134</v>
      </c>
    </row>
    <row r="1526" spans="1:56" ht="51" customHeight="1" x14ac:dyDescent="0.25">
      <c r="A1526" s="7" t="s">
        <v>58</v>
      </c>
      <c r="B1526" s="2" t="s">
        <v>19135</v>
      </c>
      <c r="C1526" s="2" t="s">
        <v>19136</v>
      </c>
      <c r="D1526" s="2" t="s">
        <v>19137</v>
      </c>
      <c r="F1526" s="3" t="s">
        <v>58</v>
      </c>
      <c r="G1526" s="3" t="s">
        <v>59</v>
      </c>
      <c r="H1526" s="3" t="s">
        <v>58</v>
      </c>
      <c r="I1526" s="3" t="s">
        <v>58</v>
      </c>
      <c r="J1526" s="3" t="s">
        <v>60</v>
      </c>
      <c r="K1526" s="2" t="s">
        <v>19138</v>
      </c>
      <c r="L1526" s="2" t="s">
        <v>19139</v>
      </c>
      <c r="M1526" s="3" t="s">
        <v>1091</v>
      </c>
      <c r="N1526" s="2" t="s">
        <v>19140</v>
      </c>
      <c r="O1526" s="3" t="s">
        <v>63</v>
      </c>
      <c r="P1526" s="3" t="s">
        <v>214</v>
      </c>
      <c r="R1526" s="3" t="s">
        <v>65</v>
      </c>
      <c r="S1526" s="4">
        <v>4</v>
      </c>
      <c r="T1526" s="4">
        <v>4</v>
      </c>
      <c r="U1526" s="5" t="s">
        <v>17275</v>
      </c>
      <c r="V1526" s="5" t="s">
        <v>17275</v>
      </c>
      <c r="W1526" s="5" t="s">
        <v>19141</v>
      </c>
      <c r="X1526" s="5" t="s">
        <v>19141</v>
      </c>
      <c r="Y1526" s="4">
        <v>86</v>
      </c>
      <c r="Z1526" s="4">
        <v>74</v>
      </c>
      <c r="AA1526" s="4">
        <v>1300</v>
      </c>
      <c r="AB1526" s="4">
        <v>1</v>
      </c>
      <c r="AC1526" s="4">
        <v>8</v>
      </c>
      <c r="AD1526" s="4">
        <v>1</v>
      </c>
      <c r="AE1526" s="4">
        <v>30</v>
      </c>
      <c r="AF1526" s="4">
        <v>1</v>
      </c>
      <c r="AG1526" s="4">
        <v>12</v>
      </c>
      <c r="AH1526" s="4">
        <v>0</v>
      </c>
      <c r="AI1526" s="4">
        <v>8</v>
      </c>
      <c r="AJ1526" s="4">
        <v>0</v>
      </c>
      <c r="AK1526" s="4">
        <v>14</v>
      </c>
      <c r="AL1526" s="4">
        <v>0</v>
      </c>
      <c r="AM1526" s="4">
        <v>5</v>
      </c>
      <c r="AN1526" s="4">
        <v>0</v>
      </c>
      <c r="AO1526" s="4">
        <v>0</v>
      </c>
      <c r="AP1526" s="3" t="s">
        <v>58</v>
      </c>
      <c r="AQ1526" s="3" t="s">
        <v>58</v>
      </c>
      <c r="AS1526" s="6" t="str">
        <f>HYPERLINK("https://creighton-primo.hosted.exlibrisgroup.com/primo-explore/search?tab=default_tab&amp;search_scope=EVERYTHING&amp;vid=01CRU&amp;lang=en_US&amp;offset=0&amp;query=any,contains,991003870959702656","Catalog Record")</f>
        <v>Catalog Record</v>
      </c>
      <c r="AT1526" s="6" t="str">
        <f>HYPERLINK("http://www.worldcat.org/oclc/49529423","WorldCat Record")</f>
        <v>WorldCat Record</v>
      </c>
      <c r="AU1526" s="3" t="s">
        <v>19142</v>
      </c>
      <c r="AV1526" s="3" t="s">
        <v>19143</v>
      </c>
      <c r="AW1526" s="3" t="s">
        <v>19144</v>
      </c>
      <c r="AX1526" s="3" t="s">
        <v>19144</v>
      </c>
      <c r="AY1526" s="3" t="s">
        <v>19145</v>
      </c>
      <c r="AZ1526" s="3" t="s">
        <v>73</v>
      </c>
      <c r="BB1526" s="3" t="s">
        <v>19146</v>
      </c>
      <c r="BC1526" s="3" t="s">
        <v>19147</v>
      </c>
      <c r="BD1526" s="3" t="s">
        <v>19148</v>
      </c>
    </row>
    <row r="1527" spans="1:56" ht="51" customHeight="1" x14ac:dyDescent="0.25">
      <c r="A1527" s="7" t="s">
        <v>58</v>
      </c>
      <c r="B1527" s="2" t="s">
        <v>19149</v>
      </c>
      <c r="C1527" s="2" t="s">
        <v>19150</v>
      </c>
      <c r="D1527" s="2" t="s">
        <v>19151</v>
      </c>
      <c r="F1527" s="3" t="s">
        <v>58</v>
      </c>
      <c r="G1527" s="3" t="s">
        <v>59</v>
      </c>
      <c r="H1527" s="3" t="s">
        <v>58</v>
      </c>
      <c r="I1527" s="3" t="s">
        <v>58</v>
      </c>
      <c r="J1527" s="3" t="s">
        <v>60</v>
      </c>
      <c r="K1527" s="2" t="s">
        <v>19152</v>
      </c>
      <c r="L1527" s="2" t="s">
        <v>19153</v>
      </c>
      <c r="M1527" s="3" t="s">
        <v>2186</v>
      </c>
      <c r="O1527" s="3" t="s">
        <v>63</v>
      </c>
      <c r="P1527" s="3" t="s">
        <v>3109</v>
      </c>
      <c r="R1527" s="3" t="s">
        <v>65</v>
      </c>
      <c r="S1527" s="4">
        <v>2</v>
      </c>
      <c r="T1527" s="4">
        <v>2</v>
      </c>
      <c r="U1527" s="5" t="s">
        <v>19154</v>
      </c>
      <c r="V1527" s="5" t="s">
        <v>19154</v>
      </c>
      <c r="W1527" s="5" t="s">
        <v>19155</v>
      </c>
      <c r="X1527" s="5" t="s">
        <v>19155</v>
      </c>
      <c r="Y1527" s="4">
        <v>221</v>
      </c>
      <c r="Z1527" s="4">
        <v>198</v>
      </c>
      <c r="AA1527" s="4">
        <v>199</v>
      </c>
      <c r="AB1527" s="4">
        <v>3</v>
      </c>
      <c r="AC1527" s="4">
        <v>3</v>
      </c>
      <c r="AD1527" s="4">
        <v>9</v>
      </c>
      <c r="AE1527" s="4">
        <v>9</v>
      </c>
      <c r="AF1527" s="4">
        <v>4</v>
      </c>
      <c r="AG1527" s="4">
        <v>4</v>
      </c>
      <c r="AH1527" s="4">
        <v>2</v>
      </c>
      <c r="AI1527" s="4">
        <v>2</v>
      </c>
      <c r="AJ1527" s="4">
        <v>4</v>
      </c>
      <c r="AK1527" s="4">
        <v>4</v>
      </c>
      <c r="AL1527" s="4">
        <v>2</v>
      </c>
      <c r="AM1527" s="4">
        <v>2</v>
      </c>
      <c r="AN1527" s="4">
        <v>0</v>
      </c>
      <c r="AO1527" s="4">
        <v>0</v>
      </c>
      <c r="AP1527" s="3" t="s">
        <v>58</v>
      </c>
      <c r="AQ1527" s="3" t="s">
        <v>58</v>
      </c>
      <c r="AS1527" s="6" t="str">
        <f>HYPERLINK("https://creighton-primo.hosted.exlibrisgroup.com/primo-explore/search?tab=default_tab&amp;search_scope=EVERYTHING&amp;vid=01CRU&amp;lang=en_US&amp;offset=0&amp;query=any,contains,991005256409702656","Catalog Record")</f>
        <v>Catalog Record</v>
      </c>
      <c r="AT1527" s="6" t="str">
        <f>HYPERLINK("http://www.worldcat.org/oclc/82136146","WorldCat Record")</f>
        <v>WorldCat Record</v>
      </c>
      <c r="AU1527" s="3" t="s">
        <v>19156</v>
      </c>
      <c r="AV1527" s="3" t="s">
        <v>19157</v>
      </c>
      <c r="AW1527" s="3" t="s">
        <v>19158</v>
      </c>
      <c r="AX1527" s="3" t="s">
        <v>19158</v>
      </c>
      <c r="AY1527" s="3" t="s">
        <v>19159</v>
      </c>
      <c r="AZ1527" s="3" t="s">
        <v>73</v>
      </c>
      <c r="BB1527" s="3" t="s">
        <v>19160</v>
      </c>
      <c r="BC1527" s="3" t="s">
        <v>19161</v>
      </c>
      <c r="BD1527" s="3" t="s">
        <v>19162</v>
      </c>
    </row>
    <row r="1528" spans="1:56" ht="51" customHeight="1" x14ac:dyDescent="0.25">
      <c r="A1528" s="7" t="s">
        <v>58</v>
      </c>
      <c r="B1528" s="2" t="s">
        <v>19163</v>
      </c>
      <c r="C1528" s="2" t="s">
        <v>19164</v>
      </c>
      <c r="D1528" s="2" t="s">
        <v>19165</v>
      </c>
      <c r="F1528" s="3" t="s">
        <v>58</v>
      </c>
      <c r="G1528" s="3" t="s">
        <v>59</v>
      </c>
      <c r="H1528" s="3" t="s">
        <v>58</v>
      </c>
      <c r="I1528" s="3" t="s">
        <v>58</v>
      </c>
      <c r="J1528" s="3" t="s">
        <v>60</v>
      </c>
      <c r="K1528" s="2" t="s">
        <v>19166</v>
      </c>
      <c r="L1528" s="2" t="s">
        <v>19167</v>
      </c>
      <c r="M1528" s="3" t="s">
        <v>1061</v>
      </c>
      <c r="O1528" s="3" t="s">
        <v>63</v>
      </c>
      <c r="P1528" s="3" t="s">
        <v>214</v>
      </c>
      <c r="R1528" s="3" t="s">
        <v>65</v>
      </c>
      <c r="S1528" s="4">
        <v>1</v>
      </c>
      <c r="T1528" s="4">
        <v>1</v>
      </c>
      <c r="U1528" s="5" t="s">
        <v>19168</v>
      </c>
      <c r="V1528" s="5" t="s">
        <v>19168</v>
      </c>
      <c r="W1528" s="5" t="s">
        <v>19169</v>
      </c>
      <c r="X1528" s="5" t="s">
        <v>19169</v>
      </c>
      <c r="Y1528" s="4">
        <v>840</v>
      </c>
      <c r="Z1528" s="4">
        <v>759</v>
      </c>
      <c r="AA1528" s="4">
        <v>1378</v>
      </c>
      <c r="AB1528" s="4">
        <v>4</v>
      </c>
      <c r="AC1528" s="4">
        <v>20</v>
      </c>
      <c r="AD1528" s="4">
        <v>33</v>
      </c>
      <c r="AE1528" s="4">
        <v>48</v>
      </c>
      <c r="AF1528" s="4">
        <v>14</v>
      </c>
      <c r="AG1528" s="4">
        <v>18</v>
      </c>
      <c r="AH1528" s="4">
        <v>8</v>
      </c>
      <c r="AI1528" s="4">
        <v>9</v>
      </c>
      <c r="AJ1528" s="4">
        <v>18</v>
      </c>
      <c r="AK1528" s="4">
        <v>20</v>
      </c>
      <c r="AL1528" s="4">
        <v>2</v>
      </c>
      <c r="AM1528" s="4">
        <v>11</v>
      </c>
      <c r="AN1528" s="4">
        <v>1</v>
      </c>
      <c r="AO1528" s="4">
        <v>1</v>
      </c>
      <c r="AP1528" s="3" t="s">
        <v>58</v>
      </c>
      <c r="AQ1528" s="3" t="s">
        <v>58</v>
      </c>
      <c r="AS1528" s="6" t="str">
        <f>HYPERLINK("https://creighton-primo.hosted.exlibrisgroup.com/primo-explore/search?tab=default_tab&amp;search_scope=EVERYTHING&amp;vid=01CRU&amp;lang=en_US&amp;offset=0&amp;query=any,contains,991002727949702656","Catalog Record")</f>
        <v>Catalog Record</v>
      </c>
      <c r="AT1528" s="6" t="str">
        <f>HYPERLINK("http://www.worldcat.org/oclc/35777379","WorldCat Record")</f>
        <v>WorldCat Record</v>
      </c>
      <c r="AU1528" s="3" t="s">
        <v>19170</v>
      </c>
      <c r="AV1528" s="3" t="s">
        <v>19171</v>
      </c>
      <c r="AW1528" s="3" t="s">
        <v>19172</v>
      </c>
      <c r="AX1528" s="3" t="s">
        <v>19172</v>
      </c>
      <c r="AY1528" s="3" t="s">
        <v>19173</v>
      </c>
      <c r="AZ1528" s="3" t="s">
        <v>73</v>
      </c>
      <c r="BB1528" s="3" t="s">
        <v>19174</v>
      </c>
      <c r="BC1528" s="3" t="s">
        <v>19175</v>
      </c>
      <c r="BD1528" s="3" t="s">
        <v>19176</v>
      </c>
    </row>
    <row r="1529" spans="1:56" ht="51" customHeight="1" x14ac:dyDescent="0.25">
      <c r="A1529" s="7" t="s">
        <v>58</v>
      </c>
      <c r="B1529" s="2" t="s">
        <v>19177</v>
      </c>
      <c r="C1529" s="2" t="s">
        <v>19178</v>
      </c>
      <c r="D1529" s="2" t="s">
        <v>19179</v>
      </c>
      <c r="F1529" s="3" t="s">
        <v>58</v>
      </c>
      <c r="G1529" s="3" t="s">
        <v>59</v>
      </c>
      <c r="H1529" s="3" t="s">
        <v>58</v>
      </c>
      <c r="I1529" s="3" t="s">
        <v>58</v>
      </c>
      <c r="J1529" s="3" t="s">
        <v>60</v>
      </c>
      <c r="K1529" s="2" t="s">
        <v>19180</v>
      </c>
      <c r="L1529" s="2" t="s">
        <v>19181</v>
      </c>
      <c r="M1529" s="3" t="s">
        <v>524</v>
      </c>
      <c r="O1529" s="3" t="s">
        <v>63</v>
      </c>
      <c r="P1529" s="3" t="s">
        <v>214</v>
      </c>
      <c r="R1529" s="3" t="s">
        <v>65</v>
      </c>
      <c r="S1529" s="4">
        <v>2</v>
      </c>
      <c r="T1529" s="4">
        <v>2</v>
      </c>
      <c r="U1529" s="5" t="s">
        <v>2313</v>
      </c>
      <c r="V1529" s="5" t="s">
        <v>2313</v>
      </c>
      <c r="W1529" s="5" t="s">
        <v>4831</v>
      </c>
      <c r="X1529" s="5" t="s">
        <v>4831</v>
      </c>
      <c r="Y1529" s="4">
        <v>469</v>
      </c>
      <c r="Z1529" s="4">
        <v>429</v>
      </c>
      <c r="AA1529" s="4">
        <v>432</v>
      </c>
      <c r="AB1529" s="4">
        <v>2</v>
      </c>
      <c r="AC1529" s="4">
        <v>2</v>
      </c>
      <c r="AD1529" s="4">
        <v>11</v>
      </c>
      <c r="AE1529" s="4">
        <v>11</v>
      </c>
      <c r="AF1529" s="4">
        <v>3</v>
      </c>
      <c r="AG1529" s="4">
        <v>3</v>
      </c>
      <c r="AH1529" s="4">
        <v>3</v>
      </c>
      <c r="AI1529" s="4">
        <v>3</v>
      </c>
      <c r="AJ1529" s="4">
        <v>6</v>
      </c>
      <c r="AK1529" s="4">
        <v>6</v>
      </c>
      <c r="AL1529" s="4">
        <v>1</v>
      </c>
      <c r="AM1529" s="4">
        <v>1</v>
      </c>
      <c r="AN1529" s="4">
        <v>0</v>
      </c>
      <c r="AO1529" s="4">
        <v>0</v>
      </c>
      <c r="AP1529" s="3" t="s">
        <v>58</v>
      </c>
      <c r="AQ1529" s="3" t="s">
        <v>68</v>
      </c>
      <c r="AR1529" s="6" t="str">
        <f>HYPERLINK("http://catalog.hathitrust.org/Record/000485259","HathiTrust Record")</f>
        <v>HathiTrust Record</v>
      </c>
      <c r="AS1529" s="6" t="str">
        <f>HYPERLINK("https://creighton-primo.hosted.exlibrisgroup.com/primo-explore/search?tab=default_tab&amp;search_scope=EVERYTHING&amp;vid=01CRU&amp;lang=en_US&amp;offset=0&amp;query=any,contains,991000780979702656","Catalog Record")</f>
        <v>Catalog Record</v>
      </c>
      <c r="AT1529" s="6" t="str">
        <f>HYPERLINK("http://www.worldcat.org/oclc/13095930","WorldCat Record")</f>
        <v>WorldCat Record</v>
      </c>
      <c r="AU1529" s="3" t="s">
        <v>19182</v>
      </c>
      <c r="AV1529" s="3" t="s">
        <v>19183</v>
      </c>
      <c r="AW1529" s="3" t="s">
        <v>19184</v>
      </c>
      <c r="AX1529" s="3" t="s">
        <v>19184</v>
      </c>
      <c r="AY1529" s="3" t="s">
        <v>19185</v>
      </c>
      <c r="AZ1529" s="3" t="s">
        <v>73</v>
      </c>
      <c r="BB1529" s="3" t="s">
        <v>19186</v>
      </c>
      <c r="BC1529" s="3" t="s">
        <v>19187</v>
      </c>
      <c r="BD1529" s="3" t="s">
        <v>19188</v>
      </c>
    </row>
    <row r="1530" spans="1:56" ht="51" customHeight="1" x14ac:dyDescent="0.25">
      <c r="A1530" s="7" t="s">
        <v>58</v>
      </c>
      <c r="B1530" s="2" t="s">
        <v>19189</v>
      </c>
      <c r="C1530" s="2" t="s">
        <v>19190</v>
      </c>
      <c r="D1530" s="2" t="s">
        <v>19191</v>
      </c>
      <c r="F1530" s="3" t="s">
        <v>58</v>
      </c>
      <c r="G1530" s="3" t="s">
        <v>59</v>
      </c>
      <c r="H1530" s="3" t="s">
        <v>58</v>
      </c>
      <c r="I1530" s="3" t="s">
        <v>58</v>
      </c>
      <c r="J1530" s="3" t="s">
        <v>60</v>
      </c>
      <c r="K1530" s="2" t="s">
        <v>19192</v>
      </c>
      <c r="L1530" s="2" t="s">
        <v>19193</v>
      </c>
      <c r="M1530" s="3" t="s">
        <v>2295</v>
      </c>
      <c r="O1530" s="3" t="s">
        <v>63</v>
      </c>
      <c r="P1530" s="3" t="s">
        <v>584</v>
      </c>
      <c r="R1530" s="3" t="s">
        <v>65</v>
      </c>
      <c r="S1530" s="4">
        <v>5</v>
      </c>
      <c r="T1530" s="4">
        <v>5</v>
      </c>
      <c r="U1530" s="5" t="s">
        <v>11530</v>
      </c>
      <c r="V1530" s="5" t="s">
        <v>11530</v>
      </c>
      <c r="W1530" s="5" t="s">
        <v>19194</v>
      </c>
      <c r="X1530" s="5" t="s">
        <v>19194</v>
      </c>
      <c r="Y1530" s="4">
        <v>300</v>
      </c>
      <c r="Z1530" s="4">
        <v>248</v>
      </c>
      <c r="AA1530" s="4">
        <v>257</v>
      </c>
      <c r="AB1530" s="4">
        <v>1</v>
      </c>
      <c r="AC1530" s="4">
        <v>1</v>
      </c>
      <c r="AD1530" s="4">
        <v>5</v>
      </c>
      <c r="AE1530" s="4">
        <v>5</v>
      </c>
      <c r="AF1530" s="4">
        <v>1</v>
      </c>
      <c r="AG1530" s="4">
        <v>1</v>
      </c>
      <c r="AH1530" s="4">
        <v>3</v>
      </c>
      <c r="AI1530" s="4">
        <v>3</v>
      </c>
      <c r="AJ1530" s="4">
        <v>3</v>
      </c>
      <c r="AK1530" s="4">
        <v>3</v>
      </c>
      <c r="AL1530" s="4">
        <v>0</v>
      </c>
      <c r="AM1530" s="4">
        <v>0</v>
      </c>
      <c r="AN1530" s="4">
        <v>0</v>
      </c>
      <c r="AO1530" s="4">
        <v>0</v>
      </c>
      <c r="AP1530" s="3" t="s">
        <v>58</v>
      </c>
      <c r="AQ1530" s="3" t="s">
        <v>68</v>
      </c>
      <c r="AR1530" s="6" t="str">
        <f>HYPERLINK("http://catalog.hathitrust.org/Record/004352210","HathiTrust Record")</f>
        <v>HathiTrust Record</v>
      </c>
      <c r="AS1530" s="6" t="str">
        <f>HYPERLINK("https://creighton-primo.hosted.exlibrisgroup.com/primo-explore/search?tab=default_tab&amp;search_scope=EVERYTHING&amp;vid=01CRU&amp;lang=en_US&amp;offset=0&amp;query=any,contains,991004586149702656","Catalog Record")</f>
        <v>Catalog Record</v>
      </c>
      <c r="AT1530" s="6" t="str">
        <f>HYPERLINK("http://www.worldcat.org/oclc/54001975","WorldCat Record")</f>
        <v>WorldCat Record</v>
      </c>
      <c r="AU1530" s="3" t="s">
        <v>19195</v>
      </c>
      <c r="AV1530" s="3" t="s">
        <v>19196</v>
      </c>
      <c r="AW1530" s="3" t="s">
        <v>19197</v>
      </c>
      <c r="AX1530" s="3" t="s">
        <v>19197</v>
      </c>
      <c r="AY1530" s="3" t="s">
        <v>19198</v>
      </c>
      <c r="AZ1530" s="3" t="s">
        <v>73</v>
      </c>
      <c r="BB1530" s="3" t="s">
        <v>19199</v>
      </c>
      <c r="BC1530" s="3" t="s">
        <v>19200</v>
      </c>
      <c r="BD1530" s="3" t="s">
        <v>19201</v>
      </c>
    </row>
    <row r="1531" spans="1:56" ht="51" customHeight="1" x14ac:dyDescent="0.25">
      <c r="A1531" s="7" t="s">
        <v>58</v>
      </c>
      <c r="B1531" s="2" t="s">
        <v>19202</v>
      </c>
      <c r="C1531" s="2" t="s">
        <v>19203</v>
      </c>
      <c r="D1531" s="2" t="s">
        <v>19204</v>
      </c>
      <c r="F1531" s="3" t="s">
        <v>58</v>
      </c>
      <c r="G1531" s="3" t="s">
        <v>59</v>
      </c>
      <c r="H1531" s="3" t="s">
        <v>58</v>
      </c>
      <c r="I1531" s="3" t="s">
        <v>58</v>
      </c>
      <c r="J1531" s="3" t="s">
        <v>60</v>
      </c>
      <c r="K1531" s="2" t="s">
        <v>19205</v>
      </c>
      <c r="L1531" s="2" t="s">
        <v>19206</v>
      </c>
      <c r="M1531" s="3" t="s">
        <v>154</v>
      </c>
      <c r="O1531" s="3" t="s">
        <v>63</v>
      </c>
      <c r="P1531" s="3" t="s">
        <v>354</v>
      </c>
      <c r="R1531" s="3" t="s">
        <v>65</v>
      </c>
      <c r="S1531" s="4">
        <v>1</v>
      </c>
      <c r="T1531" s="4">
        <v>1</v>
      </c>
      <c r="U1531" s="5" t="s">
        <v>19207</v>
      </c>
      <c r="V1531" s="5" t="s">
        <v>19207</v>
      </c>
      <c r="W1531" s="5" t="s">
        <v>19208</v>
      </c>
      <c r="X1531" s="5" t="s">
        <v>19208</v>
      </c>
      <c r="Y1531" s="4">
        <v>899</v>
      </c>
      <c r="Z1531" s="4">
        <v>860</v>
      </c>
      <c r="AA1531" s="4">
        <v>894</v>
      </c>
      <c r="AB1531" s="4">
        <v>6</v>
      </c>
      <c r="AC1531" s="4">
        <v>6</v>
      </c>
      <c r="AD1531" s="4">
        <v>25</v>
      </c>
      <c r="AE1531" s="4">
        <v>25</v>
      </c>
      <c r="AF1531" s="4">
        <v>11</v>
      </c>
      <c r="AG1531" s="4">
        <v>11</v>
      </c>
      <c r="AH1531" s="4">
        <v>5</v>
      </c>
      <c r="AI1531" s="4">
        <v>5</v>
      </c>
      <c r="AJ1531" s="4">
        <v>14</v>
      </c>
      <c r="AK1531" s="4">
        <v>14</v>
      </c>
      <c r="AL1531" s="4">
        <v>3</v>
      </c>
      <c r="AM1531" s="4">
        <v>3</v>
      </c>
      <c r="AN1531" s="4">
        <v>0</v>
      </c>
      <c r="AO1531" s="4">
        <v>0</v>
      </c>
      <c r="AP1531" s="3" t="s">
        <v>58</v>
      </c>
      <c r="AQ1531" s="3" t="s">
        <v>58</v>
      </c>
      <c r="AS1531" s="6" t="str">
        <f>HYPERLINK("https://creighton-primo.hosted.exlibrisgroup.com/primo-explore/search?tab=default_tab&amp;search_scope=EVERYTHING&amp;vid=01CRU&amp;lang=en_US&amp;offset=0&amp;query=any,contains,991001584599702656","Catalog Record")</f>
        <v>Catalog Record</v>
      </c>
      <c r="AT1531" s="6" t="str">
        <f>HYPERLINK("http://www.worldcat.org/oclc/20523508","WorldCat Record")</f>
        <v>WorldCat Record</v>
      </c>
      <c r="AU1531" s="3" t="s">
        <v>19209</v>
      </c>
      <c r="AV1531" s="3" t="s">
        <v>19210</v>
      </c>
      <c r="AW1531" s="3" t="s">
        <v>19211</v>
      </c>
      <c r="AX1531" s="3" t="s">
        <v>19211</v>
      </c>
      <c r="AY1531" s="3" t="s">
        <v>19212</v>
      </c>
      <c r="AZ1531" s="3" t="s">
        <v>73</v>
      </c>
      <c r="BB1531" s="3" t="s">
        <v>19213</v>
      </c>
      <c r="BC1531" s="3" t="s">
        <v>19214</v>
      </c>
      <c r="BD1531" s="3" t="s">
        <v>19215</v>
      </c>
    </row>
    <row r="1532" spans="1:56" ht="51" customHeight="1" x14ac:dyDescent="0.25">
      <c r="A1532" s="7" t="s">
        <v>58</v>
      </c>
      <c r="B1532" s="2" t="s">
        <v>19216</v>
      </c>
      <c r="C1532" s="2" t="s">
        <v>19217</v>
      </c>
      <c r="D1532" s="2" t="s">
        <v>19218</v>
      </c>
      <c r="F1532" s="3" t="s">
        <v>58</v>
      </c>
      <c r="G1532" s="3" t="s">
        <v>59</v>
      </c>
      <c r="H1532" s="3" t="s">
        <v>58</v>
      </c>
      <c r="I1532" s="3" t="s">
        <v>58</v>
      </c>
      <c r="J1532" s="3" t="s">
        <v>60</v>
      </c>
      <c r="K1532" s="2" t="s">
        <v>19219</v>
      </c>
      <c r="L1532" s="2" t="s">
        <v>19220</v>
      </c>
      <c r="M1532" s="3" t="s">
        <v>1091</v>
      </c>
      <c r="O1532" s="3" t="s">
        <v>63</v>
      </c>
      <c r="P1532" s="3" t="s">
        <v>816</v>
      </c>
      <c r="R1532" s="3" t="s">
        <v>65</v>
      </c>
      <c r="S1532" s="4">
        <v>1</v>
      </c>
      <c r="T1532" s="4">
        <v>1</v>
      </c>
      <c r="U1532" s="5" t="s">
        <v>19221</v>
      </c>
      <c r="V1532" s="5" t="s">
        <v>19221</v>
      </c>
      <c r="W1532" s="5" t="s">
        <v>19222</v>
      </c>
      <c r="X1532" s="5" t="s">
        <v>19222</v>
      </c>
      <c r="Y1532" s="4">
        <v>624</v>
      </c>
      <c r="Z1532" s="4">
        <v>598</v>
      </c>
      <c r="AA1532" s="4">
        <v>603</v>
      </c>
      <c r="AB1532" s="4">
        <v>12</v>
      </c>
      <c r="AC1532" s="4">
        <v>12</v>
      </c>
      <c r="AD1532" s="4">
        <v>16</v>
      </c>
      <c r="AE1532" s="4">
        <v>16</v>
      </c>
      <c r="AF1532" s="4">
        <v>3</v>
      </c>
      <c r="AG1532" s="4">
        <v>3</v>
      </c>
      <c r="AH1532" s="4">
        <v>5</v>
      </c>
      <c r="AI1532" s="4">
        <v>5</v>
      </c>
      <c r="AJ1532" s="4">
        <v>7</v>
      </c>
      <c r="AK1532" s="4">
        <v>7</v>
      </c>
      <c r="AL1532" s="4">
        <v>4</v>
      </c>
      <c r="AM1532" s="4">
        <v>4</v>
      </c>
      <c r="AN1532" s="4">
        <v>0</v>
      </c>
      <c r="AO1532" s="4">
        <v>0</v>
      </c>
      <c r="AP1532" s="3" t="s">
        <v>58</v>
      </c>
      <c r="AQ1532" s="3" t="s">
        <v>58</v>
      </c>
      <c r="AS1532" s="6" t="str">
        <f>HYPERLINK("https://creighton-primo.hosted.exlibrisgroup.com/primo-explore/search?tab=default_tab&amp;search_scope=EVERYTHING&amp;vid=01CRU&amp;lang=en_US&amp;offset=0&amp;query=any,contains,991003539789702656","Catalog Record")</f>
        <v>Catalog Record</v>
      </c>
      <c r="AT1532" s="6" t="str">
        <f>HYPERLINK("http://www.worldcat.org/oclc/45223621","WorldCat Record")</f>
        <v>WorldCat Record</v>
      </c>
      <c r="AU1532" s="3" t="s">
        <v>19223</v>
      </c>
      <c r="AV1532" s="3" t="s">
        <v>19224</v>
      </c>
      <c r="AW1532" s="3" t="s">
        <v>19225</v>
      </c>
      <c r="AX1532" s="3" t="s">
        <v>19225</v>
      </c>
      <c r="AY1532" s="3" t="s">
        <v>19226</v>
      </c>
      <c r="AZ1532" s="3" t="s">
        <v>73</v>
      </c>
      <c r="BB1532" s="3" t="s">
        <v>19227</v>
      </c>
      <c r="BC1532" s="3" t="s">
        <v>19228</v>
      </c>
      <c r="BD1532" s="3" t="s">
        <v>19229</v>
      </c>
    </row>
    <row r="1533" spans="1:56" ht="51" customHeight="1" x14ac:dyDescent="0.25">
      <c r="A1533" s="7" t="s">
        <v>58</v>
      </c>
      <c r="B1533" s="2" t="s">
        <v>19230</v>
      </c>
      <c r="C1533" s="2" t="s">
        <v>19231</v>
      </c>
      <c r="D1533" s="2" t="s">
        <v>19232</v>
      </c>
      <c r="F1533" s="3" t="s">
        <v>58</v>
      </c>
      <c r="G1533" s="3" t="s">
        <v>59</v>
      </c>
      <c r="H1533" s="3" t="s">
        <v>58</v>
      </c>
      <c r="I1533" s="3" t="s">
        <v>58</v>
      </c>
      <c r="J1533" s="3" t="s">
        <v>60</v>
      </c>
      <c r="K1533" s="2" t="s">
        <v>19233</v>
      </c>
      <c r="L1533" s="2" t="s">
        <v>19234</v>
      </c>
      <c r="M1533" s="3" t="s">
        <v>1091</v>
      </c>
      <c r="O1533" s="3" t="s">
        <v>63</v>
      </c>
      <c r="P1533" s="3" t="s">
        <v>816</v>
      </c>
      <c r="R1533" s="3" t="s">
        <v>65</v>
      </c>
      <c r="S1533" s="4">
        <v>3</v>
      </c>
      <c r="T1533" s="4">
        <v>3</v>
      </c>
      <c r="U1533" s="5" t="s">
        <v>19235</v>
      </c>
      <c r="V1533" s="5" t="s">
        <v>19235</v>
      </c>
      <c r="W1533" s="5" t="s">
        <v>15615</v>
      </c>
      <c r="X1533" s="5" t="s">
        <v>15615</v>
      </c>
      <c r="Y1533" s="4">
        <v>917</v>
      </c>
      <c r="Z1533" s="4">
        <v>796</v>
      </c>
      <c r="AA1533" s="4">
        <v>802</v>
      </c>
      <c r="AB1533" s="4">
        <v>5</v>
      </c>
      <c r="AC1533" s="4">
        <v>5</v>
      </c>
      <c r="AD1533" s="4">
        <v>38</v>
      </c>
      <c r="AE1533" s="4">
        <v>38</v>
      </c>
      <c r="AF1533" s="4">
        <v>16</v>
      </c>
      <c r="AG1533" s="4">
        <v>16</v>
      </c>
      <c r="AH1533" s="4">
        <v>8</v>
      </c>
      <c r="AI1533" s="4">
        <v>8</v>
      </c>
      <c r="AJ1533" s="4">
        <v>18</v>
      </c>
      <c r="AK1533" s="4">
        <v>18</v>
      </c>
      <c r="AL1533" s="4">
        <v>4</v>
      </c>
      <c r="AM1533" s="4">
        <v>4</v>
      </c>
      <c r="AN1533" s="4">
        <v>1</v>
      </c>
      <c r="AO1533" s="4">
        <v>1</v>
      </c>
      <c r="AP1533" s="3" t="s">
        <v>58</v>
      </c>
      <c r="AQ1533" s="3" t="s">
        <v>68</v>
      </c>
      <c r="AR1533" s="6" t="str">
        <f>HYPERLINK("http://catalog.hathitrust.org/Record/004177032","HathiTrust Record")</f>
        <v>HathiTrust Record</v>
      </c>
      <c r="AS1533" s="6" t="str">
        <f>HYPERLINK("https://creighton-primo.hosted.exlibrisgroup.com/primo-explore/search?tab=default_tab&amp;search_scope=EVERYTHING&amp;vid=01CRU&amp;lang=en_US&amp;offset=0&amp;query=any,contains,991003698989702656","Catalog Record")</f>
        <v>Catalog Record</v>
      </c>
      <c r="AT1533" s="6" t="str">
        <f>HYPERLINK("http://www.worldcat.org/oclc/45413548","WorldCat Record")</f>
        <v>WorldCat Record</v>
      </c>
      <c r="AU1533" s="3" t="s">
        <v>19236</v>
      </c>
      <c r="AV1533" s="3" t="s">
        <v>19237</v>
      </c>
      <c r="AW1533" s="3" t="s">
        <v>19238</v>
      </c>
      <c r="AX1533" s="3" t="s">
        <v>19238</v>
      </c>
      <c r="AY1533" s="3" t="s">
        <v>19239</v>
      </c>
      <c r="AZ1533" s="3" t="s">
        <v>73</v>
      </c>
      <c r="BB1533" s="3" t="s">
        <v>19240</v>
      </c>
      <c r="BC1533" s="3" t="s">
        <v>19241</v>
      </c>
      <c r="BD1533" s="3" t="s">
        <v>19242</v>
      </c>
    </row>
    <row r="1534" spans="1:56" ht="51" customHeight="1" x14ac:dyDescent="0.25">
      <c r="A1534" s="7" t="s">
        <v>58</v>
      </c>
      <c r="B1534" s="2" t="s">
        <v>19243</v>
      </c>
      <c r="C1534" s="2" t="s">
        <v>19244</v>
      </c>
      <c r="D1534" s="2" t="s">
        <v>19245</v>
      </c>
      <c r="F1534" s="3" t="s">
        <v>58</v>
      </c>
      <c r="G1534" s="3" t="s">
        <v>59</v>
      </c>
      <c r="H1534" s="3" t="s">
        <v>58</v>
      </c>
      <c r="I1534" s="3" t="s">
        <v>58</v>
      </c>
      <c r="J1534" s="3" t="s">
        <v>60</v>
      </c>
      <c r="K1534" s="2" t="s">
        <v>19246</v>
      </c>
      <c r="L1534" s="2" t="s">
        <v>19247</v>
      </c>
      <c r="M1534" s="3" t="s">
        <v>368</v>
      </c>
      <c r="O1534" s="3" t="s">
        <v>63</v>
      </c>
      <c r="P1534" s="3" t="s">
        <v>354</v>
      </c>
      <c r="R1534" s="3" t="s">
        <v>65</v>
      </c>
      <c r="S1534" s="4">
        <v>2</v>
      </c>
      <c r="T1534" s="4">
        <v>2</v>
      </c>
      <c r="U1534" s="5" t="s">
        <v>3175</v>
      </c>
      <c r="V1534" s="5" t="s">
        <v>3175</v>
      </c>
      <c r="W1534" s="5" t="s">
        <v>17547</v>
      </c>
      <c r="X1534" s="5" t="s">
        <v>17547</v>
      </c>
      <c r="Y1534" s="4">
        <v>512</v>
      </c>
      <c r="Z1534" s="4">
        <v>460</v>
      </c>
      <c r="AA1534" s="4">
        <v>495</v>
      </c>
      <c r="AB1534" s="4">
        <v>4</v>
      </c>
      <c r="AC1534" s="4">
        <v>4</v>
      </c>
      <c r="AD1534" s="4">
        <v>16</v>
      </c>
      <c r="AE1534" s="4">
        <v>19</v>
      </c>
      <c r="AF1534" s="4">
        <v>5</v>
      </c>
      <c r="AG1534" s="4">
        <v>5</v>
      </c>
      <c r="AH1534" s="4">
        <v>4</v>
      </c>
      <c r="AI1534" s="4">
        <v>5</v>
      </c>
      <c r="AJ1534" s="4">
        <v>8</v>
      </c>
      <c r="AK1534" s="4">
        <v>10</v>
      </c>
      <c r="AL1534" s="4">
        <v>3</v>
      </c>
      <c r="AM1534" s="4">
        <v>3</v>
      </c>
      <c r="AN1534" s="4">
        <v>0</v>
      </c>
      <c r="AO1534" s="4">
        <v>0</v>
      </c>
      <c r="AP1534" s="3" t="s">
        <v>58</v>
      </c>
      <c r="AQ1534" s="3" t="s">
        <v>58</v>
      </c>
      <c r="AS1534" s="6" t="str">
        <f>HYPERLINK("https://creighton-primo.hosted.exlibrisgroup.com/primo-explore/search?tab=default_tab&amp;search_scope=EVERYTHING&amp;vid=01CRU&amp;lang=en_US&amp;offset=0&amp;query=any,contains,991003987599702656","Catalog Record")</f>
        <v>Catalog Record</v>
      </c>
      <c r="AT1534" s="6" t="str">
        <f>HYPERLINK("http://www.worldcat.org/oclc/2034828","WorldCat Record")</f>
        <v>WorldCat Record</v>
      </c>
      <c r="AU1534" s="3" t="s">
        <v>19248</v>
      </c>
      <c r="AV1534" s="3" t="s">
        <v>19249</v>
      </c>
      <c r="AW1534" s="3" t="s">
        <v>19250</v>
      </c>
      <c r="AX1534" s="3" t="s">
        <v>19250</v>
      </c>
      <c r="AY1534" s="3" t="s">
        <v>19251</v>
      </c>
      <c r="AZ1534" s="3" t="s">
        <v>73</v>
      </c>
      <c r="BB1534" s="3" t="s">
        <v>19252</v>
      </c>
      <c r="BC1534" s="3" t="s">
        <v>19253</v>
      </c>
      <c r="BD1534" s="3" t="s">
        <v>19254</v>
      </c>
    </row>
    <row r="1535" spans="1:56" ht="51" customHeight="1" x14ac:dyDescent="0.25">
      <c r="A1535" s="7" t="s">
        <v>58</v>
      </c>
      <c r="B1535" s="2" t="s">
        <v>19255</v>
      </c>
      <c r="C1535" s="2" t="s">
        <v>19256</v>
      </c>
      <c r="D1535" s="2" t="s">
        <v>19257</v>
      </c>
      <c r="F1535" s="3" t="s">
        <v>58</v>
      </c>
      <c r="G1535" s="3" t="s">
        <v>59</v>
      </c>
      <c r="H1535" s="3" t="s">
        <v>58</v>
      </c>
      <c r="I1535" s="3" t="s">
        <v>58</v>
      </c>
      <c r="J1535" s="3" t="s">
        <v>60</v>
      </c>
      <c r="K1535" s="2" t="s">
        <v>19258</v>
      </c>
      <c r="L1535" s="2" t="s">
        <v>19259</v>
      </c>
      <c r="M1535" s="3" t="s">
        <v>138</v>
      </c>
      <c r="O1535" s="3" t="s">
        <v>63</v>
      </c>
      <c r="P1535" s="3" t="s">
        <v>214</v>
      </c>
      <c r="R1535" s="3" t="s">
        <v>65</v>
      </c>
      <c r="S1535" s="4">
        <v>4</v>
      </c>
      <c r="T1535" s="4">
        <v>4</v>
      </c>
      <c r="U1535" s="5" t="s">
        <v>19260</v>
      </c>
      <c r="V1535" s="5" t="s">
        <v>19260</v>
      </c>
      <c r="W1535" s="5" t="s">
        <v>16796</v>
      </c>
      <c r="X1535" s="5" t="s">
        <v>16796</v>
      </c>
      <c r="Y1535" s="4">
        <v>607</v>
      </c>
      <c r="Z1535" s="4">
        <v>540</v>
      </c>
      <c r="AA1535" s="4">
        <v>541</v>
      </c>
      <c r="AB1535" s="4">
        <v>4</v>
      </c>
      <c r="AC1535" s="4">
        <v>4</v>
      </c>
      <c r="AD1535" s="4">
        <v>22</v>
      </c>
      <c r="AE1535" s="4">
        <v>22</v>
      </c>
      <c r="AF1535" s="4">
        <v>8</v>
      </c>
      <c r="AG1535" s="4">
        <v>8</v>
      </c>
      <c r="AH1535" s="4">
        <v>6</v>
      </c>
      <c r="AI1535" s="4">
        <v>6</v>
      </c>
      <c r="AJ1535" s="4">
        <v>12</v>
      </c>
      <c r="AK1535" s="4">
        <v>12</v>
      </c>
      <c r="AL1535" s="4">
        <v>3</v>
      </c>
      <c r="AM1535" s="4">
        <v>3</v>
      </c>
      <c r="AN1535" s="4">
        <v>0</v>
      </c>
      <c r="AO1535" s="4">
        <v>0</v>
      </c>
      <c r="AP1535" s="3" t="s">
        <v>58</v>
      </c>
      <c r="AQ1535" s="3" t="s">
        <v>68</v>
      </c>
      <c r="AR1535" s="6" t="str">
        <f>HYPERLINK("http://catalog.hathitrust.org/Record/000763941","HathiTrust Record")</f>
        <v>HathiTrust Record</v>
      </c>
      <c r="AS1535" s="6" t="str">
        <f>HYPERLINK("https://creighton-primo.hosted.exlibrisgroup.com/primo-explore/search?tab=default_tab&amp;search_scope=EVERYTHING&amp;vid=01CRU&amp;lang=en_US&amp;offset=0&amp;query=any,contains,991005183629702656","Catalog Record")</f>
        <v>Catalog Record</v>
      </c>
      <c r="AT1535" s="6" t="str">
        <f>HYPERLINK("http://www.worldcat.org/oclc/7948065","WorldCat Record")</f>
        <v>WorldCat Record</v>
      </c>
      <c r="AU1535" s="3" t="s">
        <v>19261</v>
      </c>
      <c r="AV1535" s="3" t="s">
        <v>19262</v>
      </c>
      <c r="AW1535" s="3" t="s">
        <v>19263</v>
      </c>
      <c r="AX1535" s="3" t="s">
        <v>19263</v>
      </c>
      <c r="AY1535" s="3" t="s">
        <v>19264</v>
      </c>
      <c r="AZ1535" s="3" t="s">
        <v>73</v>
      </c>
      <c r="BB1535" s="3" t="s">
        <v>19265</v>
      </c>
      <c r="BC1535" s="3" t="s">
        <v>19266</v>
      </c>
      <c r="BD1535" s="3" t="s">
        <v>19267</v>
      </c>
    </row>
    <row r="1536" spans="1:56" ht="51" customHeight="1" x14ac:dyDescent="0.25">
      <c r="A1536" s="7" t="s">
        <v>58</v>
      </c>
      <c r="B1536" s="2" t="s">
        <v>19268</v>
      </c>
      <c r="C1536" s="2" t="s">
        <v>19269</v>
      </c>
      <c r="D1536" s="2" t="s">
        <v>19270</v>
      </c>
      <c r="F1536" s="3" t="s">
        <v>58</v>
      </c>
      <c r="G1536" s="3" t="s">
        <v>59</v>
      </c>
      <c r="H1536" s="3" t="s">
        <v>58</v>
      </c>
      <c r="I1536" s="3" t="s">
        <v>58</v>
      </c>
      <c r="J1536" s="3" t="s">
        <v>60</v>
      </c>
      <c r="K1536" s="2" t="s">
        <v>19271</v>
      </c>
      <c r="L1536" s="2" t="s">
        <v>19272</v>
      </c>
      <c r="M1536" s="3" t="s">
        <v>382</v>
      </c>
      <c r="O1536" s="3" t="s">
        <v>63</v>
      </c>
      <c r="P1536" s="3" t="s">
        <v>584</v>
      </c>
      <c r="Q1536" s="2" t="s">
        <v>19273</v>
      </c>
      <c r="R1536" s="3" t="s">
        <v>65</v>
      </c>
      <c r="S1536" s="4">
        <v>2</v>
      </c>
      <c r="T1536" s="4">
        <v>2</v>
      </c>
      <c r="U1536" s="5" t="s">
        <v>13303</v>
      </c>
      <c r="V1536" s="5" t="s">
        <v>13303</v>
      </c>
      <c r="W1536" s="5" t="s">
        <v>16376</v>
      </c>
      <c r="X1536" s="5" t="s">
        <v>16376</v>
      </c>
      <c r="Y1536" s="4">
        <v>242</v>
      </c>
      <c r="Z1536" s="4">
        <v>210</v>
      </c>
      <c r="AA1536" s="4">
        <v>220</v>
      </c>
      <c r="AB1536" s="4">
        <v>3</v>
      </c>
      <c r="AC1536" s="4">
        <v>3</v>
      </c>
      <c r="AD1536" s="4">
        <v>10</v>
      </c>
      <c r="AE1536" s="4">
        <v>10</v>
      </c>
      <c r="AF1536" s="4">
        <v>2</v>
      </c>
      <c r="AG1536" s="4">
        <v>2</v>
      </c>
      <c r="AH1536" s="4">
        <v>4</v>
      </c>
      <c r="AI1536" s="4">
        <v>4</v>
      </c>
      <c r="AJ1536" s="4">
        <v>5</v>
      </c>
      <c r="AK1536" s="4">
        <v>5</v>
      </c>
      <c r="AL1536" s="4">
        <v>2</v>
      </c>
      <c r="AM1536" s="4">
        <v>2</v>
      </c>
      <c r="AN1536" s="4">
        <v>0</v>
      </c>
      <c r="AO1536" s="4">
        <v>0</v>
      </c>
      <c r="AP1536" s="3" t="s">
        <v>58</v>
      </c>
      <c r="AQ1536" s="3" t="s">
        <v>68</v>
      </c>
      <c r="AR1536" s="6" t="str">
        <f>HYPERLINK("http://catalog.hathitrust.org/Record/004042911","HathiTrust Record")</f>
        <v>HathiTrust Record</v>
      </c>
      <c r="AS1536" s="6" t="str">
        <f>HYPERLINK("https://creighton-primo.hosted.exlibrisgroup.com/primo-explore/search?tab=default_tab&amp;search_scope=EVERYTHING&amp;vid=01CRU&amp;lang=en_US&amp;offset=0&amp;query=any,contains,991003479349702656","Catalog Record")</f>
        <v>Catalog Record</v>
      </c>
      <c r="AT1536" s="6" t="str">
        <f>HYPERLINK("http://www.worldcat.org/oclc/40954199","WorldCat Record")</f>
        <v>WorldCat Record</v>
      </c>
      <c r="AU1536" s="3" t="s">
        <v>19274</v>
      </c>
      <c r="AV1536" s="3" t="s">
        <v>19275</v>
      </c>
      <c r="AW1536" s="3" t="s">
        <v>19276</v>
      </c>
      <c r="AX1536" s="3" t="s">
        <v>19276</v>
      </c>
      <c r="AY1536" s="3" t="s">
        <v>19277</v>
      </c>
      <c r="AZ1536" s="3" t="s">
        <v>73</v>
      </c>
      <c r="BB1536" s="3" t="s">
        <v>19278</v>
      </c>
      <c r="BC1536" s="3" t="s">
        <v>19279</v>
      </c>
      <c r="BD1536" s="3" t="s">
        <v>19280</v>
      </c>
    </row>
    <row r="1537" spans="1:56" ht="51" customHeight="1" x14ac:dyDescent="0.25">
      <c r="A1537" s="7" t="s">
        <v>58</v>
      </c>
      <c r="B1537" s="2" t="s">
        <v>19281</v>
      </c>
      <c r="C1537" s="2" t="s">
        <v>19282</v>
      </c>
      <c r="D1537" s="2" t="s">
        <v>19283</v>
      </c>
      <c r="F1537" s="3" t="s">
        <v>58</v>
      </c>
      <c r="G1537" s="3" t="s">
        <v>59</v>
      </c>
      <c r="H1537" s="3" t="s">
        <v>58</v>
      </c>
      <c r="I1537" s="3" t="s">
        <v>58</v>
      </c>
      <c r="J1537" s="3" t="s">
        <v>60</v>
      </c>
      <c r="K1537" s="2" t="s">
        <v>19284</v>
      </c>
      <c r="L1537" s="2" t="s">
        <v>19285</v>
      </c>
      <c r="M1537" s="3" t="s">
        <v>101</v>
      </c>
      <c r="O1537" s="3" t="s">
        <v>63</v>
      </c>
      <c r="P1537" s="3" t="s">
        <v>1837</v>
      </c>
      <c r="R1537" s="3" t="s">
        <v>65</v>
      </c>
      <c r="S1537" s="4">
        <v>4</v>
      </c>
      <c r="T1537" s="4">
        <v>4</v>
      </c>
      <c r="U1537" s="5" t="s">
        <v>19286</v>
      </c>
      <c r="V1537" s="5" t="s">
        <v>19286</v>
      </c>
      <c r="W1537" s="5" t="s">
        <v>3486</v>
      </c>
      <c r="X1537" s="5" t="s">
        <v>3486</v>
      </c>
      <c r="Y1537" s="4">
        <v>153</v>
      </c>
      <c r="Z1537" s="4">
        <v>144</v>
      </c>
      <c r="AA1537" s="4">
        <v>148</v>
      </c>
      <c r="AB1537" s="4">
        <v>3</v>
      </c>
      <c r="AC1537" s="4">
        <v>3</v>
      </c>
      <c r="AD1537" s="4">
        <v>12</v>
      </c>
      <c r="AE1537" s="4">
        <v>12</v>
      </c>
      <c r="AF1537" s="4">
        <v>4</v>
      </c>
      <c r="AG1537" s="4">
        <v>4</v>
      </c>
      <c r="AH1537" s="4">
        <v>2</v>
      </c>
      <c r="AI1537" s="4">
        <v>2</v>
      </c>
      <c r="AJ1537" s="4">
        <v>5</v>
      </c>
      <c r="AK1537" s="4">
        <v>5</v>
      </c>
      <c r="AL1537" s="4">
        <v>2</v>
      </c>
      <c r="AM1537" s="4">
        <v>2</v>
      </c>
      <c r="AN1537" s="4">
        <v>0</v>
      </c>
      <c r="AO1537" s="4">
        <v>0</v>
      </c>
      <c r="AP1537" s="3" t="s">
        <v>58</v>
      </c>
      <c r="AQ1537" s="3" t="s">
        <v>58</v>
      </c>
      <c r="AS1537" s="6" t="str">
        <f>HYPERLINK("https://creighton-primo.hosted.exlibrisgroup.com/primo-explore/search?tab=default_tab&amp;search_scope=EVERYTHING&amp;vid=01CRU&amp;lang=en_US&amp;offset=0&amp;query=any,contains,991000356849702656","Catalog Record")</f>
        <v>Catalog Record</v>
      </c>
      <c r="AT1537" s="6" t="str">
        <f>HYPERLINK("http://www.worldcat.org/oclc/10339895","WorldCat Record")</f>
        <v>WorldCat Record</v>
      </c>
      <c r="AU1537" s="3" t="s">
        <v>19287</v>
      </c>
      <c r="AV1537" s="3" t="s">
        <v>19288</v>
      </c>
      <c r="AW1537" s="3" t="s">
        <v>19289</v>
      </c>
      <c r="AX1537" s="3" t="s">
        <v>19289</v>
      </c>
      <c r="AY1537" s="3" t="s">
        <v>19290</v>
      </c>
      <c r="AZ1537" s="3" t="s">
        <v>73</v>
      </c>
      <c r="BB1537" s="3" t="s">
        <v>19291</v>
      </c>
      <c r="BC1537" s="3" t="s">
        <v>19292</v>
      </c>
      <c r="BD1537" s="3" t="s">
        <v>19293</v>
      </c>
    </row>
    <row r="1538" spans="1:56" ht="51" customHeight="1" x14ac:dyDescent="0.25">
      <c r="A1538" s="7" t="s">
        <v>58</v>
      </c>
      <c r="B1538" s="2" t="s">
        <v>19294</v>
      </c>
      <c r="C1538" s="2" t="s">
        <v>19295</v>
      </c>
      <c r="D1538" s="2" t="s">
        <v>19296</v>
      </c>
      <c r="F1538" s="3" t="s">
        <v>58</v>
      </c>
      <c r="G1538" s="3" t="s">
        <v>59</v>
      </c>
      <c r="H1538" s="3" t="s">
        <v>58</v>
      </c>
      <c r="I1538" s="3" t="s">
        <v>58</v>
      </c>
      <c r="J1538" s="3" t="s">
        <v>60</v>
      </c>
      <c r="K1538" s="2" t="s">
        <v>19297</v>
      </c>
      <c r="L1538" s="2" t="s">
        <v>19298</v>
      </c>
      <c r="M1538" s="3" t="s">
        <v>951</v>
      </c>
      <c r="O1538" s="3" t="s">
        <v>63</v>
      </c>
      <c r="P1538" s="3" t="s">
        <v>17407</v>
      </c>
      <c r="Q1538" s="2" t="s">
        <v>17534</v>
      </c>
      <c r="R1538" s="3" t="s">
        <v>65</v>
      </c>
      <c r="S1538" s="4">
        <v>1</v>
      </c>
      <c r="T1538" s="4">
        <v>1</v>
      </c>
      <c r="U1538" s="5" t="s">
        <v>19299</v>
      </c>
      <c r="V1538" s="5" t="s">
        <v>19299</v>
      </c>
      <c r="W1538" s="5" t="s">
        <v>4972</v>
      </c>
      <c r="X1538" s="5" t="s">
        <v>4972</v>
      </c>
      <c r="Y1538" s="4">
        <v>934</v>
      </c>
      <c r="Z1538" s="4">
        <v>848</v>
      </c>
      <c r="AA1538" s="4">
        <v>850</v>
      </c>
      <c r="AB1538" s="4">
        <v>4</v>
      </c>
      <c r="AC1538" s="4">
        <v>4</v>
      </c>
      <c r="AD1538" s="4">
        <v>31</v>
      </c>
      <c r="AE1538" s="4">
        <v>31</v>
      </c>
      <c r="AF1538" s="4">
        <v>15</v>
      </c>
      <c r="AG1538" s="4">
        <v>15</v>
      </c>
      <c r="AH1538" s="4">
        <v>9</v>
      </c>
      <c r="AI1538" s="4">
        <v>9</v>
      </c>
      <c r="AJ1538" s="4">
        <v>12</v>
      </c>
      <c r="AK1538" s="4">
        <v>12</v>
      </c>
      <c r="AL1538" s="4">
        <v>3</v>
      </c>
      <c r="AM1538" s="4">
        <v>3</v>
      </c>
      <c r="AN1538" s="4">
        <v>0</v>
      </c>
      <c r="AO1538" s="4">
        <v>0</v>
      </c>
      <c r="AP1538" s="3" t="s">
        <v>58</v>
      </c>
      <c r="AQ1538" s="3" t="s">
        <v>68</v>
      </c>
      <c r="AR1538" s="6" t="str">
        <f>HYPERLINK("http://catalog.hathitrust.org/Record/004067085","HathiTrust Record")</f>
        <v>HathiTrust Record</v>
      </c>
      <c r="AS1538" s="6" t="str">
        <f>HYPERLINK("https://creighton-primo.hosted.exlibrisgroup.com/primo-explore/search?tab=default_tab&amp;search_scope=EVERYTHING&amp;vid=01CRU&amp;lang=en_US&amp;offset=0&amp;query=any,contains,991003698929702656","Catalog Record")</f>
        <v>Catalog Record</v>
      </c>
      <c r="AT1538" s="6" t="str">
        <f>HYPERLINK("http://www.worldcat.org/oclc/42061137","WorldCat Record")</f>
        <v>WorldCat Record</v>
      </c>
      <c r="AU1538" s="3" t="s">
        <v>19300</v>
      </c>
      <c r="AV1538" s="3" t="s">
        <v>19301</v>
      </c>
      <c r="AW1538" s="3" t="s">
        <v>19302</v>
      </c>
      <c r="AX1538" s="3" t="s">
        <v>19302</v>
      </c>
      <c r="AY1538" s="3" t="s">
        <v>19303</v>
      </c>
      <c r="AZ1538" s="3" t="s">
        <v>73</v>
      </c>
      <c r="BB1538" s="3" t="s">
        <v>19304</v>
      </c>
      <c r="BC1538" s="3" t="s">
        <v>19305</v>
      </c>
      <c r="BD1538" s="3" t="s">
        <v>19306</v>
      </c>
    </row>
    <row r="1539" spans="1:56" ht="51" customHeight="1" x14ac:dyDescent="0.25">
      <c r="A1539" s="7" t="s">
        <v>58</v>
      </c>
      <c r="B1539" s="2" t="s">
        <v>19307</v>
      </c>
      <c r="C1539" s="2" t="s">
        <v>19308</v>
      </c>
      <c r="D1539" s="2" t="s">
        <v>19309</v>
      </c>
      <c r="F1539" s="3" t="s">
        <v>58</v>
      </c>
      <c r="G1539" s="3" t="s">
        <v>59</v>
      </c>
      <c r="H1539" s="3" t="s">
        <v>58</v>
      </c>
      <c r="I1539" s="3" t="s">
        <v>58</v>
      </c>
      <c r="J1539" s="3" t="s">
        <v>60</v>
      </c>
      <c r="K1539" s="2" t="s">
        <v>19310</v>
      </c>
      <c r="L1539" s="2" t="s">
        <v>19311</v>
      </c>
      <c r="M1539" s="3" t="s">
        <v>101</v>
      </c>
      <c r="O1539" s="3" t="s">
        <v>63</v>
      </c>
      <c r="P1539" s="3" t="s">
        <v>214</v>
      </c>
      <c r="R1539" s="3" t="s">
        <v>65</v>
      </c>
      <c r="S1539" s="4">
        <v>1</v>
      </c>
      <c r="T1539" s="4">
        <v>1</v>
      </c>
      <c r="U1539" s="5" t="s">
        <v>19312</v>
      </c>
      <c r="V1539" s="5" t="s">
        <v>19312</v>
      </c>
      <c r="W1539" s="5" t="s">
        <v>17235</v>
      </c>
      <c r="X1539" s="5" t="s">
        <v>17235</v>
      </c>
      <c r="Y1539" s="4">
        <v>879</v>
      </c>
      <c r="Z1539" s="4">
        <v>828</v>
      </c>
      <c r="AA1539" s="4">
        <v>835</v>
      </c>
      <c r="AB1539" s="4">
        <v>8</v>
      </c>
      <c r="AC1539" s="4">
        <v>8</v>
      </c>
      <c r="AD1539" s="4">
        <v>33</v>
      </c>
      <c r="AE1539" s="4">
        <v>33</v>
      </c>
      <c r="AF1539" s="4">
        <v>8</v>
      </c>
      <c r="AG1539" s="4">
        <v>8</v>
      </c>
      <c r="AH1539" s="4">
        <v>3</v>
      </c>
      <c r="AI1539" s="4">
        <v>3</v>
      </c>
      <c r="AJ1539" s="4">
        <v>11</v>
      </c>
      <c r="AK1539" s="4">
        <v>11</v>
      </c>
      <c r="AL1539" s="4">
        <v>4</v>
      </c>
      <c r="AM1539" s="4">
        <v>4</v>
      </c>
      <c r="AN1539" s="4">
        <v>11</v>
      </c>
      <c r="AO1539" s="4">
        <v>11</v>
      </c>
      <c r="AP1539" s="3" t="s">
        <v>58</v>
      </c>
      <c r="AQ1539" s="3" t="s">
        <v>68</v>
      </c>
      <c r="AR1539" s="6" t="str">
        <f>HYPERLINK("http://catalog.hathitrust.org/Record/000321340","HathiTrust Record")</f>
        <v>HathiTrust Record</v>
      </c>
      <c r="AS1539" s="6" t="str">
        <f>HYPERLINK("https://creighton-primo.hosted.exlibrisgroup.com/primo-explore/search?tab=default_tab&amp;search_scope=EVERYTHING&amp;vid=01CRU&amp;lang=en_US&amp;offset=0&amp;query=any,contains,991000370229702656","Catalog Record")</f>
        <v>Catalog Record</v>
      </c>
      <c r="AT1539" s="6" t="str">
        <f>HYPERLINK("http://www.worldcat.org/oclc/10429812","WorldCat Record")</f>
        <v>WorldCat Record</v>
      </c>
      <c r="AU1539" s="3" t="s">
        <v>19313</v>
      </c>
      <c r="AV1539" s="3" t="s">
        <v>19314</v>
      </c>
      <c r="AW1539" s="3" t="s">
        <v>19315</v>
      </c>
      <c r="AX1539" s="3" t="s">
        <v>19315</v>
      </c>
      <c r="AY1539" s="3" t="s">
        <v>19316</v>
      </c>
      <c r="AZ1539" s="3" t="s">
        <v>73</v>
      </c>
      <c r="BB1539" s="3" t="s">
        <v>19317</v>
      </c>
      <c r="BC1539" s="3" t="s">
        <v>19318</v>
      </c>
      <c r="BD1539" s="3" t="s">
        <v>19319</v>
      </c>
    </row>
    <row r="1540" spans="1:56" ht="51" customHeight="1" x14ac:dyDescent="0.25">
      <c r="A1540" s="7" t="s">
        <v>58</v>
      </c>
      <c r="B1540" s="2" t="s">
        <v>19320</v>
      </c>
      <c r="C1540" s="2" t="s">
        <v>19321</v>
      </c>
      <c r="D1540" s="2" t="s">
        <v>19322</v>
      </c>
      <c r="F1540" s="3" t="s">
        <v>58</v>
      </c>
      <c r="G1540" s="3" t="s">
        <v>59</v>
      </c>
      <c r="H1540" s="3" t="s">
        <v>58</v>
      </c>
      <c r="I1540" s="3" t="s">
        <v>58</v>
      </c>
      <c r="J1540" s="3" t="s">
        <v>60</v>
      </c>
      <c r="K1540" s="2" t="s">
        <v>19082</v>
      </c>
      <c r="L1540" s="2" t="s">
        <v>19323</v>
      </c>
      <c r="M1540" s="3" t="s">
        <v>855</v>
      </c>
      <c r="N1540" s="2" t="s">
        <v>19324</v>
      </c>
      <c r="O1540" s="3" t="s">
        <v>63</v>
      </c>
      <c r="P1540" s="3" t="s">
        <v>354</v>
      </c>
      <c r="R1540" s="3" t="s">
        <v>65</v>
      </c>
      <c r="S1540" s="4">
        <v>4</v>
      </c>
      <c r="T1540" s="4">
        <v>4</v>
      </c>
      <c r="U1540" s="5" t="s">
        <v>19325</v>
      </c>
      <c r="V1540" s="5" t="s">
        <v>19325</v>
      </c>
      <c r="W1540" s="5" t="s">
        <v>19326</v>
      </c>
      <c r="X1540" s="5" t="s">
        <v>19326</v>
      </c>
      <c r="Y1540" s="4">
        <v>184</v>
      </c>
      <c r="Z1540" s="4">
        <v>153</v>
      </c>
      <c r="AA1540" s="4">
        <v>833</v>
      </c>
      <c r="AB1540" s="4">
        <v>2</v>
      </c>
      <c r="AC1540" s="4">
        <v>4</v>
      </c>
      <c r="AD1540" s="4">
        <v>3</v>
      </c>
      <c r="AE1540" s="4">
        <v>24</v>
      </c>
      <c r="AF1540" s="4">
        <v>0</v>
      </c>
      <c r="AG1540" s="4">
        <v>9</v>
      </c>
      <c r="AH1540" s="4">
        <v>1</v>
      </c>
      <c r="AI1540" s="4">
        <v>5</v>
      </c>
      <c r="AJ1540" s="4">
        <v>1</v>
      </c>
      <c r="AK1540" s="4">
        <v>13</v>
      </c>
      <c r="AL1540" s="4">
        <v>1</v>
      </c>
      <c r="AM1540" s="4">
        <v>3</v>
      </c>
      <c r="AN1540" s="4">
        <v>1</v>
      </c>
      <c r="AO1540" s="4">
        <v>1</v>
      </c>
      <c r="AP1540" s="3" t="s">
        <v>58</v>
      </c>
      <c r="AQ1540" s="3" t="s">
        <v>58</v>
      </c>
      <c r="AS1540" s="6" t="str">
        <f>HYPERLINK("https://creighton-primo.hosted.exlibrisgroup.com/primo-explore/search?tab=default_tab&amp;search_scope=EVERYTHING&amp;vid=01CRU&amp;lang=en_US&amp;offset=0&amp;query=any,contains,991002189299702656","Catalog Record")</f>
        <v>Catalog Record</v>
      </c>
      <c r="AT1540" s="6" t="str">
        <f>HYPERLINK("http://www.worldcat.org/oclc/28180915","WorldCat Record")</f>
        <v>WorldCat Record</v>
      </c>
      <c r="AU1540" s="3" t="s">
        <v>19327</v>
      </c>
      <c r="AV1540" s="3" t="s">
        <v>19328</v>
      </c>
      <c r="AW1540" s="3" t="s">
        <v>19329</v>
      </c>
      <c r="AX1540" s="3" t="s">
        <v>19329</v>
      </c>
      <c r="AY1540" s="3" t="s">
        <v>19330</v>
      </c>
      <c r="AZ1540" s="3" t="s">
        <v>73</v>
      </c>
      <c r="BB1540" s="3" t="s">
        <v>19331</v>
      </c>
      <c r="BC1540" s="3" t="s">
        <v>19332</v>
      </c>
      <c r="BD1540" s="3" t="s">
        <v>19333</v>
      </c>
    </row>
    <row r="1541" spans="1:56" ht="51" customHeight="1" x14ac:dyDescent="0.25">
      <c r="A1541" s="7" t="s">
        <v>58</v>
      </c>
      <c r="B1541" s="2" t="s">
        <v>19334</v>
      </c>
      <c r="C1541" s="2" t="s">
        <v>19335</v>
      </c>
      <c r="D1541" s="2" t="s">
        <v>19336</v>
      </c>
      <c r="F1541" s="3" t="s">
        <v>58</v>
      </c>
      <c r="G1541" s="3" t="s">
        <v>59</v>
      </c>
      <c r="H1541" s="3" t="s">
        <v>58</v>
      </c>
      <c r="I1541" s="3" t="s">
        <v>58</v>
      </c>
      <c r="J1541" s="3" t="s">
        <v>60</v>
      </c>
      <c r="K1541" s="2" t="s">
        <v>19337</v>
      </c>
      <c r="L1541" s="2" t="s">
        <v>19338</v>
      </c>
      <c r="M1541" s="3" t="s">
        <v>842</v>
      </c>
      <c r="O1541" s="3" t="s">
        <v>63</v>
      </c>
      <c r="P1541" s="3" t="s">
        <v>2630</v>
      </c>
      <c r="Q1541" s="2" t="s">
        <v>19339</v>
      </c>
      <c r="R1541" s="3" t="s">
        <v>65</v>
      </c>
      <c r="S1541" s="4">
        <v>8</v>
      </c>
      <c r="T1541" s="4">
        <v>8</v>
      </c>
      <c r="U1541" s="5" t="s">
        <v>19340</v>
      </c>
      <c r="V1541" s="5" t="s">
        <v>19340</v>
      </c>
      <c r="W1541" s="5" t="s">
        <v>3486</v>
      </c>
      <c r="X1541" s="5" t="s">
        <v>3486</v>
      </c>
      <c r="Y1541" s="4">
        <v>561</v>
      </c>
      <c r="Z1541" s="4">
        <v>476</v>
      </c>
      <c r="AA1541" s="4">
        <v>497</v>
      </c>
      <c r="AB1541" s="4">
        <v>4</v>
      </c>
      <c r="AC1541" s="4">
        <v>4</v>
      </c>
      <c r="AD1541" s="4">
        <v>23</v>
      </c>
      <c r="AE1541" s="4">
        <v>23</v>
      </c>
      <c r="AF1541" s="4">
        <v>9</v>
      </c>
      <c r="AG1541" s="4">
        <v>9</v>
      </c>
      <c r="AH1541" s="4">
        <v>6</v>
      </c>
      <c r="AI1541" s="4">
        <v>6</v>
      </c>
      <c r="AJ1541" s="4">
        <v>12</v>
      </c>
      <c r="AK1541" s="4">
        <v>12</v>
      </c>
      <c r="AL1541" s="4">
        <v>3</v>
      </c>
      <c r="AM1541" s="4">
        <v>3</v>
      </c>
      <c r="AN1541" s="4">
        <v>0</v>
      </c>
      <c r="AO1541" s="4">
        <v>0</v>
      </c>
      <c r="AP1541" s="3" t="s">
        <v>58</v>
      </c>
      <c r="AQ1541" s="3" t="s">
        <v>58</v>
      </c>
      <c r="AS1541" s="6" t="str">
        <f>HYPERLINK("https://creighton-primo.hosted.exlibrisgroup.com/primo-explore/search?tab=default_tab&amp;search_scope=EVERYTHING&amp;vid=01CRU&amp;lang=en_US&amp;offset=0&amp;query=any,contains,991005044579702656","Catalog Record")</f>
        <v>Catalog Record</v>
      </c>
      <c r="AT1541" s="6" t="str">
        <f>HYPERLINK("http://www.worldcat.org/oclc/6815970","WorldCat Record")</f>
        <v>WorldCat Record</v>
      </c>
      <c r="AU1541" s="3" t="s">
        <v>19341</v>
      </c>
      <c r="AV1541" s="3" t="s">
        <v>19342</v>
      </c>
      <c r="AW1541" s="3" t="s">
        <v>19343</v>
      </c>
      <c r="AX1541" s="3" t="s">
        <v>19343</v>
      </c>
      <c r="AY1541" s="3" t="s">
        <v>19344</v>
      </c>
      <c r="AZ1541" s="3" t="s">
        <v>73</v>
      </c>
      <c r="BC1541" s="3" t="s">
        <v>19345</v>
      </c>
      <c r="BD1541" s="3" t="s">
        <v>19346</v>
      </c>
    </row>
    <row r="1542" spans="1:56" ht="51" customHeight="1" x14ac:dyDescent="0.25">
      <c r="A1542" s="7" t="s">
        <v>58</v>
      </c>
      <c r="B1542" s="2" t="s">
        <v>19347</v>
      </c>
      <c r="C1542" s="2" t="s">
        <v>19348</v>
      </c>
      <c r="D1542" s="2" t="s">
        <v>19349</v>
      </c>
      <c r="F1542" s="3" t="s">
        <v>58</v>
      </c>
      <c r="G1542" s="3" t="s">
        <v>59</v>
      </c>
      <c r="H1542" s="3" t="s">
        <v>58</v>
      </c>
      <c r="I1542" s="3" t="s">
        <v>58</v>
      </c>
      <c r="J1542" s="3" t="s">
        <v>60</v>
      </c>
      <c r="L1542" s="2" t="s">
        <v>19350</v>
      </c>
      <c r="M1542" s="3" t="s">
        <v>101</v>
      </c>
      <c r="N1542" s="2" t="s">
        <v>338</v>
      </c>
      <c r="O1542" s="3" t="s">
        <v>63</v>
      </c>
      <c r="P1542" s="3" t="s">
        <v>214</v>
      </c>
      <c r="R1542" s="3" t="s">
        <v>65</v>
      </c>
      <c r="S1542" s="4">
        <v>1</v>
      </c>
      <c r="T1542" s="4">
        <v>1</v>
      </c>
      <c r="U1542" s="5" t="s">
        <v>19126</v>
      </c>
      <c r="V1542" s="5" t="s">
        <v>19126</v>
      </c>
      <c r="W1542" s="5" t="s">
        <v>3486</v>
      </c>
      <c r="X1542" s="5" t="s">
        <v>3486</v>
      </c>
      <c r="Y1542" s="4">
        <v>505</v>
      </c>
      <c r="Z1542" s="4">
        <v>484</v>
      </c>
      <c r="AA1542" s="4">
        <v>489</v>
      </c>
      <c r="AB1542" s="4">
        <v>5</v>
      </c>
      <c r="AC1542" s="4">
        <v>5</v>
      </c>
      <c r="AD1542" s="4">
        <v>15</v>
      </c>
      <c r="AE1542" s="4">
        <v>15</v>
      </c>
      <c r="AF1542" s="4">
        <v>5</v>
      </c>
      <c r="AG1542" s="4">
        <v>5</v>
      </c>
      <c r="AH1542" s="4">
        <v>3</v>
      </c>
      <c r="AI1542" s="4">
        <v>3</v>
      </c>
      <c r="AJ1542" s="4">
        <v>7</v>
      </c>
      <c r="AK1542" s="4">
        <v>7</v>
      </c>
      <c r="AL1542" s="4">
        <v>2</v>
      </c>
      <c r="AM1542" s="4">
        <v>2</v>
      </c>
      <c r="AN1542" s="4">
        <v>0</v>
      </c>
      <c r="AO1542" s="4">
        <v>0</v>
      </c>
      <c r="AP1542" s="3" t="s">
        <v>58</v>
      </c>
      <c r="AQ1542" s="3" t="s">
        <v>58</v>
      </c>
      <c r="AS1542" s="6" t="str">
        <f>HYPERLINK("https://creighton-primo.hosted.exlibrisgroup.com/primo-explore/search?tab=default_tab&amp;search_scope=EVERYTHING&amp;vid=01CRU&amp;lang=en_US&amp;offset=0&amp;query=any,contains,991000465039702656","Catalog Record")</f>
        <v>Catalog Record</v>
      </c>
      <c r="AT1542" s="6" t="str">
        <f>HYPERLINK("http://www.worldcat.org/oclc/10950299","WorldCat Record")</f>
        <v>WorldCat Record</v>
      </c>
      <c r="AU1542" s="3" t="s">
        <v>19351</v>
      </c>
      <c r="AV1542" s="3" t="s">
        <v>19352</v>
      </c>
      <c r="AW1542" s="3" t="s">
        <v>19353</v>
      </c>
      <c r="AX1542" s="3" t="s">
        <v>19353</v>
      </c>
      <c r="AY1542" s="3" t="s">
        <v>19354</v>
      </c>
      <c r="AZ1542" s="3" t="s">
        <v>73</v>
      </c>
      <c r="BB1542" s="3" t="s">
        <v>19355</v>
      </c>
      <c r="BC1542" s="3" t="s">
        <v>19356</v>
      </c>
      <c r="BD1542" s="3" t="s">
        <v>19357</v>
      </c>
    </row>
    <row r="1543" spans="1:56" ht="51" customHeight="1" x14ac:dyDescent="0.25">
      <c r="A1543" s="7" t="s">
        <v>58</v>
      </c>
      <c r="B1543" s="2" t="s">
        <v>19358</v>
      </c>
      <c r="C1543" s="2" t="s">
        <v>19359</v>
      </c>
      <c r="D1543" s="2" t="s">
        <v>19360</v>
      </c>
      <c r="F1543" s="3" t="s">
        <v>58</v>
      </c>
      <c r="G1543" s="3" t="s">
        <v>59</v>
      </c>
      <c r="H1543" s="3" t="s">
        <v>58</v>
      </c>
      <c r="I1543" s="3" t="s">
        <v>58</v>
      </c>
      <c r="J1543" s="3" t="s">
        <v>60</v>
      </c>
      <c r="K1543" s="2" t="s">
        <v>19361</v>
      </c>
      <c r="L1543" s="2" t="s">
        <v>19362</v>
      </c>
      <c r="M1543" s="3" t="s">
        <v>423</v>
      </c>
      <c r="O1543" s="3" t="s">
        <v>63</v>
      </c>
      <c r="P1543" s="3" t="s">
        <v>3109</v>
      </c>
      <c r="R1543" s="3" t="s">
        <v>65</v>
      </c>
      <c r="S1543" s="4">
        <v>5</v>
      </c>
      <c r="T1543" s="4">
        <v>5</v>
      </c>
      <c r="U1543" s="5" t="s">
        <v>19363</v>
      </c>
      <c r="V1543" s="5" t="s">
        <v>19363</v>
      </c>
      <c r="W1543" s="5" t="s">
        <v>4803</v>
      </c>
      <c r="X1543" s="5" t="s">
        <v>4803</v>
      </c>
      <c r="Y1543" s="4">
        <v>202</v>
      </c>
      <c r="Z1543" s="4">
        <v>189</v>
      </c>
      <c r="AA1543" s="4">
        <v>359</v>
      </c>
      <c r="AB1543" s="4">
        <v>2</v>
      </c>
      <c r="AC1543" s="4">
        <v>4</v>
      </c>
      <c r="AD1543" s="4">
        <v>3</v>
      </c>
      <c r="AE1543" s="4">
        <v>5</v>
      </c>
      <c r="AF1543" s="4">
        <v>2</v>
      </c>
      <c r="AG1543" s="4">
        <v>3</v>
      </c>
      <c r="AH1543" s="4">
        <v>0</v>
      </c>
      <c r="AI1543" s="4">
        <v>1</v>
      </c>
      <c r="AJ1543" s="4">
        <v>3</v>
      </c>
      <c r="AK1543" s="4">
        <v>3</v>
      </c>
      <c r="AL1543" s="4">
        <v>0</v>
      </c>
      <c r="AM1543" s="4">
        <v>1</v>
      </c>
      <c r="AN1543" s="4">
        <v>0</v>
      </c>
      <c r="AO1543" s="4">
        <v>0</v>
      </c>
      <c r="AP1543" s="3" t="s">
        <v>58</v>
      </c>
      <c r="AQ1543" s="3" t="s">
        <v>68</v>
      </c>
      <c r="AR1543" s="6" t="str">
        <f>HYPERLINK("http://catalog.hathitrust.org/Record/003971522","HathiTrust Record")</f>
        <v>HathiTrust Record</v>
      </c>
      <c r="AS1543" s="6" t="str">
        <f>HYPERLINK("https://creighton-primo.hosted.exlibrisgroup.com/primo-explore/search?tab=default_tab&amp;search_scope=EVERYTHING&amp;vid=01CRU&amp;lang=en_US&amp;offset=0&amp;query=any,contains,991002878979702656","Catalog Record")</f>
        <v>Catalog Record</v>
      </c>
      <c r="AT1543" s="6" t="str">
        <f>HYPERLINK("http://www.worldcat.org/oclc/37935232","WorldCat Record")</f>
        <v>WorldCat Record</v>
      </c>
      <c r="AU1543" s="3" t="s">
        <v>19364</v>
      </c>
      <c r="AV1543" s="3" t="s">
        <v>19365</v>
      </c>
      <c r="AW1543" s="3" t="s">
        <v>19366</v>
      </c>
      <c r="AX1543" s="3" t="s">
        <v>19366</v>
      </c>
      <c r="AY1543" s="3" t="s">
        <v>19367</v>
      </c>
      <c r="AZ1543" s="3" t="s">
        <v>73</v>
      </c>
      <c r="BB1543" s="3" t="s">
        <v>19368</v>
      </c>
      <c r="BC1543" s="3" t="s">
        <v>19369</v>
      </c>
      <c r="BD1543" s="3" t="s">
        <v>19370</v>
      </c>
    </row>
    <row r="1544" spans="1:56" ht="51" customHeight="1" x14ac:dyDescent="0.25">
      <c r="A1544" s="7" t="s">
        <v>58</v>
      </c>
      <c r="B1544" s="2" t="s">
        <v>19371</v>
      </c>
      <c r="C1544" s="2" t="s">
        <v>19372</v>
      </c>
      <c r="D1544" s="2" t="s">
        <v>19373</v>
      </c>
      <c r="F1544" s="3" t="s">
        <v>58</v>
      </c>
      <c r="G1544" s="3" t="s">
        <v>59</v>
      </c>
      <c r="H1544" s="3" t="s">
        <v>58</v>
      </c>
      <c r="I1544" s="3" t="s">
        <v>58</v>
      </c>
      <c r="J1544" s="3" t="s">
        <v>60</v>
      </c>
      <c r="K1544" s="2" t="s">
        <v>19374</v>
      </c>
      <c r="L1544" s="2" t="s">
        <v>19375</v>
      </c>
      <c r="M1544" s="3" t="s">
        <v>1399</v>
      </c>
      <c r="O1544" s="3" t="s">
        <v>63</v>
      </c>
      <c r="P1544" s="3" t="s">
        <v>214</v>
      </c>
      <c r="R1544" s="3" t="s">
        <v>65</v>
      </c>
      <c r="S1544" s="4">
        <v>11</v>
      </c>
      <c r="T1544" s="4">
        <v>11</v>
      </c>
      <c r="U1544" s="5" t="s">
        <v>17547</v>
      </c>
      <c r="V1544" s="5" t="s">
        <v>17547</v>
      </c>
      <c r="W1544" s="5" t="s">
        <v>3486</v>
      </c>
      <c r="X1544" s="5" t="s">
        <v>3486</v>
      </c>
      <c r="Y1544" s="4">
        <v>146</v>
      </c>
      <c r="Z1544" s="4">
        <v>140</v>
      </c>
      <c r="AA1544" s="4">
        <v>140</v>
      </c>
      <c r="AB1544" s="4">
        <v>3</v>
      </c>
      <c r="AC1544" s="4">
        <v>3</v>
      </c>
      <c r="AD1544" s="4">
        <v>6</v>
      </c>
      <c r="AE1544" s="4">
        <v>6</v>
      </c>
      <c r="AF1544" s="4">
        <v>3</v>
      </c>
      <c r="AG1544" s="4">
        <v>3</v>
      </c>
      <c r="AH1544" s="4">
        <v>2</v>
      </c>
      <c r="AI1544" s="4">
        <v>2</v>
      </c>
      <c r="AJ1544" s="4">
        <v>3</v>
      </c>
      <c r="AK1544" s="4">
        <v>3</v>
      </c>
      <c r="AL1544" s="4">
        <v>1</v>
      </c>
      <c r="AM1544" s="4">
        <v>1</v>
      </c>
      <c r="AN1544" s="4">
        <v>0</v>
      </c>
      <c r="AO1544" s="4">
        <v>0</v>
      </c>
      <c r="AP1544" s="3" t="s">
        <v>58</v>
      </c>
      <c r="AQ1544" s="3" t="s">
        <v>58</v>
      </c>
      <c r="AS1544" s="6" t="str">
        <f>HYPERLINK("https://creighton-primo.hosted.exlibrisgroup.com/primo-explore/search?tab=default_tab&amp;search_scope=EVERYTHING&amp;vid=01CRU&amp;lang=en_US&amp;offset=0&amp;query=any,contains,991001165829702656","Catalog Record")</f>
        <v>Catalog Record</v>
      </c>
      <c r="AT1544" s="6" t="str">
        <f>HYPERLINK("http://www.worldcat.org/oclc/16923159","WorldCat Record")</f>
        <v>WorldCat Record</v>
      </c>
      <c r="AU1544" s="3" t="s">
        <v>19376</v>
      </c>
      <c r="AV1544" s="3" t="s">
        <v>19377</v>
      </c>
      <c r="AW1544" s="3" t="s">
        <v>19378</v>
      </c>
      <c r="AX1544" s="3" t="s">
        <v>19378</v>
      </c>
      <c r="AY1544" s="3" t="s">
        <v>19379</v>
      </c>
      <c r="AZ1544" s="3" t="s">
        <v>73</v>
      </c>
      <c r="BB1544" s="3" t="s">
        <v>19380</v>
      </c>
      <c r="BC1544" s="3" t="s">
        <v>19381</v>
      </c>
      <c r="BD1544" s="3" t="s">
        <v>19382</v>
      </c>
    </row>
    <row r="1545" spans="1:56" ht="51" customHeight="1" x14ac:dyDescent="0.25">
      <c r="A1545" s="7" t="s">
        <v>58</v>
      </c>
      <c r="B1545" s="2" t="s">
        <v>19383</v>
      </c>
      <c r="C1545" s="2" t="s">
        <v>19384</v>
      </c>
      <c r="D1545" s="2" t="s">
        <v>19385</v>
      </c>
      <c r="F1545" s="3" t="s">
        <v>58</v>
      </c>
      <c r="G1545" s="3" t="s">
        <v>59</v>
      </c>
      <c r="H1545" s="3" t="s">
        <v>58</v>
      </c>
      <c r="I1545" s="3" t="s">
        <v>58</v>
      </c>
      <c r="J1545" s="3" t="s">
        <v>60</v>
      </c>
      <c r="K1545" s="2" t="s">
        <v>19386</v>
      </c>
      <c r="L1545" s="2" t="s">
        <v>19387</v>
      </c>
      <c r="M1545" s="3" t="s">
        <v>552</v>
      </c>
      <c r="O1545" s="3" t="s">
        <v>63</v>
      </c>
      <c r="P1545" s="3" t="s">
        <v>495</v>
      </c>
      <c r="R1545" s="3" t="s">
        <v>65</v>
      </c>
      <c r="S1545" s="4">
        <v>21</v>
      </c>
      <c r="T1545" s="4">
        <v>21</v>
      </c>
      <c r="U1545" s="5" t="s">
        <v>18815</v>
      </c>
      <c r="V1545" s="5" t="s">
        <v>18815</v>
      </c>
      <c r="W1545" s="5" t="s">
        <v>19388</v>
      </c>
      <c r="X1545" s="5" t="s">
        <v>19388</v>
      </c>
      <c r="Y1545" s="4">
        <v>957</v>
      </c>
      <c r="Z1545" s="4">
        <v>886</v>
      </c>
      <c r="AA1545" s="4">
        <v>1252</v>
      </c>
      <c r="AB1545" s="4">
        <v>9</v>
      </c>
      <c r="AC1545" s="4">
        <v>11</v>
      </c>
      <c r="AD1545" s="4">
        <v>39</v>
      </c>
      <c r="AE1545" s="4">
        <v>51</v>
      </c>
      <c r="AF1545" s="4">
        <v>17</v>
      </c>
      <c r="AG1545" s="4">
        <v>21</v>
      </c>
      <c r="AH1545" s="4">
        <v>8</v>
      </c>
      <c r="AI1545" s="4">
        <v>11</v>
      </c>
      <c r="AJ1545" s="4">
        <v>15</v>
      </c>
      <c r="AK1545" s="4">
        <v>20</v>
      </c>
      <c r="AL1545" s="4">
        <v>7</v>
      </c>
      <c r="AM1545" s="4">
        <v>9</v>
      </c>
      <c r="AN1545" s="4">
        <v>0</v>
      </c>
      <c r="AO1545" s="4">
        <v>1</v>
      </c>
      <c r="AP1545" s="3" t="s">
        <v>58</v>
      </c>
      <c r="AQ1545" s="3" t="s">
        <v>68</v>
      </c>
      <c r="AR1545" s="6" t="str">
        <f>HYPERLINK("http://catalog.hathitrust.org/Record/002210233","HathiTrust Record")</f>
        <v>HathiTrust Record</v>
      </c>
      <c r="AS1545" s="6" t="str">
        <f>HYPERLINK("https://creighton-primo.hosted.exlibrisgroup.com/primo-explore/search?tab=default_tab&amp;search_scope=EVERYTHING&amp;vid=01CRU&amp;lang=en_US&amp;offset=0&amp;query=any,contains,991001676869702656","Catalog Record")</f>
        <v>Catalog Record</v>
      </c>
      <c r="AT1545" s="6" t="str">
        <f>HYPERLINK("http://www.worldcat.org/oclc/21332836","WorldCat Record")</f>
        <v>WorldCat Record</v>
      </c>
      <c r="AU1545" s="3" t="s">
        <v>19389</v>
      </c>
      <c r="AV1545" s="3" t="s">
        <v>19390</v>
      </c>
      <c r="AW1545" s="3" t="s">
        <v>19391</v>
      </c>
      <c r="AX1545" s="3" t="s">
        <v>19391</v>
      </c>
      <c r="AY1545" s="3" t="s">
        <v>19392</v>
      </c>
      <c r="AZ1545" s="3" t="s">
        <v>73</v>
      </c>
      <c r="BB1545" s="3" t="s">
        <v>19393</v>
      </c>
      <c r="BC1545" s="3" t="s">
        <v>19394</v>
      </c>
      <c r="BD1545" s="3" t="s">
        <v>19395</v>
      </c>
    </row>
    <row r="1546" spans="1:56" ht="51" customHeight="1" x14ac:dyDescent="0.25">
      <c r="A1546" s="7" t="s">
        <v>58</v>
      </c>
      <c r="B1546" s="2" t="s">
        <v>19396</v>
      </c>
      <c r="C1546" s="2" t="s">
        <v>19397</v>
      </c>
      <c r="D1546" s="2" t="s">
        <v>19398</v>
      </c>
      <c r="F1546" s="3" t="s">
        <v>58</v>
      </c>
      <c r="G1546" s="3" t="s">
        <v>59</v>
      </c>
      <c r="H1546" s="3" t="s">
        <v>58</v>
      </c>
      <c r="I1546" s="3" t="s">
        <v>58</v>
      </c>
      <c r="J1546" s="3" t="s">
        <v>60</v>
      </c>
      <c r="K1546" s="2" t="s">
        <v>19399</v>
      </c>
      <c r="L1546" s="2" t="s">
        <v>19400</v>
      </c>
      <c r="M1546" s="3" t="s">
        <v>951</v>
      </c>
      <c r="O1546" s="3" t="s">
        <v>63</v>
      </c>
      <c r="P1546" s="3" t="s">
        <v>214</v>
      </c>
      <c r="R1546" s="3" t="s">
        <v>65</v>
      </c>
      <c r="S1546" s="4">
        <v>1</v>
      </c>
      <c r="T1546" s="4">
        <v>1</v>
      </c>
      <c r="U1546" s="5" t="s">
        <v>8797</v>
      </c>
      <c r="V1546" s="5" t="s">
        <v>8797</v>
      </c>
      <c r="W1546" s="5" t="s">
        <v>8797</v>
      </c>
      <c r="X1546" s="5" t="s">
        <v>8797</v>
      </c>
      <c r="Y1546" s="4">
        <v>502</v>
      </c>
      <c r="Z1546" s="4">
        <v>472</v>
      </c>
      <c r="AA1546" s="4">
        <v>477</v>
      </c>
      <c r="AB1546" s="4">
        <v>4</v>
      </c>
      <c r="AC1546" s="4">
        <v>4</v>
      </c>
      <c r="AD1546" s="4">
        <v>16</v>
      </c>
      <c r="AE1546" s="4">
        <v>16</v>
      </c>
      <c r="AF1546" s="4">
        <v>4</v>
      </c>
      <c r="AG1546" s="4">
        <v>4</v>
      </c>
      <c r="AH1546" s="4">
        <v>4</v>
      </c>
      <c r="AI1546" s="4">
        <v>4</v>
      </c>
      <c r="AJ1546" s="4">
        <v>10</v>
      </c>
      <c r="AK1546" s="4">
        <v>10</v>
      </c>
      <c r="AL1546" s="4">
        <v>3</v>
      </c>
      <c r="AM1546" s="4">
        <v>3</v>
      </c>
      <c r="AN1546" s="4">
        <v>0</v>
      </c>
      <c r="AO1546" s="4">
        <v>0</v>
      </c>
      <c r="AP1546" s="3" t="s">
        <v>58</v>
      </c>
      <c r="AQ1546" s="3" t="s">
        <v>58</v>
      </c>
      <c r="AS1546" s="6" t="str">
        <f>HYPERLINK("https://creighton-primo.hosted.exlibrisgroup.com/primo-explore/search?tab=default_tab&amp;search_scope=EVERYTHING&amp;vid=01CRU&amp;lang=en_US&amp;offset=0&amp;query=any,contains,991003284399702656","Catalog Record")</f>
        <v>Catalog Record</v>
      </c>
      <c r="AT1546" s="6" t="str">
        <f>HYPERLINK("http://www.worldcat.org/oclc/44089161","WorldCat Record")</f>
        <v>WorldCat Record</v>
      </c>
      <c r="AU1546" s="3" t="s">
        <v>19401</v>
      </c>
      <c r="AV1546" s="3" t="s">
        <v>19402</v>
      </c>
      <c r="AW1546" s="3" t="s">
        <v>19403</v>
      </c>
      <c r="AX1546" s="3" t="s">
        <v>19403</v>
      </c>
      <c r="AY1546" s="3" t="s">
        <v>19404</v>
      </c>
      <c r="AZ1546" s="3" t="s">
        <v>73</v>
      </c>
      <c r="BB1546" s="3" t="s">
        <v>19405</v>
      </c>
      <c r="BC1546" s="3" t="s">
        <v>19406</v>
      </c>
      <c r="BD1546" s="3" t="s">
        <v>19407</v>
      </c>
    </row>
    <row r="1547" spans="1:56" ht="51" customHeight="1" x14ac:dyDescent="0.25">
      <c r="A1547" s="7" t="s">
        <v>58</v>
      </c>
      <c r="B1547" s="2" t="s">
        <v>19408</v>
      </c>
      <c r="C1547" s="2" t="s">
        <v>19409</v>
      </c>
      <c r="D1547" s="2" t="s">
        <v>19410</v>
      </c>
      <c r="F1547" s="3" t="s">
        <v>58</v>
      </c>
      <c r="G1547" s="3" t="s">
        <v>59</v>
      </c>
      <c r="H1547" s="3" t="s">
        <v>58</v>
      </c>
      <c r="I1547" s="3" t="s">
        <v>58</v>
      </c>
      <c r="J1547" s="3" t="s">
        <v>60</v>
      </c>
      <c r="K1547" s="2" t="s">
        <v>19411</v>
      </c>
      <c r="L1547" s="2" t="s">
        <v>19412</v>
      </c>
      <c r="M1547" s="3" t="s">
        <v>1544</v>
      </c>
      <c r="N1547" s="2" t="s">
        <v>338</v>
      </c>
      <c r="O1547" s="3" t="s">
        <v>63</v>
      </c>
      <c r="P1547" s="3" t="s">
        <v>1837</v>
      </c>
      <c r="R1547" s="3" t="s">
        <v>65</v>
      </c>
      <c r="S1547" s="4">
        <v>3</v>
      </c>
      <c r="T1547" s="4">
        <v>3</v>
      </c>
      <c r="U1547" s="5" t="s">
        <v>19413</v>
      </c>
      <c r="V1547" s="5" t="s">
        <v>19413</v>
      </c>
      <c r="W1547" s="5" t="s">
        <v>19414</v>
      </c>
      <c r="X1547" s="5" t="s">
        <v>19414</v>
      </c>
      <c r="Y1547" s="4">
        <v>196</v>
      </c>
      <c r="Z1547" s="4">
        <v>195</v>
      </c>
      <c r="AA1547" s="4">
        <v>200</v>
      </c>
      <c r="AB1547" s="4">
        <v>11</v>
      </c>
      <c r="AC1547" s="4">
        <v>11</v>
      </c>
      <c r="AD1547" s="4">
        <v>4</v>
      </c>
      <c r="AE1547" s="4">
        <v>4</v>
      </c>
      <c r="AF1547" s="4">
        <v>2</v>
      </c>
      <c r="AG1547" s="4">
        <v>2</v>
      </c>
      <c r="AH1547" s="4">
        <v>0</v>
      </c>
      <c r="AI1547" s="4">
        <v>0</v>
      </c>
      <c r="AJ1547" s="4">
        <v>0</v>
      </c>
      <c r="AK1547" s="4">
        <v>0</v>
      </c>
      <c r="AL1547" s="4">
        <v>2</v>
      </c>
      <c r="AM1547" s="4">
        <v>2</v>
      </c>
      <c r="AN1547" s="4">
        <v>0</v>
      </c>
      <c r="AO1547" s="4">
        <v>0</v>
      </c>
      <c r="AP1547" s="3" t="s">
        <v>58</v>
      </c>
      <c r="AQ1547" s="3" t="s">
        <v>58</v>
      </c>
      <c r="AS1547" s="6" t="str">
        <f>HYPERLINK("https://creighton-primo.hosted.exlibrisgroup.com/primo-explore/search?tab=default_tab&amp;search_scope=EVERYTHING&amp;vid=01CRU&amp;lang=en_US&amp;offset=0&amp;query=any,contains,991002035969702656","Catalog Record")</f>
        <v>Catalog Record</v>
      </c>
      <c r="AT1547" s="6" t="str">
        <f>HYPERLINK("http://www.worldcat.org/oclc/25963756","WorldCat Record")</f>
        <v>WorldCat Record</v>
      </c>
      <c r="AU1547" s="3" t="s">
        <v>19415</v>
      </c>
      <c r="AV1547" s="3" t="s">
        <v>19416</v>
      </c>
      <c r="AW1547" s="3" t="s">
        <v>19417</v>
      </c>
      <c r="AX1547" s="3" t="s">
        <v>19417</v>
      </c>
      <c r="AY1547" s="3" t="s">
        <v>19418</v>
      </c>
      <c r="AZ1547" s="3" t="s">
        <v>73</v>
      </c>
      <c r="BC1547" s="3" t="s">
        <v>19419</v>
      </c>
      <c r="BD1547" s="3" t="s">
        <v>19420</v>
      </c>
    </row>
    <row r="1548" spans="1:56" ht="51" customHeight="1" x14ac:dyDescent="0.25">
      <c r="A1548" s="7" t="s">
        <v>58</v>
      </c>
      <c r="B1548" s="2" t="s">
        <v>19421</v>
      </c>
      <c r="C1548" s="2" t="s">
        <v>19422</v>
      </c>
      <c r="D1548" s="2" t="s">
        <v>19423</v>
      </c>
      <c r="F1548" s="3" t="s">
        <v>58</v>
      </c>
      <c r="G1548" s="3" t="s">
        <v>59</v>
      </c>
      <c r="H1548" s="3" t="s">
        <v>58</v>
      </c>
      <c r="I1548" s="3" t="s">
        <v>58</v>
      </c>
      <c r="J1548" s="3" t="s">
        <v>60</v>
      </c>
      <c r="K1548" s="2" t="s">
        <v>19424</v>
      </c>
      <c r="L1548" s="2" t="s">
        <v>19425</v>
      </c>
      <c r="M1548" s="3" t="s">
        <v>397</v>
      </c>
      <c r="O1548" s="3" t="s">
        <v>63</v>
      </c>
      <c r="P1548" s="3" t="s">
        <v>214</v>
      </c>
      <c r="R1548" s="3" t="s">
        <v>65</v>
      </c>
      <c r="S1548" s="4">
        <v>3</v>
      </c>
      <c r="T1548" s="4">
        <v>3</v>
      </c>
      <c r="U1548" s="5" t="s">
        <v>19126</v>
      </c>
      <c r="V1548" s="5" t="s">
        <v>19126</v>
      </c>
      <c r="W1548" s="5" t="s">
        <v>17158</v>
      </c>
      <c r="X1548" s="5" t="s">
        <v>17158</v>
      </c>
      <c r="Y1548" s="4">
        <v>1174</v>
      </c>
      <c r="Z1548" s="4">
        <v>1108</v>
      </c>
      <c r="AA1548" s="4">
        <v>1167</v>
      </c>
      <c r="AB1548" s="4">
        <v>10</v>
      </c>
      <c r="AC1548" s="4">
        <v>11</v>
      </c>
      <c r="AD1548" s="4">
        <v>26</v>
      </c>
      <c r="AE1548" s="4">
        <v>29</v>
      </c>
      <c r="AF1548" s="4">
        <v>12</v>
      </c>
      <c r="AG1548" s="4">
        <v>14</v>
      </c>
      <c r="AH1548" s="4">
        <v>4</v>
      </c>
      <c r="AI1548" s="4">
        <v>4</v>
      </c>
      <c r="AJ1548" s="4">
        <v>15</v>
      </c>
      <c r="AK1548" s="4">
        <v>16</v>
      </c>
      <c r="AL1548" s="4">
        <v>2</v>
      </c>
      <c r="AM1548" s="4">
        <v>3</v>
      </c>
      <c r="AN1548" s="4">
        <v>0</v>
      </c>
      <c r="AO1548" s="4">
        <v>0</v>
      </c>
      <c r="AP1548" s="3" t="s">
        <v>58</v>
      </c>
      <c r="AQ1548" s="3" t="s">
        <v>68</v>
      </c>
      <c r="AR1548" s="6" t="str">
        <f>HYPERLINK("http://catalog.hathitrust.org/Record/000373428","HathiTrust Record")</f>
        <v>HathiTrust Record</v>
      </c>
      <c r="AS1548" s="6" t="str">
        <f>HYPERLINK("https://creighton-primo.hosted.exlibrisgroup.com/primo-explore/search?tab=default_tab&amp;search_scope=EVERYTHING&amp;vid=01CRU&amp;lang=en_US&amp;offset=0&amp;query=any,contains,991000589089702656","Catalog Record")</f>
        <v>Catalog Record</v>
      </c>
      <c r="AT1548" s="6" t="str">
        <f>HYPERLINK("http://www.worldcat.org/oclc/11783687","WorldCat Record")</f>
        <v>WorldCat Record</v>
      </c>
      <c r="AU1548" s="3" t="s">
        <v>19426</v>
      </c>
      <c r="AV1548" s="3" t="s">
        <v>19427</v>
      </c>
      <c r="AW1548" s="3" t="s">
        <v>19428</v>
      </c>
      <c r="AX1548" s="3" t="s">
        <v>19428</v>
      </c>
      <c r="AY1548" s="3" t="s">
        <v>19429</v>
      </c>
      <c r="AZ1548" s="3" t="s">
        <v>73</v>
      </c>
      <c r="BB1548" s="3" t="s">
        <v>19430</v>
      </c>
      <c r="BC1548" s="3" t="s">
        <v>19431</v>
      </c>
      <c r="BD1548" s="3" t="s">
        <v>19432</v>
      </c>
    </row>
    <row r="1549" spans="1:56" ht="51" customHeight="1" x14ac:dyDescent="0.25">
      <c r="A1549" s="7" t="s">
        <v>58</v>
      </c>
      <c r="B1549" s="2" t="s">
        <v>19433</v>
      </c>
      <c r="C1549" s="2" t="s">
        <v>19434</v>
      </c>
      <c r="D1549" s="2" t="s">
        <v>19435</v>
      </c>
      <c r="F1549" s="3" t="s">
        <v>58</v>
      </c>
      <c r="G1549" s="3" t="s">
        <v>59</v>
      </c>
      <c r="H1549" s="3" t="s">
        <v>58</v>
      </c>
      <c r="I1549" s="3" t="s">
        <v>58</v>
      </c>
      <c r="J1549" s="3" t="s">
        <v>60</v>
      </c>
      <c r="K1549" s="2" t="s">
        <v>19436</v>
      </c>
      <c r="L1549" s="2" t="s">
        <v>19437</v>
      </c>
      <c r="M1549" s="3" t="s">
        <v>552</v>
      </c>
      <c r="O1549" s="3" t="s">
        <v>63</v>
      </c>
      <c r="P1549" s="3" t="s">
        <v>214</v>
      </c>
      <c r="R1549" s="3" t="s">
        <v>65</v>
      </c>
      <c r="S1549" s="4">
        <v>2</v>
      </c>
      <c r="T1549" s="4">
        <v>2</v>
      </c>
      <c r="U1549" s="5" t="s">
        <v>18437</v>
      </c>
      <c r="V1549" s="5" t="s">
        <v>18437</v>
      </c>
      <c r="W1549" s="5" t="s">
        <v>19438</v>
      </c>
      <c r="X1549" s="5" t="s">
        <v>19438</v>
      </c>
      <c r="Y1549" s="4">
        <v>786</v>
      </c>
      <c r="Z1549" s="4">
        <v>716</v>
      </c>
      <c r="AA1549" s="4">
        <v>716</v>
      </c>
      <c r="AB1549" s="4">
        <v>6</v>
      </c>
      <c r="AC1549" s="4">
        <v>6</v>
      </c>
      <c r="AD1549" s="4">
        <v>18</v>
      </c>
      <c r="AE1549" s="4">
        <v>18</v>
      </c>
      <c r="AF1549" s="4">
        <v>4</v>
      </c>
      <c r="AG1549" s="4">
        <v>4</v>
      </c>
      <c r="AH1549" s="4">
        <v>4</v>
      </c>
      <c r="AI1549" s="4">
        <v>4</v>
      </c>
      <c r="AJ1549" s="4">
        <v>11</v>
      </c>
      <c r="AK1549" s="4">
        <v>11</v>
      </c>
      <c r="AL1549" s="4">
        <v>3</v>
      </c>
      <c r="AM1549" s="4">
        <v>3</v>
      </c>
      <c r="AN1549" s="4">
        <v>0</v>
      </c>
      <c r="AO1549" s="4">
        <v>0</v>
      </c>
      <c r="AP1549" s="3" t="s">
        <v>58</v>
      </c>
      <c r="AQ1549" s="3" t="s">
        <v>58</v>
      </c>
      <c r="AS1549" s="6" t="str">
        <f>HYPERLINK("https://creighton-primo.hosted.exlibrisgroup.com/primo-explore/search?tab=default_tab&amp;search_scope=EVERYTHING&amp;vid=01CRU&amp;lang=en_US&amp;offset=0&amp;query=any,contains,991001570639702656","Catalog Record")</f>
        <v>Catalog Record</v>
      </c>
      <c r="AT1549" s="6" t="str">
        <f>HYPERLINK("http://www.worldcat.org/oclc/20391025","WorldCat Record")</f>
        <v>WorldCat Record</v>
      </c>
      <c r="AU1549" s="3" t="s">
        <v>19439</v>
      </c>
      <c r="AV1549" s="3" t="s">
        <v>19440</v>
      </c>
      <c r="AW1549" s="3" t="s">
        <v>19441</v>
      </c>
      <c r="AX1549" s="3" t="s">
        <v>19441</v>
      </c>
      <c r="AY1549" s="3" t="s">
        <v>19442</v>
      </c>
      <c r="AZ1549" s="3" t="s">
        <v>73</v>
      </c>
      <c r="BB1549" s="3" t="s">
        <v>19443</v>
      </c>
      <c r="BC1549" s="3" t="s">
        <v>19444</v>
      </c>
      <c r="BD1549" s="3" t="s">
        <v>19445</v>
      </c>
    </row>
    <row r="1550" spans="1:56" ht="51" customHeight="1" x14ac:dyDescent="0.25">
      <c r="A1550" s="7" t="s">
        <v>58</v>
      </c>
      <c r="B1550" s="2" t="s">
        <v>19446</v>
      </c>
      <c r="C1550" s="2" t="s">
        <v>19447</v>
      </c>
      <c r="D1550" s="2" t="s">
        <v>19448</v>
      </c>
      <c r="F1550" s="3" t="s">
        <v>58</v>
      </c>
      <c r="G1550" s="3" t="s">
        <v>59</v>
      </c>
      <c r="H1550" s="3" t="s">
        <v>58</v>
      </c>
      <c r="I1550" s="3" t="s">
        <v>58</v>
      </c>
      <c r="J1550" s="3" t="s">
        <v>60</v>
      </c>
      <c r="K1550" s="2" t="s">
        <v>19449</v>
      </c>
      <c r="L1550" s="2" t="s">
        <v>19450</v>
      </c>
      <c r="M1550" s="3" t="s">
        <v>759</v>
      </c>
      <c r="O1550" s="3" t="s">
        <v>63</v>
      </c>
      <c r="P1550" s="3" t="s">
        <v>214</v>
      </c>
      <c r="R1550" s="3" t="s">
        <v>65</v>
      </c>
      <c r="S1550" s="4">
        <v>2</v>
      </c>
      <c r="T1550" s="4">
        <v>2</v>
      </c>
      <c r="U1550" s="5" t="s">
        <v>19451</v>
      </c>
      <c r="V1550" s="5" t="s">
        <v>19451</v>
      </c>
      <c r="W1550" s="5" t="s">
        <v>17235</v>
      </c>
      <c r="X1550" s="5" t="s">
        <v>17235</v>
      </c>
      <c r="Y1550" s="4">
        <v>562</v>
      </c>
      <c r="Z1550" s="4">
        <v>470</v>
      </c>
      <c r="AA1550" s="4">
        <v>474</v>
      </c>
      <c r="AB1550" s="4">
        <v>4</v>
      </c>
      <c r="AC1550" s="4">
        <v>4</v>
      </c>
      <c r="AD1550" s="4">
        <v>25</v>
      </c>
      <c r="AE1550" s="4">
        <v>25</v>
      </c>
      <c r="AF1550" s="4">
        <v>14</v>
      </c>
      <c r="AG1550" s="4">
        <v>14</v>
      </c>
      <c r="AH1550" s="4">
        <v>4</v>
      </c>
      <c r="AI1550" s="4">
        <v>4</v>
      </c>
      <c r="AJ1550" s="4">
        <v>13</v>
      </c>
      <c r="AK1550" s="4">
        <v>13</v>
      </c>
      <c r="AL1550" s="4">
        <v>3</v>
      </c>
      <c r="AM1550" s="4">
        <v>3</v>
      </c>
      <c r="AN1550" s="4">
        <v>0</v>
      </c>
      <c r="AO1550" s="4">
        <v>0</v>
      </c>
      <c r="AP1550" s="3" t="s">
        <v>58</v>
      </c>
      <c r="AQ1550" s="3" t="s">
        <v>68</v>
      </c>
      <c r="AR1550" s="6" t="str">
        <f>HYPERLINK("http://catalog.hathitrust.org/Record/000700369","HathiTrust Record")</f>
        <v>HathiTrust Record</v>
      </c>
      <c r="AS1550" s="6" t="str">
        <f>HYPERLINK("https://creighton-primo.hosted.exlibrisgroup.com/primo-explore/search?tab=default_tab&amp;search_scope=EVERYTHING&amp;vid=01CRU&amp;lang=en_US&amp;offset=0&amp;query=any,contains,991004877579702656","Catalog Record")</f>
        <v>Catalog Record</v>
      </c>
      <c r="AT1550" s="6" t="str">
        <f>HYPERLINK("http://www.worldcat.org/oclc/5799016","WorldCat Record")</f>
        <v>WorldCat Record</v>
      </c>
      <c r="AU1550" s="3" t="s">
        <v>19452</v>
      </c>
      <c r="AV1550" s="3" t="s">
        <v>19453</v>
      </c>
      <c r="AW1550" s="3" t="s">
        <v>19454</v>
      </c>
      <c r="AX1550" s="3" t="s">
        <v>19454</v>
      </c>
      <c r="AY1550" s="3" t="s">
        <v>19455</v>
      </c>
      <c r="AZ1550" s="3" t="s">
        <v>73</v>
      </c>
      <c r="BB1550" s="3" t="s">
        <v>19456</v>
      </c>
      <c r="BC1550" s="3" t="s">
        <v>19457</v>
      </c>
      <c r="BD1550" s="3" t="s">
        <v>19458</v>
      </c>
    </row>
    <row r="1551" spans="1:56" ht="51" customHeight="1" x14ac:dyDescent="0.25">
      <c r="A1551" s="7" t="s">
        <v>58</v>
      </c>
      <c r="B1551" s="2" t="s">
        <v>19459</v>
      </c>
      <c r="C1551" s="2" t="s">
        <v>19460</v>
      </c>
      <c r="D1551" s="2" t="s">
        <v>19461</v>
      </c>
      <c r="F1551" s="3" t="s">
        <v>58</v>
      </c>
      <c r="G1551" s="3" t="s">
        <v>59</v>
      </c>
      <c r="H1551" s="3" t="s">
        <v>58</v>
      </c>
      <c r="I1551" s="3" t="s">
        <v>58</v>
      </c>
      <c r="J1551" s="3" t="s">
        <v>60</v>
      </c>
      <c r="K1551" s="2" t="s">
        <v>19462</v>
      </c>
      <c r="L1551" s="2" t="s">
        <v>19463</v>
      </c>
      <c r="M1551" s="3" t="s">
        <v>101</v>
      </c>
      <c r="O1551" s="3" t="s">
        <v>63</v>
      </c>
      <c r="P1551" s="3" t="s">
        <v>214</v>
      </c>
      <c r="R1551" s="3" t="s">
        <v>65</v>
      </c>
      <c r="S1551" s="4">
        <v>4</v>
      </c>
      <c r="T1551" s="4">
        <v>4</v>
      </c>
      <c r="U1551" s="5" t="s">
        <v>19464</v>
      </c>
      <c r="V1551" s="5" t="s">
        <v>19464</v>
      </c>
      <c r="W1551" s="5" t="s">
        <v>17235</v>
      </c>
      <c r="X1551" s="5" t="s">
        <v>17235</v>
      </c>
      <c r="Y1551" s="4">
        <v>483</v>
      </c>
      <c r="Z1551" s="4">
        <v>446</v>
      </c>
      <c r="AA1551" s="4">
        <v>453</v>
      </c>
      <c r="AB1551" s="4">
        <v>2</v>
      </c>
      <c r="AC1551" s="4">
        <v>2</v>
      </c>
      <c r="AD1551" s="4">
        <v>5</v>
      </c>
      <c r="AE1551" s="4">
        <v>5</v>
      </c>
      <c r="AF1551" s="4">
        <v>1</v>
      </c>
      <c r="AG1551" s="4">
        <v>1</v>
      </c>
      <c r="AH1551" s="4">
        <v>2</v>
      </c>
      <c r="AI1551" s="4">
        <v>2</v>
      </c>
      <c r="AJ1551" s="4">
        <v>3</v>
      </c>
      <c r="AK1551" s="4">
        <v>3</v>
      </c>
      <c r="AL1551" s="4">
        <v>0</v>
      </c>
      <c r="AM1551" s="4">
        <v>0</v>
      </c>
      <c r="AN1551" s="4">
        <v>0</v>
      </c>
      <c r="AO1551" s="4">
        <v>0</v>
      </c>
      <c r="AP1551" s="3" t="s">
        <v>58</v>
      </c>
      <c r="AQ1551" s="3" t="s">
        <v>58</v>
      </c>
      <c r="AS1551" s="6" t="str">
        <f>HYPERLINK("https://creighton-primo.hosted.exlibrisgroup.com/primo-explore/search?tab=default_tab&amp;search_scope=EVERYTHING&amp;vid=01CRU&amp;lang=en_US&amp;offset=0&amp;query=any,contains,991000263959702656","Catalog Record")</f>
        <v>Catalog Record</v>
      </c>
      <c r="AT1551" s="6" t="str">
        <f>HYPERLINK("http://www.worldcat.org/oclc/9827889","WorldCat Record")</f>
        <v>WorldCat Record</v>
      </c>
      <c r="AU1551" s="3" t="s">
        <v>19465</v>
      </c>
      <c r="AV1551" s="3" t="s">
        <v>19466</v>
      </c>
      <c r="AW1551" s="3" t="s">
        <v>19467</v>
      </c>
      <c r="AX1551" s="3" t="s">
        <v>19467</v>
      </c>
      <c r="AY1551" s="3" t="s">
        <v>19468</v>
      </c>
      <c r="AZ1551" s="3" t="s">
        <v>73</v>
      </c>
      <c r="BB1551" s="3" t="s">
        <v>19469</v>
      </c>
      <c r="BC1551" s="3" t="s">
        <v>19470</v>
      </c>
      <c r="BD1551" s="3" t="s">
        <v>19471</v>
      </c>
    </row>
    <row r="1552" spans="1:56" ht="51" customHeight="1" x14ac:dyDescent="0.25">
      <c r="A1552" s="7" t="s">
        <v>58</v>
      </c>
      <c r="B1552" s="2" t="s">
        <v>19472</v>
      </c>
      <c r="C1552" s="2" t="s">
        <v>19473</v>
      </c>
      <c r="D1552" s="2" t="s">
        <v>19474</v>
      </c>
      <c r="F1552" s="3" t="s">
        <v>58</v>
      </c>
      <c r="G1552" s="3" t="s">
        <v>59</v>
      </c>
      <c r="H1552" s="3" t="s">
        <v>58</v>
      </c>
      <c r="I1552" s="3" t="s">
        <v>58</v>
      </c>
      <c r="J1552" s="3" t="s">
        <v>60</v>
      </c>
      <c r="K1552" s="2" t="s">
        <v>19475</v>
      </c>
      <c r="L1552" s="2" t="s">
        <v>19476</v>
      </c>
      <c r="M1552" s="3" t="s">
        <v>138</v>
      </c>
      <c r="N1552" s="2" t="s">
        <v>338</v>
      </c>
      <c r="O1552" s="3" t="s">
        <v>63</v>
      </c>
      <c r="P1552" s="3" t="s">
        <v>214</v>
      </c>
      <c r="R1552" s="3" t="s">
        <v>65</v>
      </c>
      <c r="S1552" s="4">
        <v>4</v>
      </c>
      <c r="T1552" s="4">
        <v>4</v>
      </c>
      <c r="U1552" s="5" t="s">
        <v>19477</v>
      </c>
      <c r="V1552" s="5" t="s">
        <v>19477</v>
      </c>
      <c r="W1552" s="5" t="s">
        <v>17235</v>
      </c>
      <c r="X1552" s="5" t="s">
        <v>17235</v>
      </c>
      <c r="Y1552" s="4">
        <v>322</v>
      </c>
      <c r="Z1552" s="4">
        <v>278</v>
      </c>
      <c r="AA1552" s="4">
        <v>298</v>
      </c>
      <c r="AB1552" s="4">
        <v>2</v>
      </c>
      <c r="AC1552" s="4">
        <v>2</v>
      </c>
      <c r="AD1552" s="4">
        <v>4</v>
      </c>
      <c r="AE1552" s="4">
        <v>4</v>
      </c>
      <c r="AF1552" s="4">
        <v>1</v>
      </c>
      <c r="AG1552" s="4">
        <v>1</v>
      </c>
      <c r="AH1552" s="4">
        <v>1</v>
      </c>
      <c r="AI1552" s="4">
        <v>1</v>
      </c>
      <c r="AJ1552" s="4">
        <v>4</v>
      </c>
      <c r="AK1552" s="4">
        <v>4</v>
      </c>
      <c r="AL1552" s="4">
        <v>0</v>
      </c>
      <c r="AM1552" s="4">
        <v>0</v>
      </c>
      <c r="AN1552" s="4">
        <v>0</v>
      </c>
      <c r="AO1552" s="4">
        <v>0</v>
      </c>
      <c r="AP1552" s="3" t="s">
        <v>58</v>
      </c>
      <c r="AQ1552" s="3" t="s">
        <v>68</v>
      </c>
      <c r="AR1552" s="6" t="str">
        <f>HYPERLINK("http://catalog.hathitrust.org/Record/000226615","HathiTrust Record")</f>
        <v>HathiTrust Record</v>
      </c>
      <c r="AS1552" s="6" t="str">
        <f>HYPERLINK("https://creighton-primo.hosted.exlibrisgroup.com/primo-explore/search?tab=default_tab&amp;search_scope=EVERYTHING&amp;vid=01CRU&amp;lang=en_US&amp;offset=0&amp;query=any,contains,991005128039702656","Catalog Record")</f>
        <v>Catalog Record</v>
      </c>
      <c r="AT1552" s="6" t="str">
        <f>HYPERLINK("http://www.worldcat.org/oclc/7554852","WorldCat Record")</f>
        <v>WorldCat Record</v>
      </c>
      <c r="AU1552" s="3" t="s">
        <v>19478</v>
      </c>
      <c r="AV1552" s="3" t="s">
        <v>19479</v>
      </c>
      <c r="AW1552" s="3" t="s">
        <v>19480</v>
      </c>
      <c r="AX1552" s="3" t="s">
        <v>19480</v>
      </c>
      <c r="AY1552" s="3" t="s">
        <v>19481</v>
      </c>
      <c r="AZ1552" s="3" t="s">
        <v>73</v>
      </c>
      <c r="BC1552" s="3" t="s">
        <v>19482</v>
      </c>
      <c r="BD1552" s="3" t="s">
        <v>19483</v>
      </c>
    </row>
    <row r="1553" spans="1:56" ht="51" customHeight="1" x14ac:dyDescent="0.25">
      <c r="A1553" s="7" t="s">
        <v>58</v>
      </c>
      <c r="B1553" s="2" t="s">
        <v>19484</v>
      </c>
      <c r="C1553" s="2" t="s">
        <v>19485</v>
      </c>
      <c r="D1553" s="2" t="s">
        <v>19486</v>
      </c>
      <c r="F1553" s="3" t="s">
        <v>58</v>
      </c>
      <c r="G1553" s="3" t="s">
        <v>59</v>
      </c>
      <c r="H1553" s="3" t="s">
        <v>58</v>
      </c>
      <c r="I1553" s="3" t="s">
        <v>58</v>
      </c>
      <c r="J1553" s="3" t="s">
        <v>60</v>
      </c>
      <c r="K1553" s="2" t="s">
        <v>19487</v>
      </c>
      <c r="L1553" s="2" t="s">
        <v>19488</v>
      </c>
      <c r="M1553" s="3" t="s">
        <v>524</v>
      </c>
      <c r="N1553" s="2" t="s">
        <v>338</v>
      </c>
      <c r="O1553" s="3" t="s">
        <v>63</v>
      </c>
      <c r="P1553" s="3" t="s">
        <v>214</v>
      </c>
      <c r="R1553" s="3" t="s">
        <v>65</v>
      </c>
      <c r="S1553" s="4">
        <v>5</v>
      </c>
      <c r="T1553" s="4">
        <v>5</v>
      </c>
      <c r="U1553" s="5" t="s">
        <v>18437</v>
      </c>
      <c r="V1553" s="5" t="s">
        <v>18437</v>
      </c>
      <c r="W1553" s="5" t="s">
        <v>17235</v>
      </c>
      <c r="X1553" s="5" t="s">
        <v>17235</v>
      </c>
      <c r="Y1553" s="4">
        <v>611</v>
      </c>
      <c r="Z1553" s="4">
        <v>562</v>
      </c>
      <c r="AA1553" s="4">
        <v>575</v>
      </c>
      <c r="AB1553" s="4">
        <v>2</v>
      </c>
      <c r="AC1553" s="4">
        <v>2</v>
      </c>
      <c r="AD1553" s="4">
        <v>15</v>
      </c>
      <c r="AE1553" s="4">
        <v>16</v>
      </c>
      <c r="AF1553" s="4">
        <v>5</v>
      </c>
      <c r="AG1553" s="4">
        <v>5</v>
      </c>
      <c r="AH1553" s="4">
        <v>3</v>
      </c>
      <c r="AI1553" s="4">
        <v>4</v>
      </c>
      <c r="AJ1553" s="4">
        <v>9</v>
      </c>
      <c r="AK1553" s="4">
        <v>10</v>
      </c>
      <c r="AL1553" s="4">
        <v>1</v>
      </c>
      <c r="AM1553" s="4">
        <v>1</v>
      </c>
      <c r="AN1553" s="4">
        <v>0</v>
      </c>
      <c r="AO1553" s="4">
        <v>0</v>
      </c>
      <c r="AP1553" s="3" t="s">
        <v>58</v>
      </c>
      <c r="AQ1553" s="3" t="s">
        <v>68</v>
      </c>
      <c r="AR1553" s="6" t="str">
        <f>HYPERLINK("http://catalog.hathitrust.org/Record/000396884","HathiTrust Record")</f>
        <v>HathiTrust Record</v>
      </c>
      <c r="AS1553" s="6" t="str">
        <f>HYPERLINK("https://creighton-primo.hosted.exlibrisgroup.com/primo-explore/search?tab=default_tab&amp;search_scope=EVERYTHING&amp;vid=01CRU&amp;lang=en_US&amp;offset=0&amp;query=any,contains,991000782819702656","Catalog Record")</f>
        <v>Catalog Record</v>
      </c>
      <c r="AT1553" s="6" t="str">
        <f>HYPERLINK("http://www.worldcat.org/oclc/13113989","WorldCat Record")</f>
        <v>WorldCat Record</v>
      </c>
      <c r="AU1553" s="3" t="s">
        <v>19489</v>
      </c>
      <c r="AV1553" s="3" t="s">
        <v>19490</v>
      </c>
      <c r="AW1553" s="3" t="s">
        <v>19491</v>
      </c>
      <c r="AX1553" s="3" t="s">
        <v>19491</v>
      </c>
      <c r="AY1553" s="3" t="s">
        <v>19492</v>
      </c>
      <c r="AZ1553" s="3" t="s">
        <v>73</v>
      </c>
      <c r="BB1553" s="3" t="s">
        <v>19493</v>
      </c>
      <c r="BC1553" s="3" t="s">
        <v>19494</v>
      </c>
      <c r="BD1553" s="3" t="s">
        <v>19495</v>
      </c>
    </row>
    <row r="1554" spans="1:56" ht="51" customHeight="1" x14ac:dyDescent="0.25">
      <c r="A1554" s="7" t="s">
        <v>58</v>
      </c>
      <c r="B1554" s="2" t="s">
        <v>19496</v>
      </c>
      <c r="C1554" s="2" t="s">
        <v>19497</v>
      </c>
      <c r="D1554" s="2" t="s">
        <v>19498</v>
      </c>
      <c r="F1554" s="3" t="s">
        <v>58</v>
      </c>
      <c r="G1554" s="3" t="s">
        <v>59</v>
      </c>
      <c r="H1554" s="3" t="s">
        <v>58</v>
      </c>
      <c r="I1554" s="3" t="s">
        <v>58</v>
      </c>
      <c r="J1554" s="3" t="s">
        <v>60</v>
      </c>
      <c r="K1554" s="2" t="s">
        <v>19499</v>
      </c>
      <c r="L1554" s="2" t="s">
        <v>19500</v>
      </c>
      <c r="M1554" s="3" t="s">
        <v>1153</v>
      </c>
      <c r="O1554" s="3" t="s">
        <v>63</v>
      </c>
      <c r="P1554" s="3" t="s">
        <v>1192</v>
      </c>
      <c r="R1554" s="3" t="s">
        <v>65</v>
      </c>
      <c r="S1554" s="4">
        <v>1</v>
      </c>
      <c r="T1554" s="4">
        <v>1</v>
      </c>
      <c r="U1554" s="5" t="s">
        <v>17064</v>
      </c>
      <c r="V1554" s="5" t="s">
        <v>17064</v>
      </c>
      <c r="W1554" s="5" t="s">
        <v>17547</v>
      </c>
      <c r="X1554" s="5" t="s">
        <v>17547</v>
      </c>
      <c r="Y1554" s="4">
        <v>381</v>
      </c>
      <c r="Z1554" s="4">
        <v>311</v>
      </c>
      <c r="AA1554" s="4">
        <v>318</v>
      </c>
      <c r="AB1554" s="4">
        <v>4</v>
      </c>
      <c r="AC1554" s="4">
        <v>4</v>
      </c>
      <c r="AD1554" s="4">
        <v>15</v>
      </c>
      <c r="AE1554" s="4">
        <v>15</v>
      </c>
      <c r="AF1554" s="4">
        <v>4</v>
      </c>
      <c r="AG1554" s="4">
        <v>4</v>
      </c>
      <c r="AH1554" s="4">
        <v>4</v>
      </c>
      <c r="AI1554" s="4">
        <v>4</v>
      </c>
      <c r="AJ1554" s="4">
        <v>8</v>
      </c>
      <c r="AK1554" s="4">
        <v>8</v>
      </c>
      <c r="AL1554" s="4">
        <v>3</v>
      </c>
      <c r="AM1554" s="4">
        <v>3</v>
      </c>
      <c r="AN1554" s="4">
        <v>0</v>
      </c>
      <c r="AO1554" s="4">
        <v>0</v>
      </c>
      <c r="AP1554" s="3" t="s">
        <v>58</v>
      </c>
      <c r="AQ1554" s="3" t="s">
        <v>68</v>
      </c>
      <c r="AR1554" s="6" t="str">
        <f>HYPERLINK("http://catalog.hathitrust.org/Record/001267077","HathiTrust Record")</f>
        <v>HathiTrust Record</v>
      </c>
      <c r="AS1554" s="6" t="str">
        <f>HYPERLINK("https://creighton-primo.hosted.exlibrisgroup.com/primo-explore/search?tab=default_tab&amp;search_scope=EVERYTHING&amp;vid=01CRU&amp;lang=en_US&amp;offset=0&amp;query=any,contains,991003329619702656","Catalog Record")</f>
        <v>Catalog Record</v>
      </c>
      <c r="AT1554" s="6" t="str">
        <f>HYPERLINK("http://www.worldcat.org/oclc/859990","WorldCat Record")</f>
        <v>WorldCat Record</v>
      </c>
      <c r="AU1554" s="3" t="s">
        <v>19501</v>
      </c>
      <c r="AV1554" s="3" t="s">
        <v>19502</v>
      </c>
      <c r="AW1554" s="3" t="s">
        <v>19503</v>
      </c>
      <c r="AX1554" s="3" t="s">
        <v>19503</v>
      </c>
      <c r="AY1554" s="3" t="s">
        <v>19504</v>
      </c>
      <c r="AZ1554" s="3" t="s">
        <v>73</v>
      </c>
      <c r="BB1554" s="3" t="s">
        <v>19505</v>
      </c>
      <c r="BC1554" s="3" t="s">
        <v>19506</v>
      </c>
      <c r="BD1554" s="3" t="s">
        <v>19507</v>
      </c>
    </row>
    <row r="1555" spans="1:56" ht="51" customHeight="1" x14ac:dyDescent="0.25">
      <c r="A1555" s="7" t="s">
        <v>58</v>
      </c>
      <c r="B1555" s="2" t="s">
        <v>19508</v>
      </c>
      <c r="C1555" s="2" t="s">
        <v>19509</v>
      </c>
      <c r="D1555" s="2" t="s">
        <v>19510</v>
      </c>
      <c r="F1555" s="3" t="s">
        <v>58</v>
      </c>
      <c r="G1555" s="3" t="s">
        <v>59</v>
      </c>
      <c r="H1555" s="3" t="s">
        <v>58</v>
      </c>
      <c r="I1555" s="3" t="s">
        <v>58</v>
      </c>
      <c r="J1555" s="3" t="s">
        <v>60</v>
      </c>
      <c r="K1555" s="2" t="s">
        <v>19511</v>
      </c>
      <c r="L1555" s="2" t="s">
        <v>19512</v>
      </c>
      <c r="M1555" s="3" t="s">
        <v>951</v>
      </c>
      <c r="O1555" s="3" t="s">
        <v>63</v>
      </c>
      <c r="P1555" s="3" t="s">
        <v>6817</v>
      </c>
      <c r="R1555" s="3" t="s">
        <v>65</v>
      </c>
      <c r="S1555" s="4">
        <v>2</v>
      </c>
      <c r="T1555" s="4">
        <v>2</v>
      </c>
      <c r="U1555" s="5" t="s">
        <v>6461</v>
      </c>
      <c r="V1555" s="5" t="s">
        <v>6461</v>
      </c>
      <c r="W1555" s="5" t="s">
        <v>3629</v>
      </c>
      <c r="X1555" s="5" t="s">
        <v>3629</v>
      </c>
      <c r="Y1555" s="4">
        <v>511</v>
      </c>
      <c r="Z1555" s="4">
        <v>467</v>
      </c>
      <c r="AA1555" s="4">
        <v>468</v>
      </c>
      <c r="AB1555" s="4">
        <v>3</v>
      </c>
      <c r="AC1555" s="4">
        <v>3</v>
      </c>
      <c r="AD1555" s="4">
        <v>28</v>
      </c>
      <c r="AE1555" s="4">
        <v>28</v>
      </c>
      <c r="AF1555" s="4">
        <v>13</v>
      </c>
      <c r="AG1555" s="4">
        <v>13</v>
      </c>
      <c r="AH1555" s="4">
        <v>7</v>
      </c>
      <c r="AI1555" s="4">
        <v>7</v>
      </c>
      <c r="AJ1555" s="4">
        <v>16</v>
      </c>
      <c r="AK1555" s="4">
        <v>16</v>
      </c>
      <c r="AL1555" s="4">
        <v>2</v>
      </c>
      <c r="AM1555" s="4">
        <v>2</v>
      </c>
      <c r="AN1555" s="4">
        <v>0</v>
      </c>
      <c r="AO1555" s="4">
        <v>0</v>
      </c>
      <c r="AP1555" s="3" t="s">
        <v>58</v>
      </c>
      <c r="AQ1555" s="3" t="s">
        <v>58</v>
      </c>
      <c r="AS1555" s="6" t="str">
        <f>HYPERLINK("https://creighton-primo.hosted.exlibrisgroup.com/primo-explore/search?tab=default_tab&amp;search_scope=EVERYTHING&amp;vid=01CRU&amp;lang=en_US&amp;offset=0&amp;query=any,contains,991003787189702656","Catalog Record")</f>
        <v>Catalog Record</v>
      </c>
      <c r="AT1555" s="6" t="str">
        <f>HYPERLINK("http://www.worldcat.org/oclc/44634410","WorldCat Record")</f>
        <v>WorldCat Record</v>
      </c>
      <c r="AU1555" s="3" t="s">
        <v>19513</v>
      </c>
      <c r="AV1555" s="3" t="s">
        <v>19514</v>
      </c>
      <c r="AW1555" s="3" t="s">
        <v>19515</v>
      </c>
      <c r="AX1555" s="3" t="s">
        <v>19515</v>
      </c>
      <c r="AY1555" s="3" t="s">
        <v>19516</v>
      </c>
      <c r="AZ1555" s="3" t="s">
        <v>73</v>
      </c>
      <c r="BB1555" s="3" t="s">
        <v>19517</v>
      </c>
      <c r="BC1555" s="3" t="s">
        <v>19518</v>
      </c>
      <c r="BD1555" s="3" t="s">
        <v>19519</v>
      </c>
    </row>
    <row r="1556" spans="1:56" ht="51" customHeight="1" x14ac:dyDescent="0.25">
      <c r="A1556" s="7" t="s">
        <v>58</v>
      </c>
      <c r="B1556" s="2" t="s">
        <v>19520</v>
      </c>
      <c r="C1556" s="2" t="s">
        <v>19521</v>
      </c>
      <c r="D1556" s="2" t="s">
        <v>19522</v>
      </c>
      <c r="F1556" s="3" t="s">
        <v>58</v>
      </c>
      <c r="G1556" s="3" t="s">
        <v>59</v>
      </c>
      <c r="H1556" s="3" t="s">
        <v>58</v>
      </c>
      <c r="I1556" s="3" t="s">
        <v>58</v>
      </c>
      <c r="J1556" s="3" t="s">
        <v>60</v>
      </c>
      <c r="K1556" s="2" t="s">
        <v>19523</v>
      </c>
      <c r="L1556" s="2" t="s">
        <v>19524</v>
      </c>
      <c r="M1556" s="3" t="s">
        <v>951</v>
      </c>
      <c r="N1556" s="2" t="s">
        <v>338</v>
      </c>
      <c r="O1556" s="3" t="s">
        <v>63</v>
      </c>
      <c r="P1556" s="3" t="s">
        <v>1584</v>
      </c>
      <c r="R1556" s="3" t="s">
        <v>65</v>
      </c>
      <c r="S1556" s="4">
        <v>1</v>
      </c>
      <c r="T1556" s="4">
        <v>1</v>
      </c>
      <c r="U1556" s="5" t="s">
        <v>9912</v>
      </c>
      <c r="V1556" s="5" t="s">
        <v>9912</v>
      </c>
      <c r="W1556" s="5" t="s">
        <v>12146</v>
      </c>
      <c r="X1556" s="5" t="s">
        <v>12146</v>
      </c>
      <c r="Y1556" s="4">
        <v>365</v>
      </c>
      <c r="Z1556" s="4">
        <v>352</v>
      </c>
      <c r="AA1556" s="4">
        <v>514</v>
      </c>
      <c r="AB1556" s="4">
        <v>3</v>
      </c>
      <c r="AC1556" s="4">
        <v>3</v>
      </c>
      <c r="AD1556" s="4">
        <v>9</v>
      </c>
      <c r="AE1556" s="4">
        <v>11</v>
      </c>
      <c r="AF1556" s="4">
        <v>2</v>
      </c>
      <c r="AG1556" s="4">
        <v>4</v>
      </c>
      <c r="AH1556" s="4">
        <v>2</v>
      </c>
      <c r="AI1556" s="4">
        <v>3</v>
      </c>
      <c r="AJ1556" s="4">
        <v>6</v>
      </c>
      <c r="AK1556" s="4">
        <v>6</v>
      </c>
      <c r="AL1556" s="4">
        <v>1</v>
      </c>
      <c r="AM1556" s="4">
        <v>1</v>
      </c>
      <c r="AN1556" s="4">
        <v>0</v>
      </c>
      <c r="AO1556" s="4">
        <v>0</v>
      </c>
      <c r="AP1556" s="3" t="s">
        <v>58</v>
      </c>
      <c r="AQ1556" s="3" t="s">
        <v>68</v>
      </c>
      <c r="AR1556" s="6" t="str">
        <f>HYPERLINK("http://catalog.hathitrust.org/Record/004124708","HathiTrust Record")</f>
        <v>HathiTrust Record</v>
      </c>
      <c r="AS1556" s="6" t="str">
        <f>HYPERLINK("https://creighton-primo.hosted.exlibrisgroup.com/primo-explore/search?tab=default_tab&amp;search_scope=EVERYTHING&amp;vid=01CRU&amp;lang=en_US&amp;offset=0&amp;query=any,contains,991005120109702656","Catalog Record")</f>
        <v>Catalog Record</v>
      </c>
      <c r="AT1556" s="6" t="str">
        <f>HYPERLINK("http://www.worldcat.org/oclc/44313450","WorldCat Record")</f>
        <v>WorldCat Record</v>
      </c>
      <c r="AU1556" s="3" t="s">
        <v>19525</v>
      </c>
      <c r="AV1556" s="3" t="s">
        <v>19526</v>
      </c>
      <c r="AW1556" s="3" t="s">
        <v>19527</v>
      </c>
      <c r="AX1556" s="3" t="s">
        <v>19527</v>
      </c>
      <c r="AY1556" s="3" t="s">
        <v>19528</v>
      </c>
      <c r="AZ1556" s="3" t="s">
        <v>73</v>
      </c>
      <c r="BB1556" s="3" t="s">
        <v>19529</v>
      </c>
      <c r="BC1556" s="3" t="s">
        <v>19530</v>
      </c>
      <c r="BD1556" s="3" t="s">
        <v>19531</v>
      </c>
    </row>
    <row r="1557" spans="1:56" ht="51" customHeight="1" x14ac:dyDescent="0.25">
      <c r="A1557" s="7" t="s">
        <v>58</v>
      </c>
      <c r="B1557" s="2" t="s">
        <v>19532</v>
      </c>
      <c r="C1557" s="2" t="s">
        <v>19533</v>
      </c>
      <c r="D1557" s="2" t="s">
        <v>19534</v>
      </c>
      <c r="F1557" s="3" t="s">
        <v>58</v>
      </c>
      <c r="G1557" s="3" t="s">
        <v>59</v>
      </c>
      <c r="H1557" s="3" t="s">
        <v>58</v>
      </c>
      <c r="I1557" s="3" t="s">
        <v>58</v>
      </c>
      <c r="J1557" s="3" t="s">
        <v>60</v>
      </c>
      <c r="K1557" s="2" t="s">
        <v>19535</v>
      </c>
      <c r="L1557" s="2" t="s">
        <v>19536</v>
      </c>
      <c r="M1557" s="3" t="s">
        <v>1544</v>
      </c>
      <c r="O1557" s="3" t="s">
        <v>63</v>
      </c>
      <c r="P1557" s="3" t="s">
        <v>10160</v>
      </c>
      <c r="R1557" s="3" t="s">
        <v>65</v>
      </c>
      <c r="S1557" s="4">
        <v>3</v>
      </c>
      <c r="T1557" s="4">
        <v>3</v>
      </c>
      <c r="U1557" s="5" t="s">
        <v>17064</v>
      </c>
      <c r="V1557" s="5" t="s">
        <v>17064</v>
      </c>
      <c r="W1557" s="5" t="s">
        <v>9210</v>
      </c>
      <c r="X1557" s="5" t="s">
        <v>9210</v>
      </c>
      <c r="Y1557" s="4">
        <v>376</v>
      </c>
      <c r="Z1557" s="4">
        <v>284</v>
      </c>
      <c r="AA1557" s="4">
        <v>759</v>
      </c>
      <c r="AB1557" s="4">
        <v>4</v>
      </c>
      <c r="AC1557" s="4">
        <v>6</v>
      </c>
      <c r="AD1557" s="4">
        <v>19</v>
      </c>
      <c r="AE1557" s="4">
        <v>23</v>
      </c>
      <c r="AF1557" s="4">
        <v>7</v>
      </c>
      <c r="AG1557" s="4">
        <v>9</v>
      </c>
      <c r="AH1557" s="4">
        <v>5</v>
      </c>
      <c r="AI1557" s="4">
        <v>5</v>
      </c>
      <c r="AJ1557" s="4">
        <v>10</v>
      </c>
      <c r="AK1557" s="4">
        <v>10</v>
      </c>
      <c r="AL1557" s="4">
        <v>3</v>
      </c>
      <c r="AM1557" s="4">
        <v>5</v>
      </c>
      <c r="AN1557" s="4">
        <v>0</v>
      </c>
      <c r="AO1557" s="4">
        <v>0</v>
      </c>
      <c r="AP1557" s="3" t="s">
        <v>58</v>
      </c>
      <c r="AQ1557" s="3" t="s">
        <v>68</v>
      </c>
      <c r="AR1557" s="6" t="str">
        <f>HYPERLINK("http://catalog.hathitrust.org/Record/002556153","HathiTrust Record")</f>
        <v>HathiTrust Record</v>
      </c>
      <c r="AS1557" s="6" t="str">
        <f>HYPERLINK("https://creighton-primo.hosted.exlibrisgroup.com/primo-explore/search?tab=default_tab&amp;search_scope=EVERYTHING&amp;vid=01CRU&amp;lang=en_US&amp;offset=0&amp;query=any,contains,991001965179702656","Catalog Record")</f>
        <v>Catalog Record</v>
      </c>
      <c r="AT1557" s="6" t="str">
        <f>HYPERLINK("http://www.worldcat.org/oclc/24908392","WorldCat Record")</f>
        <v>WorldCat Record</v>
      </c>
      <c r="AU1557" s="3" t="s">
        <v>19537</v>
      </c>
      <c r="AV1557" s="3" t="s">
        <v>19538</v>
      </c>
      <c r="AW1557" s="3" t="s">
        <v>19539</v>
      </c>
      <c r="AX1557" s="3" t="s">
        <v>19539</v>
      </c>
      <c r="AY1557" s="3" t="s">
        <v>19540</v>
      </c>
      <c r="AZ1557" s="3" t="s">
        <v>73</v>
      </c>
      <c r="BB1557" s="3" t="s">
        <v>19541</v>
      </c>
      <c r="BC1557" s="3" t="s">
        <v>19542</v>
      </c>
      <c r="BD1557" s="3" t="s">
        <v>19543</v>
      </c>
    </row>
    <row r="1558" spans="1:56" ht="51" customHeight="1" x14ac:dyDescent="0.25">
      <c r="A1558" s="7" t="s">
        <v>58</v>
      </c>
      <c r="B1558" s="2" t="s">
        <v>19544</v>
      </c>
      <c r="C1558" s="2" t="s">
        <v>19545</v>
      </c>
      <c r="D1558" s="2" t="s">
        <v>19546</v>
      </c>
      <c r="F1558" s="3" t="s">
        <v>58</v>
      </c>
      <c r="G1558" s="3" t="s">
        <v>59</v>
      </c>
      <c r="H1558" s="3" t="s">
        <v>58</v>
      </c>
      <c r="I1558" s="3" t="s">
        <v>58</v>
      </c>
      <c r="J1558" s="3" t="s">
        <v>60</v>
      </c>
      <c r="L1558" s="2" t="s">
        <v>9938</v>
      </c>
      <c r="M1558" s="3" t="s">
        <v>2214</v>
      </c>
      <c r="O1558" s="3" t="s">
        <v>63</v>
      </c>
      <c r="P1558" s="3" t="s">
        <v>816</v>
      </c>
      <c r="Q1558" s="2" t="s">
        <v>19547</v>
      </c>
      <c r="R1558" s="3" t="s">
        <v>65</v>
      </c>
      <c r="S1558" s="4">
        <v>3</v>
      </c>
      <c r="T1558" s="4">
        <v>3</v>
      </c>
      <c r="U1558" s="5" t="s">
        <v>1315</v>
      </c>
      <c r="V1558" s="5" t="s">
        <v>1315</v>
      </c>
      <c r="W1558" s="5" t="s">
        <v>8575</v>
      </c>
      <c r="X1558" s="5" t="s">
        <v>8575</v>
      </c>
      <c r="Y1558" s="4">
        <v>376</v>
      </c>
      <c r="Z1558" s="4">
        <v>267</v>
      </c>
      <c r="AA1558" s="4">
        <v>613</v>
      </c>
      <c r="AB1558" s="4">
        <v>1</v>
      </c>
      <c r="AC1558" s="4">
        <v>5</v>
      </c>
      <c r="AD1558" s="4">
        <v>14</v>
      </c>
      <c r="AE1558" s="4">
        <v>31</v>
      </c>
      <c r="AF1558" s="4">
        <v>6</v>
      </c>
      <c r="AG1558" s="4">
        <v>11</v>
      </c>
      <c r="AH1558" s="4">
        <v>5</v>
      </c>
      <c r="AI1558" s="4">
        <v>9</v>
      </c>
      <c r="AJ1558" s="4">
        <v>6</v>
      </c>
      <c r="AK1558" s="4">
        <v>11</v>
      </c>
      <c r="AL1558" s="4">
        <v>0</v>
      </c>
      <c r="AM1558" s="4">
        <v>4</v>
      </c>
      <c r="AN1558" s="4">
        <v>0</v>
      </c>
      <c r="AO1558" s="4">
        <v>1</v>
      </c>
      <c r="AP1558" s="3" t="s">
        <v>58</v>
      </c>
      <c r="AQ1558" s="3" t="s">
        <v>58</v>
      </c>
      <c r="AS1558" s="6" t="str">
        <f>HYPERLINK("https://creighton-primo.hosted.exlibrisgroup.com/primo-explore/search?tab=default_tab&amp;search_scope=EVERYTHING&amp;vid=01CRU&amp;lang=en_US&amp;offset=0&amp;query=any,contains,991004716259702656","Catalog Record")</f>
        <v>Catalog Record</v>
      </c>
      <c r="AT1558" s="6" t="str">
        <f>HYPERLINK("http://www.worldcat.org/oclc/54989224","WorldCat Record")</f>
        <v>WorldCat Record</v>
      </c>
      <c r="AU1558" s="3" t="s">
        <v>19548</v>
      </c>
      <c r="AV1558" s="3" t="s">
        <v>19549</v>
      </c>
      <c r="AW1558" s="3" t="s">
        <v>19550</v>
      </c>
      <c r="AX1558" s="3" t="s">
        <v>19550</v>
      </c>
      <c r="AY1558" s="3" t="s">
        <v>19551</v>
      </c>
      <c r="AZ1558" s="3" t="s">
        <v>73</v>
      </c>
      <c r="BB1558" s="3" t="s">
        <v>19552</v>
      </c>
      <c r="BC1558" s="3" t="s">
        <v>19553</v>
      </c>
      <c r="BD1558" s="3" t="s">
        <v>19554</v>
      </c>
    </row>
    <row r="1559" spans="1:56" ht="51" customHeight="1" x14ac:dyDescent="0.25">
      <c r="A1559" s="7" t="s">
        <v>58</v>
      </c>
      <c r="B1559" s="2" t="s">
        <v>19555</v>
      </c>
      <c r="C1559" s="2" t="s">
        <v>19556</v>
      </c>
      <c r="D1559" s="2" t="s">
        <v>19557</v>
      </c>
      <c r="F1559" s="3" t="s">
        <v>58</v>
      </c>
      <c r="G1559" s="3" t="s">
        <v>59</v>
      </c>
      <c r="H1559" s="3" t="s">
        <v>58</v>
      </c>
      <c r="I1559" s="3" t="s">
        <v>58</v>
      </c>
      <c r="J1559" s="3" t="s">
        <v>60</v>
      </c>
      <c r="K1559" s="2" t="s">
        <v>19558</v>
      </c>
      <c r="L1559" s="2" t="s">
        <v>19559</v>
      </c>
      <c r="M1559" s="3" t="s">
        <v>183</v>
      </c>
      <c r="O1559" s="3" t="s">
        <v>63</v>
      </c>
      <c r="P1559" s="3" t="s">
        <v>214</v>
      </c>
      <c r="R1559" s="3" t="s">
        <v>65</v>
      </c>
      <c r="S1559" s="4">
        <v>7</v>
      </c>
      <c r="T1559" s="4">
        <v>7</v>
      </c>
      <c r="U1559" s="5" t="s">
        <v>19560</v>
      </c>
      <c r="V1559" s="5" t="s">
        <v>19560</v>
      </c>
      <c r="W1559" s="5" t="s">
        <v>19561</v>
      </c>
      <c r="X1559" s="5" t="s">
        <v>19561</v>
      </c>
      <c r="Y1559" s="4">
        <v>622</v>
      </c>
      <c r="Z1559" s="4">
        <v>558</v>
      </c>
      <c r="AA1559" s="4">
        <v>564</v>
      </c>
      <c r="AB1559" s="4">
        <v>5</v>
      </c>
      <c r="AC1559" s="4">
        <v>5</v>
      </c>
      <c r="AD1559" s="4">
        <v>21</v>
      </c>
      <c r="AE1559" s="4">
        <v>21</v>
      </c>
      <c r="AF1559" s="4">
        <v>8</v>
      </c>
      <c r="AG1559" s="4">
        <v>8</v>
      </c>
      <c r="AH1559" s="4">
        <v>4</v>
      </c>
      <c r="AI1559" s="4">
        <v>4</v>
      </c>
      <c r="AJ1559" s="4">
        <v>10</v>
      </c>
      <c r="AK1559" s="4">
        <v>10</v>
      </c>
      <c r="AL1559" s="4">
        <v>4</v>
      </c>
      <c r="AM1559" s="4">
        <v>4</v>
      </c>
      <c r="AN1559" s="4">
        <v>0</v>
      </c>
      <c r="AO1559" s="4">
        <v>0</v>
      </c>
      <c r="AP1559" s="3" t="s">
        <v>58</v>
      </c>
      <c r="AQ1559" s="3" t="s">
        <v>68</v>
      </c>
      <c r="AR1559" s="6" t="str">
        <f>HYPERLINK("http://catalog.hathitrust.org/Record/000748052","HathiTrust Record")</f>
        <v>HathiTrust Record</v>
      </c>
      <c r="AS1559" s="6" t="str">
        <f>HYPERLINK("https://creighton-primo.hosted.exlibrisgroup.com/primo-explore/search?tab=default_tab&amp;search_scope=EVERYTHING&amp;vid=01CRU&amp;lang=en_US&amp;offset=0&amp;query=any,contains,991004400669702656","Catalog Record")</f>
        <v>Catalog Record</v>
      </c>
      <c r="AT1559" s="6" t="str">
        <f>HYPERLINK("http://www.worldcat.org/oclc/3297125","WorldCat Record")</f>
        <v>WorldCat Record</v>
      </c>
      <c r="AU1559" s="3" t="s">
        <v>19562</v>
      </c>
      <c r="AV1559" s="3" t="s">
        <v>19563</v>
      </c>
      <c r="AW1559" s="3" t="s">
        <v>19564</v>
      </c>
      <c r="AX1559" s="3" t="s">
        <v>19564</v>
      </c>
      <c r="AY1559" s="3" t="s">
        <v>19565</v>
      </c>
      <c r="AZ1559" s="3" t="s">
        <v>73</v>
      </c>
      <c r="BB1559" s="3" t="s">
        <v>19566</v>
      </c>
      <c r="BC1559" s="3" t="s">
        <v>19567</v>
      </c>
      <c r="BD1559" s="3" t="s">
        <v>19568</v>
      </c>
    </row>
    <row r="1560" spans="1:56" ht="51" customHeight="1" x14ac:dyDescent="0.25">
      <c r="A1560" s="7" t="s">
        <v>58</v>
      </c>
      <c r="B1560" s="2" t="s">
        <v>19569</v>
      </c>
      <c r="C1560" s="2" t="s">
        <v>19570</v>
      </c>
      <c r="D1560" s="2" t="s">
        <v>19571</v>
      </c>
      <c r="F1560" s="3" t="s">
        <v>58</v>
      </c>
      <c r="G1560" s="3" t="s">
        <v>59</v>
      </c>
      <c r="H1560" s="3" t="s">
        <v>58</v>
      </c>
      <c r="I1560" s="3" t="s">
        <v>58</v>
      </c>
      <c r="J1560" s="3" t="s">
        <v>60</v>
      </c>
      <c r="K1560" s="2" t="s">
        <v>19558</v>
      </c>
      <c r="L1560" s="2" t="s">
        <v>19572</v>
      </c>
      <c r="M1560" s="3" t="s">
        <v>183</v>
      </c>
      <c r="O1560" s="3" t="s">
        <v>63</v>
      </c>
      <c r="P1560" s="3" t="s">
        <v>584</v>
      </c>
      <c r="R1560" s="3" t="s">
        <v>65</v>
      </c>
      <c r="S1560" s="4">
        <v>1</v>
      </c>
      <c r="T1560" s="4">
        <v>1</v>
      </c>
      <c r="U1560" s="5" t="s">
        <v>1787</v>
      </c>
      <c r="V1560" s="5" t="s">
        <v>1787</v>
      </c>
      <c r="W1560" s="5" t="s">
        <v>10968</v>
      </c>
      <c r="X1560" s="5" t="s">
        <v>10968</v>
      </c>
      <c r="Y1560" s="4">
        <v>336</v>
      </c>
      <c r="Z1560" s="4">
        <v>152</v>
      </c>
      <c r="AA1560" s="4">
        <v>159</v>
      </c>
      <c r="AB1560" s="4">
        <v>3</v>
      </c>
      <c r="AC1560" s="4">
        <v>3</v>
      </c>
      <c r="AD1560" s="4">
        <v>8</v>
      </c>
      <c r="AE1560" s="4">
        <v>8</v>
      </c>
      <c r="AF1560" s="4">
        <v>2</v>
      </c>
      <c r="AG1560" s="4">
        <v>2</v>
      </c>
      <c r="AH1560" s="4">
        <v>0</v>
      </c>
      <c r="AI1560" s="4">
        <v>0</v>
      </c>
      <c r="AJ1560" s="4">
        <v>5</v>
      </c>
      <c r="AK1560" s="4">
        <v>5</v>
      </c>
      <c r="AL1560" s="4">
        <v>2</v>
      </c>
      <c r="AM1560" s="4">
        <v>2</v>
      </c>
      <c r="AN1560" s="4">
        <v>0</v>
      </c>
      <c r="AO1560" s="4">
        <v>0</v>
      </c>
      <c r="AP1560" s="3" t="s">
        <v>58</v>
      </c>
      <c r="AQ1560" s="3" t="s">
        <v>68</v>
      </c>
      <c r="AR1560" s="6" t="str">
        <f>HYPERLINK("http://catalog.hathitrust.org/Record/000091956","HathiTrust Record")</f>
        <v>HathiTrust Record</v>
      </c>
      <c r="AS1560" s="6" t="str">
        <f>HYPERLINK("https://creighton-primo.hosted.exlibrisgroup.com/primo-explore/search?tab=default_tab&amp;search_scope=EVERYTHING&amp;vid=01CRU&amp;lang=en_US&amp;offset=0&amp;query=any,contains,991004479449702656","Catalog Record")</f>
        <v>Catalog Record</v>
      </c>
      <c r="AT1560" s="6" t="str">
        <f>HYPERLINK("http://www.worldcat.org/oclc/3623826","WorldCat Record")</f>
        <v>WorldCat Record</v>
      </c>
      <c r="AU1560" s="3" t="s">
        <v>19573</v>
      </c>
      <c r="AV1560" s="3" t="s">
        <v>19574</v>
      </c>
      <c r="AW1560" s="3" t="s">
        <v>19575</v>
      </c>
      <c r="AX1560" s="3" t="s">
        <v>19575</v>
      </c>
      <c r="AY1560" s="3" t="s">
        <v>19576</v>
      </c>
      <c r="AZ1560" s="3" t="s">
        <v>73</v>
      </c>
      <c r="BB1560" s="3" t="s">
        <v>19577</v>
      </c>
      <c r="BC1560" s="3" t="s">
        <v>19578</v>
      </c>
      <c r="BD1560" s="3" t="s">
        <v>19579</v>
      </c>
    </row>
    <row r="1561" spans="1:56" ht="51" customHeight="1" x14ac:dyDescent="0.25">
      <c r="A1561" s="7" t="s">
        <v>58</v>
      </c>
      <c r="B1561" s="2" t="s">
        <v>19580</v>
      </c>
      <c r="C1561" s="2" t="s">
        <v>19581</v>
      </c>
      <c r="D1561" s="2" t="s">
        <v>19582</v>
      </c>
      <c r="F1561" s="3" t="s">
        <v>58</v>
      </c>
      <c r="G1561" s="3" t="s">
        <v>59</v>
      </c>
      <c r="H1561" s="3" t="s">
        <v>58</v>
      </c>
      <c r="I1561" s="3" t="s">
        <v>58</v>
      </c>
      <c r="J1561" s="3" t="s">
        <v>60</v>
      </c>
      <c r="L1561" s="2" t="s">
        <v>19583</v>
      </c>
      <c r="M1561" s="3" t="s">
        <v>423</v>
      </c>
      <c r="O1561" s="3" t="s">
        <v>63</v>
      </c>
      <c r="P1561" s="3" t="s">
        <v>584</v>
      </c>
      <c r="R1561" s="3" t="s">
        <v>65</v>
      </c>
      <c r="S1561" s="4">
        <v>3</v>
      </c>
      <c r="T1561" s="4">
        <v>3</v>
      </c>
      <c r="U1561" s="5" t="s">
        <v>19584</v>
      </c>
      <c r="V1561" s="5" t="s">
        <v>19584</v>
      </c>
      <c r="W1561" s="5" t="s">
        <v>19585</v>
      </c>
      <c r="X1561" s="5" t="s">
        <v>19585</v>
      </c>
      <c r="Y1561" s="4">
        <v>377</v>
      </c>
      <c r="Z1561" s="4">
        <v>280</v>
      </c>
      <c r="AA1561" s="4">
        <v>295</v>
      </c>
      <c r="AB1561" s="4">
        <v>3</v>
      </c>
      <c r="AC1561" s="4">
        <v>3</v>
      </c>
      <c r="AD1561" s="4">
        <v>17</v>
      </c>
      <c r="AE1561" s="4">
        <v>18</v>
      </c>
      <c r="AF1561" s="4">
        <v>7</v>
      </c>
      <c r="AG1561" s="4">
        <v>8</v>
      </c>
      <c r="AH1561" s="4">
        <v>4</v>
      </c>
      <c r="AI1561" s="4">
        <v>5</v>
      </c>
      <c r="AJ1561" s="4">
        <v>9</v>
      </c>
      <c r="AK1561" s="4">
        <v>9</v>
      </c>
      <c r="AL1561" s="4">
        <v>2</v>
      </c>
      <c r="AM1561" s="4">
        <v>2</v>
      </c>
      <c r="AN1561" s="4">
        <v>0</v>
      </c>
      <c r="AO1561" s="4">
        <v>0</v>
      </c>
      <c r="AP1561" s="3" t="s">
        <v>58</v>
      </c>
      <c r="AQ1561" s="3" t="s">
        <v>58</v>
      </c>
      <c r="AS1561" s="6" t="str">
        <f>HYPERLINK("https://creighton-primo.hosted.exlibrisgroup.com/primo-explore/search?tab=default_tab&amp;search_scope=EVERYTHING&amp;vid=01CRU&amp;lang=en_US&amp;offset=0&amp;query=any,contains,991002789379702656","Catalog Record")</f>
        <v>Catalog Record</v>
      </c>
      <c r="AT1561" s="6" t="str">
        <f>HYPERLINK("http://www.worldcat.org/oclc/36640774","WorldCat Record")</f>
        <v>WorldCat Record</v>
      </c>
      <c r="AU1561" s="3" t="s">
        <v>19586</v>
      </c>
      <c r="AV1561" s="3" t="s">
        <v>19587</v>
      </c>
      <c r="AW1561" s="3" t="s">
        <v>19588</v>
      </c>
      <c r="AX1561" s="3" t="s">
        <v>19588</v>
      </c>
      <c r="AY1561" s="3" t="s">
        <v>19589</v>
      </c>
      <c r="AZ1561" s="3" t="s">
        <v>73</v>
      </c>
      <c r="BB1561" s="3" t="s">
        <v>19590</v>
      </c>
      <c r="BC1561" s="3" t="s">
        <v>19591</v>
      </c>
      <c r="BD1561" s="3" t="s">
        <v>19592</v>
      </c>
    </row>
    <row r="1562" spans="1:56" ht="51" customHeight="1" x14ac:dyDescent="0.25">
      <c r="A1562" s="7" t="s">
        <v>58</v>
      </c>
      <c r="B1562" s="2" t="s">
        <v>19593</v>
      </c>
      <c r="C1562" s="2" t="s">
        <v>19594</v>
      </c>
      <c r="D1562" s="2" t="s">
        <v>19595</v>
      </c>
      <c r="F1562" s="3" t="s">
        <v>58</v>
      </c>
      <c r="G1562" s="3" t="s">
        <v>59</v>
      </c>
      <c r="H1562" s="3" t="s">
        <v>58</v>
      </c>
      <c r="I1562" s="3" t="s">
        <v>58</v>
      </c>
      <c r="J1562" s="3" t="s">
        <v>60</v>
      </c>
      <c r="K1562" s="2" t="s">
        <v>19596</v>
      </c>
      <c r="L1562" s="2" t="s">
        <v>19597</v>
      </c>
      <c r="M1562" s="3" t="s">
        <v>1720</v>
      </c>
      <c r="O1562" s="3" t="s">
        <v>63</v>
      </c>
      <c r="P1562" s="3" t="s">
        <v>4828</v>
      </c>
      <c r="Q1562" s="2" t="s">
        <v>19598</v>
      </c>
      <c r="R1562" s="3" t="s">
        <v>65</v>
      </c>
      <c r="S1562" s="4">
        <v>3</v>
      </c>
      <c r="T1562" s="4">
        <v>3</v>
      </c>
      <c r="U1562" s="5" t="s">
        <v>8671</v>
      </c>
      <c r="V1562" s="5" t="s">
        <v>8671</v>
      </c>
      <c r="W1562" s="5" t="s">
        <v>4703</v>
      </c>
      <c r="X1562" s="5" t="s">
        <v>4703</v>
      </c>
      <c r="Y1562" s="4">
        <v>586</v>
      </c>
      <c r="Z1562" s="4">
        <v>483</v>
      </c>
      <c r="AA1562" s="4">
        <v>487</v>
      </c>
      <c r="AB1562" s="4">
        <v>3</v>
      </c>
      <c r="AC1562" s="4">
        <v>3</v>
      </c>
      <c r="AD1562" s="4">
        <v>20</v>
      </c>
      <c r="AE1562" s="4">
        <v>20</v>
      </c>
      <c r="AF1562" s="4">
        <v>6</v>
      </c>
      <c r="AG1562" s="4">
        <v>6</v>
      </c>
      <c r="AH1562" s="4">
        <v>4</v>
      </c>
      <c r="AI1562" s="4">
        <v>4</v>
      </c>
      <c r="AJ1562" s="4">
        <v>11</v>
      </c>
      <c r="AK1562" s="4">
        <v>11</v>
      </c>
      <c r="AL1562" s="4">
        <v>2</v>
      </c>
      <c r="AM1562" s="4">
        <v>2</v>
      </c>
      <c r="AN1562" s="4">
        <v>0</v>
      </c>
      <c r="AO1562" s="4">
        <v>0</v>
      </c>
      <c r="AP1562" s="3" t="s">
        <v>58</v>
      </c>
      <c r="AQ1562" s="3" t="s">
        <v>68</v>
      </c>
      <c r="AR1562" s="6" t="str">
        <f>HYPERLINK("http://catalog.hathitrust.org/Record/001246748","HathiTrust Record")</f>
        <v>HathiTrust Record</v>
      </c>
      <c r="AS1562" s="6" t="str">
        <f>HYPERLINK("https://creighton-primo.hosted.exlibrisgroup.com/primo-explore/search?tab=default_tab&amp;search_scope=EVERYTHING&amp;vid=01CRU&amp;lang=en_US&amp;offset=0&amp;query=any,contains,991003064139702656","Catalog Record")</f>
        <v>Catalog Record</v>
      </c>
      <c r="AT1562" s="6" t="str">
        <f>HYPERLINK("http://www.worldcat.org/oclc/620811","WorldCat Record")</f>
        <v>WorldCat Record</v>
      </c>
      <c r="AU1562" s="3" t="s">
        <v>19599</v>
      </c>
      <c r="AV1562" s="3" t="s">
        <v>19600</v>
      </c>
      <c r="AW1562" s="3" t="s">
        <v>19601</v>
      </c>
      <c r="AX1562" s="3" t="s">
        <v>19601</v>
      </c>
      <c r="AY1562" s="3" t="s">
        <v>19602</v>
      </c>
      <c r="AZ1562" s="3" t="s">
        <v>73</v>
      </c>
      <c r="BC1562" s="3" t="s">
        <v>19603</v>
      </c>
      <c r="BD1562" s="3" t="s">
        <v>19604</v>
      </c>
    </row>
    <row r="1563" spans="1:56" ht="51" customHeight="1" x14ac:dyDescent="0.25">
      <c r="A1563" s="7" t="s">
        <v>58</v>
      </c>
      <c r="B1563" s="2" t="s">
        <v>19605</v>
      </c>
      <c r="C1563" s="2" t="s">
        <v>19606</v>
      </c>
      <c r="D1563" s="2" t="s">
        <v>19607</v>
      </c>
      <c r="F1563" s="3" t="s">
        <v>58</v>
      </c>
      <c r="G1563" s="3" t="s">
        <v>59</v>
      </c>
      <c r="H1563" s="3" t="s">
        <v>58</v>
      </c>
      <c r="I1563" s="3" t="s">
        <v>58</v>
      </c>
      <c r="J1563" s="3" t="s">
        <v>60</v>
      </c>
      <c r="L1563" s="2" t="s">
        <v>19608</v>
      </c>
      <c r="M1563" s="3" t="s">
        <v>1357</v>
      </c>
      <c r="N1563" s="2" t="s">
        <v>1470</v>
      </c>
      <c r="O1563" s="3" t="s">
        <v>63</v>
      </c>
      <c r="P1563" s="3" t="s">
        <v>214</v>
      </c>
      <c r="R1563" s="3" t="s">
        <v>65</v>
      </c>
      <c r="S1563" s="4">
        <v>16</v>
      </c>
      <c r="T1563" s="4">
        <v>16</v>
      </c>
      <c r="U1563" s="5" t="s">
        <v>19609</v>
      </c>
      <c r="V1563" s="5" t="s">
        <v>19609</v>
      </c>
      <c r="W1563" s="5" t="s">
        <v>19610</v>
      </c>
      <c r="X1563" s="5" t="s">
        <v>19610</v>
      </c>
      <c r="Y1563" s="4">
        <v>747</v>
      </c>
      <c r="Z1563" s="4">
        <v>609</v>
      </c>
      <c r="AA1563" s="4">
        <v>615</v>
      </c>
      <c r="AB1563" s="4">
        <v>5</v>
      </c>
      <c r="AC1563" s="4">
        <v>5</v>
      </c>
      <c r="AD1563" s="4">
        <v>26</v>
      </c>
      <c r="AE1563" s="4">
        <v>26</v>
      </c>
      <c r="AF1563" s="4">
        <v>10</v>
      </c>
      <c r="AG1563" s="4">
        <v>10</v>
      </c>
      <c r="AH1563" s="4">
        <v>5</v>
      </c>
      <c r="AI1563" s="4">
        <v>5</v>
      </c>
      <c r="AJ1563" s="4">
        <v>12</v>
      </c>
      <c r="AK1563" s="4">
        <v>12</v>
      </c>
      <c r="AL1563" s="4">
        <v>4</v>
      </c>
      <c r="AM1563" s="4">
        <v>4</v>
      </c>
      <c r="AN1563" s="4">
        <v>0</v>
      </c>
      <c r="AO1563" s="4">
        <v>0</v>
      </c>
      <c r="AP1563" s="3" t="s">
        <v>58</v>
      </c>
      <c r="AQ1563" s="3" t="s">
        <v>68</v>
      </c>
      <c r="AR1563" s="6" t="str">
        <f>HYPERLINK("http://catalog.hathitrust.org/Record/001241016","HathiTrust Record")</f>
        <v>HathiTrust Record</v>
      </c>
      <c r="AS1563" s="6" t="str">
        <f>HYPERLINK("https://creighton-primo.hosted.exlibrisgroup.com/primo-explore/search?tab=default_tab&amp;search_scope=EVERYTHING&amp;vid=01CRU&amp;lang=en_US&amp;offset=0&amp;query=any,contains,991000542299702656","Catalog Record")</f>
        <v>Catalog Record</v>
      </c>
      <c r="AT1563" s="6" t="str">
        <f>HYPERLINK("http://www.worldcat.org/oclc/90693","WorldCat Record")</f>
        <v>WorldCat Record</v>
      </c>
      <c r="AU1563" s="3" t="s">
        <v>19611</v>
      </c>
      <c r="AV1563" s="3" t="s">
        <v>19612</v>
      </c>
      <c r="AW1563" s="3" t="s">
        <v>19613</v>
      </c>
      <c r="AX1563" s="3" t="s">
        <v>19613</v>
      </c>
      <c r="AY1563" s="3" t="s">
        <v>19614</v>
      </c>
      <c r="AZ1563" s="3" t="s">
        <v>73</v>
      </c>
      <c r="BC1563" s="3" t="s">
        <v>19615</v>
      </c>
      <c r="BD1563" s="3" t="s">
        <v>19616</v>
      </c>
    </row>
    <row r="1564" spans="1:56" ht="51" customHeight="1" x14ac:dyDescent="0.25">
      <c r="A1564" s="7" t="s">
        <v>58</v>
      </c>
      <c r="B1564" s="2" t="s">
        <v>19617</v>
      </c>
      <c r="C1564" s="2" t="s">
        <v>19618</v>
      </c>
      <c r="D1564" s="2" t="s">
        <v>19619</v>
      </c>
      <c r="F1564" s="3" t="s">
        <v>58</v>
      </c>
      <c r="G1564" s="3" t="s">
        <v>59</v>
      </c>
      <c r="H1564" s="3" t="s">
        <v>58</v>
      </c>
      <c r="I1564" s="3" t="s">
        <v>58</v>
      </c>
      <c r="J1564" s="3" t="s">
        <v>60</v>
      </c>
      <c r="K1564" s="2" t="s">
        <v>19620</v>
      </c>
      <c r="L1564" s="2" t="s">
        <v>19621</v>
      </c>
      <c r="M1564" s="3" t="s">
        <v>19622</v>
      </c>
      <c r="O1564" s="3" t="s">
        <v>63</v>
      </c>
      <c r="P1564" s="3" t="s">
        <v>571</v>
      </c>
      <c r="Q1564" s="2" t="s">
        <v>19623</v>
      </c>
      <c r="R1564" s="3" t="s">
        <v>65</v>
      </c>
      <c r="S1564" s="4">
        <v>6</v>
      </c>
      <c r="T1564" s="4">
        <v>6</v>
      </c>
      <c r="U1564" s="5" t="s">
        <v>19624</v>
      </c>
      <c r="V1564" s="5" t="s">
        <v>19624</v>
      </c>
      <c r="W1564" s="5" t="s">
        <v>2034</v>
      </c>
      <c r="X1564" s="5" t="s">
        <v>2034</v>
      </c>
      <c r="Y1564" s="4">
        <v>36</v>
      </c>
      <c r="Z1564" s="4">
        <v>31</v>
      </c>
      <c r="AA1564" s="4">
        <v>297</v>
      </c>
      <c r="AB1564" s="4">
        <v>1</v>
      </c>
      <c r="AC1564" s="4">
        <v>3</v>
      </c>
      <c r="AD1564" s="4">
        <v>0</v>
      </c>
      <c r="AE1564" s="4">
        <v>18</v>
      </c>
      <c r="AF1564" s="4">
        <v>0</v>
      </c>
      <c r="AG1564" s="4">
        <v>4</v>
      </c>
      <c r="AH1564" s="4">
        <v>0</v>
      </c>
      <c r="AI1564" s="4">
        <v>4</v>
      </c>
      <c r="AJ1564" s="4">
        <v>0</v>
      </c>
      <c r="AK1564" s="4">
        <v>11</v>
      </c>
      <c r="AL1564" s="4">
        <v>0</v>
      </c>
      <c r="AM1564" s="4">
        <v>2</v>
      </c>
      <c r="AN1564" s="4">
        <v>0</v>
      </c>
      <c r="AO1564" s="4">
        <v>0</v>
      </c>
      <c r="AP1564" s="3" t="s">
        <v>68</v>
      </c>
      <c r="AQ1564" s="3" t="s">
        <v>58</v>
      </c>
      <c r="AR1564" s="6" t="str">
        <f>HYPERLINK("http://catalog.hathitrust.org/Record/008922202","HathiTrust Record")</f>
        <v>HathiTrust Record</v>
      </c>
      <c r="AS1564" s="6" t="str">
        <f>HYPERLINK("https://creighton-primo.hosted.exlibrisgroup.com/primo-explore/search?tab=default_tab&amp;search_scope=EVERYTHING&amp;vid=01CRU&amp;lang=en_US&amp;offset=0&amp;query=any,contains,991004289639702656","Catalog Record")</f>
        <v>Catalog Record</v>
      </c>
      <c r="AT1564" s="6" t="str">
        <f>HYPERLINK("http://www.worldcat.org/oclc/2939290","WorldCat Record")</f>
        <v>WorldCat Record</v>
      </c>
      <c r="AU1564" s="3" t="s">
        <v>19625</v>
      </c>
      <c r="AV1564" s="3" t="s">
        <v>19626</v>
      </c>
      <c r="AW1564" s="3" t="s">
        <v>19627</v>
      </c>
      <c r="AX1564" s="3" t="s">
        <v>19627</v>
      </c>
      <c r="AY1564" s="3" t="s">
        <v>19628</v>
      </c>
      <c r="AZ1564" s="3" t="s">
        <v>73</v>
      </c>
      <c r="BC1564" s="3" t="s">
        <v>19629</v>
      </c>
      <c r="BD1564" s="3" t="s">
        <v>19630</v>
      </c>
    </row>
    <row r="1565" spans="1:56" ht="51" customHeight="1" x14ac:dyDescent="0.25">
      <c r="A1565" s="7" t="s">
        <v>58</v>
      </c>
      <c r="B1565" s="2" t="s">
        <v>19631</v>
      </c>
      <c r="C1565" s="2" t="s">
        <v>19632</v>
      </c>
      <c r="D1565" s="2" t="s">
        <v>19633</v>
      </c>
      <c r="F1565" s="3" t="s">
        <v>58</v>
      </c>
      <c r="G1565" s="3" t="s">
        <v>59</v>
      </c>
      <c r="H1565" s="3" t="s">
        <v>58</v>
      </c>
      <c r="I1565" s="3" t="s">
        <v>58</v>
      </c>
      <c r="J1565" s="3" t="s">
        <v>60</v>
      </c>
      <c r="K1565" s="2" t="s">
        <v>19634</v>
      </c>
      <c r="L1565" s="2" t="s">
        <v>19635</v>
      </c>
      <c r="M1565" s="3" t="s">
        <v>368</v>
      </c>
      <c r="O1565" s="3" t="s">
        <v>63</v>
      </c>
      <c r="P1565" s="3" t="s">
        <v>510</v>
      </c>
      <c r="R1565" s="3" t="s">
        <v>65</v>
      </c>
      <c r="S1565" s="4">
        <v>8</v>
      </c>
      <c r="T1565" s="4">
        <v>8</v>
      </c>
      <c r="U1565" s="5" t="s">
        <v>19636</v>
      </c>
      <c r="V1565" s="5" t="s">
        <v>19636</v>
      </c>
      <c r="W1565" s="5" t="s">
        <v>19637</v>
      </c>
      <c r="X1565" s="5" t="s">
        <v>19637</v>
      </c>
      <c r="Y1565" s="4">
        <v>54</v>
      </c>
      <c r="Z1565" s="4">
        <v>50</v>
      </c>
      <c r="AA1565" s="4">
        <v>516</v>
      </c>
      <c r="AB1565" s="4">
        <v>1</v>
      </c>
      <c r="AC1565" s="4">
        <v>7</v>
      </c>
      <c r="AD1565" s="4">
        <v>7</v>
      </c>
      <c r="AE1565" s="4">
        <v>25</v>
      </c>
      <c r="AF1565" s="4">
        <v>4</v>
      </c>
      <c r="AG1565" s="4">
        <v>8</v>
      </c>
      <c r="AH1565" s="4">
        <v>2</v>
      </c>
      <c r="AI1565" s="4">
        <v>7</v>
      </c>
      <c r="AJ1565" s="4">
        <v>4</v>
      </c>
      <c r="AK1565" s="4">
        <v>9</v>
      </c>
      <c r="AL1565" s="4">
        <v>0</v>
      </c>
      <c r="AM1565" s="4">
        <v>6</v>
      </c>
      <c r="AN1565" s="4">
        <v>0</v>
      </c>
      <c r="AO1565" s="4">
        <v>0</v>
      </c>
      <c r="AP1565" s="3" t="s">
        <v>58</v>
      </c>
      <c r="AQ1565" s="3" t="s">
        <v>68</v>
      </c>
      <c r="AR1565" s="6" t="str">
        <f>HYPERLINK("http://catalog.hathitrust.org/Record/004410645","HathiTrust Record")</f>
        <v>HathiTrust Record</v>
      </c>
      <c r="AS1565" s="6" t="str">
        <f>HYPERLINK("https://creighton-primo.hosted.exlibrisgroup.com/primo-explore/search?tab=default_tab&amp;search_scope=EVERYTHING&amp;vid=01CRU&amp;lang=en_US&amp;offset=0&amp;query=any,contains,991004107019702656","Catalog Record")</f>
        <v>Catalog Record</v>
      </c>
      <c r="AT1565" s="6" t="str">
        <f>HYPERLINK("http://www.worldcat.org/oclc/2387757","WorldCat Record")</f>
        <v>WorldCat Record</v>
      </c>
      <c r="AU1565" s="3" t="s">
        <v>19638</v>
      </c>
      <c r="AV1565" s="3" t="s">
        <v>19639</v>
      </c>
      <c r="AW1565" s="3" t="s">
        <v>19640</v>
      </c>
      <c r="AX1565" s="3" t="s">
        <v>19640</v>
      </c>
      <c r="AY1565" s="3" t="s">
        <v>19641</v>
      </c>
      <c r="AZ1565" s="3" t="s">
        <v>73</v>
      </c>
      <c r="BB1565" s="3" t="s">
        <v>19642</v>
      </c>
      <c r="BC1565" s="3" t="s">
        <v>19643</v>
      </c>
      <c r="BD1565" s="3" t="s">
        <v>19644</v>
      </c>
    </row>
    <row r="1566" spans="1:56" ht="51" customHeight="1" x14ac:dyDescent="0.25">
      <c r="A1566" s="7" t="s">
        <v>58</v>
      </c>
      <c r="B1566" s="2" t="s">
        <v>19645</v>
      </c>
      <c r="C1566" s="2" t="s">
        <v>19646</v>
      </c>
      <c r="D1566" s="2" t="s">
        <v>19647</v>
      </c>
      <c r="E1566" s="3" t="s">
        <v>223</v>
      </c>
      <c r="F1566" s="3" t="s">
        <v>68</v>
      </c>
      <c r="G1566" s="3" t="s">
        <v>59</v>
      </c>
      <c r="H1566" s="3" t="s">
        <v>58</v>
      </c>
      <c r="I1566" s="3" t="s">
        <v>58</v>
      </c>
      <c r="J1566" s="3" t="s">
        <v>60</v>
      </c>
      <c r="K1566" s="2" t="s">
        <v>19648</v>
      </c>
      <c r="L1566" s="2" t="s">
        <v>19649</v>
      </c>
      <c r="M1566" s="3" t="s">
        <v>1357</v>
      </c>
      <c r="O1566" s="3" t="s">
        <v>63</v>
      </c>
      <c r="P1566" s="3" t="s">
        <v>1785</v>
      </c>
      <c r="Q1566" s="2" t="s">
        <v>19650</v>
      </c>
      <c r="R1566" s="3" t="s">
        <v>65</v>
      </c>
      <c r="S1566" s="4">
        <v>1</v>
      </c>
      <c r="T1566" s="4">
        <v>2</v>
      </c>
      <c r="U1566" s="5" t="s">
        <v>19651</v>
      </c>
      <c r="V1566" s="5" t="s">
        <v>19651</v>
      </c>
      <c r="W1566" s="5" t="s">
        <v>11664</v>
      </c>
      <c r="X1566" s="5" t="s">
        <v>11664</v>
      </c>
      <c r="Y1566" s="4">
        <v>6</v>
      </c>
      <c r="Z1566" s="4">
        <v>4</v>
      </c>
      <c r="AA1566" s="4">
        <v>4</v>
      </c>
      <c r="AB1566" s="4">
        <v>1</v>
      </c>
      <c r="AC1566" s="4">
        <v>1</v>
      </c>
      <c r="AD1566" s="4">
        <v>0</v>
      </c>
      <c r="AE1566" s="4">
        <v>0</v>
      </c>
      <c r="AF1566" s="4">
        <v>0</v>
      </c>
      <c r="AG1566" s="4">
        <v>0</v>
      </c>
      <c r="AH1566" s="4">
        <v>0</v>
      </c>
      <c r="AI1566" s="4">
        <v>0</v>
      </c>
      <c r="AJ1566" s="4">
        <v>0</v>
      </c>
      <c r="AK1566" s="4">
        <v>0</v>
      </c>
      <c r="AL1566" s="4">
        <v>0</v>
      </c>
      <c r="AM1566" s="4">
        <v>0</v>
      </c>
      <c r="AN1566" s="4">
        <v>0</v>
      </c>
      <c r="AO1566" s="4">
        <v>0</v>
      </c>
      <c r="AP1566" s="3" t="s">
        <v>58</v>
      </c>
      <c r="AQ1566" s="3" t="s">
        <v>58</v>
      </c>
      <c r="AS1566" s="6" t="str">
        <f>HYPERLINK("https://creighton-primo.hosted.exlibrisgroup.com/primo-explore/search?tab=default_tab&amp;search_scope=EVERYTHING&amp;vid=01CRU&amp;lang=en_US&amp;offset=0&amp;query=any,contains,991002453909702656","Catalog Record")</f>
        <v>Catalog Record</v>
      </c>
      <c r="AT1566" s="6" t="str">
        <f>HYPERLINK("http://www.worldcat.org/oclc/32011157","WorldCat Record")</f>
        <v>WorldCat Record</v>
      </c>
      <c r="AU1566" s="3" t="s">
        <v>19652</v>
      </c>
      <c r="AV1566" s="3" t="s">
        <v>19653</v>
      </c>
      <c r="AW1566" s="3" t="s">
        <v>19654</v>
      </c>
      <c r="AX1566" s="3" t="s">
        <v>19654</v>
      </c>
      <c r="AY1566" s="3" t="s">
        <v>19655</v>
      </c>
      <c r="AZ1566" s="3" t="s">
        <v>73</v>
      </c>
      <c r="BC1566" s="3" t="s">
        <v>19656</v>
      </c>
      <c r="BD1566" s="3" t="s">
        <v>19657</v>
      </c>
    </row>
    <row r="1567" spans="1:56" ht="51" customHeight="1" x14ac:dyDescent="0.25">
      <c r="A1567" s="7" t="s">
        <v>58</v>
      </c>
      <c r="B1567" s="2" t="s">
        <v>19645</v>
      </c>
      <c r="C1567" s="2" t="s">
        <v>19646</v>
      </c>
      <c r="D1567" s="2" t="s">
        <v>19647</v>
      </c>
      <c r="E1567" s="3" t="s">
        <v>210</v>
      </c>
      <c r="F1567" s="3" t="s">
        <v>68</v>
      </c>
      <c r="G1567" s="3" t="s">
        <v>59</v>
      </c>
      <c r="H1567" s="3" t="s">
        <v>58</v>
      </c>
      <c r="I1567" s="3" t="s">
        <v>58</v>
      </c>
      <c r="J1567" s="3" t="s">
        <v>60</v>
      </c>
      <c r="K1567" s="2" t="s">
        <v>19648</v>
      </c>
      <c r="L1567" s="2" t="s">
        <v>19649</v>
      </c>
      <c r="M1567" s="3" t="s">
        <v>1357</v>
      </c>
      <c r="O1567" s="3" t="s">
        <v>63</v>
      </c>
      <c r="P1567" s="3" t="s">
        <v>1785</v>
      </c>
      <c r="Q1567" s="2" t="s">
        <v>19650</v>
      </c>
      <c r="R1567" s="3" t="s">
        <v>65</v>
      </c>
      <c r="S1567" s="4">
        <v>1</v>
      </c>
      <c r="T1567" s="4">
        <v>2</v>
      </c>
      <c r="U1567" s="5" t="s">
        <v>19651</v>
      </c>
      <c r="V1567" s="5" t="s">
        <v>19651</v>
      </c>
      <c r="W1567" s="5" t="s">
        <v>11664</v>
      </c>
      <c r="X1567" s="5" t="s">
        <v>11664</v>
      </c>
      <c r="Y1567" s="4">
        <v>6</v>
      </c>
      <c r="Z1567" s="4">
        <v>4</v>
      </c>
      <c r="AA1567" s="4">
        <v>4</v>
      </c>
      <c r="AB1567" s="4">
        <v>1</v>
      </c>
      <c r="AC1567" s="4">
        <v>1</v>
      </c>
      <c r="AD1567" s="4">
        <v>0</v>
      </c>
      <c r="AE1567" s="4">
        <v>0</v>
      </c>
      <c r="AF1567" s="4">
        <v>0</v>
      </c>
      <c r="AG1567" s="4">
        <v>0</v>
      </c>
      <c r="AH1567" s="4">
        <v>0</v>
      </c>
      <c r="AI1567" s="4">
        <v>0</v>
      </c>
      <c r="AJ1567" s="4">
        <v>0</v>
      </c>
      <c r="AK1567" s="4">
        <v>0</v>
      </c>
      <c r="AL1567" s="4">
        <v>0</v>
      </c>
      <c r="AM1567" s="4">
        <v>0</v>
      </c>
      <c r="AN1567" s="4">
        <v>0</v>
      </c>
      <c r="AO1567" s="4">
        <v>0</v>
      </c>
      <c r="AP1567" s="3" t="s">
        <v>58</v>
      </c>
      <c r="AQ1567" s="3" t="s">
        <v>58</v>
      </c>
      <c r="AS1567" s="6" t="str">
        <f>HYPERLINK("https://creighton-primo.hosted.exlibrisgroup.com/primo-explore/search?tab=default_tab&amp;search_scope=EVERYTHING&amp;vid=01CRU&amp;lang=en_US&amp;offset=0&amp;query=any,contains,991002453909702656","Catalog Record")</f>
        <v>Catalog Record</v>
      </c>
      <c r="AT1567" s="6" t="str">
        <f>HYPERLINK("http://www.worldcat.org/oclc/32011157","WorldCat Record")</f>
        <v>WorldCat Record</v>
      </c>
      <c r="AU1567" s="3" t="s">
        <v>19652</v>
      </c>
      <c r="AV1567" s="3" t="s">
        <v>19653</v>
      </c>
      <c r="AW1567" s="3" t="s">
        <v>19654</v>
      </c>
      <c r="AX1567" s="3" t="s">
        <v>19654</v>
      </c>
      <c r="AY1567" s="3" t="s">
        <v>19655</v>
      </c>
      <c r="AZ1567" s="3" t="s">
        <v>73</v>
      </c>
      <c r="BC1567" s="3" t="s">
        <v>19658</v>
      </c>
      <c r="BD1567" s="3" t="s">
        <v>19659</v>
      </c>
    </row>
    <row r="1568" spans="1:56" ht="51" customHeight="1" x14ac:dyDescent="0.25">
      <c r="A1568" s="7" t="s">
        <v>58</v>
      </c>
      <c r="B1568" s="2" t="s">
        <v>19660</v>
      </c>
      <c r="C1568" s="2" t="s">
        <v>19661</v>
      </c>
      <c r="D1568" s="2" t="s">
        <v>19662</v>
      </c>
      <c r="F1568" s="3" t="s">
        <v>58</v>
      </c>
      <c r="G1568" s="3" t="s">
        <v>59</v>
      </c>
      <c r="H1568" s="3" t="s">
        <v>58</v>
      </c>
      <c r="I1568" s="3" t="s">
        <v>58</v>
      </c>
      <c r="J1568" s="3" t="s">
        <v>60</v>
      </c>
      <c r="K1568" s="2" t="s">
        <v>19663</v>
      </c>
      <c r="L1568" s="2" t="s">
        <v>19664</v>
      </c>
      <c r="M1568" s="3" t="s">
        <v>626</v>
      </c>
      <c r="O1568" s="3" t="s">
        <v>63</v>
      </c>
      <c r="P1568" s="3" t="s">
        <v>354</v>
      </c>
      <c r="R1568" s="3" t="s">
        <v>65</v>
      </c>
      <c r="S1568" s="4">
        <v>6</v>
      </c>
      <c r="T1568" s="4">
        <v>6</v>
      </c>
      <c r="U1568" s="5" t="s">
        <v>19665</v>
      </c>
      <c r="V1568" s="5" t="s">
        <v>19665</v>
      </c>
      <c r="W1568" s="5" t="s">
        <v>19666</v>
      </c>
      <c r="X1568" s="5" t="s">
        <v>19666</v>
      </c>
      <c r="Y1568" s="4">
        <v>450</v>
      </c>
      <c r="Z1568" s="4">
        <v>356</v>
      </c>
      <c r="AA1568" s="4">
        <v>518</v>
      </c>
      <c r="AB1568" s="4">
        <v>3</v>
      </c>
      <c r="AC1568" s="4">
        <v>3</v>
      </c>
      <c r="AD1568" s="4">
        <v>11</v>
      </c>
      <c r="AE1568" s="4">
        <v>20</v>
      </c>
      <c r="AF1568" s="4">
        <v>2</v>
      </c>
      <c r="AG1568" s="4">
        <v>6</v>
      </c>
      <c r="AH1568" s="4">
        <v>3</v>
      </c>
      <c r="AI1568" s="4">
        <v>4</v>
      </c>
      <c r="AJ1568" s="4">
        <v>6</v>
      </c>
      <c r="AK1568" s="4">
        <v>12</v>
      </c>
      <c r="AL1568" s="4">
        <v>2</v>
      </c>
      <c r="AM1568" s="4">
        <v>2</v>
      </c>
      <c r="AN1568" s="4">
        <v>0</v>
      </c>
      <c r="AO1568" s="4">
        <v>0</v>
      </c>
      <c r="AP1568" s="3" t="s">
        <v>58</v>
      </c>
      <c r="AQ1568" s="3" t="s">
        <v>68</v>
      </c>
      <c r="AR1568" s="6" t="str">
        <f>HYPERLINK("http://catalog.hathitrust.org/Record/000319059","HathiTrust Record")</f>
        <v>HathiTrust Record</v>
      </c>
      <c r="AS1568" s="6" t="str">
        <f>HYPERLINK("https://creighton-primo.hosted.exlibrisgroup.com/primo-explore/search?tab=default_tab&amp;search_scope=EVERYTHING&amp;vid=01CRU&amp;lang=en_US&amp;offset=0&amp;query=any,contains,991003222479702656","Catalog Record")</f>
        <v>Catalog Record</v>
      </c>
      <c r="AT1568" s="6" t="str">
        <f>HYPERLINK("http://www.worldcat.org/oclc/8952723","WorldCat Record")</f>
        <v>WorldCat Record</v>
      </c>
      <c r="AU1568" s="3" t="s">
        <v>19667</v>
      </c>
      <c r="AV1568" s="3" t="s">
        <v>19668</v>
      </c>
      <c r="AW1568" s="3" t="s">
        <v>19669</v>
      </c>
      <c r="AX1568" s="3" t="s">
        <v>19669</v>
      </c>
      <c r="AY1568" s="3" t="s">
        <v>19670</v>
      </c>
      <c r="AZ1568" s="3" t="s">
        <v>73</v>
      </c>
      <c r="BB1568" s="3" t="s">
        <v>19671</v>
      </c>
      <c r="BC1568" s="3" t="s">
        <v>19672</v>
      </c>
      <c r="BD1568" s="3" t="s">
        <v>19673</v>
      </c>
    </row>
    <row r="1569" spans="1:56" ht="51" customHeight="1" x14ac:dyDescent="0.25">
      <c r="A1569" s="7" t="s">
        <v>58</v>
      </c>
      <c r="B1569" s="2" t="s">
        <v>19674</v>
      </c>
      <c r="C1569" s="2" t="s">
        <v>19675</v>
      </c>
      <c r="D1569" s="2" t="s">
        <v>19676</v>
      </c>
      <c r="F1569" s="3" t="s">
        <v>58</v>
      </c>
      <c r="G1569" s="3" t="s">
        <v>59</v>
      </c>
      <c r="H1569" s="3" t="s">
        <v>58</v>
      </c>
      <c r="I1569" s="3" t="s">
        <v>58</v>
      </c>
      <c r="J1569" s="3" t="s">
        <v>60</v>
      </c>
      <c r="K1569" s="2" t="s">
        <v>19677</v>
      </c>
      <c r="L1569" s="2" t="s">
        <v>19678</v>
      </c>
      <c r="M1569" s="3" t="s">
        <v>951</v>
      </c>
      <c r="O1569" s="3" t="s">
        <v>63</v>
      </c>
      <c r="P1569" s="3" t="s">
        <v>411</v>
      </c>
      <c r="R1569" s="3" t="s">
        <v>65</v>
      </c>
      <c r="S1569" s="4">
        <v>1</v>
      </c>
      <c r="T1569" s="4">
        <v>1</v>
      </c>
      <c r="U1569" s="5" t="s">
        <v>19679</v>
      </c>
      <c r="V1569" s="5" t="s">
        <v>19679</v>
      </c>
      <c r="W1569" s="5" t="s">
        <v>19679</v>
      </c>
      <c r="X1569" s="5" t="s">
        <v>19679</v>
      </c>
      <c r="Y1569" s="4">
        <v>476</v>
      </c>
      <c r="Z1569" s="4">
        <v>379</v>
      </c>
      <c r="AA1569" s="4">
        <v>384</v>
      </c>
      <c r="AB1569" s="4">
        <v>3</v>
      </c>
      <c r="AC1569" s="4">
        <v>3</v>
      </c>
      <c r="AD1569" s="4">
        <v>22</v>
      </c>
      <c r="AE1569" s="4">
        <v>22</v>
      </c>
      <c r="AF1569" s="4">
        <v>8</v>
      </c>
      <c r="AG1569" s="4">
        <v>8</v>
      </c>
      <c r="AH1569" s="4">
        <v>6</v>
      </c>
      <c r="AI1569" s="4">
        <v>6</v>
      </c>
      <c r="AJ1569" s="4">
        <v>12</v>
      </c>
      <c r="AK1569" s="4">
        <v>12</v>
      </c>
      <c r="AL1569" s="4">
        <v>2</v>
      </c>
      <c r="AM1569" s="4">
        <v>2</v>
      </c>
      <c r="AN1569" s="4">
        <v>0</v>
      </c>
      <c r="AO1569" s="4">
        <v>0</v>
      </c>
      <c r="AP1569" s="3" t="s">
        <v>58</v>
      </c>
      <c r="AQ1569" s="3" t="s">
        <v>58</v>
      </c>
      <c r="AS1569" s="6" t="str">
        <f>HYPERLINK("https://creighton-primo.hosted.exlibrisgroup.com/primo-explore/search?tab=default_tab&amp;search_scope=EVERYTHING&amp;vid=01CRU&amp;lang=en_US&amp;offset=0&amp;query=any,contains,991004108279702656","Catalog Record")</f>
        <v>Catalog Record</v>
      </c>
      <c r="AT1569" s="6" t="str">
        <f>HYPERLINK("http://www.worldcat.org/oclc/41049566","WorldCat Record")</f>
        <v>WorldCat Record</v>
      </c>
      <c r="AU1569" s="3" t="s">
        <v>19680</v>
      </c>
      <c r="AV1569" s="3" t="s">
        <v>19681</v>
      </c>
      <c r="AW1569" s="3" t="s">
        <v>19682</v>
      </c>
      <c r="AX1569" s="3" t="s">
        <v>19682</v>
      </c>
      <c r="AY1569" s="3" t="s">
        <v>19683</v>
      </c>
      <c r="AZ1569" s="3" t="s">
        <v>73</v>
      </c>
      <c r="BB1569" s="3" t="s">
        <v>19684</v>
      </c>
      <c r="BC1569" s="3" t="s">
        <v>19685</v>
      </c>
      <c r="BD1569" s="3" t="s">
        <v>19686</v>
      </c>
    </row>
    <row r="1570" spans="1:56" ht="51" customHeight="1" x14ac:dyDescent="0.25">
      <c r="A1570" s="7" t="s">
        <v>58</v>
      </c>
      <c r="B1570" s="2" t="s">
        <v>19687</v>
      </c>
      <c r="C1570" s="2" t="s">
        <v>19688</v>
      </c>
      <c r="D1570" s="2" t="s">
        <v>19689</v>
      </c>
      <c r="F1570" s="3" t="s">
        <v>58</v>
      </c>
      <c r="G1570" s="3" t="s">
        <v>59</v>
      </c>
      <c r="H1570" s="3" t="s">
        <v>58</v>
      </c>
      <c r="I1570" s="3" t="s">
        <v>58</v>
      </c>
      <c r="J1570" s="3" t="s">
        <v>60</v>
      </c>
      <c r="L1570" s="2" t="s">
        <v>9938</v>
      </c>
      <c r="M1570" s="3" t="s">
        <v>2214</v>
      </c>
      <c r="O1570" s="3" t="s">
        <v>63</v>
      </c>
      <c r="P1570" s="3" t="s">
        <v>816</v>
      </c>
      <c r="Q1570" s="2" t="s">
        <v>19690</v>
      </c>
      <c r="R1570" s="3" t="s">
        <v>65</v>
      </c>
      <c r="S1570" s="4">
        <v>6</v>
      </c>
      <c r="T1570" s="4">
        <v>6</v>
      </c>
      <c r="U1570" s="5" t="s">
        <v>12146</v>
      </c>
      <c r="V1570" s="5" t="s">
        <v>12146</v>
      </c>
      <c r="W1570" s="5" t="s">
        <v>19691</v>
      </c>
      <c r="X1570" s="5" t="s">
        <v>19691</v>
      </c>
      <c r="Y1570" s="4">
        <v>489</v>
      </c>
      <c r="Z1570" s="4">
        <v>365</v>
      </c>
      <c r="AA1570" s="4">
        <v>807</v>
      </c>
      <c r="AB1570" s="4">
        <v>2</v>
      </c>
      <c r="AC1570" s="4">
        <v>6</v>
      </c>
      <c r="AD1570" s="4">
        <v>22</v>
      </c>
      <c r="AE1570" s="4">
        <v>42</v>
      </c>
      <c r="AF1570" s="4">
        <v>12</v>
      </c>
      <c r="AG1570" s="4">
        <v>18</v>
      </c>
      <c r="AH1570" s="4">
        <v>3</v>
      </c>
      <c r="AI1570" s="4">
        <v>8</v>
      </c>
      <c r="AJ1570" s="4">
        <v>11</v>
      </c>
      <c r="AK1570" s="4">
        <v>19</v>
      </c>
      <c r="AL1570" s="4">
        <v>1</v>
      </c>
      <c r="AM1570" s="4">
        <v>5</v>
      </c>
      <c r="AN1570" s="4">
        <v>0</v>
      </c>
      <c r="AO1570" s="4">
        <v>1</v>
      </c>
      <c r="AP1570" s="3" t="s">
        <v>58</v>
      </c>
      <c r="AQ1570" s="3" t="s">
        <v>58</v>
      </c>
      <c r="AS1570" s="6" t="str">
        <f>HYPERLINK("https://creighton-primo.hosted.exlibrisgroup.com/primo-explore/search?tab=default_tab&amp;search_scope=EVERYTHING&amp;vid=01CRU&amp;lang=en_US&amp;offset=0&amp;query=any,contains,991004861099702656","Catalog Record")</f>
        <v>Catalog Record</v>
      </c>
      <c r="AT1570" s="6" t="str">
        <f>HYPERLINK("http://www.worldcat.org/oclc/55616343","WorldCat Record")</f>
        <v>WorldCat Record</v>
      </c>
      <c r="AU1570" s="3" t="s">
        <v>19692</v>
      </c>
      <c r="AV1570" s="3" t="s">
        <v>19693</v>
      </c>
      <c r="AW1570" s="3" t="s">
        <v>19694</v>
      </c>
      <c r="AX1570" s="3" t="s">
        <v>19694</v>
      </c>
      <c r="AY1570" s="3" t="s">
        <v>19695</v>
      </c>
      <c r="AZ1570" s="3" t="s">
        <v>73</v>
      </c>
      <c r="BB1570" s="3" t="s">
        <v>19696</v>
      </c>
      <c r="BC1570" s="3" t="s">
        <v>19697</v>
      </c>
      <c r="BD1570" s="3" t="s">
        <v>19698</v>
      </c>
    </row>
    <row r="1571" spans="1:56" ht="51" customHeight="1" x14ac:dyDescent="0.25">
      <c r="A1571" s="7" t="s">
        <v>58</v>
      </c>
      <c r="B1571" s="2" t="s">
        <v>19699</v>
      </c>
      <c r="C1571" s="2" t="s">
        <v>19700</v>
      </c>
      <c r="D1571" s="2" t="s">
        <v>19701</v>
      </c>
      <c r="F1571" s="3" t="s">
        <v>58</v>
      </c>
      <c r="G1571" s="3" t="s">
        <v>59</v>
      </c>
      <c r="H1571" s="3" t="s">
        <v>58</v>
      </c>
      <c r="I1571" s="3" t="s">
        <v>58</v>
      </c>
      <c r="J1571" s="3" t="s">
        <v>60</v>
      </c>
      <c r="K1571" s="2" t="s">
        <v>19702</v>
      </c>
      <c r="L1571" s="2" t="s">
        <v>19703</v>
      </c>
      <c r="M1571" s="3" t="s">
        <v>1399</v>
      </c>
      <c r="O1571" s="3" t="s">
        <v>63</v>
      </c>
      <c r="P1571" s="3" t="s">
        <v>354</v>
      </c>
      <c r="R1571" s="3" t="s">
        <v>65</v>
      </c>
      <c r="S1571" s="4">
        <v>2</v>
      </c>
      <c r="T1571" s="4">
        <v>2</v>
      </c>
      <c r="U1571" s="5" t="s">
        <v>16973</v>
      </c>
      <c r="V1571" s="5" t="s">
        <v>16973</v>
      </c>
      <c r="W1571" s="5" t="s">
        <v>19704</v>
      </c>
      <c r="X1571" s="5" t="s">
        <v>19704</v>
      </c>
      <c r="Y1571" s="4">
        <v>403</v>
      </c>
      <c r="Z1571" s="4">
        <v>296</v>
      </c>
      <c r="AA1571" s="4">
        <v>302</v>
      </c>
      <c r="AB1571" s="4">
        <v>2</v>
      </c>
      <c r="AC1571" s="4">
        <v>2</v>
      </c>
      <c r="AD1571" s="4">
        <v>14</v>
      </c>
      <c r="AE1571" s="4">
        <v>14</v>
      </c>
      <c r="AF1571" s="4">
        <v>4</v>
      </c>
      <c r="AG1571" s="4">
        <v>4</v>
      </c>
      <c r="AH1571" s="4">
        <v>5</v>
      </c>
      <c r="AI1571" s="4">
        <v>5</v>
      </c>
      <c r="AJ1571" s="4">
        <v>8</v>
      </c>
      <c r="AK1571" s="4">
        <v>8</v>
      </c>
      <c r="AL1571" s="4">
        <v>1</v>
      </c>
      <c r="AM1571" s="4">
        <v>1</v>
      </c>
      <c r="AN1571" s="4">
        <v>0</v>
      </c>
      <c r="AO1571" s="4">
        <v>0</v>
      </c>
      <c r="AP1571" s="3" t="s">
        <v>58</v>
      </c>
      <c r="AQ1571" s="3" t="s">
        <v>58</v>
      </c>
      <c r="AS1571" s="6" t="str">
        <f>HYPERLINK("https://creighton-primo.hosted.exlibrisgroup.com/primo-explore/search?tab=default_tab&amp;search_scope=EVERYTHING&amp;vid=01CRU&amp;lang=en_US&amp;offset=0&amp;query=any,contains,991001070119702656","Catalog Record")</f>
        <v>Catalog Record</v>
      </c>
      <c r="AT1571" s="6" t="str">
        <f>HYPERLINK("http://www.worldcat.org/oclc/15860345","WorldCat Record")</f>
        <v>WorldCat Record</v>
      </c>
      <c r="AU1571" s="3" t="s">
        <v>19705</v>
      </c>
      <c r="AV1571" s="3" t="s">
        <v>19706</v>
      </c>
      <c r="AW1571" s="3" t="s">
        <v>19707</v>
      </c>
      <c r="AX1571" s="3" t="s">
        <v>19707</v>
      </c>
      <c r="AY1571" s="3" t="s">
        <v>19708</v>
      </c>
      <c r="AZ1571" s="3" t="s">
        <v>73</v>
      </c>
      <c r="BB1571" s="3" t="s">
        <v>19709</v>
      </c>
      <c r="BC1571" s="3" t="s">
        <v>19710</v>
      </c>
      <c r="BD1571" s="3" t="s">
        <v>19711</v>
      </c>
    </row>
    <row r="1572" spans="1:56" ht="51" customHeight="1" x14ac:dyDescent="0.25">
      <c r="A1572" s="7" t="s">
        <v>58</v>
      </c>
      <c r="B1572" s="2" t="s">
        <v>19712</v>
      </c>
      <c r="C1572" s="2" t="s">
        <v>19713</v>
      </c>
      <c r="D1572" s="2" t="s">
        <v>19714</v>
      </c>
      <c r="F1572" s="3" t="s">
        <v>58</v>
      </c>
      <c r="G1572" s="3" t="s">
        <v>59</v>
      </c>
      <c r="H1572" s="3" t="s">
        <v>58</v>
      </c>
      <c r="I1572" s="3" t="s">
        <v>58</v>
      </c>
      <c r="J1572" s="3" t="s">
        <v>60</v>
      </c>
      <c r="L1572" s="2" t="s">
        <v>19715</v>
      </c>
      <c r="M1572" s="3" t="s">
        <v>353</v>
      </c>
      <c r="O1572" s="3" t="s">
        <v>63</v>
      </c>
      <c r="P1572" s="3" t="s">
        <v>2061</v>
      </c>
      <c r="R1572" s="3" t="s">
        <v>65</v>
      </c>
      <c r="S1572" s="4">
        <v>8</v>
      </c>
      <c r="T1572" s="4">
        <v>8</v>
      </c>
      <c r="U1572" s="5" t="s">
        <v>19716</v>
      </c>
      <c r="V1572" s="5" t="s">
        <v>19716</v>
      </c>
      <c r="W1572" s="5" t="s">
        <v>19704</v>
      </c>
      <c r="X1572" s="5" t="s">
        <v>19704</v>
      </c>
      <c r="Y1572" s="4">
        <v>356</v>
      </c>
      <c r="Z1572" s="4">
        <v>292</v>
      </c>
      <c r="AA1572" s="4">
        <v>346</v>
      </c>
      <c r="AB1572" s="4">
        <v>1</v>
      </c>
      <c r="AC1572" s="4">
        <v>2</v>
      </c>
      <c r="AD1572" s="4">
        <v>14</v>
      </c>
      <c r="AE1572" s="4">
        <v>17</v>
      </c>
      <c r="AF1572" s="4">
        <v>7</v>
      </c>
      <c r="AG1572" s="4">
        <v>7</v>
      </c>
      <c r="AH1572" s="4">
        <v>2</v>
      </c>
      <c r="AI1572" s="4">
        <v>4</v>
      </c>
      <c r="AJ1572" s="4">
        <v>9</v>
      </c>
      <c r="AK1572" s="4">
        <v>11</v>
      </c>
      <c r="AL1572" s="4">
        <v>0</v>
      </c>
      <c r="AM1572" s="4">
        <v>1</v>
      </c>
      <c r="AN1572" s="4">
        <v>0</v>
      </c>
      <c r="AO1572" s="4">
        <v>0</v>
      </c>
      <c r="AP1572" s="3" t="s">
        <v>58</v>
      </c>
      <c r="AQ1572" s="3" t="s">
        <v>58</v>
      </c>
      <c r="AS1572" s="6" t="str">
        <f>HYPERLINK("https://creighton-primo.hosted.exlibrisgroup.com/primo-explore/search?tab=default_tab&amp;search_scope=EVERYTHING&amp;vid=01CRU&amp;lang=en_US&amp;offset=0&amp;query=any,contains,991001000219702656","Catalog Record")</f>
        <v>Catalog Record</v>
      </c>
      <c r="AT1572" s="6" t="str">
        <f>HYPERLINK("http://www.worldcat.org/oclc/15197178","WorldCat Record")</f>
        <v>WorldCat Record</v>
      </c>
      <c r="AU1572" s="3" t="s">
        <v>19717</v>
      </c>
      <c r="AV1572" s="3" t="s">
        <v>19718</v>
      </c>
      <c r="AW1572" s="3" t="s">
        <v>19719</v>
      </c>
      <c r="AX1572" s="3" t="s">
        <v>19719</v>
      </c>
      <c r="AY1572" s="3" t="s">
        <v>19720</v>
      </c>
      <c r="AZ1572" s="3" t="s">
        <v>73</v>
      </c>
      <c r="BB1572" s="3" t="s">
        <v>19721</v>
      </c>
      <c r="BC1572" s="3" t="s">
        <v>19722</v>
      </c>
      <c r="BD1572" s="3" t="s">
        <v>19723</v>
      </c>
    </row>
    <row r="1573" spans="1:56" ht="51" customHeight="1" x14ac:dyDescent="0.25">
      <c r="A1573" s="7" t="s">
        <v>58</v>
      </c>
      <c r="B1573" s="2" t="s">
        <v>19724</v>
      </c>
      <c r="C1573" s="2" t="s">
        <v>19725</v>
      </c>
      <c r="D1573" s="2" t="s">
        <v>19726</v>
      </c>
      <c r="F1573" s="3" t="s">
        <v>58</v>
      </c>
      <c r="G1573" s="3" t="s">
        <v>59</v>
      </c>
      <c r="H1573" s="3" t="s">
        <v>58</v>
      </c>
      <c r="I1573" s="3" t="s">
        <v>58</v>
      </c>
      <c r="J1573" s="3" t="s">
        <v>60</v>
      </c>
      <c r="K1573" s="2" t="s">
        <v>2075</v>
      </c>
      <c r="L1573" s="2" t="s">
        <v>19727</v>
      </c>
      <c r="M1573" s="3" t="s">
        <v>745</v>
      </c>
      <c r="N1573" s="2" t="s">
        <v>13431</v>
      </c>
      <c r="O1573" s="3" t="s">
        <v>63</v>
      </c>
      <c r="P1573" s="3" t="s">
        <v>495</v>
      </c>
      <c r="R1573" s="3" t="s">
        <v>65</v>
      </c>
      <c r="S1573" s="4">
        <v>1</v>
      </c>
      <c r="T1573" s="4">
        <v>1</v>
      </c>
      <c r="U1573" s="5" t="s">
        <v>19728</v>
      </c>
      <c r="V1573" s="5" t="s">
        <v>19728</v>
      </c>
      <c r="W1573" s="5" t="s">
        <v>11664</v>
      </c>
      <c r="X1573" s="5" t="s">
        <v>11664</v>
      </c>
      <c r="Y1573" s="4">
        <v>184</v>
      </c>
      <c r="Z1573" s="4">
        <v>172</v>
      </c>
      <c r="AA1573" s="4">
        <v>746</v>
      </c>
      <c r="AB1573" s="4">
        <v>3</v>
      </c>
      <c r="AC1573" s="4">
        <v>3</v>
      </c>
      <c r="AD1573" s="4">
        <v>6</v>
      </c>
      <c r="AE1573" s="4">
        <v>31</v>
      </c>
      <c r="AF1573" s="4">
        <v>1</v>
      </c>
      <c r="AG1573" s="4">
        <v>14</v>
      </c>
      <c r="AH1573" s="4">
        <v>1</v>
      </c>
      <c r="AI1573" s="4">
        <v>8</v>
      </c>
      <c r="AJ1573" s="4">
        <v>3</v>
      </c>
      <c r="AK1573" s="4">
        <v>16</v>
      </c>
      <c r="AL1573" s="4">
        <v>2</v>
      </c>
      <c r="AM1573" s="4">
        <v>2</v>
      </c>
      <c r="AN1573" s="4">
        <v>0</v>
      </c>
      <c r="AO1573" s="4">
        <v>0</v>
      </c>
      <c r="AP1573" s="3" t="s">
        <v>58</v>
      </c>
      <c r="AQ1573" s="3" t="s">
        <v>68</v>
      </c>
      <c r="AR1573" s="6" t="str">
        <f>HYPERLINK("http://catalog.hathitrust.org/Record/001241046","HathiTrust Record")</f>
        <v>HathiTrust Record</v>
      </c>
      <c r="AS1573" s="6" t="str">
        <f>HYPERLINK("https://creighton-primo.hosted.exlibrisgroup.com/primo-explore/search?tab=default_tab&amp;search_scope=EVERYTHING&amp;vid=01CRU&amp;lang=en_US&amp;offset=0&amp;query=any,contains,991004171249702656","Catalog Record")</f>
        <v>Catalog Record</v>
      </c>
      <c r="AT1573" s="6" t="str">
        <f>HYPERLINK("http://www.worldcat.org/oclc/2581628","WorldCat Record")</f>
        <v>WorldCat Record</v>
      </c>
      <c r="AU1573" s="3" t="s">
        <v>19729</v>
      </c>
      <c r="AV1573" s="3" t="s">
        <v>19730</v>
      </c>
      <c r="AW1573" s="3" t="s">
        <v>19731</v>
      </c>
      <c r="AX1573" s="3" t="s">
        <v>19731</v>
      </c>
      <c r="AY1573" s="3" t="s">
        <v>19732</v>
      </c>
      <c r="AZ1573" s="3" t="s">
        <v>73</v>
      </c>
      <c r="BC1573" s="3" t="s">
        <v>19733</v>
      </c>
      <c r="BD1573" s="3" t="s">
        <v>19734</v>
      </c>
    </row>
    <row r="1574" spans="1:56" ht="51" customHeight="1" x14ac:dyDescent="0.25">
      <c r="A1574" s="7" t="s">
        <v>58</v>
      </c>
      <c r="B1574" s="2" t="s">
        <v>19735</v>
      </c>
      <c r="C1574" s="2" t="s">
        <v>19736</v>
      </c>
      <c r="D1574" s="2" t="s">
        <v>19737</v>
      </c>
      <c r="F1574" s="3" t="s">
        <v>58</v>
      </c>
      <c r="G1574" s="3" t="s">
        <v>59</v>
      </c>
      <c r="H1574" s="3" t="s">
        <v>58</v>
      </c>
      <c r="I1574" s="3" t="s">
        <v>58</v>
      </c>
      <c r="J1574" s="3" t="s">
        <v>60</v>
      </c>
      <c r="L1574" s="2" t="s">
        <v>12319</v>
      </c>
      <c r="M1574" s="3" t="s">
        <v>1153</v>
      </c>
      <c r="O1574" s="3" t="s">
        <v>63</v>
      </c>
      <c r="P1574" s="3" t="s">
        <v>584</v>
      </c>
      <c r="R1574" s="3" t="s">
        <v>65</v>
      </c>
      <c r="S1574" s="4">
        <v>2</v>
      </c>
      <c r="T1574" s="4">
        <v>2</v>
      </c>
      <c r="U1574" s="5" t="s">
        <v>11926</v>
      </c>
      <c r="V1574" s="5" t="s">
        <v>11926</v>
      </c>
      <c r="W1574" s="5" t="s">
        <v>19704</v>
      </c>
      <c r="X1574" s="5" t="s">
        <v>19704</v>
      </c>
      <c r="Y1574" s="4">
        <v>1193</v>
      </c>
      <c r="Z1574" s="4">
        <v>959</v>
      </c>
      <c r="AA1574" s="4">
        <v>965</v>
      </c>
      <c r="AB1574" s="4">
        <v>9</v>
      </c>
      <c r="AC1574" s="4">
        <v>9</v>
      </c>
      <c r="AD1574" s="4">
        <v>38</v>
      </c>
      <c r="AE1574" s="4">
        <v>38</v>
      </c>
      <c r="AF1574" s="4">
        <v>15</v>
      </c>
      <c r="AG1574" s="4">
        <v>15</v>
      </c>
      <c r="AH1574" s="4">
        <v>9</v>
      </c>
      <c r="AI1574" s="4">
        <v>9</v>
      </c>
      <c r="AJ1574" s="4">
        <v>16</v>
      </c>
      <c r="AK1574" s="4">
        <v>16</v>
      </c>
      <c r="AL1574" s="4">
        <v>7</v>
      </c>
      <c r="AM1574" s="4">
        <v>7</v>
      </c>
      <c r="AN1574" s="4">
        <v>0</v>
      </c>
      <c r="AO1574" s="4">
        <v>0</v>
      </c>
      <c r="AP1574" s="3" t="s">
        <v>58</v>
      </c>
      <c r="AQ1574" s="3" t="s">
        <v>68</v>
      </c>
      <c r="AR1574" s="6" t="str">
        <f>HYPERLINK("http://catalog.hathitrust.org/Record/001246755","HathiTrust Record")</f>
        <v>HathiTrust Record</v>
      </c>
      <c r="AS1574" s="6" t="str">
        <f>HYPERLINK("https://creighton-primo.hosted.exlibrisgroup.com/primo-explore/search?tab=default_tab&amp;search_scope=EVERYTHING&amp;vid=01CRU&amp;lang=en_US&amp;offset=0&amp;query=any,contains,991003277759702656","Catalog Record")</f>
        <v>Catalog Record</v>
      </c>
      <c r="AT1574" s="6" t="str">
        <f>HYPERLINK("http://www.worldcat.org/oclc/781474","WorldCat Record")</f>
        <v>WorldCat Record</v>
      </c>
      <c r="AU1574" s="3" t="s">
        <v>19738</v>
      </c>
      <c r="AV1574" s="3" t="s">
        <v>19739</v>
      </c>
      <c r="AW1574" s="3" t="s">
        <v>19740</v>
      </c>
      <c r="AX1574" s="3" t="s">
        <v>19740</v>
      </c>
      <c r="AY1574" s="3" t="s">
        <v>19741</v>
      </c>
      <c r="AZ1574" s="3" t="s">
        <v>73</v>
      </c>
      <c r="BB1574" s="3" t="s">
        <v>19742</v>
      </c>
      <c r="BC1574" s="3" t="s">
        <v>19743</v>
      </c>
      <c r="BD1574" s="3" t="s">
        <v>19744</v>
      </c>
    </row>
    <row r="1575" spans="1:56" ht="51" customHeight="1" x14ac:dyDescent="0.25">
      <c r="A1575" s="7" t="s">
        <v>58</v>
      </c>
      <c r="B1575" s="2" t="s">
        <v>19745</v>
      </c>
      <c r="C1575" s="2" t="s">
        <v>19746</v>
      </c>
      <c r="D1575" s="2" t="s">
        <v>19747</v>
      </c>
      <c r="F1575" s="3" t="s">
        <v>58</v>
      </c>
      <c r="G1575" s="3" t="s">
        <v>59</v>
      </c>
      <c r="H1575" s="3" t="s">
        <v>58</v>
      </c>
      <c r="I1575" s="3" t="s">
        <v>58</v>
      </c>
      <c r="J1575" s="3" t="s">
        <v>60</v>
      </c>
      <c r="K1575" s="2" t="s">
        <v>19748</v>
      </c>
      <c r="L1575" s="2" t="s">
        <v>19749</v>
      </c>
      <c r="M1575" s="3" t="s">
        <v>62</v>
      </c>
      <c r="O1575" s="3" t="s">
        <v>63</v>
      </c>
      <c r="P1575" s="3" t="s">
        <v>214</v>
      </c>
      <c r="R1575" s="3" t="s">
        <v>65</v>
      </c>
      <c r="S1575" s="4">
        <v>3</v>
      </c>
      <c r="T1575" s="4">
        <v>3</v>
      </c>
      <c r="U1575" s="5" t="s">
        <v>19716</v>
      </c>
      <c r="V1575" s="5" t="s">
        <v>19716</v>
      </c>
      <c r="W1575" s="5" t="s">
        <v>11664</v>
      </c>
      <c r="X1575" s="5" t="s">
        <v>11664</v>
      </c>
      <c r="Y1575" s="4">
        <v>904</v>
      </c>
      <c r="Z1575" s="4">
        <v>830</v>
      </c>
      <c r="AA1575" s="4">
        <v>1043</v>
      </c>
      <c r="AB1575" s="4">
        <v>8</v>
      </c>
      <c r="AC1575" s="4">
        <v>9</v>
      </c>
      <c r="AD1575" s="4">
        <v>33</v>
      </c>
      <c r="AE1575" s="4">
        <v>36</v>
      </c>
      <c r="AF1575" s="4">
        <v>10</v>
      </c>
      <c r="AG1575" s="4">
        <v>12</v>
      </c>
      <c r="AH1575" s="4">
        <v>7</v>
      </c>
      <c r="AI1575" s="4">
        <v>8</v>
      </c>
      <c r="AJ1575" s="4">
        <v>16</v>
      </c>
      <c r="AK1575" s="4">
        <v>17</v>
      </c>
      <c r="AL1575" s="4">
        <v>7</v>
      </c>
      <c r="AM1575" s="4">
        <v>7</v>
      </c>
      <c r="AN1575" s="4">
        <v>0</v>
      </c>
      <c r="AO1575" s="4">
        <v>0</v>
      </c>
      <c r="AP1575" s="3" t="s">
        <v>58</v>
      </c>
      <c r="AQ1575" s="3" t="s">
        <v>68</v>
      </c>
      <c r="AR1575" s="6" t="str">
        <f>HYPERLINK("http://catalog.hathitrust.org/Record/001241047","HathiTrust Record")</f>
        <v>HathiTrust Record</v>
      </c>
      <c r="AS1575" s="6" t="str">
        <f>HYPERLINK("https://creighton-primo.hosted.exlibrisgroup.com/primo-explore/search?tab=default_tab&amp;search_scope=EVERYTHING&amp;vid=01CRU&amp;lang=en_US&amp;offset=0&amp;query=any,contains,991000823959702656","Catalog Record")</f>
        <v>Catalog Record</v>
      </c>
      <c r="AT1575" s="6" t="str">
        <f>HYPERLINK("http://www.worldcat.org/oclc/146156","WorldCat Record")</f>
        <v>WorldCat Record</v>
      </c>
      <c r="AU1575" s="3" t="s">
        <v>19750</v>
      </c>
      <c r="AV1575" s="3" t="s">
        <v>19751</v>
      </c>
      <c r="AW1575" s="3" t="s">
        <v>19752</v>
      </c>
      <c r="AX1575" s="3" t="s">
        <v>19752</v>
      </c>
      <c r="AY1575" s="3" t="s">
        <v>19753</v>
      </c>
      <c r="AZ1575" s="3" t="s">
        <v>73</v>
      </c>
      <c r="BB1575" s="3" t="s">
        <v>19754</v>
      </c>
      <c r="BC1575" s="3" t="s">
        <v>19755</v>
      </c>
      <c r="BD1575" s="3" t="s">
        <v>19756</v>
      </c>
    </row>
    <row r="1576" spans="1:56" ht="51" customHeight="1" x14ac:dyDescent="0.25">
      <c r="A1576" s="7" t="s">
        <v>58</v>
      </c>
      <c r="B1576" s="2" t="s">
        <v>19757</v>
      </c>
      <c r="C1576" s="2" t="s">
        <v>19758</v>
      </c>
      <c r="D1576" s="2" t="s">
        <v>19759</v>
      </c>
      <c r="F1576" s="3" t="s">
        <v>58</v>
      </c>
      <c r="G1576" s="3" t="s">
        <v>59</v>
      </c>
      <c r="H1576" s="3" t="s">
        <v>58</v>
      </c>
      <c r="I1576" s="3" t="s">
        <v>58</v>
      </c>
      <c r="J1576" s="3" t="s">
        <v>60</v>
      </c>
      <c r="K1576" s="2" t="s">
        <v>19760</v>
      </c>
      <c r="L1576" s="2" t="s">
        <v>19761</v>
      </c>
      <c r="M1576" s="3" t="s">
        <v>1061</v>
      </c>
      <c r="O1576" s="3" t="s">
        <v>63</v>
      </c>
      <c r="P1576" s="3" t="s">
        <v>214</v>
      </c>
      <c r="R1576" s="3" t="s">
        <v>65</v>
      </c>
      <c r="S1576" s="4">
        <v>2</v>
      </c>
      <c r="T1576" s="4">
        <v>2</v>
      </c>
      <c r="U1576" s="5" t="s">
        <v>19762</v>
      </c>
      <c r="V1576" s="5" t="s">
        <v>19762</v>
      </c>
      <c r="W1576" s="5" t="s">
        <v>19763</v>
      </c>
      <c r="X1576" s="5" t="s">
        <v>19763</v>
      </c>
      <c r="Y1576" s="4">
        <v>396</v>
      </c>
      <c r="Z1576" s="4">
        <v>339</v>
      </c>
      <c r="AA1576" s="4">
        <v>360</v>
      </c>
      <c r="AB1576" s="4">
        <v>5</v>
      </c>
      <c r="AC1576" s="4">
        <v>5</v>
      </c>
      <c r="AD1576" s="4">
        <v>20</v>
      </c>
      <c r="AE1576" s="4">
        <v>22</v>
      </c>
      <c r="AF1576" s="4">
        <v>4</v>
      </c>
      <c r="AG1576" s="4">
        <v>4</v>
      </c>
      <c r="AH1576" s="4">
        <v>4</v>
      </c>
      <c r="AI1576" s="4">
        <v>6</v>
      </c>
      <c r="AJ1576" s="4">
        <v>12</v>
      </c>
      <c r="AK1576" s="4">
        <v>14</v>
      </c>
      <c r="AL1576" s="4">
        <v>4</v>
      </c>
      <c r="AM1576" s="4">
        <v>4</v>
      </c>
      <c r="AN1576" s="4">
        <v>0</v>
      </c>
      <c r="AO1576" s="4">
        <v>0</v>
      </c>
      <c r="AP1576" s="3" t="s">
        <v>58</v>
      </c>
      <c r="AQ1576" s="3" t="s">
        <v>58</v>
      </c>
      <c r="AS1576" s="6" t="str">
        <f>HYPERLINK("https://creighton-primo.hosted.exlibrisgroup.com/primo-explore/search?tab=default_tab&amp;search_scope=EVERYTHING&amp;vid=01CRU&amp;lang=en_US&amp;offset=0&amp;query=any,contains,991002700579702656","Catalog Record")</f>
        <v>Catalog Record</v>
      </c>
      <c r="AT1576" s="6" t="str">
        <f>HYPERLINK("http://www.worldcat.org/oclc/35262365","WorldCat Record")</f>
        <v>WorldCat Record</v>
      </c>
      <c r="AU1576" s="3" t="s">
        <v>19764</v>
      </c>
      <c r="AV1576" s="3" t="s">
        <v>19765</v>
      </c>
      <c r="AW1576" s="3" t="s">
        <v>19766</v>
      </c>
      <c r="AX1576" s="3" t="s">
        <v>19766</v>
      </c>
      <c r="AY1576" s="3" t="s">
        <v>19767</v>
      </c>
      <c r="AZ1576" s="3" t="s">
        <v>73</v>
      </c>
      <c r="BB1576" s="3" t="s">
        <v>19768</v>
      </c>
      <c r="BC1576" s="3" t="s">
        <v>19769</v>
      </c>
      <c r="BD1576" s="3" t="s">
        <v>19770</v>
      </c>
    </row>
    <row r="1577" spans="1:56" ht="51" customHeight="1" x14ac:dyDescent="0.25">
      <c r="A1577" s="7" t="s">
        <v>58</v>
      </c>
      <c r="B1577" s="2" t="s">
        <v>19771</v>
      </c>
      <c r="C1577" s="2" t="s">
        <v>19772</v>
      </c>
      <c r="D1577" s="2" t="s">
        <v>19773</v>
      </c>
      <c r="F1577" s="3" t="s">
        <v>58</v>
      </c>
      <c r="G1577" s="3" t="s">
        <v>59</v>
      </c>
      <c r="H1577" s="3" t="s">
        <v>58</v>
      </c>
      <c r="I1577" s="3" t="s">
        <v>58</v>
      </c>
      <c r="J1577" s="3" t="s">
        <v>60</v>
      </c>
      <c r="K1577" s="2" t="s">
        <v>19774</v>
      </c>
      <c r="L1577" s="2" t="s">
        <v>19775</v>
      </c>
      <c r="M1577" s="3" t="s">
        <v>83</v>
      </c>
      <c r="O1577" s="3" t="s">
        <v>63</v>
      </c>
      <c r="P1577" s="3" t="s">
        <v>2061</v>
      </c>
      <c r="R1577" s="3" t="s">
        <v>65</v>
      </c>
      <c r="S1577" s="4">
        <v>9</v>
      </c>
      <c r="T1577" s="4">
        <v>9</v>
      </c>
      <c r="U1577" s="5" t="s">
        <v>19560</v>
      </c>
      <c r="V1577" s="5" t="s">
        <v>19560</v>
      </c>
      <c r="W1577" s="5" t="s">
        <v>19704</v>
      </c>
      <c r="X1577" s="5" t="s">
        <v>19704</v>
      </c>
      <c r="Y1577" s="4">
        <v>535</v>
      </c>
      <c r="Z1577" s="4">
        <v>397</v>
      </c>
      <c r="AA1577" s="4">
        <v>402</v>
      </c>
      <c r="AB1577" s="4">
        <v>5</v>
      </c>
      <c r="AC1577" s="4">
        <v>5</v>
      </c>
      <c r="AD1577" s="4">
        <v>15</v>
      </c>
      <c r="AE1577" s="4">
        <v>15</v>
      </c>
      <c r="AF1577" s="4">
        <v>5</v>
      </c>
      <c r="AG1577" s="4">
        <v>5</v>
      </c>
      <c r="AH1577" s="4">
        <v>1</v>
      </c>
      <c r="AI1577" s="4">
        <v>1</v>
      </c>
      <c r="AJ1577" s="4">
        <v>6</v>
      </c>
      <c r="AK1577" s="4">
        <v>6</v>
      </c>
      <c r="AL1577" s="4">
        <v>4</v>
      </c>
      <c r="AM1577" s="4">
        <v>4</v>
      </c>
      <c r="AN1577" s="4">
        <v>0</v>
      </c>
      <c r="AO1577" s="4">
        <v>0</v>
      </c>
      <c r="AP1577" s="3" t="s">
        <v>58</v>
      </c>
      <c r="AQ1577" s="3" t="s">
        <v>58</v>
      </c>
      <c r="AS1577" s="6" t="str">
        <f>HYPERLINK("https://creighton-primo.hosted.exlibrisgroup.com/primo-explore/search?tab=default_tab&amp;search_scope=EVERYTHING&amp;vid=01CRU&amp;lang=en_US&amp;offset=0&amp;query=any,contains,991004487719702656","Catalog Record")</f>
        <v>Catalog Record</v>
      </c>
      <c r="AT1577" s="6" t="str">
        <f>HYPERLINK("http://www.worldcat.org/oclc/3649928","WorldCat Record")</f>
        <v>WorldCat Record</v>
      </c>
      <c r="AU1577" s="3" t="s">
        <v>19776</v>
      </c>
      <c r="AV1577" s="3" t="s">
        <v>19777</v>
      </c>
      <c r="AW1577" s="3" t="s">
        <v>19778</v>
      </c>
      <c r="AX1577" s="3" t="s">
        <v>19778</v>
      </c>
      <c r="AY1577" s="3" t="s">
        <v>19779</v>
      </c>
      <c r="AZ1577" s="3" t="s">
        <v>73</v>
      </c>
      <c r="BB1577" s="3" t="s">
        <v>19780</v>
      </c>
      <c r="BC1577" s="3" t="s">
        <v>19781</v>
      </c>
      <c r="BD1577" s="3" t="s">
        <v>19782</v>
      </c>
    </row>
    <row r="1578" spans="1:56" ht="51" customHeight="1" x14ac:dyDescent="0.25">
      <c r="A1578" s="7" t="s">
        <v>58</v>
      </c>
      <c r="B1578" s="2" t="s">
        <v>19783</v>
      </c>
      <c r="C1578" s="2" t="s">
        <v>19784</v>
      </c>
      <c r="D1578" s="2" t="s">
        <v>19785</v>
      </c>
      <c r="F1578" s="3" t="s">
        <v>58</v>
      </c>
      <c r="G1578" s="3" t="s">
        <v>59</v>
      </c>
      <c r="H1578" s="3" t="s">
        <v>58</v>
      </c>
      <c r="I1578" s="3" t="s">
        <v>58</v>
      </c>
      <c r="J1578" s="3" t="s">
        <v>60</v>
      </c>
      <c r="K1578" s="2" t="s">
        <v>19786</v>
      </c>
      <c r="L1578" s="2" t="s">
        <v>19787</v>
      </c>
      <c r="M1578" s="3" t="s">
        <v>815</v>
      </c>
      <c r="O1578" s="3" t="s">
        <v>63</v>
      </c>
      <c r="P1578" s="3" t="s">
        <v>214</v>
      </c>
      <c r="R1578" s="3" t="s">
        <v>65</v>
      </c>
      <c r="S1578" s="4">
        <v>1</v>
      </c>
      <c r="T1578" s="4">
        <v>1</v>
      </c>
      <c r="U1578" s="5" t="s">
        <v>19788</v>
      </c>
      <c r="V1578" s="5" t="s">
        <v>19788</v>
      </c>
      <c r="W1578" s="5" t="s">
        <v>19788</v>
      </c>
      <c r="X1578" s="5" t="s">
        <v>19788</v>
      </c>
      <c r="Y1578" s="4">
        <v>436</v>
      </c>
      <c r="Z1578" s="4">
        <v>358</v>
      </c>
      <c r="AA1578" s="4">
        <v>367</v>
      </c>
      <c r="AB1578" s="4">
        <v>2</v>
      </c>
      <c r="AC1578" s="4">
        <v>2</v>
      </c>
      <c r="AD1578" s="4">
        <v>12</v>
      </c>
      <c r="AE1578" s="4">
        <v>12</v>
      </c>
      <c r="AF1578" s="4">
        <v>5</v>
      </c>
      <c r="AG1578" s="4">
        <v>5</v>
      </c>
      <c r="AH1578" s="4">
        <v>3</v>
      </c>
      <c r="AI1578" s="4">
        <v>3</v>
      </c>
      <c r="AJ1578" s="4">
        <v>6</v>
      </c>
      <c r="AK1578" s="4">
        <v>6</v>
      </c>
      <c r="AL1578" s="4">
        <v>1</v>
      </c>
      <c r="AM1578" s="4">
        <v>1</v>
      </c>
      <c r="AN1578" s="4">
        <v>0</v>
      </c>
      <c r="AO1578" s="4">
        <v>0</v>
      </c>
      <c r="AP1578" s="3" t="s">
        <v>58</v>
      </c>
      <c r="AQ1578" s="3" t="s">
        <v>68</v>
      </c>
      <c r="AR1578" s="6" t="str">
        <f>HYPERLINK("http://catalog.hathitrust.org/Record/005660538","HathiTrust Record")</f>
        <v>HathiTrust Record</v>
      </c>
      <c r="AS1578" s="6" t="str">
        <f>HYPERLINK("https://creighton-primo.hosted.exlibrisgroup.com/primo-explore/search?tab=default_tab&amp;search_scope=EVERYTHING&amp;vid=01CRU&amp;lang=en_US&amp;offset=0&amp;query=any,contains,991005358439702656","Catalog Record")</f>
        <v>Catalog Record</v>
      </c>
      <c r="AT1578" s="6" t="str">
        <f>HYPERLINK("http://www.worldcat.org/oclc/182552907","WorldCat Record")</f>
        <v>WorldCat Record</v>
      </c>
      <c r="AU1578" s="3" t="s">
        <v>19789</v>
      </c>
      <c r="AV1578" s="3" t="s">
        <v>19790</v>
      </c>
      <c r="AW1578" s="3" t="s">
        <v>19791</v>
      </c>
      <c r="AX1578" s="3" t="s">
        <v>19791</v>
      </c>
      <c r="AY1578" s="3" t="s">
        <v>19792</v>
      </c>
      <c r="AZ1578" s="3" t="s">
        <v>73</v>
      </c>
      <c r="BB1578" s="3" t="s">
        <v>19793</v>
      </c>
      <c r="BC1578" s="3" t="s">
        <v>19794</v>
      </c>
      <c r="BD1578" s="3" t="s">
        <v>19795</v>
      </c>
    </row>
    <row r="1579" spans="1:56" ht="51" customHeight="1" x14ac:dyDescent="0.25">
      <c r="A1579" s="7" t="s">
        <v>58</v>
      </c>
      <c r="B1579" s="2" t="s">
        <v>19796</v>
      </c>
      <c r="C1579" s="2" t="s">
        <v>19797</v>
      </c>
      <c r="D1579" s="2" t="s">
        <v>19798</v>
      </c>
      <c r="F1579" s="3" t="s">
        <v>58</v>
      </c>
      <c r="G1579" s="3" t="s">
        <v>59</v>
      </c>
      <c r="H1579" s="3" t="s">
        <v>58</v>
      </c>
      <c r="I1579" s="3" t="s">
        <v>58</v>
      </c>
      <c r="J1579" s="3" t="s">
        <v>60</v>
      </c>
      <c r="L1579" s="2" t="s">
        <v>19799</v>
      </c>
      <c r="M1579" s="3" t="s">
        <v>83</v>
      </c>
      <c r="O1579" s="3" t="s">
        <v>63</v>
      </c>
      <c r="P1579" s="3" t="s">
        <v>1917</v>
      </c>
      <c r="Q1579" s="2" t="s">
        <v>19800</v>
      </c>
      <c r="R1579" s="3" t="s">
        <v>65</v>
      </c>
      <c r="S1579" s="4">
        <v>7</v>
      </c>
      <c r="T1579" s="4">
        <v>7</v>
      </c>
      <c r="U1579" s="5" t="s">
        <v>19801</v>
      </c>
      <c r="V1579" s="5" t="s">
        <v>19801</v>
      </c>
      <c r="W1579" s="5" t="s">
        <v>17235</v>
      </c>
      <c r="X1579" s="5" t="s">
        <v>17235</v>
      </c>
      <c r="Y1579" s="4">
        <v>190</v>
      </c>
      <c r="Z1579" s="4">
        <v>136</v>
      </c>
      <c r="AA1579" s="4">
        <v>138</v>
      </c>
      <c r="AB1579" s="4">
        <v>2</v>
      </c>
      <c r="AC1579" s="4">
        <v>2</v>
      </c>
      <c r="AD1579" s="4">
        <v>4</v>
      </c>
      <c r="AE1579" s="4">
        <v>4</v>
      </c>
      <c r="AF1579" s="4">
        <v>0</v>
      </c>
      <c r="AG1579" s="4">
        <v>0</v>
      </c>
      <c r="AH1579" s="4">
        <v>1</v>
      </c>
      <c r="AI1579" s="4">
        <v>1</v>
      </c>
      <c r="AJ1579" s="4">
        <v>3</v>
      </c>
      <c r="AK1579" s="4">
        <v>3</v>
      </c>
      <c r="AL1579" s="4">
        <v>1</v>
      </c>
      <c r="AM1579" s="4">
        <v>1</v>
      </c>
      <c r="AN1579" s="4">
        <v>0</v>
      </c>
      <c r="AO1579" s="4">
        <v>0</v>
      </c>
      <c r="AP1579" s="3" t="s">
        <v>58</v>
      </c>
      <c r="AQ1579" s="3" t="s">
        <v>58</v>
      </c>
      <c r="AS1579" s="6" t="str">
        <f>HYPERLINK("https://creighton-primo.hosted.exlibrisgroup.com/primo-explore/search?tab=default_tab&amp;search_scope=EVERYTHING&amp;vid=01CRU&amp;lang=en_US&amp;offset=0&amp;query=any,contains,991004716489702656","Catalog Record")</f>
        <v>Catalog Record</v>
      </c>
      <c r="AT1579" s="6" t="str">
        <f>HYPERLINK("http://www.worldcat.org/oclc/4776394","WorldCat Record")</f>
        <v>WorldCat Record</v>
      </c>
      <c r="AU1579" s="3" t="s">
        <v>19802</v>
      </c>
      <c r="AV1579" s="3" t="s">
        <v>19803</v>
      </c>
      <c r="AW1579" s="3" t="s">
        <v>19804</v>
      </c>
      <c r="AX1579" s="3" t="s">
        <v>19804</v>
      </c>
      <c r="AY1579" s="3" t="s">
        <v>19805</v>
      </c>
      <c r="AZ1579" s="3" t="s">
        <v>73</v>
      </c>
      <c r="BB1579" s="3" t="s">
        <v>19806</v>
      </c>
      <c r="BC1579" s="3" t="s">
        <v>19807</v>
      </c>
      <c r="BD1579" s="3" t="s">
        <v>19808</v>
      </c>
    </row>
    <row r="1580" spans="1:56" ht="51" customHeight="1" x14ac:dyDescent="0.25">
      <c r="A1580" s="7" t="s">
        <v>58</v>
      </c>
      <c r="B1580" s="2" t="s">
        <v>19809</v>
      </c>
      <c r="C1580" s="2" t="s">
        <v>19810</v>
      </c>
      <c r="D1580" s="2" t="s">
        <v>19811</v>
      </c>
      <c r="F1580" s="3" t="s">
        <v>58</v>
      </c>
      <c r="G1580" s="3" t="s">
        <v>59</v>
      </c>
      <c r="H1580" s="3" t="s">
        <v>58</v>
      </c>
      <c r="I1580" s="3" t="s">
        <v>58</v>
      </c>
      <c r="J1580" s="3" t="s">
        <v>60</v>
      </c>
      <c r="K1580" s="2" t="s">
        <v>19812</v>
      </c>
      <c r="L1580" s="2" t="s">
        <v>19813</v>
      </c>
      <c r="M1580" s="3" t="s">
        <v>368</v>
      </c>
      <c r="O1580" s="3" t="s">
        <v>63</v>
      </c>
      <c r="P1580" s="3" t="s">
        <v>510</v>
      </c>
      <c r="R1580" s="3" t="s">
        <v>65</v>
      </c>
      <c r="S1580" s="4">
        <v>6</v>
      </c>
      <c r="T1580" s="4">
        <v>6</v>
      </c>
      <c r="U1580" s="5" t="s">
        <v>19801</v>
      </c>
      <c r="V1580" s="5" t="s">
        <v>19801</v>
      </c>
      <c r="W1580" s="5" t="s">
        <v>17547</v>
      </c>
      <c r="X1580" s="5" t="s">
        <v>17547</v>
      </c>
      <c r="Y1580" s="4">
        <v>72</v>
      </c>
      <c r="Z1580" s="4">
        <v>57</v>
      </c>
      <c r="AA1580" s="4">
        <v>381</v>
      </c>
      <c r="AB1580" s="4">
        <v>1</v>
      </c>
      <c r="AC1580" s="4">
        <v>2</v>
      </c>
      <c r="AD1580" s="4">
        <v>3</v>
      </c>
      <c r="AE1580" s="4">
        <v>18</v>
      </c>
      <c r="AF1580" s="4">
        <v>2</v>
      </c>
      <c r="AG1580" s="4">
        <v>5</v>
      </c>
      <c r="AH1580" s="4">
        <v>0</v>
      </c>
      <c r="AI1580" s="4">
        <v>5</v>
      </c>
      <c r="AJ1580" s="4">
        <v>2</v>
      </c>
      <c r="AK1580" s="4">
        <v>11</v>
      </c>
      <c r="AL1580" s="4">
        <v>0</v>
      </c>
      <c r="AM1580" s="4">
        <v>1</v>
      </c>
      <c r="AN1580" s="4">
        <v>0</v>
      </c>
      <c r="AO1580" s="4">
        <v>0</v>
      </c>
      <c r="AP1580" s="3" t="s">
        <v>58</v>
      </c>
      <c r="AQ1580" s="3" t="s">
        <v>68</v>
      </c>
      <c r="AR1580" s="6" t="str">
        <f>HYPERLINK("http://catalog.hathitrust.org/Record/000763534","HathiTrust Record")</f>
        <v>HathiTrust Record</v>
      </c>
      <c r="AS1580" s="6" t="str">
        <f>HYPERLINK("https://creighton-primo.hosted.exlibrisgroup.com/primo-explore/search?tab=default_tab&amp;search_scope=EVERYTHING&amp;vid=01CRU&amp;lang=en_US&amp;offset=0&amp;query=any,contains,991004124639702656","Catalog Record")</f>
        <v>Catalog Record</v>
      </c>
      <c r="AT1580" s="6" t="str">
        <f>HYPERLINK("http://www.worldcat.org/oclc/2439545","WorldCat Record")</f>
        <v>WorldCat Record</v>
      </c>
      <c r="AU1580" s="3" t="s">
        <v>19814</v>
      </c>
      <c r="AV1580" s="3" t="s">
        <v>19815</v>
      </c>
      <c r="AW1580" s="3" t="s">
        <v>19816</v>
      </c>
      <c r="AX1580" s="3" t="s">
        <v>19816</v>
      </c>
      <c r="AY1580" s="3" t="s">
        <v>19817</v>
      </c>
      <c r="AZ1580" s="3" t="s">
        <v>73</v>
      </c>
      <c r="BB1580" s="3" t="s">
        <v>19818</v>
      </c>
      <c r="BC1580" s="3" t="s">
        <v>19819</v>
      </c>
      <c r="BD1580" s="3" t="s">
        <v>19820</v>
      </c>
    </row>
    <row r="1581" spans="1:56" ht="51" customHeight="1" x14ac:dyDescent="0.25">
      <c r="A1581" s="7" t="s">
        <v>58</v>
      </c>
      <c r="B1581" s="2" t="s">
        <v>19821</v>
      </c>
      <c r="C1581" s="2" t="s">
        <v>19822</v>
      </c>
      <c r="D1581" s="2" t="s">
        <v>19823</v>
      </c>
      <c r="F1581" s="3" t="s">
        <v>58</v>
      </c>
      <c r="G1581" s="3" t="s">
        <v>59</v>
      </c>
      <c r="H1581" s="3" t="s">
        <v>58</v>
      </c>
      <c r="I1581" s="3" t="s">
        <v>58</v>
      </c>
      <c r="J1581" s="3" t="s">
        <v>60</v>
      </c>
      <c r="K1581" s="2" t="s">
        <v>19824</v>
      </c>
      <c r="L1581" s="2" t="s">
        <v>19825</v>
      </c>
      <c r="M1581" s="3" t="s">
        <v>2757</v>
      </c>
      <c r="O1581" s="3" t="s">
        <v>63</v>
      </c>
      <c r="P1581" s="3" t="s">
        <v>214</v>
      </c>
      <c r="Q1581" s="2" t="s">
        <v>15460</v>
      </c>
      <c r="R1581" s="3" t="s">
        <v>65</v>
      </c>
      <c r="S1581" s="4">
        <v>7</v>
      </c>
      <c r="T1581" s="4">
        <v>7</v>
      </c>
      <c r="U1581" s="5" t="s">
        <v>19826</v>
      </c>
      <c r="V1581" s="5" t="s">
        <v>19826</v>
      </c>
      <c r="W1581" s="5" t="s">
        <v>6553</v>
      </c>
      <c r="X1581" s="5" t="s">
        <v>6553</v>
      </c>
      <c r="Y1581" s="4">
        <v>835</v>
      </c>
      <c r="Z1581" s="4">
        <v>663</v>
      </c>
      <c r="AA1581" s="4">
        <v>722</v>
      </c>
      <c r="AB1581" s="4">
        <v>6</v>
      </c>
      <c r="AC1581" s="4">
        <v>6</v>
      </c>
      <c r="AD1581" s="4">
        <v>27</v>
      </c>
      <c r="AE1581" s="4">
        <v>30</v>
      </c>
      <c r="AF1581" s="4">
        <v>11</v>
      </c>
      <c r="AG1581" s="4">
        <v>13</v>
      </c>
      <c r="AH1581" s="4">
        <v>5</v>
      </c>
      <c r="AI1581" s="4">
        <v>5</v>
      </c>
      <c r="AJ1581" s="4">
        <v>12</v>
      </c>
      <c r="AK1581" s="4">
        <v>13</v>
      </c>
      <c r="AL1581" s="4">
        <v>5</v>
      </c>
      <c r="AM1581" s="4">
        <v>5</v>
      </c>
      <c r="AN1581" s="4">
        <v>0</v>
      </c>
      <c r="AO1581" s="4">
        <v>0</v>
      </c>
      <c r="AP1581" s="3" t="s">
        <v>58</v>
      </c>
      <c r="AQ1581" s="3" t="s">
        <v>68</v>
      </c>
      <c r="AR1581" s="6" t="str">
        <f>HYPERLINK("http://catalog.hathitrust.org/Record/000005756","HathiTrust Record")</f>
        <v>HathiTrust Record</v>
      </c>
      <c r="AS1581" s="6" t="str">
        <f>HYPERLINK("https://creighton-primo.hosted.exlibrisgroup.com/primo-explore/search?tab=default_tab&amp;search_scope=EVERYTHING&amp;vid=01CRU&amp;lang=en_US&amp;offset=0&amp;query=any,contains,991002717399702656","Catalog Record")</f>
        <v>Catalog Record</v>
      </c>
      <c r="AT1581" s="6" t="str">
        <f>HYPERLINK("http://www.worldcat.org/oclc/411684","WorldCat Record")</f>
        <v>WorldCat Record</v>
      </c>
      <c r="AU1581" s="3" t="s">
        <v>19827</v>
      </c>
      <c r="AV1581" s="3" t="s">
        <v>19828</v>
      </c>
      <c r="AW1581" s="3" t="s">
        <v>19829</v>
      </c>
      <c r="AX1581" s="3" t="s">
        <v>19829</v>
      </c>
      <c r="AY1581" s="3" t="s">
        <v>19830</v>
      </c>
      <c r="AZ1581" s="3" t="s">
        <v>73</v>
      </c>
      <c r="BC1581" s="3" t="s">
        <v>19831</v>
      </c>
      <c r="BD1581" s="3" t="s">
        <v>19832</v>
      </c>
    </row>
    <row r="1582" spans="1:56" ht="51" customHeight="1" x14ac:dyDescent="0.25">
      <c r="A1582" s="7" t="s">
        <v>58</v>
      </c>
      <c r="B1582" s="2" t="s">
        <v>19833</v>
      </c>
      <c r="C1582" s="2" t="s">
        <v>19834</v>
      </c>
      <c r="D1582" s="2" t="s">
        <v>19835</v>
      </c>
      <c r="F1582" s="3" t="s">
        <v>58</v>
      </c>
      <c r="G1582" s="3" t="s">
        <v>59</v>
      </c>
      <c r="H1582" s="3" t="s">
        <v>58</v>
      </c>
      <c r="I1582" s="3" t="s">
        <v>58</v>
      </c>
      <c r="J1582" s="3" t="s">
        <v>60</v>
      </c>
      <c r="K1582" s="2" t="s">
        <v>19836</v>
      </c>
      <c r="L1582" s="2" t="s">
        <v>13572</v>
      </c>
      <c r="M1582" s="3" t="s">
        <v>368</v>
      </c>
      <c r="O1582" s="3" t="s">
        <v>63</v>
      </c>
      <c r="P1582" s="3" t="s">
        <v>584</v>
      </c>
      <c r="R1582" s="3" t="s">
        <v>65</v>
      </c>
      <c r="S1582" s="4">
        <v>16</v>
      </c>
      <c r="T1582" s="4">
        <v>16</v>
      </c>
      <c r="U1582" s="5" t="s">
        <v>13976</v>
      </c>
      <c r="V1582" s="5" t="s">
        <v>13976</v>
      </c>
      <c r="W1582" s="5" t="s">
        <v>6553</v>
      </c>
      <c r="X1582" s="5" t="s">
        <v>6553</v>
      </c>
      <c r="Y1582" s="4">
        <v>476</v>
      </c>
      <c r="Z1582" s="4">
        <v>345</v>
      </c>
      <c r="AA1582" s="4">
        <v>347</v>
      </c>
      <c r="AB1582" s="4">
        <v>3</v>
      </c>
      <c r="AC1582" s="4">
        <v>3</v>
      </c>
      <c r="AD1582" s="4">
        <v>13</v>
      </c>
      <c r="AE1582" s="4">
        <v>13</v>
      </c>
      <c r="AF1582" s="4">
        <v>3</v>
      </c>
      <c r="AG1582" s="4">
        <v>3</v>
      </c>
      <c r="AH1582" s="4">
        <v>4</v>
      </c>
      <c r="AI1582" s="4">
        <v>4</v>
      </c>
      <c r="AJ1582" s="4">
        <v>7</v>
      </c>
      <c r="AK1582" s="4">
        <v>7</v>
      </c>
      <c r="AL1582" s="4">
        <v>2</v>
      </c>
      <c r="AM1582" s="4">
        <v>2</v>
      </c>
      <c r="AN1582" s="4">
        <v>0</v>
      </c>
      <c r="AO1582" s="4">
        <v>0</v>
      </c>
      <c r="AP1582" s="3" t="s">
        <v>58</v>
      </c>
      <c r="AQ1582" s="3" t="s">
        <v>68</v>
      </c>
      <c r="AR1582" s="6" t="str">
        <f>HYPERLINK("http://catalog.hathitrust.org/Record/000683542","HathiTrust Record")</f>
        <v>HathiTrust Record</v>
      </c>
      <c r="AS1582" s="6" t="str">
        <f>HYPERLINK("https://creighton-primo.hosted.exlibrisgroup.com/primo-explore/search?tab=default_tab&amp;search_scope=EVERYTHING&amp;vid=01CRU&amp;lang=en_US&amp;offset=0&amp;query=any,contains,991004012499702656","Catalog Record")</f>
        <v>Catalog Record</v>
      </c>
      <c r="AT1582" s="6" t="str">
        <f>HYPERLINK("http://www.worldcat.org/oclc/2094754","WorldCat Record")</f>
        <v>WorldCat Record</v>
      </c>
      <c r="AU1582" s="3" t="s">
        <v>19837</v>
      </c>
      <c r="AV1582" s="3" t="s">
        <v>19838</v>
      </c>
      <c r="AW1582" s="3" t="s">
        <v>19839</v>
      </c>
      <c r="AX1582" s="3" t="s">
        <v>19839</v>
      </c>
      <c r="AY1582" s="3" t="s">
        <v>19840</v>
      </c>
      <c r="AZ1582" s="3" t="s">
        <v>73</v>
      </c>
      <c r="BB1582" s="3" t="s">
        <v>19841</v>
      </c>
      <c r="BC1582" s="3" t="s">
        <v>19842</v>
      </c>
      <c r="BD1582" s="3" t="s">
        <v>19843</v>
      </c>
    </row>
    <row r="1583" spans="1:56" ht="51" customHeight="1" x14ac:dyDescent="0.25">
      <c r="A1583" s="7" t="s">
        <v>58</v>
      </c>
      <c r="B1583" s="2" t="s">
        <v>19844</v>
      </c>
      <c r="C1583" s="2" t="s">
        <v>19845</v>
      </c>
      <c r="D1583" s="2" t="s">
        <v>19846</v>
      </c>
      <c r="F1583" s="3" t="s">
        <v>58</v>
      </c>
      <c r="G1583" s="3" t="s">
        <v>59</v>
      </c>
      <c r="H1583" s="3" t="s">
        <v>58</v>
      </c>
      <c r="I1583" s="3" t="s">
        <v>58</v>
      </c>
      <c r="J1583" s="3" t="s">
        <v>60</v>
      </c>
      <c r="K1583" s="2" t="s">
        <v>19847</v>
      </c>
      <c r="L1583" s="2" t="s">
        <v>19848</v>
      </c>
      <c r="M1583" s="3" t="s">
        <v>1357</v>
      </c>
      <c r="O1583" s="3" t="s">
        <v>63</v>
      </c>
      <c r="P1583" s="3" t="s">
        <v>214</v>
      </c>
      <c r="R1583" s="3" t="s">
        <v>65</v>
      </c>
      <c r="S1583" s="4">
        <v>8</v>
      </c>
      <c r="T1583" s="4">
        <v>8</v>
      </c>
      <c r="U1583" s="5" t="s">
        <v>16860</v>
      </c>
      <c r="V1583" s="5" t="s">
        <v>16860</v>
      </c>
      <c r="W1583" s="5" t="s">
        <v>17547</v>
      </c>
      <c r="X1583" s="5" t="s">
        <v>17547</v>
      </c>
      <c r="Y1583" s="4">
        <v>454</v>
      </c>
      <c r="Z1583" s="4">
        <v>378</v>
      </c>
      <c r="AA1583" s="4">
        <v>380</v>
      </c>
      <c r="AB1583" s="4">
        <v>3</v>
      </c>
      <c r="AC1583" s="4">
        <v>3</v>
      </c>
      <c r="AD1583" s="4">
        <v>18</v>
      </c>
      <c r="AE1583" s="4">
        <v>18</v>
      </c>
      <c r="AF1583" s="4">
        <v>5</v>
      </c>
      <c r="AG1583" s="4">
        <v>5</v>
      </c>
      <c r="AH1583" s="4">
        <v>5</v>
      </c>
      <c r="AI1583" s="4">
        <v>5</v>
      </c>
      <c r="AJ1583" s="4">
        <v>8</v>
      </c>
      <c r="AK1583" s="4">
        <v>8</v>
      </c>
      <c r="AL1583" s="4">
        <v>2</v>
      </c>
      <c r="AM1583" s="4">
        <v>2</v>
      </c>
      <c r="AN1583" s="4">
        <v>0</v>
      </c>
      <c r="AO1583" s="4">
        <v>0</v>
      </c>
      <c r="AP1583" s="3" t="s">
        <v>58</v>
      </c>
      <c r="AQ1583" s="3" t="s">
        <v>68</v>
      </c>
      <c r="AR1583" s="6" t="str">
        <f>HYPERLINK("http://catalog.hathitrust.org/Record/001870393","HathiTrust Record")</f>
        <v>HathiTrust Record</v>
      </c>
      <c r="AS1583" s="6" t="str">
        <f>HYPERLINK("https://creighton-primo.hosted.exlibrisgroup.com/primo-explore/search?tab=default_tab&amp;search_scope=EVERYTHING&amp;vid=01CRU&amp;lang=en_US&amp;offset=0&amp;query=any,contains,991000520189702656","Catalog Record")</f>
        <v>Catalog Record</v>
      </c>
      <c r="AT1583" s="6" t="str">
        <f>HYPERLINK("http://www.worldcat.org/oclc/87866","WorldCat Record")</f>
        <v>WorldCat Record</v>
      </c>
      <c r="AU1583" s="3" t="s">
        <v>19849</v>
      </c>
      <c r="AV1583" s="3" t="s">
        <v>19850</v>
      </c>
      <c r="AW1583" s="3" t="s">
        <v>19851</v>
      </c>
      <c r="AX1583" s="3" t="s">
        <v>19851</v>
      </c>
      <c r="AY1583" s="3" t="s">
        <v>19852</v>
      </c>
      <c r="AZ1583" s="3" t="s">
        <v>73</v>
      </c>
      <c r="BB1583" s="3" t="s">
        <v>19853</v>
      </c>
      <c r="BC1583" s="3" t="s">
        <v>19854</v>
      </c>
      <c r="BD1583" s="3" t="s">
        <v>19855</v>
      </c>
    </row>
    <row r="1584" spans="1:56" ht="51" customHeight="1" x14ac:dyDescent="0.25">
      <c r="A1584" s="7" t="s">
        <v>58</v>
      </c>
      <c r="B1584" s="2" t="s">
        <v>19856</v>
      </c>
      <c r="C1584" s="2" t="s">
        <v>19857</v>
      </c>
      <c r="D1584" s="2" t="s">
        <v>19858</v>
      </c>
      <c r="F1584" s="3" t="s">
        <v>58</v>
      </c>
      <c r="G1584" s="3" t="s">
        <v>59</v>
      </c>
      <c r="H1584" s="3" t="s">
        <v>58</v>
      </c>
      <c r="I1584" s="3" t="s">
        <v>58</v>
      </c>
      <c r="J1584" s="3" t="s">
        <v>60</v>
      </c>
      <c r="K1584" s="2" t="s">
        <v>19859</v>
      </c>
      <c r="L1584" s="2" t="s">
        <v>10224</v>
      </c>
      <c r="M1584" s="3" t="s">
        <v>2295</v>
      </c>
      <c r="N1584" s="2" t="s">
        <v>424</v>
      </c>
      <c r="O1584" s="3" t="s">
        <v>63</v>
      </c>
      <c r="P1584" s="3" t="s">
        <v>510</v>
      </c>
      <c r="R1584" s="3" t="s">
        <v>65</v>
      </c>
      <c r="S1584" s="4">
        <v>11</v>
      </c>
      <c r="T1584" s="4">
        <v>11</v>
      </c>
      <c r="U1584" s="5" t="s">
        <v>19860</v>
      </c>
      <c r="V1584" s="5" t="s">
        <v>19860</v>
      </c>
      <c r="W1584" s="5" t="s">
        <v>103</v>
      </c>
      <c r="X1584" s="5" t="s">
        <v>103</v>
      </c>
      <c r="Y1584" s="4">
        <v>471</v>
      </c>
      <c r="Z1584" s="4">
        <v>374</v>
      </c>
      <c r="AA1584" s="4">
        <v>1320</v>
      </c>
      <c r="AB1584" s="4">
        <v>2</v>
      </c>
      <c r="AC1584" s="4">
        <v>6</v>
      </c>
      <c r="AD1584" s="4">
        <v>15</v>
      </c>
      <c r="AE1584" s="4">
        <v>37</v>
      </c>
      <c r="AF1584" s="4">
        <v>7</v>
      </c>
      <c r="AG1584" s="4">
        <v>17</v>
      </c>
      <c r="AH1584" s="4">
        <v>5</v>
      </c>
      <c r="AI1584" s="4">
        <v>9</v>
      </c>
      <c r="AJ1584" s="4">
        <v>8</v>
      </c>
      <c r="AK1584" s="4">
        <v>17</v>
      </c>
      <c r="AL1584" s="4">
        <v>1</v>
      </c>
      <c r="AM1584" s="4">
        <v>5</v>
      </c>
      <c r="AN1584" s="4">
        <v>0</v>
      </c>
      <c r="AO1584" s="4">
        <v>0</v>
      </c>
      <c r="AP1584" s="3" t="s">
        <v>58</v>
      </c>
      <c r="AQ1584" s="3" t="s">
        <v>58</v>
      </c>
      <c r="AS1584" s="6" t="str">
        <f>HYPERLINK("https://creighton-primo.hosted.exlibrisgroup.com/primo-explore/search?tab=default_tab&amp;search_scope=EVERYTHING&amp;vid=01CRU&amp;lang=en_US&amp;offset=0&amp;query=any,contains,991004251409702656","Catalog Record")</f>
        <v>Catalog Record</v>
      </c>
      <c r="AT1584" s="6" t="str">
        <f>HYPERLINK("http://www.worldcat.org/oclc/53392823","WorldCat Record")</f>
        <v>WorldCat Record</v>
      </c>
      <c r="AU1584" s="3" t="s">
        <v>19861</v>
      </c>
      <c r="AV1584" s="3" t="s">
        <v>19862</v>
      </c>
      <c r="AW1584" s="3" t="s">
        <v>19863</v>
      </c>
      <c r="AX1584" s="3" t="s">
        <v>19863</v>
      </c>
      <c r="AY1584" s="3" t="s">
        <v>19864</v>
      </c>
      <c r="AZ1584" s="3" t="s">
        <v>73</v>
      </c>
      <c r="BB1584" s="3" t="s">
        <v>19865</v>
      </c>
      <c r="BC1584" s="3" t="s">
        <v>19866</v>
      </c>
      <c r="BD1584" s="3" t="s">
        <v>19867</v>
      </c>
    </row>
    <row r="1585" spans="1:56" ht="51" customHeight="1" x14ac:dyDescent="0.25">
      <c r="A1585" s="7" t="s">
        <v>58</v>
      </c>
      <c r="B1585" s="2" t="s">
        <v>19868</v>
      </c>
      <c r="C1585" s="2" t="s">
        <v>19869</v>
      </c>
      <c r="D1585" s="2" t="s">
        <v>19870</v>
      </c>
      <c r="F1585" s="3" t="s">
        <v>58</v>
      </c>
      <c r="G1585" s="3" t="s">
        <v>59</v>
      </c>
      <c r="H1585" s="3" t="s">
        <v>58</v>
      </c>
      <c r="I1585" s="3" t="s">
        <v>58</v>
      </c>
      <c r="J1585" s="3" t="s">
        <v>60</v>
      </c>
      <c r="K1585" s="2" t="s">
        <v>19871</v>
      </c>
      <c r="L1585" s="2" t="s">
        <v>19872</v>
      </c>
      <c r="M1585" s="3" t="s">
        <v>1499</v>
      </c>
      <c r="O1585" s="3" t="s">
        <v>63</v>
      </c>
      <c r="P1585" s="3" t="s">
        <v>13185</v>
      </c>
      <c r="Q1585" s="2" t="s">
        <v>19873</v>
      </c>
      <c r="R1585" s="3" t="s">
        <v>65</v>
      </c>
      <c r="S1585" s="4">
        <v>1</v>
      </c>
      <c r="T1585" s="4">
        <v>1</v>
      </c>
      <c r="U1585" s="5" t="s">
        <v>19624</v>
      </c>
      <c r="V1585" s="5" t="s">
        <v>19624</v>
      </c>
      <c r="W1585" s="5" t="s">
        <v>17547</v>
      </c>
      <c r="X1585" s="5" t="s">
        <v>17547</v>
      </c>
      <c r="Y1585" s="4">
        <v>336</v>
      </c>
      <c r="Z1585" s="4">
        <v>267</v>
      </c>
      <c r="AA1585" s="4">
        <v>271</v>
      </c>
      <c r="AB1585" s="4">
        <v>3</v>
      </c>
      <c r="AC1585" s="4">
        <v>3</v>
      </c>
      <c r="AD1585" s="4">
        <v>13</v>
      </c>
      <c r="AE1585" s="4">
        <v>13</v>
      </c>
      <c r="AF1585" s="4">
        <v>3</v>
      </c>
      <c r="AG1585" s="4">
        <v>3</v>
      </c>
      <c r="AH1585" s="4">
        <v>4</v>
      </c>
      <c r="AI1585" s="4">
        <v>4</v>
      </c>
      <c r="AJ1585" s="4">
        <v>7</v>
      </c>
      <c r="AK1585" s="4">
        <v>7</v>
      </c>
      <c r="AL1585" s="4">
        <v>2</v>
      </c>
      <c r="AM1585" s="4">
        <v>2</v>
      </c>
      <c r="AN1585" s="4">
        <v>0</v>
      </c>
      <c r="AO1585" s="4">
        <v>0</v>
      </c>
      <c r="AP1585" s="3" t="s">
        <v>58</v>
      </c>
      <c r="AQ1585" s="3" t="s">
        <v>68</v>
      </c>
      <c r="AR1585" s="6" t="str">
        <f>HYPERLINK("http://catalog.hathitrust.org/Record/001255856","HathiTrust Record")</f>
        <v>HathiTrust Record</v>
      </c>
      <c r="AS1585" s="6" t="str">
        <f>HYPERLINK("https://creighton-primo.hosted.exlibrisgroup.com/primo-explore/search?tab=default_tab&amp;search_scope=EVERYTHING&amp;vid=01CRU&amp;lang=en_US&amp;offset=0&amp;query=any,contains,991000915219702656","Catalog Record")</f>
        <v>Catalog Record</v>
      </c>
      <c r="AT1585" s="6" t="str">
        <f>HYPERLINK("http://www.worldcat.org/oclc/160452","WorldCat Record")</f>
        <v>WorldCat Record</v>
      </c>
      <c r="AU1585" s="3" t="s">
        <v>19874</v>
      </c>
      <c r="AV1585" s="3" t="s">
        <v>19875</v>
      </c>
      <c r="AW1585" s="3" t="s">
        <v>19876</v>
      </c>
      <c r="AX1585" s="3" t="s">
        <v>19876</v>
      </c>
      <c r="AY1585" s="3" t="s">
        <v>19877</v>
      </c>
      <c r="AZ1585" s="3" t="s">
        <v>73</v>
      </c>
      <c r="BC1585" s="3" t="s">
        <v>19878</v>
      </c>
      <c r="BD1585" s="3" t="s">
        <v>19879</v>
      </c>
    </row>
    <row r="1586" spans="1:56" ht="51" customHeight="1" x14ac:dyDescent="0.25">
      <c r="A1586" s="7" t="s">
        <v>58</v>
      </c>
      <c r="B1586" s="2" t="s">
        <v>19880</v>
      </c>
      <c r="C1586" s="2" t="s">
        <v>19881</v>
      </c>
      <c r="D1586" s="2" t="s">
        <v>19882</v>
      </c>
      <c r="F1586" s="3" t="s">
        <v>58</v>
      </c>
      <c r="G1586" s="3" t="s">
        <v>59</v>
      </c>
      <c r="H1586" s="3" t="s">
        <v>58</v>
      </c>
      <c r="I1586" s="3" t="s">
        <v>58</v>
      </c>
      <c r="J1586" s="3" t="s">
        <v>60</v>
      </c>
      <c r="K1586" s="2" t="s">
        <v>19883</v>
      </c>
      <c r="L1586" s="2" t="s">
        <v>11506</v>
      </c>
      <c r="M1586" s="3" t="s">
        <v>249</v>
      </c>
      <c r="O1586" s="3" t="s">
        <v>63</v>
      </c>
      <c r="P1586" s="3" t="s">
        <v>214</v>
      </c>
      <c r="R1586" s="3" t="s">
        <v>65</v>
      </c>
      <c r="S1586" s="4">
        <v>5</v>
      </c>
      <c r="T1586" s="4">
        <v>5</v>
      </c>
      <c r="U1586" s="5" t="s">
        <v>19884</v>
      </c>
      <c r="V1586" s="5" t="s">
        <v>19884</v>
      </c>
      <c r="W1586" s="5" t="s">
        <v>17547</v>
      </c>
      <c r="X1586" s="5" t="s">
        <v>17547</v>
      </c>
      <c r="Y1586" s="4">
        <v>822</v>
      </c>
      <c r="Z1586" s="4">
        <v>699</v>
      </c>
      <c r="AA1586" s="4">
        <v>708</v>
      </c>
      <c r="AB1586" s="4">
        <v>6</v>
      </c>
      <c r="AC1586" s="4">
        <v>6</v>
      </c>
      <c r="AD1586" s="4">
        <v>35</v>
      </c>
      <c r="AE1586" s="4">
        <v>35</v>
      </c>
      <c r="AF1586" s="4">
        <v>14</v>
      </c>
      <c r="AG1586" s="4">
        <v>14</v>
      </c>
      <c r="AH1586" s="4">
        <v>9</v>
      </c>
      <c r="AI1586" s="4">
        <v>9</v>
      </c>
      <c r="AJ1586" s="4">
        <v>19</v>
      </c>
      <c r="AK1586" s="4">
        <v>19</v>
      </c>
      <c r="AL1586" s="4">
        <v>5</v>
      </c>
      <c r="AM1586" s="4">
        <v>5</v>
      </c>
      <c r="AN1586" s="4">
        <v>0</v>
      </c>
      <c r="AO1586" s="4">
        <v>0</v>
      </c>
      <c r="AP1586" s="3" t="s">
        <v>58</v>
      </c>
      <c r="AQ1586" s="3" t="s">
        <v>68</v>
      </c>
      <c r="AR1586" s="6" t="str">
        <f>HYPERLINK("http://catalog.hathitrust.org/Record/001255859","HathiTrust Record")</f>
        <v>HathiTrust Record</v>
      </c>
      <c r="AS1586" s="6" t="str">
        <f>HYPERLINK("https://creighton-primo.hosted.exlibrisgroup.com/primo-explore/search?tab=default_tab&amp;search_scope=EVERYTHING&amp;vid=01CRU&amp;lang=en_US&amp;offset=0&amp;query=any,contains,991001098399702656","Catalog Record")</f>
        <v>Catalog Record</v>
      </c>
      <c r="AT1586" s="6" t="str">
        <f>HYPERLINK("http://www.worldcat.org/oclc/183415","WorldCat Record")</f>
        <v>WorldCat Record</v>
      </c>
      <c r="AU1586" s="3" t="s">
        <v>19885</v>
      </c>
      <c r="AV1586" s="3" t="s">
        <v>19886</v>
      </c>
      <c r="AW1586" s="3" t="s">
        <v>19887</v>
      </c>
      <c r="AX1586" s="3" t="s">
        <v>19887</v>
      </c>
      <c r="AY1586" s="3" t="s">
        <v>19888</v>
      </c>
      <c r="AZ1586" s="3" t="s">
        <v>73</v>
      </c>
      <c r="BC1586" s="3" t="s">
        <v>19889</v>
      </c>
      <c r="BD1586" s="3" t="s">
        <v>19890</v>
      </c>
    </row>
    <row r="1587" spans="1:56" ht="51" customHeight="1" x14ac:dyDescent="0.25">
      <c r="A1587" s="7" t="s">
        <v>58</v>
      </c>
      <c r="B1587" s="2" t="s">
        <v>19891</v>
      </c>
      <c r="C1587" s="2" t="s">
        <v>19892</v>
      </c>
      <c r="D1587" s="2" t="s">
        <v>19893</v>
      </c>
      <c r="F1587" s="3" t="s">
        <v>58</v>
      </c>
      <c r="G1587" s="3" t="s">
        <v>59</v>
      </c>
      <c r="H1587" s="3" t="s">
        <v>58</v>
      </c>
      <c r="I1587" s="3" t="s">
        <v>58</v>
      </c>
      <c r="J1587" s="3" t="s">
        <v>60</v>
      </c>
      <c r="K1587" s="2" t="s">
        <v>19894</v>
      </c>
      <c r="L1587" s="2" t="s">
        <v>19895</v>
      </c>
      <c r="M1587" s="3" t="s">
        <v>653</v>
      </c>
      <c r="O1587" s="3" t="s">
        <v>63</v>
      </c>
      <c r="P1587" s="3" t="s">
        <v>1584</v>
      </c>
      <c r="R1587" s="3" t="s">
        <v>65</v>
      </c>
      <c r="S1587" s="4">
        <v>9</v>
      </c>
      <c r="T1587" s="4">
        <v>9</v>
      </c>
      <c r="U1587" s="5" t="s">
        <v>19896</v>
      </c>
      <c r="V1587" s="5" t="s">
        <v>19896</v>
      </c>
      <c r="W1587" s="5" t="s">
        <v>19897</v>
      </c>
      <c r="X1587" s="5" t="s">
        <v>19897</v>
      </c>
      <c r="Y1587" s="4">
        <v>413</v>
      </c>
      <c r="Z1587" s="4">
        <v>339</v>
      </c>
      <c r="AA1587" s="4">
        <v>486</v>
      </c>
      <c r="AB1587" s="4">
        <v>4</v>
      </c>
      <c r="AC1587" s="4">
        <v>4</v>
      </c>
      <c r="AD1587" s="4">
        <v>15</v>
      </c>
      <c r="AE1587" s="4">
        <v>26</v>
      </c>
      <c r="AF1587" s="4">
        <v>3</v>
      </c>
      <c r="AG1587" s="4">
        <v>9</v>
      </c>
      <c r="AH1587" s="4">
        <v>5</v>
      </c>
      <c r="AI1587" s="4">
        <v>8</v>
      </c>
      <c r="AJ1587" s="4">
        <v>8</v>
      </c>
      <c r="AK1587" s="4">
        <v>13</v>
      </c>
      <c r="AL1587" s="4">
        <v>3</v>
      </c>
      <c r="AM1587" s="4">
        <v>3</v>
      </c>
      <c r="AN1587" s="4">
        <v>0</v>
      </c>
      <c r="AO1587" s="4">
        <v>0</v>
      </c>
      <c r="AP1587" s="3" t="s">
        <v>58</v>
      </c>
      <c r="AQ1587" s="3" t="s">
        <v>68</v>
      </c>
      <c r="AR1587" s="6" t="str">
        <f>HYPERLINK("http://catalog.hathitrust.org/Record/002477290","HathiTrust Record")</f>
        <v>HathiTrust Record</v>
      </c>
      <c r="AS1587" s="6" t="str">
        <f>HYPERLINK("https://creighton-primo.hosted.exlibrisgroup.com/primo-explore/search?tab=default_tab&amp;search_scope=EVERYTHING&amp;vid=01CRU&amp;lang=en_US&amp;offset=0&amp;query=any,contains,991001857039702656","Catalog Record")</f>
        <v>Catalog Record</v>
      </c>
      <c r="AT1587" s="6" t="str">
        <f>HYPERLINK("http://www.worldcat.org/oclc/23287820","WorldCat Record")</f>
        <v>WorldCat Record</v>
      </c>
      <c r="AU1587" s="3" t="s">
        <v>19898</v>
      </c>
      <c r="AV1587" s="3" t="s">
        <v>19899</v>
      </c>
      <c r="AW1587" s="3" t="s">
        <v>19900</v>
      </c>
      <c r="AX1587" s="3" t="s">
        <v>19900</v>
      </c>
      <c r="AY1587" s="3" t="s">
        <v>19901</v>
      </c>
      <c r="AZ1587" s="3" t="s">
        <v>73</v>
      </c>
      <c r="BB1587" s="3" t="s">
        <v>19902</v>
      </c>
      <c r="BC1587" s="3" t="s">
        <v>19903</v>
      </c>
      <c r="BD1587" s="3" t="s">
        <v>19904</v>
      </c>
    </row>
    <row r="1588" spans="1:56" ht="51" customHeight="1" x14ac:dyDescent="0.25">
      <c r="A1588" s="7" t="s">
        <v>58</v>
      </c>
      <c r="B1588" s="2" t="s">
        <v>19905</v>
      </c>
      <c r="C1588" s="2" t="s">
        <v>19906</v>
      </c>
      <c r="D1588" s="2" t="s">
        <v>19907</v>
      </c>
      <c r="F1588" s="3" t="s">
        <v>58</v>
      </c>
      <c r="G1588" s="3" t="s">
        <v>59</v>
      </c>
      <c r="H1588" s="3" t="s">
        <v>58</v>
      </c>
      <c r="I1588" s="3" t="s">
        <v>58</v>
      </c>
      <c r="J1588" s="3" t="s">
        <v>60</v>
      </c>
      <c r="K1588" s="2" t="s">
        <v>19908</v>
      </c>
      <c r="L1588" s="2" t="s">
        <v>19909</v>
      </c>
      <c r="M1588" s="3" t="s">
        <v>745</v>
      </c>
      <c r="O1588" s="3" t="s">
        <v>63</v>
      </c>
      <c r="P1588" s="3" t="s">
        <v>214</v>
      </c>
      <c r="R1588" s="3" t="s">
        <v>65</v>
      </c>
      <c r="S1588" s="4">
        <v>3</v>
      </c>
      <c r="T1588" s="4">
        <v>3</v>
      </c>
      <c r="U1588" s="5" t="s">
        <v>16025</v>
      </c>
      <c r="V1588" s="5" t="s">
        <v>16025</v>
      </c>
      <c r="W1588" s="5" t="s">
        <v>6553</v>
      </c>
      <c r="X1588" s="5" t="s">
        <v>6553</v>
      </c>
      <c r="Y1588" s="4">
        <v>616</v>
      </c>
      <c r="Z1588" s="4">
        <v>561</v>
      </c>
      <c r="AA1588" s="4">
        <v>664</v>
      </c>
      <c r="AB1588" s="4">
        <v>4</v>
      </c>
      <c r="AC1588" s="4">
        <v>4</v>
      </c>
      <c r="AD1588" s="4">
        <v>14</v>
      </c>
      <c r="AE1588" s="4">
        <v>15</v>
      </c>
      <c r="AF1588" s="4">
        <v>5</v>
      </c>
      <c r="AG1588" s="4">
        <v>5</v>
      </c>
      <c r="AH1588" s="4">
        <v>4</v>
      </c>
      <c r="AI1588" s="4">
        <v>5</v>
      </c>
      <c r="AJ1588" s="4">
        <v>5</v>
      </c>
      <c r="AK1588" s="4">
        <v>5</v>
      </c>
      <c r="AL1588" s="4">
        <v>3</v>
      </c>
      <c r="AM1588" s="4">
        <v>3</v>
      </c>
      <c r="AN1588" s="4">
        <v>0</v>
      </c>
      <c r="AO1588" s="4">
        <v>0</v>
      </c>
      <c r="AP1588" s="3" t="s">
        <v>58</v>
      </c>
      <c r="AQ1588" s="3" t="s">
        <v>68</v>
      </c>
      <c r="AR1588" s="6" t="str">
        <f>HYPERLINK("http://catalog.hathitrust.org/Record/001255871","HathiTrust Record")</f>
        <v>HathiTrust Record</v>
      </c>
      <c r="AS1588" s="6" t="str">
        <f>HYPERLINK("https://creighton-primo.hosted.exlibrisgroup.com/primo-explore/search?tab=default_tab&amp;search_scope=EVERYTHING&amp;vid=01CRU&amp;lang=en_US&amp;offset=0&amp;query=any,contains,991003958559702656","Catalog Record")</f>
        <v>Catalog Record</v>
      </c>
      <c r="AT1588" s="6" t="str">
        <f>HYPERLINK("http://www.worldcat.org/oclc/1973717","WorldCat Record")</f>
        <v>WorldCat Record</v>
      </c>
      <c r="AU1588" s="3" t="s">
        <v>19910</v>
      </c>
      <c r="AV1588" s="3" t="s">
        <v>19911</v>
      </c>
      <c r="AW1588" s="3" t="s">
        <v>19912</v>
      </c>
      <c r="AX1588" s="3" t="s">
        <v>19912</v>
      </c>
      <c r="AY1588" s="3" t="s">
        <v>19913</v>
      </c>
      <c r="AZ1588" s="3" t="s">
        <v>73</v>
      </c>
      <c r="BC1588" s="3" t="s">
        <v>19914</v>
      </c>
      <c r="BD1588" s="3" t="s">
        <v>19915</v>
      </c>
    </row>
    <row r="1589" spans="1:56" ht="51" customHeight="1" x14ac:dyDescent="0.25">
      <c r="A1589" s="7" t="s">
        <v>58</v>
      </c>
      <c r="B1589" s="2" t="s">
        <v>19916</v>
      </c>
      <c r="C1589" s="2" t="s">
        <v>19917</v>
      </c>
      <c r="D1589" s="2" t="s">
        <v>19918</v>
      </c>
      <c r="F1589" s="3" t="s">
        <v>58</v>
      </c>
      <c r="G1589" s="3" t="s">
        <v>59</v>
      </c>
      <c r="H1589" s="3" t="s">
        <v>58</v>
      </c>
      <c r="I1589" s="3" t="s">
        <v>58</v>
      </c>
      <c r="J1589" s="3" t="s">
        <v>60</v>
      </c>
      <c r="K1589" s="2" t="s">
        <v>19919</v>
      </c>
      <c r="L1589" s="2" t="s">
        <v>19920</v>
      </c>
      <c r="M1589" s="3" t="s">
        <v>1544</v>
      </c>
      <c r="O1589" s="3" t="s">
        <v>63</v>
      </c>
      <c r="P1589" s="3" t="s">
        <v>2630</v>
      </c>
      <c r="R1589" s="3" t="s">
        <v>65</v>
      </c>
      <c r="S1589" s="4">
        <v>15</v>
      </c>
      <c r="T1589" s="4">
        <v>15</v>
      </c>
      <c r="U1589" s="5" t="s">
        <v>4142</v>
      </c>
      <c r="V1589" s="5" t="s">
        <v>4142</v>
      </c>
      <c r="W1589" s="5" t="s">
        <v>19921</v>
      </c>
      <c r="X1589" s="5" t="s">
        <v>19921</v>
      </c>
      <c r="Y1589" s="4">
        <v>458</v>
      </c>
      <c r="Z1589" s="4">
        <v>367</v>
      </c>
      <c r="AA1589" s="4">
        <v>372</v>
      </c>
      <c r="AB1589" s="4">
        <v>6</v>
      </c>
      <c r="AC1589" s="4">
        <v>6</v>
      </c>
      <c r="AD1589" s="4">
        <v>23</v>
      </c>
      <c r="AE1589" s="4">
        <v>23</v>
      </c>
      <c r="AF1589" s="4">
        <v>7</v>
      </c>
      <c r="AG1589" s="4">
        <v>7</v>
      </c>
      <c r="AH1589" s="4">
        <v>5</v>
      </c>
      <c r="AI1589" s="4">
        <v>5</v>
      </c>
      <c r="AJ1589" s="4">
        <v>13</v>
      </c>
      <c r="AK1589" s="4">
        <v>13</v>
      </c>
      <c r="AL1589" s="4">
        <v>5</v>
      </c>
      <c r="AM1589" s="4">
        <v>5</v>
      </c>
      <c r="AN1589" s="4">
        <v>0</v>
      </c>
      <c r="AO1589" s="4">
        <v>0</v>
      </c>
      <c r="AP1589" s="3" t="s">
        <v>58</v>
      </c>
      <c r="AQ1589" s="3" t="s">
        <v>58</v>
      </c>
      <c r="AS1589" s="6" t="str">
        <f>HYPERLINK("https://creighton-primo.hosted.exlibrisgroup.com/primo-explore/search?tab=default_tab&amp;search_scope=EVERYTHING&amp;vid=01CRU&amp;lang=en_US&amp;offset=0&amp;query=any,contains,991001987769702656","Catalog Record")</f>
        <v>Catalog Record</v>
      </c>
      <c r="AT1589" s="6" t="str">
        <f>HYPERLINK("http://www.worldcat.org/oclc/25246709","WorldCat Record")</f>
        <v>WorldCat Record</v>
      </c>
      <c r="AU1589" s="3" t="s">
        <v>19922</v>
      </c>
      <c r="AV1589" s="3" t="s">
        <v>19923</v>
      </c>
      <c r="AW1589" s="3" t="s">
        <v>19924</v>
      </c>
      <c r="AX1589" s="3" t="s">
        <v>19924</v>
      </c>
      <c r="AY1589" s="3" t="s">
        <v>19925</v>
      </c>
      <c r="AZ1589" s="3" t="s">
        <v>73</v>
      </c>
      <c r="BB1589" s="3" t="s">
        <v>19926</v>
      </c>
      <c r="BC1589" s="3" t="s">
        <v>19927</v>
      </c>
      <c r="BD1589" s="3" t="s">
        <v>19928</v>
      </c>
    </row>
    <row r="1590" spans="1:56" ht="51" customHeight="1" x14ac:dyDescent="0.25">
      <c r="A1590" s="7" t="s">
        <v>58</v>
      </c>
      <c r="B1590" s="2" t="s">
        <v>19929</v>
      </c>
      <c r="C1590" s="2" t="s">
        <v>19930</v>
      </c>
      <c r="D1590" s="2" t="s">
        <v>19931</v>
      </c>
      <c r="F1590" s="3" t="s">
        <v>58</v>
      </c>
      <c r="G1590" s="3" t="s">
        <v>59</v>
      </c>
      <c r="H1590" s="3" t="s">
        <v>58</v>
      </c>
      <c r="I1590" s="3" t="s">
        <v>58</v>
      </c>
      <c r="J1590" s="3" t="s">
        <v>60</v>
      </c>
      <c r="K1590" s="2" t="s">
        <v>19932</v>
      </c>
      <c r="L1590" s="2" t="s">
        <v>19933</v>
      </c>
      <c r="M1590" s="3" t="s">
        <v>1091</v>
      </c>
      <c r="O1590" s="3" t="s">
        <v>63</v>
      </c>
      <c r="P1590" s="3" t="s">
        <v>584</v>
      </c>
      <c r="R1590" s="3" t="s">
        <v>65</v>
      </c>
      <c r="S1590" s="4">
        <v>7</v>
      </c>
      <c r="T1590" s="4">
        <v>7</v>
      </c>
      <c r="U1590" s="5" t="s">
        <v>4142</v>
      </c>
      <c r="V1590" s="5" t="s">
        <v>4142</v>
      </c>
      <c r="W1590" s="5" t="s">
        <v>19934</v>
      </c>
      <c r="X1590" s="5" t="s">
        <v>19934</v>
      </c>
      <c r="Y1590" s="4">
        <v>563</v>
      </c>
      <c r="Z1590" s="4">
        <v>462</v>
      </c>
      <c r="AA1590" s="4">
        <v>975</v>
      </c>
      <c r="AB1590" s="4">
        <v>4</v>
      </c>
      <c r="AC1590" s="4">
        <v>30</v>
      </c>
      <c r="AD1590" s="4">
        <v>24</v>
      </c>
      <c r="AE1590" s="4">
        <v>43</v>
      </c>
      <c r="AF1590" s="4">
        <v>14</v>
      </c>
      <c r="AG1590" s="4">
        <v>18</v>
      </c>
      <c r="AH1590" s="4">
        <v>4</v>
      </c>
      <c r="AI1590" s="4">
        <v>5</v>
      </c>
      <c r="AJ1590" s="4">
        <v>9</v>
      </c>
      <c r="AK1590" s="4">
        <v>13</v>
      </c>
      <c r="AL1590" s="4">
        <v>3</v>
      </c>
      <c r="AM1590" s="4">
        <v>15</v>
      </c>
      <c r="AN1590" s="4">
        <v>0</v>
      </c>
      <c r="AO1590" s="4">
        <v>0</v>
      </c>
      <c r="AP1590" s="3" t="s">
        <v>58</v>
      </c>
      <c r="AQ1590" s="3" t="s">
        <v>68</v>
      </c>
      <c r="AR1590" s="6" t="str">
        <f>HYPERLINK("http://catalog.hathitrust.org/Record/004183243","HathiTrust Record")</f>
        <v>HathiTrust Record</v>
      </c>
      <c r="AS1590" s="6" t="str">
        <f>HYPERLINK("https://creighton-primo.hosted.exlibrisgroup.com/primo-explore/search?tab=default_tab&amp;search_scope=EVERYTHING&amp;vid=01CRU&amp;lang=en_US&amp;offset=0&amp;query=any,contains,991003647929702656","Catalog Record")</f>
        <v>Catalog Record</v>
      </c>
      <c r="AT1590" s="6" t="str">
        <f>HYPERLINK("http://www.worldcat.org/oclc/46504968","WorldCat Record")</f>
        <v>WorldCat Record</v>
      </c>
      <c r="AU1590" s="3" t="s">
        <v>19935</v>
      </c>
      <c r="AV1590" s="3" t="s">
        <v>19936</v>
      </c>
      <c r="AW1590" s="3" t="s">
        <v>19937</v>
      </c>
      <c r="AX1590" s="3" t="s">
        <v>19937</v>
      </c>
      <c r="AY1590" s="3" t="s">
        <v>19938</v>
      </c>
      <c r="AZ1590" s="3" t="s">
        <v>73</v>
      </c>
      <c r="BB1590" s="3" t="s">
        <v>19939</v>
      </c>
      <c r="BC1590" s="3" t="s">
        <v>19940</v>
      </c>
      <c r="BD1590" s="3" t="s">
        <v>19941</v>
      </c>
    </row>
    <row r="1591" spans="1:56" ht="51" customHeight="1" x14ac:dyDescent="0.25">
      <c r="A1591" s="7" t="s">
        <v>58</v>
      </c>
      <c r="B1591" s="2" t="s">
        <v>19942</v>
      </c>
      <c r="C1591" s="2" t="s">
        <v>19943</v>
      </c>
      <c r="D1591" s="2" t="s">
        <v>19944</v>
      </c>
      <c r="F1591" s="3" t="s">
        <v>58</v>
      </c>
      <c r="G1591" s="3" t="s">
        <v>59</v>
      </c>
      <c r="H1591" s="3" t="s">
        <v>58</v>
      </c>
      <c r="I1591" s="3" t="s">
        <v>58</v>
      </c>
      <c r="J1591" s="3" t="s">
        <v>60</v>
      </c>
      <c r="L1591" s="2" t="s">
        <v>19945</v>
      </c>
      <c r="M1591" s="3" t="s">
        <v>898</v>
      </c>
      <c r="O1591" s="3" t="s">
        <v>63</v>
      </c>
      <c r="P1591" s="3" t="s">
        <v>584</v>
      </c>
      <c r="R1591" s="3" t="s">
        <v>65</v>
      </c>
      <c r="S1591" s="4">
        <v>5</v>
      </c>
      <c r="T1591" s="4">
        <v>5</v>
      </c>
      <c r="U1591" s="5" t="s">
        <v>4142</v>
      </c>
      <c r="V1591" s="5" t="s">
        <v>4142</v>
      </c>
      <c r="W1591" s="5" t="s">
        <v>4182</v>
      </c>
      <c r="X1591" s="5" t="s">
        <v>4182</v>
      </c>
      <c r="Y1591" s="4">
        <v>423</v>
      </c>
      <c r="Z1591" s="4">
        <v>341</v>
      </c>
      <c r="AA1591" s="4">
        <v>342</v>
      </c>
      <c r="AB1591" s="4">
        <v>2</v>
      </c>
      <c r="AC1591" s="4">
        <v>2</v>
      </c>
      <c r="AD1591" s="4">
        <v>20</v>
      </c>
      <c r="AE1591" s="4">
        <v>20</v>
      </c>
      <c r="AF1591" s="4">
        <v>10</v>
      </c>
      <c r="AG1591" s="4">
        <v>10</v>
      </c>
      <c r="AH1591" s="4">
        <v>6</v>
      </c>
      <c r="AI1591" s="4">
        <v>6</v>
      </c>
      <c r="AJ1591" s="4">
        <v>9</v>
      </c>
      <c r="AK1591" s="4">
        <v>9</v>
      </c>
      <c r="AL1591" s="4">
        <v>1</v>
      </c>
      <c r="AM1591" s="4">
        <v>1</v>
      </c>
      <c r="AN1591" s="4">
        <v>0</v>
      </c>
      <c r="AO1591" s="4">
        <v>0</v>
      </c>
      <c r="AP1591" s="3" t="s">
        <v>58</v>
      </c>
      <c r="AQ1591" s="3" t="s">
        <v>68</v>
      </c>
      <c r="AR1591" s="6" t="str">
        <f>HYPERLINK("http://catalog.hathitrust.org/Record/005553962","HathiTrust Record")</f>
        <v>HathiTrust Record</v>
      </c>
      <c r="AS1591" s="6" t="str">
        <f>HYPERLINK("https://creighton-primo.hosted.exlibrisgroup.com/primo-explore/search?tab=default_tab&amp;search_scope=EVERYTHING&amp;vid=01CRU&amp;lang=en_US&amp;offset=0&amp;query=any,contains,991005115549702656","Catalog Record")</f>
        <v>Catalog Record</v>
      </c>
      <c r="AT1591" s="6" t="str">
        <f>HYPERLINK("http://www.worldcat.org/oclc/67374962","WorldCat Record")</f>
        <v>WorldCat Record</v>
      </c>
      <c r="AU1591" s="3" t="s">
        <v>19946</v>
      </c>
      <c r="AV1591" s="3" t="s">
        <v>19947</v>
      </c>
      <c r="AW1591" s="3" t="s">
        <v>19948</v>
      </c>
      <c r="AX1591" s="3" t="s">
        <v>19948</v>
      </c>
      <c r="AY1591" s="3" t="s">
        <v>19949</v>
      </c>
      <c r="AZ1591" s="3" t="s">
        <v>73</v>
      </c>
      <c r="BB1591" s="3" t="s">
        <v>19950</v>
      </c>
      <c r="BC1591" s="3" t="s">
        <v>19951</v>
      </c>
      <c r="BD1591" s="3" t="s">
        <v>19952</v>
      </c>
    </row>
    <row r="1592" spans="1:56" ht="51" customHeight="1" x14ac:dyDescent="0.25">
      <c r="A1592" s="7" t="s">
        <v>58</v>
      </c>
      <c r="B1592" s="2" t="s">
        <v>19953</v>
      </c>
      <c r="C1592" s="2" t="s">
        <v>19954</v>
      </c>
      <c r="D1592" s="2" t="s">
        <v>19955</v>
      </c>
      <c r="F1592" s="3" t="s">
        <v>58</v>
      </c>
      <c r="G1592" s="3" t="s">
        <v>59</v>
      </c>
      <c r="H1592" s="3" t="s">
        <v>58</v>
      </c>
      <c r="I1592" s="3" t="s">
        <v>58</v>
      </c>
      <c r="J1592" s="3" t="s">
        <v>60</v>
      </c>
      <c r="K1592" s="2" t="s">
        <v>19956</v>
      </c>
      <c r="L1592" s="2" t="s">
        <v>19957</v>
      </c>
      <c r="M1592" s="3" t="s">
        <v>2214</v>
      </c>
      <c r="N1592" s="2" t="s">
        <v>338</v>
      </c>
      <c r="O1592" s="3" t="s">
        <v>63</v>
      </c>
      <c r="P1592" s="3" t="s">
        <v>214</v>
      </c>
      <c r="Q1592" s="2" t="s">
        <v>19958</v>
      </c>
      <c r="R1592" s="3" t="s">
        <v>65</v>
      </c>
      <c r="S1592" s="4">
        <v>5</v>
      </c>
      <c r="T1592" s="4">
        <v>5</v>
      </c>
      <c r="U1592" s="5" t="s">
        <v>4142</v>
      </c>
      <c r="V1592" s="5" t="s">
        <v>4142</v>
      </c>
      <c r="W1592" s="5" t="s">
        <v>11757</v>
      </c>
      <c r="X1592" s="5" t="s">
        <v>11757</v>
      </c>
      <c r="Y1592" s="4">
        <v>676</v>
      </c>
      <c r="Z1592" s="4">
        <v>569</v>
      </c>
      <c r="AA1592" s="4">
        <v>571</v>
      </c>
      <c r="AB1592" s="4">
        <v>6</v>
      </c>
      <c r="AC1592" s="4">
        <v>6</v>
      </c>
      <c r="AD1592" s="4">
        <v>32</v>
      </c>
      <c r="AE1592" s="4">
        <v>32</v>
      </c>
      <c r="AF1592" s="4">
        <v>15</v>
      </c>
      <c r="AG1592" s="4">
        <v>15</v>
      </c>
      <c r="AH1592" s="4">
        <v>8</v>
      </c>
      <c r="AI1592" s="4">
        <v>8</v>
      </c>
      <c r="AJ1592" s="4">
        <v>11</v>
      </c>
      <c r="AK1592" s="4">
        <v>11</v>
      </c>
      <c r="AL1592" s="4">
        <v>5</v>
      </c>
      <c r="AM1592" s="4">
        <v>5</v>
      </c>
      <c r="AN1592" s="4">
        <v>0</v>
      </c>
      <c r="AO1592" s="4">
        <v>0</v>
      </c>
      <c r="AP1592" s="3" t="s">
        <v>58</v>
      </c>
      <c r="AQ1592" s="3" t="s">
        <v>68</v>
      </c>
      <c r="AR1592" s="6" t="str">
        <f>HYPERLINK("http://catalog.hathitrust.org/Record/005097493","HathiTrust Record")</f>
        <v>HathiTrust Record</v>
      </c>
      <c r="AS1592" s="6" t="str">
        <f>HYPERLINK("https://creighton-primo.hosted.exlibrisgroup.com/primo-explore/search?tab=default_tab&amp;search_scope=EVERYTHING&amp;vid=01CRU&amp;lang=en_US&amp;offset=0&amp;query=any,contains,991004802889702656","Catalog Record")</f>
        <v>Catalog Record</v>
      </c>
      <c r="AT1592" s="6" t="str">
        <f>HYPERLINK("http://www.worldcat.org/oclc/60856153","WorldCat Record")</f>
        <v>WorldCat Record</v>
      </c>
      <c r="AU1592" s="3" t="s">
        <v>19959</v>
      </c>
      <c r="AV1592" s="3" t="s">
        <v>19960</v>
      </c>
      <c r="AW1592" s="3" t="s">
        <v>19961</v>
      </c>
      <c r="AX1592" s="3" t="s">
        <v>19961</v>
      </c>
      <c r="AY1592" s="3" t="s">
        <v>19962</v>
      </c>
      <c r="AZ1592" s="3" t="s">
        <v>73</v>
      </c>
      <c r="BB1592" s="3" t="s">
        <v>19963</v>
      </c>
      <c r="BC1592" s="3" t="s">
        <v>19964</v>
      </c>
      <c r="BD1592" s="3" t="s">
        <v>19965</v>
      </c>
    </row>
    <row r="1593" spans="1:56" ht="51" customHeight="1" x14ac:dyDescent="0.25">
      <c r="A1593" s="7" t="s">
        <v>58</v>
      </c>
      <c r="B1593" s="2" t="s">
        <v>19966</v>
      </c>
      <c r="C1593" s="2" t="s">
        <v>19967</v>
      </c>
      <c r="D1593" s="2" t="s">
        <v>19968</v>
      </c>
      <c r="F1593" s="3" t="s">
        <v>58</v>
      </c>
      <c r="G1593" s="3" t="s">
        <v>59</v>
      </c>
      <c r="H1593" s="3" t="s">
        <v>58</v>
      </c>
      <c r="I1593" s="3" t="s">
        <v>58</v>
      </c>
      <c r="J1593" s="3" t="s">
        <v>60</v>
      </c>
      <c r="K1593" s="2" t="s">
        <v>19969</v>
      </c>
      <c r="L1593" s="2" t="s">
        <v>19970</v>
      </c>
      <c r="M1593" s="3" t="s">
        <v>2214</v>
      </c>
      <c r="O1593" s="3" t="s">
        <v>63</v>
      </c>
      <c r="P1593" s="3" t="s">
        <v>2061</v>
      </c>
      <c r="Q1593" s="2" t="s">
        <v>19971</v>
      </c>
      <c r="R1593" s="3" t="s">
        <v>65</v>
      </c>
      <c r="S1593" s="4">
        <v>4</v>
      </c>
      <c r="T1593" s="4">
        <v>4</v>
      </c>
      <c r="U1593" s="5" t="s">
        <v>4142</v>
      </c>
      <c r="V1593" s="5" t="s">
        <v>4142</v>
      </c>
      <c r="W1593" s="5" t="s">
        <v>19972</v>
      </c>
      <c r="X1593" s="5" t="s">
        <v>19972</v>
      </c>
      <c r="Y1593" s="4">
        <v>278</v>
      </c>
      <c r="Z1593" s="4">
        <v>227</v>
      </c>
      <c r="AA1593" s="4">
        <v>228</v>
      </c>
      <c r="AB1593" s="4">
        <v>2</v>
      </c>
      <c r="AC1593" s="4">
        <v>2</v>
      </c>
      <c r="AD1593" s="4">
        <v>12</v>
      </c>
      <c r="AE1593" s="4">
        <v>12</v>
      </c>
      <c r="AF1593" s="4">
        <v>6</v>
      </c>
      <c r="AG1593" s="4">
        <v>6</v>
      </c>
      <c r="AH1593" s="4">
        <v>3</v>
      </c>
      <c r="AI1593" s="4">
        <v>3</v>
      </c>
      <c r="AJ1593" s="4">
        <v>5</v>
      </c>
      <c r="AK1593" s="4">
        <v>5</v>
      </c>
      <c r="AL1593" s="4">
        <v>1</v>
      </c>
      <c r="AM1593" s="4">
        <v>1</v>
      </c>
      <c r="AN1593" s="4">
        <v>0</v>
      </c>
      <c r="AO1593" s="4">
        <v>0</v>
      </c>
      <c r="AP1593" s="3" t="s">
        <v>58</v>
      </c>
      <c r="AQ1593" s="3" t="s">
        <v>68</v>
      </c>
      <c r="AR1593" s="6" t="str">
        <f>HYPERLINK("http://catalog.hathitrust.org/Record/005137540","HathiTrust Record")</f>
        <v>HathiTrust Record</v>
      </c>
      <c r="AS1593" s="6" t="str">
        <f>HYPERLINK("https://creighton-primo.hosted.exlibrisgroup.com/primo-explore/search?tab=default_tab&amp;search_scope=EVERYTHING&amp;vid=01CRU&amp;lang=en_US&amp;offset=0&amp;query=any,contains,991005155319702656","Catalog Record")</f>
        <v>Catalog Record</v>
      </c>
      <c r="AT1593" s="6" t="str">
        <f>HYPERLINK("http://www.worldcat.org/oclc/60589236","WorldCat Record")</f>
        <v>WorldCat Record</v>
      </c>
      <c r="AU1593" s="3" t="s">
        <v>19973</v>
      </c>
      <c r="AV1593" s="3" t="s">
        <v>19974</v>
      </c>
      <c r="AW1593" s="3" t="s">
        <v>19975</v>
      </c>
      <c r="AX1593" s="3" t="s">
        <v>19975</v>
      </c>
      <c r="AY1593" s="3" t="s">
        <v>19976</v>
      </c>
      <c r="AZ1593" s="3" t="s">
        <v>73</v>
      </c>
      <c r="BB1593" s="3" t="s">
        <v>19977</v>
      </c>
      <c r="BC1593" s="3" t="s">
        <v>19978</v>
      </c>
      <c r="BD1593" s="3" t="s">
        <v>19979</v>
      </c>
    </row>
    <row r="1594" spans="1:56" ht="51" customHeight="1" x14ac:dyDescent="0.25">
      <c r="A1594" s="7" t="s">
        <v>58</v>
      </c>
      <c r="B1594" s="2" t="s">
        <v>19980</v>
      </c>
      <c r="C1594" s="2" t="s">
        <v>19981</v>
      </c>
      <c r="D1594" s="2" t="s">
        <v>19982</v>
      </c>
      <c r="F1594" s="3" t="s">
        <v>58</v>
      </c>
      <c r="G1594" s="3" t="s">
        <v>59</v>
      </c>
      <c r="H1594" s="3" t="s">
        <v>58</v>
      </c>
      <c r="I1594" s="3" t="s">
        <v>58</v>
      </c>
      <c r="J1594" s="3" t="s">
        <v>60</v>
      </c>
      <c r="L1594" s="2" t="s">
        <v>19983</v>
      </c>
      <c r="M1594" s="3" t="s">
        <v>855</v>
      </c>
      <c r="O1594" s="3" t="s">
        <v>63</v>
      </c>
      <c r="P1594" s="3" t="s">
        <v>411</v>
      </c>
      <c r="Q1594" s="2" t="s">
        <v>19984</v>
      </c>
      <c r="R1594" s="3" t="s">
        <v>65</v>
      </c>
      <c r="S1594" s="4">
        <v>5</v>
      </c>
      <c r="T1594" s="4">
        <v>5</v>
      </c>
      <c r="U1594" s="5" t="s">
        <v>19985</v>
      </c>
      <c r="V1594" s="5" t="s">
        <v>19985</v>
      </c>
      <c r="W1594" s="5" t="s">
        <v>19986</v>
      </c>
      <c r="X1594" s="5" t="s">
        <v>19986</v>
      </c>
      <c r="Y1594" s="4">
        <v>26</v>
      </c>
      <c r="Z1594" s="4">
        <v>22</v>
      </c>
      <c r="AA1594" s="4">
        <v>28</v>
      </c>
      <c r="AB1594" s="4">
        <v>1</v>
      </c>
      <c r="AC1594" s="4">
        <v>1</v>
      </c>
      <c r="AD1594" s="4">
        <v>0</v>
      </c>
      <c r="AE1594" s="4">
        <v>0</v>
      </c>
      <c r="AF1594" s="4">
        <v>0</v>
      </c>
      <c r="AG1594" s="4">
        <v>0</v>
      </c>
      <c r="AH1594" s="4">
        <v>0</v>
      </c>
      <c r="AI1594" s="4">
        <v>0</v>
      </c>
      <c r="AJ1594" s="4">
        <v>0</v>
      </c>
      <c r="AK1594" s="4">
        <v>0</v>
      </c>
      <c r="AL1594" s="4">
        <v>0</v>
      </c>
      <c r="AM1594" s="4">
        <v>0</v>
      </c>
      <c r="AN1594" s="4">
        <v>0</v>
      </c>
      <c r="AO1594" s="4">
        <v>0</v>
      </c>
      <c r="AP1594" s="3" t="s">
        <v>58</v>
      </c>
      <c r="AQ1594" s="3" t="s">
        <v>68</v>
      </c>
      <c r="AR1594" s="6" t="str">
        <f>HYPERLINK("http://catalog.hathitrust.org/Record/007048876","HathiTrust Record")</f>
        <v>HathiTrust Record</v>
      </c>
      <c r="AS1594" s="6" t="str">
        <f>HYPERLINK("https://creighton-primo.hosted.exlibrisgroup.com/primo-explore/search?tab=default_tab&amp;search_scope=EVERYTHING&amp;vid=01CRU&amp;lang=en_US&amp;offset=0&amp;query=any,contains,991002221119702656","Catalog Record")</f>
        <v>Catalog Record</v>
      </c>
      <c r="AT1594" s="6" t="str">
        <f>HYPERLINK("http://www.worldcat.org/oclc/28601231","WorldCat Record")</f>
        <v>WorldCat Record</v>
      </c>
      <c r="AU1594" s="3" t="s">
        <v>19987</v>
      </c>
      <c r="AV1594" s="3" t="s">
        <v>19988</v>
      </c>
      <c r="AW1594" s="3" t="s">
        <v>19989</v>
      </c>
      <c r="AX1594" s="3" t="s">
        <v>19989</v>
      </c>
      <c r="AY1594" s="3" t="s">
        <v>19990</v>
      </c>
      <c r="AZ1594" s="3" t="s">
        <v>73</v>
      </c>
      <c r="BB1594" s="3" t="s">
        <v>19991</v>
      </c>
      <c r="BC1594" s="3" t="s">
        <v>19992</v>
      </c>
      <c r="BD1594" s="3" t="s">
        <v>19993</v>
      </c>
    </row>
    <row r="1595" spans="1:56" ht="51" customHeight="1" x14ac:dyDescent="0.25">
      <c r="A1595" s="7" t="s">
        <v>58</v>
      </c>
      <c r="B1595" s="2" t="s">
        <v>19994</v>
      </c>
      <c r="C1595" s="2" t="s">
        <v>19995</v>
      </c>
      <c r="D1595" s="2" t="s">
        <v>19996</v>
      </c>
      <c r="F1595" s="3" t="s">
        <v>58</v>
      </c>
      <c r="G1595" s="3" t="s">
        <v>59</v>
      </c>
      <c r="H1595" s="3" t="s">
        <v>58</v>
      </c>
      <c r="I1595" s="3" t="s">
        <v>58</v>
      </c>
      <c r="J1595" s="3" t="s">
        <v>60</v>
      </c>
      <c r="K1595" s="2" t="s">
        <v>19997</v>
      </c>
      <c r="L1595" s="2" t="s">
        <v>19998</v>
      </c>
      <c r="M1595" s="3" t="s">
        <v>538</v>
      </c>
      <c r="O1595" s="3" t="s">
        <v>63</v>
      </c>
      <c r="P1595" s="3" t="s">
        <v>816</v>
      </c>
      <c r="R1595" s="3" t="s">
        <v>65</v>
      </c>
      <c r="S1595" s="4">
        <v>1</v>
      </c>
      <c r="T1595" s="4">
        <v>1</v>
      </c>
      <c r="U1595" s="5" t="s">
        <v>19999</v>
      </c>
      <c r="V1595" s="5" t="s">
        <v>19999</v>
      </c>
      <c r="W1595" s="5" t="s">
        <v>17547</v>
      </c>
      <c r="X1595" s="5" t="s">
        <v>17547</v>
      </c>
      <c r="Y1595" s="4">
        <v>771</v>
      </c>
      <c r="Z1595" s="4">
        <v>662</v>
      </c>
      <c r="AA1595" s="4">
        <v>671</v>
      </c>
      <c r="AB1595" s="4">
        <v>5</v>
      </c>
      <c r="AC1595" s="4">
        <v>5</v>
      </c>
      <c r="AD1595" s="4">
        <v>28</v>
      </c>
      <c r="AE1595" s="4">
        <v>28</v>
      </c>
      <c r="AF1595" s="4">
        <v>8</v>
      </c>
      <c r="AG1595" s="4">
        <v>8</v>
      </c>
      <c r="AH1595" s="4">
        <v>8</v>
      </c>
      <c r="AI1595" s="4">
        <v>8</v>
      </c>
      <c r="AJ1595" s="4">
        <v>13</v>
      </c>
      <c r="AK1595" s="4">
        <v>13</v>
      </c>
      <c r="AL1595" s="4">
        <v>4</v>
      </c>
      <c r="AM1595" s="4">
        <v>4</v>
      </c>
      <c r="AN1595" s="4">
        <v>1</v>
      </c>
      <c r="AO1595" s="4">
        <v>1</v>
      </c>
      <c r="AP1595" s="3" t="s">
        <v>58</v>
      </c>
      <c r="AQ1595" s="3" t="s">
        <v>68</v>
      </c>
      <c r="AR1595" s="6" t="str">
        <f>HYPERLINK("http://catalog.hathitrust.org/Record/001870451","HathiTrust Record")</f>
        <v>HathiTrust Record</v>
      </c>
      <c r="AS1595" s="6" t="str">
        <f>HYPERLINK("https://creighton-primo.hosted.exlibrisgroup.com/primo-explore/search?tab=default_tab&amp;search_scope=EVERYTHING&amp;vid=01CRU&amp;lang=en_US&amp;offset=0&amp;query=any,contains,991000101789702656","Catalog Record")</f>
        <v>Catalog Record</v>
      </c>
      <c r="AT1595" s="6" t="str">
        <f>HYPERLINK("http://www.worldcat.org/oclc/44871","WorldCat Record")</f>
        <v>WorldCat Record</v>
      </c>
      <c r="AU1595" s="3" t="s">
        <v>20000</v>
      </c>
      <c r="AV1595" s="3" t="s">
        <v>20001</v>
      </c>
      <c r="AW1595" s="3" t="s">
        <v>20002</v>
      </c>
      <c r="AX1595" s="3" t="s">
        <v>20002</v>
      </c>
      <c r="AY1595" s="3" t="s">
        <v>20003</v>
      </c>
      <c r="AZ1595" s="3" t="s">
        <v>73</v>
      </c>
      <c r="BB1595" s="3" t="s">
        <v>20004</v>
      </c>
      <c r="BC1595" s="3" t="s">
        <v>20005</v>
      </c>
      <c r="BD1595" s="3" t="s">
        <v>20006</v>
      </c>
    </row>
    <row r="1596" spans="1:56" ht="51" customHeight="1" x14ac:dyDescent="0.25">
      <c r="A1596" s="7" t="s">
        <v>58</v>
      </c>
      <c r="B1596" s="2" t="s">
        <v>20007</v>
      </c>
      <c r="C1596" s="2" t="s">
        <v>20008</v>
      </c>
      <c r="D1596" s="2" t="s">
        <v>20009</v>
      </c>
      <c r="F1596" s="3" t="s">
        <v>58</v>
      </c>
      <c r="G1596" s="3" t="s">
        <v>59</v>
      </c>
      <c r="H1596" s="3" t="s">
        <v>58</v>
      </c>
      <c r="I1596" s="3" t="s">
        <v>58</v>
      </c>
      <c r="J1596" s="3" t="s">
        <v>60</v>
      </c>
      <c r="K1596" s="2" t="s">
        <v>20010</v>
      </c>
      <c r="L1596" s="2" t="s">
        <v>15021</v>
      </c>
      <c r="M1596" s="3" t="s">
        <v>745</v>
      </c>
      <c r="O1596" s="3" t="s">
        <v>63</v>
      </c>
      <c r="P1596" s="3" t="s">
        <v>584</v>
      </c>
      <c r="Q1596" s="2" t="s">
        <v>20011</v>
      </c>
      <c r="R1596" s="3" t="s">
        <v>65</v>
      </c>
      <c r="S1596" s="4">
        <v>3</v>
      </c>
      <c r="T1596" s="4">
        <v>3</v>
      </c>
      <c r="U1596" s="5" t="s">
        <v>11715</v>
      </c>
      <c r="V1596" s="5" t="s">
        <v>11715</v>
      </c>
      <c r="W1596" s="5" t="s">
        <v>20012</v>
      </c>
      <c r="X1596" s="5" t="s">
        <v>20012</v>
      </c>
      <c r="Y1596" s="4">
        <v>253</v>
      </c>
      <c r="Z1596" s="4">
        <v>179</v>
      </c>
      <c r="AA1596" s="4">
        <v>181</v>
      </c>
      <c r="AB1596" s="4">
        <v>2</v>
      </c>
      <c r="AC1596" s="4">
        <v>2</v>
      </c>
      <c r="AD1596" s="4">
        <v>8</v>
      </c>
      <c r="AE1596" s="4">
        <v>8</v>
      </c>
      <c r="AF1596" s="4">
        <v>3</v>
      </c>
      <c r="AG1596" s="4">
        <v>3</v>
      </c>
      <c r="AH1596" s="4">
        <v>2</v>
      </c>
      <c r="AI1596" s="4">
        <v>2</v>
      </c>
      <c r="AJ1596" s="4">
        <v>3</v>
      </c>
      <c r="AK1596" s="4">
        <v>3</v>
      </c>
      <c r="AL1596" s="4">
        <v>1</v>
      </c>
      <c r="AM1596" s="4">
        <v>1</v>
      </c>
      <c r="AN1596" s="4">
        <v>0</v>
      </c>
      <c r="AO1596" s="4">
        <v>0</v>
      </c>
      <c r="AP1596" s="3" t="s">
        <v>58</v>
      </c>
      <c r="AQ1596" s="3" t="s">
        <v>68</v>
      </c>
      <c r="AR1596" s="6" t="str">
        <f>HYPERLINK("http://catalog.hathitrust.org/Record/001255899","HathiTrust Record")</f>
        <v>HathiTrust Record</v>
      </c>
      <c r="AS1596" s="6" t="str">
        <f>HYPERLINK("https://creighton-primo.hosted.exlibrisgroup.com/primo-explore/search?tab=default_tab&amp;search_scope=EVERYTHING&amp;vid=01CRU&amp;lang=en_US&amp;offset=0&amp;query=any,contains,991002815379702656","Catalog Record")</f>
        <v>Catalog Record</v>
      </c>
      <c r="AT1596" s="6" t="str">
        <f>HYPERLINK("http://www.worldcat.org/oclc/458349","WorldCat Record")</f>
        <v>WorldCat Record</v>
      </c>
      <c r="AU1596" s="3" t="s">
        <v>20013</v>
      </c>
      <c r="AV1596" s="3" t="s">
        <v>20014</v>
      </c>
      <c r="AW1596" s="3" t="s">
        <v>20015</v>
      </c>
      <c r="AX1596" s="3" t="s">
        <v>20015</v>
      </c>
      <c r="AY1596" s="3" t="s">
        <v>20016</v>
      </c>
      <c r="AZ1596" s="3" t="s">
        <v>73</v>
      </c>
      <c r="BC1596" s="3" t="s">
        <v>20017</v>
      </c>
      <c r="BD1596" s="3" t="s">
        <v>20018</v>
      </c>
    </row>
    <row r="1597" spans="1:56" ht="51" customHeight="1" x14ac:dyDescent="0.25">
      <c r="A1597" s="7" t="s">
        <v>58</v>
      </c>
      <c r="B1597" s="2" t="s">
        <v>20019</v>
      </c>
      <c r="C1597" s="2" t="s">
        <v>20020</v>
      </c>
      <c r="D1597" s="2" t="s">
        <v>20021</v>
      </c>
      <c r="F1597" s="3" t="s">
        <v>58</v>
      </c>
      <c r="G1597" s="3" t="s">
        <v>59</v>
      </c>
      <c r="H1597" s="3" t="s">
        <v>58</v>
      </c>
      <c r="I1597" s="3" t="s">
        <v>58</v>
      </c>
      <c r="J1597" s="3" t="s">
        <v>60</v>
      </c>
      <c r="L1597" s="2" t="s">
        <v>20022</v>
      </c>
      <c r="M1597" s="3" t="s">
        <v>855</v>
      </c>
      <c r="O1597" s="3" t="s">
        <v>63</v>
      </c>
      <c r="P1597" s="3" t="s">
        <v>411</v>
      </c>
      <c r="R1597" s="3" t="s">
        <v>65</v>
      </c>
      <c r="S1597" s="4">
        <v>6</v>
      </c>
      <c r="T1597" s="4">
        <v>6</v>
      </c>
      <c r="U1597" s="5" t="s">
        <v>16592</v>
      </c>
      <c r="V1597" s="5" t="s">
        <v>16592</v>
      </c>
      <c r="W1597" s="5" t="s">
        <v>20023</v>
      </c>
      <c r="X1597" s="5" t="s">
        <v>20023</v>
      </c>
      <c r="Y1597" s="4">
        <v>27</v>
      </c>
      <c r="Z1597" s="4">
        <v>23</v>
      </c>
      <c r="AA1597" s="4">
        <v>42</v>
      </c>
      <c r="AB1597" s="4">
        <v>1</v>
      </c>
      <c r="AC1597" s="4">
        <v>1</v>
      </c>
      <c r="AD1597" s="4">
        <v>0</v>
      </c>
      <c r="AE1597" s="4">
        <v>0</v>
      </c>
      <c r="AF1597" s="4">
        <v>0</v>
      </c>
      <c r="AG1597" s="4">
        <v>0</v>
      </c>
      <c r="AH1597" s="4">
        <v>0</v>
      </c>
      <c r="AI1597" s="4">
        <v>0</v>
      </c>
      <c r="AJ1597" s="4">
        <v>0</v>
      </c>
      <c r="AK1597" s="4">
        <v>0</v>
      </c>
      <c r="AL1597" s="4">
        <v>0</v>
      </c>
      <c r="AM1597" s="4">
        <v>0</v>
      </c>
      <c r="AN1597" s="4">
        <v>0</v>
      </c>
      <c r="AO1597" s="4">
        <v>0</v>
      </c>
      <c r="AP1597" s="3" t="s">
        <v>58</v>
      </c>
      <c r="AQ1597" s="3" t="s">
        <v>58</v>
      </c>
      <c r="AS1597" s="6" t="str">
        <f>HYPERLINK("https://creighton-primo.hosted.exlibrisgroup.com/primo-explore/search?tab=default_tab&amp;search_scope=EVERYTHING&amp;vid=01CRU&amp;lang=en_US&amp;offset=0&amp;query=any,contains,991002198959702656","Catalog Record")</f>
        <v>Catalog Record</v>
      </c>
      <c r="AT1597" s="6" t="str">
        <f>HYPERLINK("http://www.worldcat.org/oclc/28290678","WorldCat Record")</f>
        <v>WorldCat Record</v>
      </c>
      <c r="AU1597" s="3" t="s">
        <v>20024</v>
      </c>
      <c r="AV1597" s="3" t="s">
        <v>20025</v>
      </c>
      <c r="AW1597" s="3" t="s">
        <v>20026</v>
      </c>
      <c r="AX1597" s="3" t="s">
        <v>20026</v>
      </c>
      <c r="AY1597" s="3" t="s">
        <v>20027</v>
      </c>
      <c r="AZ1597" s="3" t="s">
        <v>73</v>
      </c>
      <c r="BB1597" s="3" t="s">
        <v>20028</v>
      </c>
      <c r="BC1597" s="3" t="s">
        <v>20029</v>
      </c>
      <c r="BD1597" s="3" t="s">
        <v>20030</v>
      </c>
    </row>
    <row r="1598" spans="1:56" ht="51" customHeight="1" x14ac:dyDescent="0.25">
      <c r="A1598" s="7" t="s">
        <v>58</v>
      </c>
      <c r="B1598" s="2" t="s">
        <v>20031</v>
      </c>
      <c r="C1598" s="2" t="s">
        <v>20032</v>
      </c>
      <c r="D1598" s="2" t="s">
        <v>20033</v>
      </c>
      <c r="F1598" s="3" t="s">
        <v>58</v>
      </c>
      <c r="G1598" s="3" t="s">
        <v>59</v>
      </c>
      <c r="H1598" s="3" t="s">
        <v>58</v>
      </c>
      <c r="I1598" s="3" t="s">
        <v>58</v>
      </c>
      <c r="J1598" s="3" t="s">
        <v>60</v>
      </c>
      <c r="K1598" s="2" t="s">
        <v>20034</v>
      </c>
      <c r="L1598" s="2" t="s">
        <v>20035</v>
      </c>
      <c r="M1598" s="3" t="s">
        <v>538</v>
      </c>
      <c r="O1598" s="3" t="s">
        <v>63</v>
      </c>
      <c r="P1598" s="3" t="s">
        <v>584</v>
      </c>
      <c r="R1598" s="3" t="s">
        <v>65</v>
      </c>
      <c r="S1598" s="4">
        <v>1</v>
      </c>
      <c r="T1598" s="4">
        <v>1</v>
      </c>
      <c r="U1598" s="5" t="s">
        <v>19043</v>
      </c>
      <c r="V1598" s="5" t="s">
        <v>19043</v>
      </c>
      <c r="W1598" s="5" t="s">
        <v>17547</v>
      </c>
      <c r="X1598" s="5" t="s">
        <v>17547</v>
      </c>
      <c r="Y1598" s="4">
        <v>457</v>
      </c>
      <c r="Z1598" s="4">
        <v>351</v>
      </c>
      <c r="AA1598" s="4">
        <v>359</v>
      </c>
      <c r="AB1598" s="4">
        <v>3</v>
      </c>
      <c r="AC1598" s="4">
        <v>3</v>
      </c>
      <c r="AD1598" s="4">
        <v>14</v>
      </c>
      <c r="AE1598" s="4">
        <v>14</v>
      </c>
      <c r="AF1598" s="4">
        <v>4</v>
      </c>
      <c r="AG1598" s="4">
        <v>4</v>
      </c>
      <c r="AH1598" s="4">
        <v>4</v>
      </c>
      <c r="AI1598" s="4">
        <v>4</v>
      </c>
      <c r="AJ1598" s="4">
        <v>7</v>
      </c>
      <c r="AK1598" s="4">
        <v>7</v>
      </c>
      <c r="AL1598" s="4">
        <v>2</v>
      </c>
      <c r="AM1598" s="4">
        <v>2</v>
      </c>
      <c r="AN1598" s="4">
        <v>0</v>
      </c>
      <c r="AO1598" s="4">
        <v>0</v>
      </c>
      <c r="AP1598" s="3" t="s">
        <v>58</v>
      </c>
      <c r="AQ1598" s="3" t="s">
        <v>68</v>
      </c>
      <c r="AR1598" s="6" t="str">
        <f>HYPERLINK("http://catalog.hathitrust.org/Record/001870470","HathiTrust Record")</f>
        <v>HathiTrust Record</v>
      </c>
      <c r="AS1598" s="6" t="str">
        <f>HYPERLINK("https://creighton-primo.hosted.exlibrisgroup.com/primo-explore/search?tab=default_tab&amp;search_scope=EVERYTHING&amp;vid=01CRU&amp;lang=en_US&amp;offset=0&amp;query=any,contains,991000011949702656","Catalog Record")</f>
        <v>Catalog Record</v>
      </c>
      <c r="AT1598" s="6" t="str">
        <f>HYPERLINK("http://www.worldcat.org/oclc/15128","WorldCat Record")</f>
        <v>WorldCat Record</v>
      </c>
      <c r="AU1598" s="3" t="s">
        <v>20036</v>
      </c>
      <c r="AV1598" s="3" t="s">
        <v>20037</v>
      </c>
      <c r="AW1598" s="3" t="s">
        <v>20038</v>
      </c>
      <c r="AX1598" s="3" t="s">
        <v>20038</v>
      </c>
      <c r="AY1598" s="3" t="s">
        <v>20039</v>
      </c>
      <c r="AZ1598" s="3" t="s">
        <v>73</v>
      </c>
      <c r="BB1598" s="3" t="s">
        <v>20040</v>
      </c>
      <c r="BC1598" s="3" t="s">
        <v>20041</v>
      </c>
      <c r="BD1598" s="3" t="s">
        <v>20042</v>
      </c>
    </row>
    <row r="1599" spans="1:56" ht="51" customHeight="1" x14ac:dyDescent="0.25">
      <c r="A1599" s="7" t="s">
        <v>58</v>
      </c>
      <c r="B1599" s="2" t="s">
        <v>20043</v>
      </c>
      <c r="C1599" s="2" t="s">
        <v>20044</v>
      </c>
      <c r="D1599" s="2" t="s">
        <v>20045</v>
      </c>
      <c r="F1599" s="3" t="s">
        <v>58</v>
      </c>
      <c r="G1599" s="3" t="s">
        <v>59</v>
      </c>
      <c r="H1599" s="3" t="s">
        <v>58</v>
      </c>
      <c r="I1599" s="3" t="s">
        <v>58</v>
      </c>
      <c r="J1599" s="3" t="s">
        <v>60</v>
      </c>
      <c r="K1599" s="2" t="s">
        <v>20046</v>
      </c>
      <c r="L1599" s="2" t="s">
        <v>20047</v>
      </c>
      <c r="M1599" s="3" t="s">
        <v>1499</v>
      </c>
      <c r="O1599" s="3" t="s">
        <v>63</v>
      </c>
      <c r="P1599" s="3" t="s">
        <v>214</v>
      </c>
      <c r="Q1599" s="2" t="s">
        <v>15460</v>
      </c>
      <c r="R1599" s="3" t="s">
        <v>65</v>
      </c>
      <c r="S1599" s="4">
        <v>3</v>
      </c>
      <c r="T1599" s="4">
        <v>3</v>
      </c>
      <c r="U1599" s="5" t="s">
        <v>18969</v>
      </c>
      <c r="V1599" s="5" t="s">
        <v>18969</v>
      </c>
      <c r="W1599" s="5" t="s">
        <v>17547</v>
      </c>
      <c r="X1599" s="5" t="s">
        <v>17547</v>
      </c>
      <c r="Y1599" s="4">
        <v>839</v>
      </c>
      <c r="Z1599" s="4">
        <v>680</v>
      </c>
      <c r="AA1599" s="4">
        <v>886</v>
      </c>
      <c r="AB1599" s="4">
        <v>3</v>
      </c>
      <c r="AC1599" s="4">
        <v>6</v>
      </c>
      <c r="AD1599" s="4">
        <v>26</v>
      </c>
      <c r="AE1599" s="4">
        <v>34</v>
      </c>
      <c r="AF1599" s="4">
        <v>10</v>
      </c>
      <c r="AG1599" s="4">
        <v>14</v>
      </c>
      <c r="AH1599" s="4">
        <v>7</v>
      </c>
      <c r="AI1599" s="4">
        <v>8</v>
      </c>
      <c r="AJ1599" s="4">
        <v>13</v>
      </c>
      <c r="AK1599" s="4">
        <v>14</v>
      </c>
      <c r="AL1599" s="4">
        <v>2</v>
      </c>
      <c r="AM1599" s="4">
        <v>5</v>
      </c>
      <c r="AN1599" s="4">
        <v>0</v>
      </c>
      <c r="AO1599" s="4">
        <v>0</v>
      </c>
      <c r="AP1599" s="3" t="s">
        <v>58</v>
      </c>
      <c r="AQ1599" s="3" t="s">
        <v>68</v>
      </c>
      <c r="AR1599" s="6" t="str">
        <f>HYPERLINK("http://catalog.hathitrust.org/Record/000000700","HathiTrust Record")</f>
        <v>HathiTrust Record</v>
      </c>
      <c r="AS1599" s="6" t="str">
        <f>HYPERLINK("https://creighton-primo.hosted.exlibrisgroup.com/primo-explore/search?tab=default_tab&amp;search_scope=EVERYTHING&amp;vid=01CRU&amp;lang=en_US&amp;offset=0&amp;query=any,contains,991000169159702656","Catalog Record")</f>
        <v>Catalog Record</v>
      </c>
      <c r="AT1599" s="6" t="str">
        <f>HYPERLINK("http://www.worldcat.org/oclc/61899","WorldCat Record")</f>
        <v>WorldCat Record</v>
      </c>
      <c r="AU1599" s="3" t="s">
        <v>20048</v>
      </c>
      <c r="AV1599" s="3" t="s">
        <v>20049</v>
      </c>
      <c r="AW1599" s="3" t="s">
        <v>20050</v>
      </c>
      <c r="AX1599" s="3" t="s">
        <v>20050</v>
      </c>
      <c r="AY1599" s="3" t="s">
        <v>20051</v>
      </c>
      <c r="AZ1599" s="3" t="s">
        <v>73</v>
      </c>
      <c r="BC1599" s="3" t="s">
        <v>20052</v>
      </c>
      <c r="BD1599" s="3" t="s">
        <v>20053</v>
      </c>
    </row>
    <row r="1600" spans="1:56" ht="51" customHeight="1" x14ac:dyDescent="0.25">
      <c r="A1600" s="7" t="s">
        <v>58</v>
      </c>
      <c r="B1600" s="2" t="s">
        <v>20054</v>
      </c>
      <c r="C1600" s="2" t="s">
        <v>20055</v>
      </c>
      <c r="D1600" s="2" t="s">
        <v>20056</v>
      </c>
      <c r="F1600" s="3" t="s">
        <v>58</v>
      </c>
      <c r="G1600" s="3" t="s">
        <v>59</v>
      </c>
      <c r="H1600" s="3" t="s">
        <v>58</v>
      </c>
      <c r="I1600" s="3" t="s">
        <v>58</v>
      </c>
      <c r="J1600" s="3" t="s">
        <v>60</v>
      </c>
      <c r="K1600" s="2" t="s">
        <v>20057</v>
      </c>
      <c r="L1600" s="2" t="s">
        <v>20058</v>
      </c>
      <c r="M1600" s="3" t="s">
        <v>745</v>
      </c>
      <c r="N1600" s="2" t="s">
        <v>20059</v>
      </c>
      <c r="O1600" s="3" t="s">
        <v>63</v>
      </c>
      <c r="P1600" s="3" t="s">
        <v>584</v>
      </c>
      <c r="Q1600" s="2" t="s">
        <v>20060</v>
      </c>
      <c r="R1600" s="3" t="s">
        <v>65</v>
      </c>
      <c r="S1600" s="4">
        <v>1</v>
      </c>
      <c r="T1600" s="4">
        <v>1</v>
      </c>
      <c r="U1600" s="5" t="s">
        <v>7765</v>
      </c>
      <c r="V1600" s="5" t="s">
        <v>7765</v>
      </c>
      <c r="W1600" s="5" t="s">
        <v>17547</v>
      </c>
      <c r="X1600" s="5" t="s">
        <v>17547</v>
      </c>
      <c r="Y1600" s="4">
        <v>125</v>
      </c>
      <c r="Z1600" s="4">
        <v>92</v>
      </c>
      <c r="AA1600" s="4">
        <v>552</v>
      </c>
      <c r="AB1600" s="4">
        <v>2</v>
      </c>
      <c r="AC1600" s="4">
        <v>4</v>
      </c>
      <c r="AD1600" s="4">
        <v>4</v>
      </c>
      <c r="AE1600" s="4">
        <v>24</v>
      </c>
      <c r="AF1600" s="4">
        <v>2</v>
      </c>
      <c r="AG1600" s="4">
        <v>10</v>
      </c>
      <c r="AH1600" s="4">
        <v>0</v>
      </c>
      <c r="AI1600" s="4">
        <v>6</v>
      </c>
      <c r="AJ1600" s="4">
        <v>2</v>
      </c>
      <c r="AK1600" s="4">
        <v>12</v>
      </c>
      <c r="AL1600" s="4">
        <v>1</v>
      </c>
      <c r="AM1600" s="4">
        <v>3</v>
      </c>
      <c r="AN1600" s="4">
        <v>0</v>
      </c>
      <c r="AO1600" s="4">
        <v>0</v>
      </c>
      <c r="AP1600" s="3" t="s">
        <v>58</v>
      </c>
      <c r="AQ1600" s="3" t="s">
        <v>68</v>
      </c>
      <c r="AR1600" s="6" t="str">
        <f>HYPERLINK("http://catalog.hathitrust.org/Record/012285393","HathiTrust Record")</f>
        <v>HathiTrust Record</v>
      </c>
      <c r="AS1600" s="6" t="str">
        <f>HYPERLINK("https://creighton-primo.hosted.exlibrisgroup.com/primo-explore/search?tab=default_tab&amp;search_scope=EVERYTHING&amp;vid=01CRU&amp;lang=en_US&amp;offset=0&amp;query=any,contains,991002816659702656","Catalog Record")</f>
        <v>Catalog Record</v>
      </c>
      <c r="AT1600" s="6" t="str">
        <f>HYPERLINK("http://www.worldcat.org/oclc/460731","WorldCat Record")</f>
        <v>WorldCat Record</v>
      </c>
      <c r="AU1600" s="3" t="s">
        <v>20061</v>
      </c>
      <c r="AV1600" s="3" t="s">
        <v>20062</v>
      </c>
      <c r="AW1600" s="3" t="s">
        <v>20063</v>
      </c>
      <c r="AX1600" s="3" t="s">
        <v>20063</v>
      </c>
      <c r="AY1600" s="3" t="s">
        <v>20064</v>
      </c>
      <c r="AZ1600" s="3" t="s">
        <v>73</v>
      </c>
      <c r="BC1600" s="3" t="s">
        <v>20065</v>
      </c>
      <c r="BD1600" s="3" t="s">
        <v>20066</v>
      </c>
    </row>
    <row r="1601" spans="1:56" ht="51" customHeight="1" x14ac:dyDescent="0.25">
      <c r="A1601" s="7" t="s">
        <v>58</v>
      </c>
      <c r="B1601" s="2" t="s">
        <v>20067</v>
      </c>
      <c r="C1601" s="2" t="s">
        <v>20068</v>
      </c>
      <c r="D1601" s="2" t="s">
        <v>20069</v>
      </c>
      <c r="F1601" s="3" t="s">
        <v>58</v>
      </c>
      <c r="G1601" s="3" t="s">
        <v>59</v>
      </c>
      <c r="H1601" s="3" t="s">
        <v>58</v>
      </c>
      <c r="I1601" s="3" t="s">
        <v>58</v>
      </c>
      <c r="J1601" s="3" t="s">
        <v>60</v>
      </c>
      <c r="K1601" s="2" t="s">
        <v>20070</v>
      </c>
      <c r="L1601" s="2" t="s">
        <v>20071</v>
      </c>
      <c r="M1601" s="3" t="s">
        <v>2706</v>
      </c>
      <c r="N1601" s="2" t="s">
        <v>232</v>
      </c>
      <c r="O1601" s="3" t="s">
        <v>63</v>
      </c>
      <c r="P1601" s="3" t="s">
        <v>584</v>
      </c>
      <c r="Q1601" s="2" t="s">
        <v>20072</v>
      </c>
      <c r="R1601" s="3" t="s">
        <v>65</v>
      </c>
      <c r="S1601" s="4">
        <v>5</v>
      </c>
      <c r="T1601" s="4">
        <v>5</v>
      </c>
      <c r="U1601" s="5" t="s">
        <v>20073</v>
      </c>
      <c r="V1601" s="5" t="s">
        <v>20073</v>
      </c>
      <c r="W1601" s="5" t="s">
        <v>17547</v>
      </c>
      <c r="X1601" s="5" t="s">
        <v>17547</v>
      </c>
      <c r="Y1601" s="4">
        <v>29</v>
      </c>
      <c r="Z1601" s="4">
        <v>23</v>
      </c>
      <c r="AA1601" s="4">
        <v>573</v>
      </c>
      <c r="AB1601" s="4">
        <v>1</v>
      </c>
      <c r="AC1601" s="4">
        <v>3</v>
      </c>
      <c r="AD1601" s="4">
        <v>6</v>
      </c>
      <c r="AE1601" s="4">
        <v>25</v>
      </c>
      <c r="AF1601" s="4">
        <v>3</v>
      </c>
      <c r="AG1601" s="4">
        <v>13</v>
      </c>
      <c r="AH1601" s="4">
        <v>0</v>
      </c>
      <c r="AI1601" s="4">
        <v>6</v>
      </c>
      <c r="AJ1601" s="4">
        <v>5</v>
      </c>
      <c r="AK1601" s="4">
        <v>12</v>
      </c>
      <c r="AL1601" s="4">
        <v>0</v>
      </c>
      <c r="AM1601" s="4">
        <v>2</v>
      </c>
      <c r="AN1601" s="4">
        <v>0</v>
      </c>
      <c r="AO1601" s="4">
        <v>0</v>
      </c>
      <c r="AP1601" s="3" t="s">
        <v>58</v>
      </c>
      <c r="AQ1601" s="3" t="s">
        <v>58</v>
      </c>
      <c r="AS1601" s="6" t="str">
        <f>HYPERLINK("https://creighton-primo.hosted.exlibrisgroup.com/primo-explore/search?tab=default_tab&amp;search_scope=EVERYTHING&amp;vid=01CRU&amp;lang=en_US&amp;offset=0&amp;query=any,contains,991004709079702656","Catalog Record")</f>
        <v>Catalog Record</v>
      </c>
      <c r="AT1601" s="6" t="str">
        <f>HYPERLINK("http://www.worldcat.org/oclc/4743207","WorldCat Record")</f>
        <v>WorldCat Record</v>
      </c>
      <c r="AU1601" s="3" t="s">
        <v>20074</v>
      </c>
      <c r="AV1601" s="3" t="s">
        <v>20075</v>
      </c>
      <c r="AW1601" s="3" t="s">
        <v>20076</v>
      </c>
      <c r="AX1601" s="3" t="s">
        <v>20076</v>
      </c>
      <c r="AY1601" s="3" t="s">
        <v>20077</v>
      </c>
      <c r="AZ1601" s="3" t="s">
        <v>73</v>
      </c>
      <c r="BC1601" s="3" t="s">
        <v>20078</v>
      </c>
      <c r="BD1601" s="3" t="s">
        <v>20079</v>
      </c>
    </row>
    <row r="1602" spans="1:56" ht="51" customHeight="1" x14ac:dyDescent="0.25">
      <c r="A1602" s="7" t="s">
        <v>58</v>
      </c>
      <c r="B1602" s="2" t="s">
        <v>20080</v>
      </c>
      <c r="C1602" s="2" t="s">
        <v>20081</v>
      </c>
      <c r="D1602" s="2" t="s">
        <v>20082</v>
      </c>
      <c r="F1602" s="3" t="s">
        <v>58</v>
      </c>
      <c r="G1602" s="3" t="s">
        <v>59</v>
      </c>
      <c r="H1602" s="3" t="s">
        <v>58</v>
      </c>
      <c r="I1602" s="3" t="s">
        <v>58</v>
      </c>
      <c r="J1602" s="3" t="s">
        <v>60</v>
      </c>
      <c r="K1602" s="2" t="s">
        <v>20083</v>
      </c>
      <c r="L1602" s="2" t="s">
        <v>20084</v>
      </c>
      <c r="M1602" s="3" t="s">
        <v>337</v>
      </c>
      <c r="O1602" s="3" t="s">
        <v>63</v>
      </c>
      <c r="P1602" s="3" t="s">
        <v>584</v>
      </c>
      <c r="R1602" s="3" t="s">
        <v>65</v>
      </c>
      <c r="S1602" s="4">
        <v>1</v>
      </c>
      <c r="T1602" s="4">
        <v>1</v>
      </c>
      <c r="U1602" s="5" t="s">
        <v>20085</v>
      </c>
      <c r="V1602" s="5" t="s">
        <v>20085</v>
      </c>
      <c r="W1602" s="5" t="s">
        <v>20086</v>
      </c>
      <c r="X1602" s="5" t="s">
        <v>20086</v>
      </c>
      <c r="Y1602" s="4">
        <v>57</v>
      </c>
      <c r="Z1602" s="4">
        <v>26</v>
      </c>
      <c r="AA1602" s="4">
        <v>196</v>
      </c>
      <c r="AB1602" s="4">
        <v>1</v>
      </c>
      <c r="AC1602" s="4">
        <v>3</v>
      </c>
      <c r="AD1602" s="4">
        <v>1</v>
      </c>
      <c r="AE1602" s="4">
        <v>14</v>
      </c>
      <c r="AF1602" s="4">
        <v>0</v>
      </c>
      <c r="AG1602" s="4">
        <v>1</v>
      </c>
      <c r="AH1602" s="4">
        <v>0</v>
      </c>
      <c r="AI1602" s="4">
        <v>5</v>
      </c>
      <c r="AJ1602" s="4">
        <v>1</v>
      </c>
      <c r="AK1602" s="4">
        <v>9</v>
      </c>
      <c r="AL1602" s="4">
        <v>0</v>
      </c>
      <c r="AM1602" s="4">
        <v>2</v>
      </c>
      <c r="AN1602" s="4">
        <v>0</v>
      </c>
      <c r="AO1602" s="4">
        <v>0</v>
      </c>
      <c r="AP1602" s="3" t="s">
        <v>58</v>
      </c>
      <c r="AQ1602" s="3" t="s">
        <v>58</v>
      </c>
      <c r="AS1602" s="6" t="str">
        <f>HYPERLINK("https://creighton-primo.hosted.exlibrisgroup.com/primo-explore/search?tab=default_tab&amp;search_scope=EVERYTHING&amp;vid=01CRU&amp;lang=en_US&amp;offset=0&amp;query=any,contains,991004372639702656","Catalog Record")</f>
        <v>Catalog Record</v>
      </c>
      <c r="AT1602" s="6" t="str">
        <f>HYPERLINK("http://www.worldcat.org/oclc/47161345","WorldCat Record")</f>
        <v>WorldCat Record</v>
      </c>
      <c r="AU1602" s="3" t="s">
        <v>20087</v>
      </c>
      <c r="AV1602" s="3" t="s">
        <v>20088</v>
      </c>
      <c r="AW1602" s="3" t="s">
        <v>20089</v>
      </c>
      <c r="AX1602" s="3" t="s">
        <v>20089</v>
      </c>
      <c r="AY1602" s="3" t="s">
        <v>20090</v>
      </c>
      <c r="AZ1602" s="3" t="s">
        <v>73</v>
      </c>
      <c r="BB1602" s="3" t="s">
        <v>20091</v>
      </c>
      <c r="BC1602" s="3" t="s">
        <v>20092</v>
      </c>
      <c r="BD1602" s="3" t="s">
        <v>20093</v>
      </c>
    </row>
    <row r="1603" spans="1:56" ht="51" customHeight="1" x14ac:dyDescent="0.25">
      <c r="A1603" s="7" t="s">
        <v>58</v>
      </c>
      <c r="B1603" s="2" t="s">
        <v>20094</v>
      </c>
      <c r="C1603" s="2" t="s">
        <v>20095</v>
      </c>
      <c r="D1603" s="2" t="s">
        <v>20096</v>
      </c>
      <c r="F1603" s="3" t="s">
        <v>58</v>
      </c>
      <c r="G1603" s="3" t="s">
        <v>59</v>
      </c>
      <c r="H1603" s="3" t="s">
        <v>58</v>
      </c>
      <c r="I1603" s="3" t="s">
        <v>58</v>
      </c>
      <c r="J1603" s="3" t="s">
        <v>60</v>
      </c>
      <c r="K1603" s="2" t="s">
        <v>5744</v>
      </c>
      <c r="L1603" s="2" t="s">
        <v>20097</v>
      </c>
      <c r="M1603" s="3" t="s">
        <v>2757</v>
      </c>
      <c r="N1603" s="2" t="s">
        <v>1470</v>
      </c>
      <c r="O1603" s="3" t="s">
        <v>63</v>
      </c>
      <c r="P1603" s="3" t="s">
        <v>510</v>
      </c>
      <c r="R1603" s="3" t="s">
        <v>65</v>
      </c>
      <c r="S1603" s="4">
        <v>2</v>
      </c>
      <c r="T1603" s="4">
        <v>2</v>
      </c>
      <c r="U1603" s="5" t="s">
        <v>3643</v>
      </c>
      <c r="V1603" s="5" t="s">
        <v>3643</v>
      </c>
      <c r="W1603" s="5" t="s">
        <v>2034</v>
      </c>
      <c r="X1603" s="5" t="s">
        <v>2034</v>
      </c>
      <c r="Y1603" s="4">
        <v>389</v>
      </c>
      <c r="Z1603" s="4">
        <v>352</v>
      </c>
      <c r="AA1603" s="4">
        <v>357</v>
      </c>
      <c r="AB1603" s="4">
        <v>2</v>
      </c>
      <c r="AC1603" s="4">
        <v>3</v>
      </c>
      <c r="AD1603" s="4">
        <v>15</v>
      </c>
      <c r="AE1603" s="4">
        <v>16</v>
      </c>
      <c r="AF1603" s="4">
        <v>4</v>
      </c>
      <c r="AG1603" s="4">
        <v>4</v>
      </c>
      <c r="AH1603" s="4">
        <v>5</v>
      </c>
      <c r="AI1603" s="4">
        <v>5</v>
      </c>
      <c r="AJ1603" s="4">
        <v>7</v>
      </c>
      <c r="AK1603" s="4">
        <v>7</v>
      </c>
      <c r="AL1603" s="4">
        <v>1</v>
      </c>
      <c r="AM1603" s="4">
        <v>2</v>
      </c>
      <c r="AN1603" s="4">
        <v>0</v>
      </c>
      <c r="AO1603" s="4">
        <v>0</v>
      </c>
      <c r="AP1603" s="3" t="s">
        <v>58</v>
      </c>
      <c r="AQ1603" s="3" t="s">
        <v>58</v>
      </c>
      <c r="AS1603" s="6" t="str">
        <f>HYPERLINK("https://creighton-primo.hosted.exlibrisgroup.com/primo-explore/search?tab=default_tab&amp;search_scope=EVERYTHING&amp;vid=01CRU&amp;lang=en_US&amp;offset=0&amp;query=any,contains,991002717819702656","Catalog Record")</f>
        <v>Catalog Record</v>
      </c>
      <c r="AT1603" s="6" t="str">
        <f>HYPERLINK("http://www.worldcat.org/oclc/411728","WorldCat Record")</f>
        <v>WorldCat Record</v>
      </c>
      <c r="AU1603" s="3" t="s">
        <v>20098</v>
      </c>
      <c r="AV1603" s="3" t="s">
        <v>20099</v>
      </c>
      <c r="AW1603" s="3" t="s">
        <v>20100</v>
      </c>
      <c r="AX1603" s="3" t="s">
        <v>20100</v>
      </c>
      <c r="AY1603" s="3" t="s">
        <v>20101</v>
      </c>
      <c r="AZ1603" s="3" t="s">
        <v>73</v>
      </c>
      <c r="BC1603" s="3" t="s">
        <v>20102</v>
      </c>
      <c r="BD1603" s="3" t="s">
        <v>20103</v>
      </c>
    </row>
    <row r="1604" spans="1:56" ht="51" customHeight="1" x14ac:dyDescent="0.25">
      <c r="A1604" s="7" t="s">
        <v>58</v>
      </c>
      <c r="B1604" s="2" t="s">
        <v>20104</v>
      </c>
      <c r="C1604" s="2" t="s">
        <v>20105</v>
      </c>
      <c r="D1604" s="2" t="s">
        <v>20106</v>
      </c>
      <c r="F1604" s="3" t="s">
        <v>58</v>
      </c>
      <c r="G1604" s="3" t="s">
        <v>59</v>
      </c>
      <c r="H1604" s="3" t="s">
        <v>58</v>
      </c>
      <c r="I1604" s="3" t="s">
        <v>58</v>
      </c>
      <c r="J1604" s="3" t="s">
        <v>60</v>
      </c>
      <c r="K1604" s="2" t="s">
        <v>20107</v>
      </c>
      <c r="L1604" s="2" t="s">
        <v>20108</v>
      </c>
      <c r="M1604" s="3" t="s">
        <v>261</v>
      </c>
      <c r="O1604" s="3" t="s">
        <v>63</v>
      </c>
      <c r="P1604" s="3" t="s">
        <v>214</v>
      </c>
      <c r="R1604" s="3" t="s">
        <v>65</v>
      </c>
      <c r="S1604" s="4">
        <v>4</v>
      </c>
      <c r="T1604" s="4">
        <v>4</v>
      </c>
      <c r="U1604" s="5" t="s">
        <v>3643</v>
      </c>
      <c r="V1604" s="5" t="s">
        <v>3643</v>
      </c>
      <c r="W1604" s="5" t="s">
        <v>17547</v>
      </c>
      <c r="X1604" s="5" t="s">
        <v>17547</v>
      </c>
      <c r="Y1604" s="4">
        <v>208</v>
      </c>
      <c r="Z1604" s="4">
        <v>187</v>
      </c>
      <c r="AA1604" s="4">
        <v>261</v>
      </c>
      <c r="AB1604" s="4">
        <v>1</v>
      </c>
      <c r="AC1604" s="4">
        <v>3</v>
      </c>
      <c r="AD1604" s="4">
        <v>9</v>
      </c>
      <c r="AE1604" s="4">
        <v>14</v>
      </c>
      <c r="AF1604" s="4">
        <v>2</v>
      </c>
      <c r="AG1604" s="4">
        <v>3</v>
      </c>
      <c r="AH1604" s="4">
        <v>4</v>
      </c>
      <c r="AI1604" s="4">
        <v>4</v>
      </c>
      <c r="AJ1604" s="4">
        <v>6</v>
      </c>
      <c r="AK1604" s="4">
        <v>9</v>
      </c>
      <c r="AL1604" s="4">
        <v>0</v>
      </c>
      <c r="AM1604" s="4">
        <v>2</v>
      </c>
      <c r="AN1604" s="4">
        <v>0</v>
      </c>
      <c r="AO1604" s="4">
        <v>0</v>
      </c>
      <c r="AP1604" s="3" t="s">
        <v>58</v>
      </c>
      <c r="AQ1604" s="3" t="s">
        <v>58</v>
      </c>
      <c r="AS1604" s="6" t="str">
        <f>HYPERLINK("https://creighton-primo.hosted.exlibrisgroup.com/primo-explore/search?tab=default_tab&amp;search_scope=EVERYTHING&amp;vid=01CRU&amp;lang=en_US&amp;offset=0&amp;query=any,contains,991003689479702656","Catalog Record")</f>
        <v>Catalog Record</v>
      </c>
      <c r="AT1604" s="6" t="str">
        <f>HYPERLINK("http://www.worldcat.org/oclc/1319330","WorldCat Record")</f>
        <v>WorldCat Record</v>
      </c>
      <c r="AU1604" s="3" t="s">
        <v>20109</v>
      </c>
      <c r="AV1604" s="3" t="s">
        <v>20110</v>
      </c>
      <c r="AW1604" s="3" t="s">
        <v>20111</v>
      </c>
      <c r="AX1604" s="3" t="s">
        <v>20111</v>
      </c>
      <c r="AY1604" s="3" t="s">
        <v>20112</v>
      </c>
      <c r="AZ1604" s="3" t="s">
        <v>73</v>
      </c>
      <c r="BB1604" s="3" t="s">
        <v>20113</v>
      </c>
      <c r="BC1604" s="3" t="s">
        <v>20114</v>
      </c>
      <c r="BD1604" s="3" t="s">
        <v>20115</v>
      </c>
    </row>
    <row r="1605" spans="1:56" ht="51" customHeight="1" x14ac:dyDescent="0.25">
      <c r="A1605" s="7" t="s">
        <v>58</v>
      </c>
      <c r="B1605" s="2" t="s">
        <v>20116</v>
      </c>
      <c r="C1605" s="2" t="s">
        <v>20117</v>
      </c>
      <c r="D1605" s="2" t="s">
        <v>20118</v>
      </c>
      <c r="F1605" s="3" t="s">
        <v>58</v>
      </c>
      <c r="G1605" s="3" t="s">
        <v>59</v>
      </c>
      <c r="H1605" s="3" t="s">
        <v>58</v>
      </c>
      <c r="I1605" s="3" t="s">
        <v>58</v>
      </c>
      <c r="J1605" s="3" t="s">
        <v>60</v>
      </c>
      <c r="K1605" s="2" t="s">
        <v>20119</v>
      </c>
      <c r="L1605" s="2" t="s">
        <v>20120</v>
      </c>
      <c r="M1605" s="3" t="s">
        <v>759</v>
      </c>
      <c r="O1605" s="3" t="s">
        <v>63</v>
      </c>
      <c r="P1605" s="3" t="s">
        <v>3323</v>
      </c>
      <c r="R1605" s="3" t="s">
        <v>65</v>
      </c>
      <c r="S1605" s="4">
        <v>4</v>
      </c>
      <c r="T1605" s="4">
        <v>4</v>
      </c>
      <c r="U1605" s="5" t="s">
        <v>19043</v>
      </c>
      <c r="V1605" s="5" t="s">
        <v>19043</v>
      </c>
      <c r="W1605" s="5" t="s">
        <v>20121</v>
      </c>
      <c r="X1605" s="5" t="s">
        <v>20121</v>
      </c>
      <c r="Y1605" s="4">
        <v>218</v>
      </c>
      <c r="Z1605" s="4">
        <v>145</v>
      </c>
      <c r="AA1605" s="4">
        <v>147</v>
      </c>
      <c r="AB1605" s="4">
        <v>1</v>
      </c>
      <c r="AC1605" s="4">
        <v>1</v>
      </c>
      <c r="AD1605" s="4">
        <v>2</v>
      </c>
      <c r="AE1605" s="4">
        <v>2</v>
      </c>
      <c r="AF1605" s="4">
        <v>0</v>
      </c>
      <c r="AG1605" s="4">
        <v>0</v>
      </c>
      <c r="AH1605" s="4">
        <v>0</v>
      </c>
      <c r="AI1605" s="4">
        <v>0</v>
      </c>
      <c r="AJ1605" s="4">
        <v>2</v>
      </c>
      <c r="AK1605" s="4">
        <v>2</v>
      </c>
      <c r="AL1605" s="4">
        <v>0</v>
      </c>
      <c r="AM1605" s="4">
        <v>0</v>
      </c>
      <c r="AN1605" s="4">
        <v>0</v>
      </c>
      <c r="AO1605" s="4">
        <v>0</v>
      </c>
      <c r="AP1605" s="3" t="s">
        <v>58</v>
      </c>
      <c r="AQ1605" s="3" t="s">
        <v>68</v>
      </c>
      <c r="AR1605" s="6" t="str">
        <f>HYPERLINK("http://catalog.hathitrust.org/Record/000126242","HathiTrust Record")</f>
        <v>HathiTrust Record</v>
      </c>
      <c r="AS1605" s="6" t="str">
        <f>HYPERLINK("https://creighton-primo.hosted.exlibrisgroup.com/primo-explore/search?tab=default_tab&amp;search_scope=EVERYTHING&amp;vid=01CRU&amp;lang=en_US&amp;offset=0&amp;query=any,contains,991005061649702656","Catalog Record")</f>
        <v>Catalog Record</v>
      </c>
      <c r="AT1605" s="6" t="str">
        <f>HYPERLINK("http://www.worldcat.org/oclc/6920995","WorldCat Record")</f>
        <v>WorldCat Record</v>
      </c>
      <c r="AU1605" s="3" t="s">
        <v>20122</v>
      </c>
      <c r="AV1605" s="3" t="s">
        <v>20123</v>
      </c>
      <c r="AW1605" s="3" t="s">
        <v>20124</v>
      </c>
      <c r="AX1605" s="3" t="s">
        <v>20124</v>
      </c>
      <c r="AY1605" s="3" t="s">
        <v>20125</v>
      </c>
      <c r="AZ1605" s="3" t="s">
        <v>73</v>
      </c>
      <c r="BC1605" s="3" t="s">
        <v>20126</v>
      </c>
      <c r="BD1605" s="3" t="s">
        <v>20127</v>
      </c>
    </row>
    <row r="1606" spans="1:56" ht="51" customHeight="1" x14ac:dyDescent="0.25">
      <c r="A1606" s="7" t="s">
        <v>58</v>
      </c>
      <c r="B1606" s="2" t="s">
        <v>20128</v>
      </c>
      <c r="C1606" s="2" t="s">
        <v>20129</v>
      </c>
      <c r="D1606" s="2" t="s">
        <v>20130</v>
      </c>
      <c r="F1606" s="3" t="s">
        <v>58</v>
      </c>
      <c r="G1606" s="3" t="s">
        <v>59</v>
      </c>
      <c r="H1606" s="3" t="s">
        <v>58</v>
      </c>
      <c r="I1606" s="3" t="s">
        <v>58</v>
      </c>
      <c r="J1606" s="3" t="s">
        <v>60</v>
      </c>
      <c r="K1606" s="2" t="s">
        <v>20131</v>
      </c>
      <c r="L1606" s="2" t="s">
        <v>20132</v>
      </c>
      <c r="M1606" s="3" t="s">
        <v>261</v>
      </c>
      <c r="O1606" s="3" t="s">
        <v>63</v>
      </c>
      <c r="P1606" s="3" t="s">
        <v>354</v>
      </c>
      <c r="R1606" s="3" t="s">
        <v>65</v>
      </c>
      <c r="S1606" s="4">
        <v>3</v>
      </c>
      <c r="T1606" s="4">
        <v>3</v>
      </c>
      <c r="U1606" s="5" t="s">
        <v>19043</v>
      </c>
      <c r="V1606" s="5" t="s">
        <v>19043</v>
      </c>
      <c r="W1606" s="5" t="s">
        <v>17547</v>
      </c>
      <c r="X1606" s="5" t="s">
        <v>17547</v>
      </c>
      <c r="Y1606" s="4">
        <v>480</v>
      </c>
      <c r="Z1606" s="4">
        <v>346</v>
      </c>
      <c r="AA1606" s="4">
        <v>637</v>
      </c>
      <c r="AB1606" s="4">
        <v>3</v>
      </c>
      <c r="AC1606" s="4">
        <v>3</v>
      </c>
      <c r="AD1606" s="4">
        <v>18</v>
      </c>
      <c r="AE1606" s="4">
        <v>28</v>
      </c>
      <c r="AF1606" s="4">
        <v>6</v>
      </c>
      <c r="AG1606" s="4">
        <v>12</v>
      </c>
      <c r="AH1606" s="4">
        <v>4</v>
      </c>
      <c r="AI1606" s="4">
        <v>7</v>
      </c>
      <c r="AJ1606" s="4">
        <v>13</v>
      </c>
      <c r="AK1606" s="4">
        <v>16</v>
      </c>
      <c r="AL1606" s="4">
        <v>2</v>
      </c>
      <c r="AM1606" s="4">
        <v>2</v>
      </c>
      <c r="AN1606" s="4">
        <v>0</v>
      </c>
      <c r="AO1606" s="4">
        <v>0</v>
      </c>
      <c r="AP1606" s="3" t="s">
        <v>58</v>
      </c>
      <c r="AQ1606" s="3" t="s">
        <v>68</v>
      </c>
      <c r="AR1606" s="6" t="str">
        <f>HYPERLINK("http://catalog.hathitrust.org/Record/000018100","HathiTrust Record")</f>
        <v>HathiTrust Record</v>
      </c>
      <c r="AS1606" s="6" t="str">
        <f>HYPERLINK("https://creighton-primo.hosted.exlibrisgroup.com/primo-explore/search?tab=default_tab&amp;search_scope=EVERYTHING&amp;vid=01CRU&amp;lang=en_US&amp;offset=0&amp;query=any,contains,991003619599702656","Catalog Record")</f>
        <v>Catalog Record</v>
      </c>
      <c r="AT1606" s="6" t="str">
        <f>HYPERLINK("http://www.worldcat.org/oclc/1206081","WorldCat Record")</f>
        <v>WorldCat Record</v>
      </c>
      <c r="AU1606" s="3" t="s">
        <v>20133</v>
      </c>
      <c r="AV1606" s="3" t="s">
        <v>20134</v>
      </c>
      <c r="AW1606" s="3" t="s">
        <v>20135</v>
      </c>
      <c r="AX1606" s="3" t="s">
        <v>20135</v>
      </c>
      <c r="AY1606" s="3" t="s">
        <v>20136</v>
      </c>
      <c r="AZ1606" s="3" t="s">
        <v>73</v>
      </c>
      <c r="BB1606" s="3" t="s">
        <v>20137</v>
      </c>
      <c r="BC1606" s="3" t="s">
        <v>20138</v>
      </c>
      <c r="BD1606" s="3" t="s">
        <v>20139</v>
      </c>
    </row>
    <row r="1607" spans="1:56" ht="51" customHeight="1" x14ac:dyDescent="0.25">
      <c r="A1607" s="7" t="s">
        <v>58</v>
      </c>
      <c r="B1607" s="2" t="s">
        <v>20140</v>
      </c>
      <c r="C1607" s="2" t="s">
        <v>20141</v>
      </c>
      <c r="D1607" s="2" t="s">
        <v>20142</v>
      </c>
      <c r="F1607" s="3" t="s">
        <v>58</v>
      </c>
      <c r="G1607" s="3" t="s">
        <v>59</v>
      </c>
      <c r="H1607" s="3" t="s">
        <v>58</v>
      </c>
      <c r="I1607" s="3" t="s">
        <v>58</v>
      </c>
      <c r="J1607" s="3" t="s">
        <v>60</v>
      </c>
      <c r="K1607" s="2" t="s">
        <v>9645</v>
      </c>
      <c r="L1607" s="2" t="s">
        <v>20143</v>
      </c>
      <c r="M1607" s="3" t="s">
        <v>1399</v>
      </c>
      <c r="O1607" s="3" t="s">
        <v>63</v>
      </c>
      <c r="P1607" s="3" t="s">
        <v>816</v>
      </c>
      <c r="R1607" s="3" t="s">
        <v>65</v>
      </c>
      <c r="S1607" s="4">
        <v>3</v>
      </c>
      <c r="T1607" s="4">
        <v>3</v>
      </c>
      <c r="U1607" s="5" t="s">
        <v>20144</v>
      </c>
      <c r="V1607" s="5" t="s">
        <v>20144</v>
      </c>
      <c r="W1607" s="5" t="s">
        <v>20145</v>
      </c>
      <c r="X1607" s="5" t="s">
        <v>20145</v>
      </c>
      <c r="Y1607" s="4">
        <v>754</v>
      </c>
      <c r="Z1607" s="4">
        <v>709</v>
      </c>
      <c r="AA1607" s="4">
        <v>872</v>
      </c>
      <c r="AB1607" s="4">
        <v>3</v>
      </c>
      <c r="AC1607" s="4">
        <v>4</v>
      </c>
      <c r="AD1607" s="4">
        <v>9</v>
      </c>
      <c r="AE1607" s="4">
        <v>14</v>
      </c>
      <c r="AF1607" s="4">
        <v>3</v>
      </c>
      <c r="AG1607" s="4">
        <v>5</v>
      </c>
      <c r="AH1607" s="4">
        <v>3</v>
      </c>
      <c r="AI1607" s="4">
        <v>4</v>
      </c>
      <c r="AJ1607" s="4">
        <v>7</v>
      </c>
      <c r="AK1607" s="4">
        <v>8</v>
      </c>
      <c r="AL1607" s="4">
        <v>0</v>
      </c>
      <c r="AM1607" s="4">
        <v>1</v>
      </c>
      <c r="AN1607" s="4">
        <v>0</v>
      </c>
      <c r="AO1607" s="4">
        <v>0</v>
      </c>
      <c r="AP1607" s="3" t="s">
        <v>58</v>
      </c>
      <c r="AQ1607" s="3" t="s">
        <v>68</v>
      </c>
      <c r="AR1607" s="6" t="str">
        <f>HYPERLINK("http://catalog.hathitrust.org/Record/000873601","HathiTrust Record")</f>
        <v>HathiTrust Record</v>
      </c>
      <c r="AS1607" s="6" t="str">
        <f>HYPERLINK("https://creighton-primo.hosted.exlibrisgroup.com/primo-explore/search?tab=default_tab&amp;search_scope=EVERYTHING&amp;vid=01CRU&amp;lang=en_US&amp;offset=0&amp;query=any,contains,991001094659702656","Catalog Record")</f>
        <v>Catalog Record</v>
      </c>
      <c r="AT1607" s="6" t="str">
        <f>HYPERLINK("http://www.worldcat.org/oclc/16227970","WorldCat Record")</f>
        <v>WorldCat Record</v>
      </c>
      <c r="AU1607" s="3" t="s">
        <v>20146</v>
      </c>
      <c r="AV1607" s="3" t="s">
        <v>20147</v>
      </c>
      <c r="AW1607" s="3" t="s">
        <v>20148</v>
      </c>
      <c r="AX1607" s="3" t="s">
        <v>20148</v>
      </c>
      <c r="AY1607" s="3" t="s">
        <v>20149</v>
      </c>
      <c r="AZ1607" s="3" t="s">
        <v>73</v>
      </c>
      <c r="BB1607" s="3" t="s">
        <v>20150</v>
      </c>
      <c r="BC1607" s="3" t="s">
        <v>20151</v>
      </c>
      <c r="BD1607" s="3" t="s">
        <v>20152</v>
      </c>
    </row>
    <row r="1608" spans="1:56" ht="51" customHeight="1" x14ac:dyDescent="0.25">
      <c r="A1608" s="7" t="s">
        <v>58</v>
      </c>
      <c r="B1608" s="2" t="s">
        <v>20153</v>
      </c>
      <c r="C1608" s="2" t="s">
        <v>20154</v>
      </c>
      <c r="D1608" s="2" t="s">
        <v>20155</v>
      </c>
      <c r="F1608" s="3" t="s">
        <v>58</v>
      </c>
      <c r="G1608" s="3" t="s">
        <v>59</v>
      </c>
      <c r="H1608" s="3" t="s">
        <v>58</v>
      </c>
      <c r="I1608" s="3" t="s">
        <v>58</v>
      </c>
      <c r="J1608" s="3" t="s">
        <v>60</v>
      </c>
      <c r="K1608" s="2" t="s">
        <v>20156</v>
      </c>
      <c r="L1608" s="2" t="s">
        <v>20157</v>
      </c>
      <c r="M1608" s="3" t="s">
        <v>83</v>
      </c>
      <c r="O1608" s="3" t="s">
        <v>63</v>
      </c>
      <c r="P1608" s="3" t="s">
        <v>214</v>
      </c>
      <c r="R1608" s="3" t="s">
        <v>65</v>
      </c>
      <c r="S1608" s="4">
        <v>7</v>
      </c>
      <c r="T1608" s="4">
        <v>7</v>
      </c>
      <c r="U1608" s="5" t="s">
        <v>18258</v>
      </c>
      <c r="V1608" s="5" t="s">
        <v>18258</v>
      </c>
      <c r="W1608" s="5" t="s">
        <v>20121</v>
      </c>
      <c r="X1608" s="5" t="s">
        <v>20121</v>
      </c>
      <c r="Y1608" s="4">
        <v>346</v>
      </c>
      <c r="Z1608" s="4">
        <v>232</v>
      </c>
      <c r="AA1608" s="4">
        <v>234</v>
      </c>
      <c r="AB1608" s="4">
        <v>3</v>
      </c>
      <c r="AC1608" s="4">
        <v>3</v>
      </c>
      <c r="AD1608" s="4">
        <v>8</v>
      </c>
      <c r="AE1608" s="4">
        <v>8</v>
      </c>
      <c r="AF1608" s="4">
        <v>0</v>
      </c>
      <c r="AG1608" s="4">
        <v>0</v>
      </c>
      <c r="AH1608" s="4">
        <v>2</v>
      </c>
      <c r="AI1608" s="4">
        <v>2</v>
      </c>
      <c r="AJ1608" s="4">
        <v>5</v>
      </c>
      <c r="AK1608" s="4">
        <v>5</v>
      </c>
      <c r="AL1608" s="4">
        <v>2</v>
      </c>
      <c r="AM1608" s="4">
        <v>2</v>
      </c>
      <c r="AN1608" s="4">
        <v>0</v>
      </c>
      <c r="AO1608" s="4">
        <v>0</v>
      </c>
      <c r="AP1608" s="3" t="s">
        <v>58</v>
      </c>
      <c r="AQ1608" s="3" t="s">
        <v>68</v>
      </c>
      <c r="AR1608" s="6" t="str">
        <f>HYPERLINK("http://catalog.hathitrust.org/Record/000751372","HathiTrust Record")</f>
        <v>HathiTrust Record</v>
      </c>
      <c r="AS1608" s="6" t="str">
        <f>HYPERLINK("https://creighton-primo.hosted.exlibrisgroup.com/primo-explore/search?tab=default_tab&amp;search_scope=EVERYTHING&amp;vid=01CRU&amp;lang=en_US&amp;offset=0&amp;query=any,contains,991004425959702656","Catalog Record")</f>
        <v>Catalog Record</v>
      </c>
      <c r="AT1608" s="6" t="str">
        <f>HYPERLINK("http://www.worldcat.org/oclc/3397314","WorldCat Record")</f>
        <v>WorldCat Record</v>
      </c>
      <c r="AU1608" s="3" t="s">
        <v>20158</v>
      </c>
      <c r="AV1608" s="3" t="s">
        <v>20159</v>
      </c>
      <c r="AW1608" s="3" t="s">
        <v>20160</v>
      </c>
      <c r="AX1608" s="3" t="s">
        <v>20160</v>
      </c>
      <c r="AY1608" s="3" t="s">
        <v>20161</v>
      </c>
      <c r="AZ1608" s="3" t="s">
        <v>73</v>
      </c>
      <c r="BB1608" s="3" t="s">
        <v>20162</v>
      </c>
      <c r="BC1608" s="3" t="s">
        <v>20163</v>
      </c>
      <c r="BD1608" s="3" t="s">
        <v>20164</v>
      </c>
    </row>
    <row r="1609" spans="1:56" ht="51" customHeight="1" x14ac:dyDescent="0.25">
      <c r="A1609" s="7" t="s">
        <v>58</v>
      </c>
      <c r="B1609" s="2" t="s">
        <v>20165</v>
      </c>
      <c r="C1609" s="2" t="s">
        <v>20166</v>
      </c>
      <c r="D1609" s="2" t="s">
        <v>20167</v>
      </c>
      <c r="F1609" s="3" t="s">
        <v>58</v>
      </c>
      <c r="G1609" s="3" t="s">
        <v>59</v>
      </c>
      <c r="H1609" s="3" t="s">
        <v>58</v>
      </c>
      <c r="I1609" s="3" t="s">
        <v>58</v>
      </c>
      <c r="J1609" s="3" t="s">
        <v>60</v>
      </c>
      <c r="K1609" s="2" t="s">
        <v>20168</v>
      </c>
      <c r="L1609" s="2" t="s">
        <v>20169</v>
      </c>
      <c r="M1609" s="3" t="s">
        <v>62</v>
      </c>
      <c r="O1609" s="3" t="s">
        <v>63</v>
      </c>
      <c r="P1609" s="3" t="s">
        <v>20170</v>
      </c>
      <c r="Q1609" s="2" t="s">
        <v>20171</v>
      </c>
      <c r="R1609" s="3" t="s">
        <v>65</v>
      </c>
      <c r="S1609" s="4">
        <v>5</v>
      </c>
      <c r="T1609" s="4">
        <v>5</v>
      </c>
      <c r="U1609" s="5" t="s">
        <v>17420</v>
      </c>
      <c r="V1609" s="5" t="s">
        <v>17420</v>
      </c>
      <c r="W1609" s="5" t="s">
        <v>17547</v>
      </c>
      <c r="X1609" s="5" t="s">
        <v>17547</v>
      </c>
      <c r="Y1609" s="4">
        <v>298</v>
      </c>
      <c r="Z1609" s="4">
        <v>213</v>
      </c>
      <c r="AA1609" s="4">
        <v>218</v>
      </c>
      <c r="AB1609" s="4">
        <v>2</v>
      </c>
      <c r="AC1609" s="4">
        <v>2</v>
      </c>
      <c r="AD1609" s="4">
        <v>11</v>
      </c>
      <c r="AE1609" s="4">
        <v>11</v>
      </c>
      <c r="AF1609" s="4">
        <v>3</v>
      </c>
      <c r="AG1609" s="4">
        <v>3</v>
      </c>
      <c r="AH1609" s="4">
        <v>5</v>
      </c>
      <c r="AI1609" s="4">
        <v>5</v>
      </c>
      <c r="AJ1609" s="4">
        <v>5</v>
      </c>
      <c r="AK1609" s="4">
        <v>5</v>
      </c>
      <c r="AL1609" s="4">
        <v>1</v>
      </c>
      <c r="AM1609" s="4">
        <v>1</v>
      </c>
      <c r="AN1609" s="4">
        <v>0</v>
      </c>
      <c r="AO1609" s="4">
        <v>0</v>
      </c>
      <c r="AP1609" s="3" t="s">
        <v>58</v>
      </c>
      <c r="AQ1609" s="3" t="s">
        <v>58</v>
      </c>
      <c r="AS1609" s="6" t="str">
        <f>HYPERLINK("https://creighton-primo.hosted.exlibrisgroup.com/primo-explore/search?tab=default_tab&amp;search_scope=EVERYTHING&amp;vid=01CRU&amp;lang=en_US&amp;offset=0&amp;query=any,contains,991001236629702656","Catalog Record")</f>
        <v>Catalog Record</v>
      </c>
      <c r="AT1609" s="6" t="str">
        <f>HYPERLINK("http://www.worldcat.org/oclc/206596","WorldCat Record")</f>
        <v>WorldCat Record</v>
      </c>
      <c r="AU1609" s="3" t="s">
        <v>20172</v>
      </c>
      <c r="AV1609" s="3" t="s">
        <v>20173</v>
      </c>
      <c r="AW1609" s="3" t="s">
        <v>20174</v>
      </c>
      <c r="AX1609" s="3" t="s">
        <v>20174</v>
      </c>
      <c r="AY1609" s="3" t="s">
        <v>20175</v>
      </c>
      <c r="AZ1609" s="3" t="s">
        <v>73</v>
      </c>
      <c r="BC1609" s="3" t="s">
        <v>20176</v>
      </c>
      <c r="BD1609" s="3" t="s">
        <v>20177</v>
      </c>
    </row>
    <row r="1610" spans="1:56" ht="51" customHeight="1" x14ac:dyDescent="0.25">
      <c r="A1610" s="7" t="s">
        <v>58</v>
      </c>
      <c r="B1610" s="2" t="s">
        <v>20178</v>
      </c>
      <c r="C1610" s="2" t="s">
        <v>20179</v>
      </c>
      <c r="D1610" s="2" t="s">
        <v>20180</v>
      </c>
      <c r="F1610" s="3" t="s">
        <v>58</v>
      </c>
      <c r="G1610" s="3" t="s">
        <v>59</v>
      </c>
      <c r="H1610" s="3" t="s">
        <v>58</v>
      </c>
      <c r="I1610" s="3" t="s">
        <v>58</v>
      </c>
      <c r="J1610" s="3" t="s">
        <v>60</v>
      </c>
      <c r="K1610" s="2" t="s">
        <v>20181</v>
      </c>
      <c r="L1610" s="2" t="s">
        <v>20182</v>
      </c>
      <c r="M1610" s="3" t="s">
        <v>1499</v>
      </c>
      <c r="N1610" s="2" t="s">
        <v>1470</v>
      </c>
      <c r="O1610" s="3" t="s">
        <v>63</v>
      </c>
      <c r="P1610" s="3" t="s">
        <v>214</v>
      </c>
      <c r="Q1610" s="2" t="s">
        <v>20183</v>
      </c>
      <c r="R1610" s="3" t="s">
        <v>65</v>
      </c>
      <c r="S1610" s="4">
        <v>4</v>
      </c>
      <c r="T1610" s="4">
        <v>4</v>
      </c>
      <c r="U1610" s="5" t="s">
        <v>20184</v>
      </c>
      <c r="V1610" s="5" t="s">
        <v>20184</v>
      </c>
      <c r="W1610" s="5" t="s">
        <v>17547</v>
      </c>
      <c r="X1610" s="5" t="s">
        <v>17547</v>
      </c>
      <c r="Y1610" s="4">
        <v>734</v>
      </c>
      <c r="Z1610" s="4">
        <v>680</v>
      </c>
      <c r="AA1610" s="4">
        <v>701</v>
      </c>
      <c r="AB1610" s="4">
        <v>5</v>
      </c>
      <c r="AC1610" s="4">
        <v>5</v>
      </c>
      <c r="AD1610" s="4">
        <v>16</v>
      </c>
      <c r="AE1610" s="4">
        <v>17</v>
      </c>
      <c r="AF1610" s="4">
        <v>5</v>
      </c>
      <c r="AG1610" s="4">
        <v>5</v>
      </c>
      <c r="AH1610" s="4">
        <v>5</v>
      </c>
      <c r="AI1610" s="4">
        <v>6</v>
      </c>
      <c r="AJ1610" s="4">
        <v>8</v>
      </c>
      <c r="AK1610" s="4">
        <v>9</v>
      </c>
      <c r="AL1610" s="4">
        <v>2</v>
      </c>
      <c r="AM1610" s="4">
        <v>2</v>
      </c>
      <c r="AN1610" s="4">
        <v>0</v>
      </c>
      <c r="AO1610" s="4">
        <v>0</v>
      </c>
      <c r="AP1610" s="3" t="s">
        <v>58</v>
      </c>
      <c r="AQ1610" s="3" t="s">
        <v>68</v>
      </c>
      <c r="AR1610" s="6" t="str">
        <f>HYPERLINK("http://catalog.hathitrust.org/Record/001256001","HathiTrust Record")</f>
        <v>HathiTrust Record</v>
      </c>
      <c r="AS1610" s="6" t="str">
        <f>HYPERLINK("https://creighton-primo.hosted.exlibrisgroup.com/primo-explore/search?tab=default_tab&amp;search_scope=EVERYTHING&amp;vid=01CRU&amp;lang=en_US&amp;offset=0&amp;query=any,contains,991003183899702656","Catalog Record")</f>
        <v>Catalog Record</v>
      </c>
      <c r="AT1610" s="6" t="str">
        <f>HYPERLINK("http://www.worldcat.org/oclc/712354","WorldCat Record")</f>
        <v>WorldCat Record</v>
      </c>
      <c r="AU1610" s="3" t="s">
        <v>20185</v>
      </c>
      <c r="AV1610" s="3" t="s">
        <v>20186</v>
      </c>
      <c r="AW1610" s="3" t="s">
        <v>20187</v>
      </c>
      <c r="AX1610" s="3" t="s">
        <v>20187</v>
      </c>
      <c r="AY1610" s="3" t="s">
        <v>20188</v>
      </c>
      <c r="AZ1610" s="3" t="s">
        <v>73</v>
      </c>
      <c r="BC1610" s="3" t="s">
        <v>20189</v>
      </c>
      <c r="BD1610" s="3" t="s">
        <v>20190</v>
      </c>
    </row>
    <row r="1611" spans="1:56" ht="51" customHeight="1" x14ac:dyDescent="0.25">
      <c r="A1611" s="7" t="s">
        <v>58</v>
      </c>
      <c r="B1611" s="2" t="s">
        <v>20191</v>
      </c>
      <c r="C1611" s="2" t="s">
        <v>20192</v>
      </c>
      <c r="D1611" s="2" t="s">
        <v>20193</v>
      </c>
      <c r="F1611" s="3" t="s">
        <v>58</v>
      </c>
      <c r="G1611" s="3" t="s">
        <v>59</v>
      </c>
      <c r="H1611" s="3" t="s">
        <v>58</v>
      </c>
      <c r="I1611" s="3" t="s">
        <v>58</v>
      </c>
      <c r="J1611" s="3" t="s">
        <v>60</v>
      </c>
      <c r="K1611" s="2" t="s">
        <v>20194</v>
      </c>
      <c r="L1611" s="2" t="s">
        <v>12418</v>
      </c>
      <c r="M1611" s="3" t="s">
        <v>552</v>
      </c>
      <c r="O1611" s="3" t="s">
        <v>63</v>
      </c>
      <c r="P1611" s="3" t="s">
        <v>2630</v>
      </c>
      <c r="Q1611" s="2" t="s">
        <v>20195</v>
      </c>
      <c r="R1611" s="3" t="s">
        <v>65</v>
      </c>
      <c r="S1611" s="4">
        <v>24</v>
      </c>
      <c r="T1611" s="4">
        <v>24</v>
      </c>
      <c r="U1611" s="5" t="s">
        <v>20196</v>
      </c>
      <c r="V1611" s="5" t="s">
        <v>20196</v>
      </c>
      <c r="W1611" s="5" t="s">
        <v>20197</v>
      </c>
      <c r="X1611" s="5" t="s">
        <v>20197</v>
      </c>
      <c r="Y1611" s="4">
        <v>469</v>
      </c>
      <c r="Z1611" s="4">
        <v>350</v>
      </c>
      <c r="AA1611" s="4">
        <v>356</v>
      </c>
      <c r="AB1611" s="4">
        <v>4</v>
      </c>
      <c r="AC1611" s="4">
        <v>4</v>
      </c>
      <c r="AD1611" s="4">
        <v>15</v>
      </c>
      <c r="AE1611" s="4">
        <v>15</v>
      </c>
      <c r="AF1611" s="4">
        <v>3</v>
      </c>
      <c r="AG1611" s="4">
        <v>3</v>
      </c>
      <c r="AH1611" s="4">
        <v>5</v>
      </c>
      <c r="AI1611" s="4">
        <v>5</v>
      </c>
      <c r="AJ1611" s="4">
        <v>7</v>
      </c>
      <c r="AK1611" s="4">
        <v>7</v>
      </c>
      <c r="AL1611" s="4">
        <v>3</v>
      </c>
      <c r="AM1611" s="4">
        <v>3</v>
      </c>
      <c r="AN1611" s="4">
        <v>0</v>
      </c>
      <c r="AO1611" s="4">
        <v>0</v>
      </c>
      <c r="AP1611" s="3" t="s">
        <v>58</v>
      </c>
      <c r="AQ1611" s="3" t="s">
        <v>68</v>
      </c>
      <c r="AR1611" s="6" t="str">
        <f>HYPERLINK("http://catalog.hathitrust.org/Record/002053314","HathiTrust Record")</f>
        <v>HathiTrust Record</v>
      </c>
      <c r="AS1611" s="6" t="str">
        <f>HYPERLINK("https://creighton-primo.hosted.exlibrisgroup.com/primo-explore/search?tab=default_tab&amp;search_scope=EVERYTHING&amp;vid=01CRU&amp;lang=en_US&amp;offset=0&amp;query=any,contains,991001568759702656","Catalog Record")</f>
        <v>Catalog Record</v>
      </c>
      <c r="AT1611" s="6" t="str">
        <f>HYPERLINK("http://www.worldcat.org/oclc/20358608","WorldCat Record")</f>
        <v>WorldCat Record</v>
      </c>
      <c r="AU1611" s="3" t="s">
        <v>20198</v>
      </c>
      <c r="AV1611" s="3" t="s">
        <v>20199</v>
      </c>
      <c r="AW1611" s="3" t="s">
        <v>20200</v>
      </c>
      <c r="AX1611" s="3" t="s">
        <v>20200</v>
      </c>
      <c r="AY1611" s="3" t="s">
        <v>20201</v>
      </c>
      <c r="AZ1611" s="3" t="s">
        <v>73</v>
      </c>
      <c r="BB1611" s="3" t="s">
        <v>20202</v>
      </c>
      <c r="BC1611" s="3" t="s">
        <v>20203</v>
      </c>
      <c r="BD1611" s="3" t="s">
        <v>20204</v>
      </c>
    </row>
    <row r="1612" spans="1:56" ht="51" customHeight="1" x14ac:dyDescent="0.25">
      <c r="A1612" s="7" t="s">
        <v>58</v>
      </c>
      <c r="B1612" s="2" t="s">
        <v>20205</v>
      </c>
      <c r="C1612" s="2" t="s">
        <v>20206</v>
      </c>
      <c r="D1612" s="2" t="s">
        <v>20207</v>
      </c>
      <c r="F1612" s="3" t="s">
        <v>58</v>
      </c>
      <c r="G1612" s="3" t="s">
        <v>59</v>
      </c>
      <c r="H1612" s="3" t="s">
        <v>58</v>
      </c>
      <c r="I1612" s="3" t="s">
        <v>58</v>
      </c>
      <c r="J1612" s="3" t="s">
        <v>60</v>
      </c>
      <c r="K1612" s="2" t="s">
        <v>20208</v>
      </c>
      <c r="L1612" s="2" t="s">
        <v>20209</v>
      </c>
      <c r="M1612" s="3" t="s">
        <v>745</v>
      </c>
      <c r="O1612" s="3" t="s">
        <v>63</v>
      </c>
      <c r="P1612" s="3" t="s">
        <v>20170</v>
      </c>
      <c r="R1612" s="3" t="s">
        <v>65</v>
      </c>
      <c r="S1612" s="4">
        <v>3</v>
      </c>
      <c r="T1612" s="4">
        <v>3</v>
      </c>
      <c r="U1612" s="5" t="s">
        <v>20184</v>
      </c>
      <c r="V1612" s="5" t="s">
        <v>20184</v>
      </c>
      <c r="W1612" s="5" t="s">
        <v>17547</v>
      </c>
      <c r="X1612" s="5" t="s">
        <v>17547</v>
      </c>
      <c r="Y1612" s="4">
        <v>272</v>
      </c>
      <c r="Z1612" s="4">
        <v>203</v>
      </c>
      <c r="AA1612" s="4">
        <v>238</v>
      </c>
      <c r="AB1612" s="4">
        <v>3</v>
      </c>
      <c r="AC1612" s="4">
        <v>3</v>
      </c>
      <c r="AD1612" s="4">
        <v>10</v>
      </c>
      <c r="AE1612" s="4">
        <v>10</v>
      </c>
      <c r="AF1612" s="4">
        <v>1</v>
      </c>
      <c r="AG1612" s="4">
        <v>1</v>
      </c>
      <c r="AH1612" s="4">
        <v>3</v>
      </c>
      <c r="AI1612" s="4">
        <v>3</v>
      </c>
      <c r="AJ1612" s="4">
        <v>6</v>
      </c>
      <c r="AK1612" s="4">
        <v>6</v>
      </c>
      <c r="AL1612" s="4">
        <v>2</v>
      </c>
      <c r="AM1612" s="4">
        <v>2</v>
      </c>
      <c r="AN1612" s="4">
        <v>0</v>
      </c>
      <c r="AO1612" s="4">
        <v>0</v>
      </c>
      <c r="AP1612" s="3" t="s">
        <v>58</v>
      </c>
      <c r="AQ1612" s="3" t="s">
        <v>68</v>
      </c>
      <c r="AR1612" s="6" t="str">
        <f>HYPERLINK("http://catalog.hathitrust.org/Record/001256007","HathiTrust Record")</f>
        <v>HathiTrust Record</v>
      </c>
      <c r="AS1612" s="6" t="str">
        <f>HYPERLINK("https://creighton-primo.hosted.exlibrisgroup.com/primo-explore/search?tab=default_tab&amp;search_scope=EVERYTHING&amp;vid=01CRU&amp;lang=en_US&amp;offset=0&amp;query=any,contains,991002765369702656","Catalog Record")</f>
        <v>Catalog Record</v>
      </c>
      <c r="AT1612" s="6" t="str">
        <f>HYPERLINK("http://www.worldcat.org/oclc/433030","WorldCat Record")</f>
        <v>WorldCat Record</v>
      </c>
      <c r="AU1612" s="3" t="s">
        <v>20210</v>
      </c>
      <c r="AV1612" s="3" t="s">
        <v>20211</v>
      </c>
      <c r="AW1612" s="3" t="s">
        <v>20212</v>
      </c>
      <c r="AX1612" s="3" t="s">
        <v>20212</v>
      </c>
      <c r="AY1612" s="3" t="s">
        <v>20213</v>
      </c>
      <c r="AZ1612" s="3" t="s">
        <v>73</v>
      </c>
      <c r="BC1612" s="3" t="s">
        <v>20214</v>
      </c>
      <c r="BD1612" s="3" t="s">
        <v>20215</v>
      </c>
    </row>
    <row r="1613" spans="1:56" ht="51" customHeight="1" x14ac:dyDescent="0.25">
      <c r="A1613" s="7" t="s">
        <v>58</v>
      </c>
      <c r="B1613" s="2" t="s">
        <v>20216</v>
      </c>
      <c r="C1613" s="2" t="s">
        <v>20217</v>
      </c>
      <c r="D1613" s="2" t="s">
        <v>20218</v>
      </c>
      <c r="F1613" s="3" t="s">
        <v>58</v>
      </c>
      <c r="G1613" s="3" t="s">
        <v>59</v>
      </c>
      <c r="H1613" s="3" t="s">
        <v>58</v>
      </c>
      <c r="I1613" s="3" t="s">
        <v>58</v>
      </c>
      <c r="J1613" s="3" t="s">
        <v>60</v>
      </c>
      <c r="K1613" s="2" t="s">
        <v>20219</v>
      </c>
      <c r="L1613" s="2" t="s">
        <v>20220</v>
      </c>
      <c r="M1613" s="3" t="s">
        <v>996</v>
      </c>
      <c r="O1613" s="3" t="s">
        <v>63</v>
      </c>
      <c r="P1613" s="3" t="s">
        <v>584</v>
      </c>
      <c r="Q1613" s="2" t="s">
        <v>20221</v>
      </c>
      <c r="R1613" s="3" t="s">
        <v>65</v>
      </c>
      <c r="S1613" s="4">
        <v>9</v>
      </c>
      <c r="T1613" s="4">
        <v>9</v>
      </c>
      <c r="U1613" s="5" t="s">
        <v>20222</v>
      </c>
      <c r="V1613" s="5" t="s">
        <v>20222</v>
      </c>
      <c r="W1613" s="5" t="s">
        <v>20223</v>
      </c>
      <c r="X1613" s="5" t="s">
        <v>20223</v>
      </c>
      <c r="Y1613" s="4">
        <v>368</v>
      </c>
      <c r="Z1613" s="4">
        <v>245</v>
      </c>
      <c r="AA1613" s="4">
        <v>248</v>
      </c>
      <c r="AB1613" s="4">
        <v>2</v>
      </c>
      <c r="AC1613" s="4">
        <v>2</v>
      </c>
      <c r="AD1613" s="4">
        <v>7</v>
      </c>
      <c r="AE1613" s="4">
        <v>7</v>
      </c>
      <c r="AF1613" s="4">
        <v>1</v>
      </c>
      <c r="AG1613" s="4">
        <v>1</v>
      </c>
      <c r="AH1613" s="4">
        <v>1</v>
      </c>
      <c r="AI1613" s="4">
        <v>1</v>
      </c>
      <c r="AJ1613" s="4">
        <v>5</v>
      </c>
      <c r="AK1613" s="4">
        <v>5</v>
      </c>
      <c r="AL1613" s="4">
        <v>1</v>
      </c>
      <c r="AM1613" s="4">
        <v>1</v>
      </c>
      <c r="AN1613" s="4">
        <v>0</v>
      </c>
      <c r="AO1613" s="4">
        <v>0</v>
      </c>
      <c r="AP1613" s="3" t="s">
        <v>58</v>
      </c>
      <c r="AQ1613" s="3" t="s">
        <v>68</v>
      </c>
      <c r="AR1613" s="6" t="str">
        <f>HYPERLINK("http://catalog.hathitrust.org/Record/001256009","HathiTrust Record")</f>
        <v>HathiTrust Record</v>
      </c>
      <c r="AS1613" s="6" t="str">
        <f>HYPERLINK("https://creighton-primo.hosted.exlibrisgroup.com/primo-explore/search?tab=default_tab&amp;search_scope=EVERYTHING&amp;vid=01CRU&amp;lang=en_US&amp;offset=0&amp;query=any,contains,991003078749702656","Catalog Record")</f>
        <v>Catalog Record</v>
      </c>
      <c r="AT1613" s="6" t="str">
        <f>HYPERLINK("http://www.worldcat.org/oclc/631805","WorldCat Record")</f>
        <v>WorldCat Record</v>
      </c>
      <c r="AU1613" s="3" t="s">
        <v>20224</v>
      </c>
      <c r="AV1613" s="3" t="s">
        <v>20225</v>
      </c>
      <c r="AW1613" s="3" t="s">
        <v>20226</v>
      </c>
      <c r="AX1613" s="3" t="s">
        <v>20226</v>
      </c>
      <c r="AY1613" s="3" t="s">
        <v>20227</v>
      </c>
      <c r="AZ1613" s="3" t="s">
        <v>73</v>
      </c>
      <c r="BB1613" s="3" t="s">
        <v>20228</v>
      </c>
      <c r="BC1613" s="3" t="s">
        <v>20229</v>
      </c>
      <c r="BD1613" s="3" t="s">
        <v>20230</v>
      </c>
    </row>
    <row r="1614" spans="1:56" ht="51" customHeight="1" x14ac:dyDescent="0.25">
      <c r="A1614" s="7" t="s">
        <v>58</v>
      </c>
      <c r="B1614" s="2" t="s">
        <v>20231</v>
      </c>
      <c r="C1614" s="2" t="s">
        <v>20232</v>
      </c>
      <c r="D1614" s="2" t="s">
        <v>20233</v>
      </c>
      <c r="F1614" s="3" t="s">
        <v>58</v>
      </c>
      <c r="G1614" s="3" t="s">
        <v>59</v>
      </c>
      <c r="H1614" s="3" t="s">
        <v>58</v>
      </c>
      <c r="I1614" s="3" t="s">
        <v>58</v>
      </c>
      <c r="J1614" s="3" t="s">
        <v>60</v>
      </c>
      <c r="K1614" s="2" t="s">
        <v>20234</v>
      </c>
      <c r="L1614" s="2" t="s">
        <v>20235</v>
      </c>
      <c r="M1614" s="3" t="s">
        <v>996</v>
      </c>
      <c r="O1614" s="3" t="s">
        <v>63</v>
      </c>
      <c r="P1614" s="3" t="s">
        <v>1837</v>
      </c>
      <c r="Q1614" s="2" t="s">
        <v>20236</v>
      </c>
      <c r="R1614" s="3" t="s">
        <v>65</v>
      </c>
      <c r="S1614" s="4">
        <v>12</v>
      </c>
      <c r="T1614" s="4">
        <v>12</v>
      </c>
      <c r="U1614" s="5" t="s">
        <v>2670</v>
      </c>
      <c r="V1614" s="5" t="s">
        <v>2670</v>
      </c>
      <c r="W1614" s="5" t="s">
        <v>13510</v>
      </c>
      <c r="X1614" s="5" t="s">
        <v>13510</v>
      </c>
      <c r="Y1614" s="4">
        <v>341</v>
      </c>
      <c r="Z1614" s="4">
        <v>301</v>
      </c>
      <c r="AA1614" s="4">
        <v>302</v>
      </c>
      <c r="AB1614" s="4">
        <v>3</v>
      </c>
      <c r="AC1614" s="4">
        <v>3</v>
      </c>
      <c r="AD1614" s="4">
        <v>13</v>
      </c>
      <c r="AE1614" s="4">
        <v>13</v>
      </c>
      <c r="AF1614" s="4">
        <v>3</v>
      </c>
      <c r="AG1614" s="4">
        <v>3</v>
      </c>
      <c r="AH1614" s="4">
        <v>6</v>
      </c>
      <c r="AI1614" s="4">
        <v>6</v>
      </c>
      <c r="AJ1614" s="4">
        <v>5</v>
      </c>
      <c r="AK1614" s="4">
        <v>5</v>
      </c>
      <c r="AL1614" s="4">
        <v>2</v>
      </c>
      <c r="AM1614" s="4">
        <v>2</v>
      </c>
      <c r="AN1614" s="4">
        <v>1</v>
      </c>
      <c r="AO1614" s="4">
        <v>1</v>
      </c>
      <c r="AP1614" s="3" t="s">
        <v>58</v>
      </c>
      <c r="AQ1614" s="3" t="s">
        <v>68</v>
      </c>
      <c r="AR1614" s="6" t="str">
        <f>HYPERLINK("http://catalog.hathitrust.org/Record/001256010","HathiTrust Record")</f>
        <v>HathiTrust Record</v>
      </c>
      <c r="AS1614" s="6" t="str">
        <f>HYPERLINK("https://creighton-primo.hosted.exlibrisgroup.com/primo-explore/search?tab=default_tab&amp;search_scope=EVERYTHING&amp;vid=01CRU&amp;lang=en_US&amp;offset=0&amp;query=any,contains,991003116239702656","Catalog Record")</f>
        <v>Catalog Record</v>
      </c>
      <c r="AT1614" s="6" t="str">
        <f>HYPERLINK("http://www.worldcat.org/oclc/661733","WorldCat Record")</f>
        <v>WorldCat Record</v>
      </c>
      <c r="AU1614" s="3" t="s">
        <v>20237</v>
      </c>
      <c r="AV1614" s="3" t="s">
        <v>20238</v>
      </c>
      <c r="AW1614" s="3" t="s">
        <v>20239</v>
      </c>
      <c r="AX1614" s="3" t="s">
        <v>20239</v>
      </c>
      <c r="AY1614" s="3" t="s">
        <v>20240</v>
      </c>
      <c r="AZ1614" s="3" t="s">
        <v>73</v>
      </c>
      <c r="BC1614" s="3" t="s">
        <v>20241</v>
      </c>
      <c r="BD1614" s="3" t="s">
        <v>20242</v>
      </c>
    </row>
    <row r="1615" spans="1:56" ht="51" customHeight="1" x14ac:dyDescent="0.25">
      <c r="A1615" s="7" t="s">
        <v>58</v>
      </c>
      <c r="B1615" s="2" t="s">
        <v>20243</v>
      </c>
      <c r="C1615" s="2" t="s">
        <v>20244</v>
      </c>
      <c r="D1615" s="2" t="s">
        <v>20245</v>
      </c>
      <c r="F1615" s="3" t="s">
        <v>58</v>
      </c>
      <c r="G1615" s="3" t="s">
        <v>59</v>
      </c>
      <c r="H1615" s="3" t="s">
        <v>58</v>
      </c>
      <c r="I1615" s="3" t="s">
        <v>58</v>
      </c>
      <c r="J1615" s="3" t="s">
        <v>60</v>
      </c>
      <c r="K1615" s="2" t="s">
        <v>20246</v>
      </c>
      <c r="L1615" s="2" t="s">
        <v>20247</v>
      </c>
      <c r="M1615" s="3" t="s">
        <v>154</v>
      </c>
      <c r="O1615" s="3" t="s">
        <v>63</v>
      </c>
      <c r="P1615" s="3" t="s">
        <v>20170</v>
      </c>
      <c r="Q1615" s="2" t="s">
        <v>20248</v>
      </c>
      <c r="R1615" s="3" t="s">
        <v>65</v>
      </c>
      <c r="S1615" s="4">
        <v>24</v>
      </c>
      <c r="T1615" s="4">
        <v>24</v>
      </c>
      <c r="U1615" s="5" t="s">
        <v>9018</v>
      </c>
      <c r="V1615" s="5" t="s">
        <v>9018</v>
      </c>
      <c r="W1615" s="5" t="s">
        <v>3538</v>
      </c>
      <c r="X1615" s="5" t="s">
        <v>3538</v>
      </c>
      <c r="Y1615" s="4">
        <v>237</v>
      </c>
      <c r="Z1615" s="4">
        <v>141</v>
      </c>
      <c r="AA1615" s="4">
        <v>143</v>
      </c>
      <c r="AB1615" s="4">
        <v>2</v>
      </c>
      <c r="AC1615" s="4">
        <v>2</v>
      </c>
      <c r="AD1615" s="4">
        <v>5</v>
      </c>
      <c r="AE1615" s="4">
        <v>5</v>
      </c>
      <c r="AF1615" s="4">
        <v>0</v>
      </c>
      <c r="AG1615" s="4">
        <v>0</v>
      </c>
      <c r="AH1615" s="4">
        <v>2</v>
      </c>
      <c r="AI1615" s="4">
        <v>2</v>
      </c>
      <c r="AJ1615" s="4">
        <v>3</v>
      </c>
      <c r="AK1615" s="4">
        <v>3</v>
      </c>
      <c r="AL1615" s="4">
        <v>1</v>
      </c>
      <c r="AM1615" s="4">
        <v>1</v>
      </c>
      <c r="AN1615" s="4">
        <v>0</v>
      </c>
      <c r="AO1615" s="4">
        <v>0</v>
      </c>
      <c r="AP1615" s="3" t="s">
        <v>58</v>
      </c>
      <c r="AQ1615" s="3" t="s">
        <v>68</v>
      </c>
      <c r="AR1615" s="6" t="str">
        <f>HYPERLINK("http://catalog.hathitrust.org/Record/001536740","HathiTrust Record")</f>
        <v>HathiTrust Record</v>
      </c>
      <c r="AS1615" s="6" t="str">
        <f>HYPERLINK("https://creighton-primo.hosted.exlibrisgroup.com/primo-explore/search?tab=default_tab&amp;search_scope=EVERYTHING&amp;vid=01CRU&amp;lang=en_US&amp;offset=0&amp;query=any,contains,991001398859702656","Catalog Record")</f>
        <v>Catalog Record</v>
      </c>
      <c r="AT1615" s="6" t="str">
        <f>HYPERLINK("http://www.worldcat.org/oclc/18815023","WorldCat Record")</f>
        <v>WorldCat Record</v>
      </c>
      <c r="AU1615" s="3" t="s">
        <v>20249</v>
      </c>
      <c r="AV1615" s="3" t="s">
        <v>20250</v>
      </c>
      <c r="AW1615" s="3" t="s">
        <v>20251</v>
      </c>
      <c r="AX1615" s="3" t="s">
        <v>20251</v>
      </c>
      <c r="AY1615" s="3" t="s">
        <v>20252</v>
      </c>
      <c r="AZ1615" s="3" t="s">
        <v>73</v>
      </c>
      <c r="BB1615" s="3" t="s">
        <v>20253</v>
      </c>
      <c r="BC1615" s="3" t="s">
        <v>20254</v>
      </c>
      <c r="BD1615" s="3" t="s">
        <v>20255</v>
      </c>
    </row>
    <row r="1616" spans="1:56" ht="51" customHeight="1" x14ac:dyDescent="0.25">
      <c r="A1616" s="7" t="s">
        <v>58</v>
      </c>
      <c r="B1616" s="2" t="s">
        <v>20256</v>
      </c>
      <c r="C1616" s="2" t="s">
        <v>20257</v>
      </c>
      <c r="D1616" s="2" t="s">
        <v>20258</v>
      </c>
      <c r="F1616" s="3" t="s">
        <v>58</v>
      </c>
      <c r="G1616" s="3" t="s">
        <v>59</v>
      </c>
      <c r="H1616" s="3" t="s">
        <v>58</v>
      </c>
      <c r="I1616" s="3" t="s">
        <v>58</v>
      </c>
      <c r="J1616" s="3" t="s">
        <v>60</v>
      </c>
      <c r="K1616" s="2" t="s">
        <v>20259</v>
      </c>
      <c r="L1616" s="2" t="s">
        <v>20260</v>
      </c>
      <c r="M1616" s="3" t="s">
        <v>2004</v>
      </c>
      <c r="O1616" s="3" t="s">
        <v>63</v>
      </c>
      <c r="P1616" s="3" t="s">
        <v>214</v>
      </c>
      <c r="R1616" s="3" t="s">
        <v>65</v>
      </c>
      <c r="S1616" s="4">
        <v>4</v>
      </c>
      <c r="T1616" s="4">
        <v>4</v>
      </c>
      <c r="U1616" s="5" t="s">
        <v>20261</v>
      </c>
      <c r="V1616" s="5" t="s">
        <v>20261</v>
      </c>
      <c r="W1616" s="5" t="s">
        <v>20121</v>
      </c>
      <c r="X1616" s="5" t="s">
        <v>20121</v>
      </c>
      <c r="Y1616" s="4">
        <v>708</v>
      </c>
      <c r="Z1616" s="4">
        <v>606</v>
      </c>
      <c r="AA1616" s="4">
        <v>1285</v>
      </c>
      <c r="AB1616" s="4">
        <v>3</v>
      </c>
      <c r="AC1616" s="4">
        <v>9</v>
      </c>
      <c r="AD1616" s="4">
        <v>19</v>
      </c>
      <c r="AE1616" s="4">
        <v>49</v>
      </c>
      <c r="AF1616" s="4">
        <v>7</v>
      </c>
      <c r="AG1616" s="4">
        <v>18</v>
      </c>
      <c r="AH1616" s="4">
        <v>3</v>
      </c>
      <c r="AI1616" s="4">
        <v>10</v>
      </c>
      <c r="AJ1616" s="4">
        <v>13</v>
      </c>
      <c r="AK1616" s="4">
        <v>22</v>
      </c>
      <c r="AL1616" s="4">
        <v>2</v>
      </c>
      <c r="AM1616" s="4">
        <v>7</v>
      </c>
      <c r="AN1616" s="4">
        <v>0</v>
      </c>
      <c r="AO1616" s="4">
        <v>1</v>
      </c>
      <c r="AP1616" s="3" t="s">
        <v>58</v>
      </c>
      <c r="AQ1616" s="3" t="s">
        <v>68</v>
      </c>
      <c r="AR1616" s="6" t="str">
        <f>HYPERLINK("http://catalog.hathitrust.org/Record/004410870","HathiTrust Record")</f>
        <v>HathiTrust Record</v>
      </c>
      <c r="AS1616" s="6" t="str">
        <f>HYPERLINK("https://creighton-primo.hosted.exlibrisgroup.com/primo-explore/search?tab=default_tab&amp;search_scope=EVERYTHING&amp;vid=01CRU&amp;lang=en_US&amp;offset=0&amp;query=any,contains,991003567859702656","Catalog Record")</f>
        <v>Catalog Record</v>
      </c>
      <c r="AT1616" s="6" t="str">
        <f>HYPERLINK("http://www.worldcat.org/oclc/1141683","WorldCat Record")</f>
        <v>WorldCat Record</v>
      </c>
      <c r="AU1616" s="3" t="s">
        <v>20262</v>
      </c>
      <c r="AV1616" s="3" t="s">
        <v>20263</v>
      </c>
      <c r="AW1616" s="3" t="s">
        <v>20264</v>
      </c>
      <c r="AX1616" s="3" t="s">
        <v>20264</v>
      </c>
      <c r="AY1616" s="3" t="s">
        <v>20265</v>
      </c>
      <c r="AZ1616" s="3" t="s">
        <v>73</v>
      </c>
      <c r="BC1616" s="3" t="s">
        <v>20266</v>
      </c>
      <c r="BD1616" s="3" t="s">
        <v>20267</v>
      </c>
    </row>
    <row r="1617" spans="1:56" ht="51" customHeight="1" x14ac:dyDescent="0.25">
      <c r="A1617" s="7" t="s">
        <v>58</v>
      </c>
      <c r="B1617" s="2" t="s">
        <v>20268</v>
      </c>
      <c r="C1617" s="2" t="s">
        <v>20269</v>
      </c>
      <c r="D1617" s="2" t="s">
        <v>20270</v>
      </c>
      <c r="F1617" s="3" t="s">
        <v>58</v>
      </c>
      <c r="G1617" s="3" t="s">
        <v>59</v>
      </c>
      <c r="H1617" s="3" t="s">
        <v>58</v>
      </c>
      <c r="I1617" s="3" t="s">
        <v>58</v>
      </c>
      <c r="J1617" s="3" t="s">
        <v>60</v>
      </c>
      <c r="K1617" s="2" t="s">
        <v>20271</v>
      </c>
      <c r="L1617" s="2" t="s">
        <v>20272</v>
      </c>
      <c r="M1617" s="3" t="s">
        <v>626</v>
      </c>
      <c r="O1617" s="3" t="s">
        <v>63</v>
      </c>
      <c r="P1617" s="3" t="s">
        <v>1837</v>
      </c>
      <c r="R1617" s="3" t="s">
        <v>65</v>
      </c>
      <c r="S1617" s="4">
        <v>1</v>
      </c>
      <c r="T1617" s="4">
        <v>1</v>
      </c>
      <c r="U1617" s="5" t="s">
        <v>1599</v>
      </c>
      <c r="V1617" s="5" t="s">
        <v>1599</v>
      </c>
      <c r="W1617" s="5" t="s">
        <v>19704</v>
      </c>
      <c r="X1617" s="5" t="s">
        <v>19704</v>
      </c>
      <c r="Y1617" s="4">
        <v>204</v>
      </c>
      <c r="Z1617" s="4">
        <v>170</v>
      </c>
      <c r="AA1617" s="4">
        <v>175</v>
      </c>
      <c r="AB1617" s="4">
        <v>1</v>
      </c>
      <c r="AC1617" s="4">
        <v>1</v>
      </c>
      <c r="AD1617" s="4">
        <v>4</v>
      </c>
      <c r="AE1617" s="4">
        <v>4</v>
      </c>
      <c r="AF1617" s="4">
        <v>0</v>
      </c>
      <c r="AG1617" s="4">
        <v>0</v>
      </c>
      <c r="AH1617" s="4">
        <v>2</v>
      </c>
      <c r="AI1617" s="4">
        <v>2</v>
      </c>
      <c r="AJ1617" s="4">
        <v>3</v>
      </c>
      <c r="AK1617" s="4">
        <v>3</v>
      </c>
      <c r="AL1617" s="4">
        <v>0</v>
      </c>
      <c r="AM1617" s="4">
        <v>0</v>
      </c>
      <c r="AN1617" s="4">
        <v>0</v>
      </c>
      <c r="AO1617" s="4">
        <v>0</v>
      </c>
      <c r="AP1617" s="3" t="s">
        <v>58</v>
      </c>
      <c r="AQ1617" s="3" t="s">
        <v>68</v>
      </c>
      <c r="AR1617" s="6" t="str">
        <f>HYPERLINK("http://catalog.hathitrust.org/Record/000365589","HathiTrust Record")</f>
        <v>HathiTrust Record</v>
      </c>
      <c r="AS1617" s="6" t="str">
        <f>HYPERLINK("https://creighton-primo.hosted.exlibrisgroup.com/primo-explore/search?tab=default_tab&amp;search_scope=EVERYTHING&amp;vid=01CRU&amp;lang=en_US&amp;offset=0&amp;query=any,contains,991000323579702656","Catalog Record")</f>
        <v>Catalog Record</v>
      </c>
      <c r="AT1617" s="6" t="str">
        <f>HYPERLINK("http://www.worldcat.org/oclc/10162236","WorldCat Record")</f>
        <v>WorldCat Record</v>
      </c>
      <c r="AU1617" s="3" t="s">
        <v>20273</v>
      </c>
      <c r="AV1617" s="3" t="s">
        <v>20274</v>
      </c>
      <c r="AW1617" s="3" t="s">
        <v>20275</v>
      </c>
      <c r="AX1617" s="3" t="s">
        <v>20275</v>
      </c>
      <c r="AY1617" s="3" t="s">
        <v>20276</v>
      </c>
      <c r="AZ1617" s="3" t="s">
        <v>73</v>
      </c>
      <c r="BB1617" s="3" t="s">
        <v>20277</v>
      </c>
      <c r="BC1617" s="3" t="s">
        <v>20278</v>
      </c>
      <c r="BD1617" s="3" t="s">
        <v>20279</v>
      </c>
    </row>
    <row r="1618" spans="1:56" ht="51" customHeight="1" x14ac:dyDescent="0.25">
      <c r="A1618" s="7" t="s">
        <v>58</v>
      </c>
      <c r="B1618" s="2" t="s">
        <v>20280</v>
      </c>
      <c r="C1618" s="2" t="s">
        <v>20281</v>
      </c>
      <c r="D1618" s="2" t="s">
        <v>20282</v>
      </c>
      <c r="F1618" s="3" t="s">
        <v>58</v>
      </c>
      <c r="G1618" s="3" t="s">
        <v>59</v>
      </c>
      <c r="H1618" s="3" t="s">
        <v>58</v>
      </c>
      <c r="I1618" s="3" t="s">
        <v>58</v>
      </c>
      <c r="J1618" s="3" t="s">
        <v>60</v>
      </c>
      <c r="L1618" s="2" t="s">
        <v>20283</v>
      </c>
      <c r="M1618" s="3" t="s">
        <v>1061</v>
      </c>
      <c r="O1618" s="3" t="s">
        <v>63</v>
      </c>
      <c r="P1618" s="3" t="s">
        <v>584</v>
      </c>
      <c r="Q1618" s="2" t="s">
        <v>20284</v>
      </c>
      <c r="R1618" s="3" t="s">
        <v>65</v>
      </c>
      <c r="S1618" s="4">
        <v>1</v>
      </c>
      <c r="T1618" s="4">
        <v>1</v>
      </c>
      <c r="U1618" s="5" t="s">
        <v>20285</v>
      </c>
      <c r="V1618" s="5" t="s">
        <v>20285</v>
      </c>
      <c r="W1618" s="5" t="s">
        <v>9661</v>
      </c>
      <c r="X1618" s="5" t="s">
        <v>9661</v>
      </c>
      <c r="Y1618" s="4">
        <v>236</v>
      </c>
      <c r="Z1618" s="4">
        <v>156</v>
      </c>
      <c r="AA1618" s="4">
        <v>158</v>
      </c>
      <c r="AB1618" s="4">
        <v>1</v>
      </c>
      <c r="AC1618" s="4">
        <v>1</v>
      </c>
      <c r="AD1618" s="4">
        <v>10</v>
      </c>
      <c r="AE1618" s="4">
        <v>10</v>
      </c>
      <c r="AF1618" s="4">
        <v>0</v>
      </c>
      <c r="AG1618" s="4">
        <v>0</v>
      </c>
      <c r="AH1618" s="4">
        <v>5</v>
      </c>
      <c r="AI1618" s="4">
        <v>5</v>
      </c>
      <c r="AJ1618" s="4">
        <v>7</v>
      </c>
      <c r="AK1618" s="4">
        <v>7</v>
      </c>
      <c r="AL1618" s="4">
        <v>0</v>
      </c>
      <c r="AM1618" s="4">
        <v>0</v>
      </c>
      <c r="AN1618" s="4">
        <v>0</v>
      </c>
      <c r="AO1618" s="4">
        <v>0</v>
      </c>
      <c r="AP1618" s="3" t="s">
        <v>58</v>
      </c>
      <c r="AQ1618" s="3" t="s">
        <v>58</v>
      </c>
      <c r="AS1618" s="6" t="str">
        <f>HYPERLINK("https://creighton-primo.hosted.exlibrisgroup.com/primo-explore/search?tab=default_tab&amp;search_scope=EVERYTHING&amp;vid=01CRU&amp;lang=en_US&amp;offset=0&amp;query=any,contains,991003214369702656","Catalog Record")</f>
        <v>Catalog Record</v>
      </c>
      <c r="AT1618" s="6" t="str">
        <f>HYPERLINK("http://www.worldcat.org/oclc/40545317","WorldCat Record")</f>
        <v>WorldCat Record</v>
      </c>
      <c r="AU1618" s="3" t="s">
        <v>20286</v>
      </c>
      <c r="AV1618" s="3" t="s">
        <v>20287</v>
      </c>
      <c r="AW1618" s="3" t="s">
        <v>20288</v>
      </c>
      <c r="AX1618" s="3" t="s">
        <v>20288</v>
      </c>
      <c r="AY1618" s="3" t="s">
        <v>20289</v>
      </c>
      <c r="AZ1618" s="3" t="s">
        <v>73</v>
      </c>
      <c r="BB1618" s="3" t="s">
        <v>20290</v>
      </c>
      <c r="BC1618" s="3" t="s">
        <v>20291</v>
      </c>
      <c r="BD1618" s="3" t="s">
        <v>20292</v>
      </c>
    </row>
    <row r="1619" spans="1:56" ht="51" customHeight="1" x14ac:dyDescent="0.25">
      <c r="A1619" s="7" t="s">
        <v>58</v>
      </c>
      <c r="B1619" s="2" t="s">
        <v>20293</v>
      </c>
      <c r="C1619" s="2" t="s">
        <v>20294</v>
      </c>
      <c r="D1619" s="2" t="s">
        <v>20295</v>
      </c>
      <c r="F1619" s="3" t="s">
        <v>58</v>
      </c>
      <c r="G1619" s="3" t="s">
        <v>59</v>
      </c>
      <c r="H1619" s="3" t="s">
        <v>58</v>
      </c>
      <c r="I1619" s="3" t="s">
        <v>58</v>
      </c>
      <c r="J1619" s="3" t="s">
        <v>60</v>
      </c>
      <c r="K1619" s="2" t="s">
        <v>20296</v>
      </c>
      <c r="L1619" s="2" t="s">
        <v>20297</v>
      </c>
      <c r="M1619" s="3" t="s">
        <v>898</v>
      </c>
      <c r="N1619" s="2" t="s">
        <v>338</v>
      </c>
      <c r="O1619" s="3" t="s">
        <v>63</v>
      </c>
      <c r="P1619" s="3" t="s">
        <v>214</v>
      </c>
      <c r="R1619" s="3" t="s">
        <v>65</v>
      </c>
      <c r="S1619" s="4">
        <v>3</v>
      </c>
      <c r="T1619" s="4">
        <v>3</v>
      </c>
      <c r="U1619" s="5" t="s">
        <v>20298</v>
      </c>
      <c r="V1619" s="5" t="s">
        <v>20298</v>
      </c>
      <c r="W1619" s="5" t="s">
        <v>20299</v>
      </c>
      <c r="X1619" s="5" t="s">
        <v>20299</v>
      </c>
      <c r="Y1619" s="4">
        <v>618</v>
      </c>
      <c r="Z1619" s="4">
        <v>535</v>
      </c>
      <c r="AA1619" s="4">
        <v>556</v>
      </c>
      <c r="AB1619" s="4">
        <v>4</v>
      </c>
      <c r="AC1619" s="4">
        <v>4</v>
      </c>
      <c r="AD1619" s="4">
        <v>28</v>
      </c>
      <c r="AE1619" s="4">
        <v>28</v>
      </c>
      <c r="AF1619" s="4">
        <v>11</v>
      </c>
      <c r="AG1619" s="4">
        <v>11</v>
      </c>
      <c r="AH1619" s="4">
        <v>7</v>
      </c>
      <c r="AI1619" s="4">
        <v>7</v>
      </c>
      <c r="AJ1619" s="4">
        <v>13</v>
      </c>
      <c r="AK1619" s="4">
        <v>13</v>
      </c>
      <c r="AL1619" s="4">
        <v>3</v>
      </c>
      <c r="AM1619" s="4">
        <v>3</v>
      </c>
      <c r="AN1619" s="4">
        <v>0</v>
      </c>
      <c r="AO1619" s="4">
        <v>0</v>
      </c>
      <c r="AP1619" s="3" t="s">
        <v>58</v>
      </c>
      <c r="AQ1619" s="3" t="s">
        <v>58</v>
      </c>
      <c r="AS1619" s="6" t="str">
        <f>HYPERLINK("https://creighton-primo.hosted.exlibrisgroup.com/primo-explore/search?tab=default_tab&amp;search_scope=EVERYTHING&amp;vid=01CRU&amp;lang=en_US&amp;offset=0&amp;query=any,contains,991004953429702656","Catalog Record")</f>
        <v>Catalog Record</v>
      </c>
      <c r="AT1619" s="6" t="str">
        <f>HYPERLINK("http://www.worldcat.org/oclc/69021089","WorldCat Record")</f>
        <v>WorldCat Record</v>
      </c>
      <c r="AU1619" s="3" t="s">
        <v>20300</v>
      </c>
      <c r="AV1619" s="3" t="s">
        <v>20301</v>
      </c>
      <c r="AW1619" s="3" t="s">
        <v>20302</v>
      </c>
      <c r="AX1619" s="3" t="s">
        <v>20302</v>
      </c>
      <c r="AY1619" s="3" t="s">
        <v>20303</v>
      </c>
      <c r="AZ1619" s="3" t="s">
        <v>73</v>
      </c>
      <c r="BB1619" s="3" t="s">
        <v>20304</v>
      </c>
      <c r="BC1619" s="3" t="s">
        <v>20305</v>
      </c>
      <c r="BD1619" s="3" t="s">
        <v>20306</v>
      </c>
    </row>
    <row r="1620" spans="1:56" ht="51" customHeight="1" x14ac:dyDescent="0.25">
      <c r="A1620" s="7" t="s">
        <v>58</v>
      </c>
      <c r="B1620" s="2" t="s">
        <v>20307</v>
      </c>
      <c r="C1620" s="2" t="s">
        <v>20308</v>
      </c>
      <c r="D1620" s="2" t="s">
        <v>20309</v>
      </c>
      <c r="F1620" s="3" t="s">
        <v>58</v>
      </c>
      <c r="G1620" s="3" t="s">
        <v>59</v>
      </c>
      <c r="H1620" s="3" t="s">
        <v>58</v>
      </c>
      <c r="I1620" s="3" t="s">
        <v>58</v>
      </c>
      <c r="J1620" s="3" t="s">
        <v>60</v>
      </c>
      <c r="K1620" s="2" t="s">
        <v>20310</v>
      </c>
      <c r="L1620" s="2" t="s">
        <v>20311</v>
      </c>
      <c r="M1620" s="3" t="s">
        <v>2757</v>
      </c>
      <c r="N1620" s="2" t="s">
        <v>20312</v>
      </c>
      <c r="O1620" s="3" t="s">
        <v>63</v>
      </c>
      <c r="P1620" s="3" t="s">
        <v>16098</v>
      </c>
      <c r="R1620" s="3" t="s">
        <v>65</v>
      </c>
      <c r="S1620" s="4">
        <v>8</v>
      </c>
      <c r="T1620" s="4">
        <v>8</v>
      </c>
      <c r="U1620" s="5" t="s">
        <v>20313</v>
      </c>
      <c r="V1620" s="5" t="s">
        <v>20313</v>
      </c>
      <c r="W1620" s="5" t="s">
        <v>20314</v>
      </c>
      <c r="X1620" s="5" t="s">
        <v>20314</v>
      </c>
      <c r="Y1620" s="4">
        <v>471</v>
      </c>
      <c r="Z1620" s="4">
        <v>362</v>
      </c>
      <c r="AA1620" s="4">
        <v>385</v>
      </c>
      <c r="AB1620" s="4">
        <v>4</v>
      </c>
      <c r="AC1620" s="4">
        <v>4</v>
      </c>
      <c r="AD1620" s="4">
        <v>19</v>
      </c>
      <c r="AE1620" s="4">
        <v>20</v>
      </c>
      <c r="AF1620" s="4">
        <v>5</v>
      </c>
      <c r="AG1620" s="4">
        <v>6</v>
      </c>
      <c r="AH1620" s="4">
        <v>6</v>
      </c>
      <c r="AI1620" s="4">
        <v>6</v>
      </c>
      <c r="AJ1620" s="4">
        <v>8</v>
      </c>
      <c r="AK1620" s="4">
        <v>9</v>
      </c>
      <c r="AL1620" s="4">
        <v>3</v>
      </c>
      <c r="AM1620" s="4">
        <v>3</v>
      </c>
      <c r="AN1620" s="4">
        <v>0</v>
      </c>
      <c r="AO1620" s="4">
        <v>0</v>
      </c>
      <c r="AP1620" s="3" t="s">
        <v>58</v>
      </c>
      <c r="AQ1620" s="3" t="s">
        <v>68</v>
      </c>
      <c r="AR1620" s="6" t="str">
        <f>HYPERLINK("http://catalog.hathitrust.org/Record/001256092","HathiTrust Record")</f>
        <v>HathiTrust Record</v>
      </c>
      <c r="AS1620" s="6" t="str">
        <f>HYPERLINK("https://creighton-primo.hosted.exlibrisgroup.com/primo-explore/search?tab=default_tab&amp;search_scope=EVERYTHING&amp;vid=01CRU&amp;lang=en_US&amp;offset=0&amp;query=any,contains,991003144719702656","Catalog Record")</f>
        <v>Catalog Record</v>
      </c>
      <c r="AT1620" s="6" t="str">
        <f>HYPERLINK("http://www.worldcat.org/oclc/685473","WorldCat Record")</f>
        <v>WorldCat Record</v>
      </c>
      <c r="AU1620" s="3" t="s">
        <v>20315</v>
      </c>
      <c r="AV1620" s="3" t="s">
        <v>20316</v>
      </c>
      <c r="AW1620" s="3" t="s">
        <v>20317</v>
      </c>
      <c r="AX1620" s="3" t="s">
        <v>20317</v>
      </c>
      <c r="AY1620" s="3" t="s">
        <v>20318</v>
      </c>
      <c r="AZ1620" s="3" t="s">
        <v>73</v>
      </c>
      <c r="BC1620" s="3" t="s">
        <v>20319</v>
      </c>
      <c r="BD1620" s="3" t="s">
        <v>20320</v>
      </c>
    </row>
    <row r="1621" spans="1:56" ht="51" customHeight="1" x14ac:dyDescent="0.25">
      <c r="A1621" s="7" t="s">
        <v>58</v>
      </c>
      <c r="B1621" s="2" t="s">
        <v>20321</v>
      </c>
      <c r="C1621" s="2" t="s">
        <v>20322</v>
      </c>
      <c r="D1621" s="2" t="s">
        <v>20323</v>
      </c>
      <c r="F1621" s="3" t="s">
        <v>58</v>
      </c>
      <c r="G1621" s="3" t="s">
        <v>59</v>
      </c>
      <c r="H1621" s="3" t="s">
        <v>58</v>
      </c>
      <c r="I1621" s="3" t="s">
        <v>58</v>
      </c>
      <c r="J1621" s="3" t="s">
        <v>60</v>
      </c>
      <c r="K1621" s="2" t="s">
        <v>20324</v>
      </c>
      <c r="L1621" s="2" t="s">
        <v>20325</v>
      </c>
      <c r="M1621" s="3" t="s">
        <v>2757</v>
      </c>
      <c r="O1621" s="3" t="s">
        <v>63</v>
      </c>
      <c r="P1621" s="3" t="s">
        <v>214</v>
      </c>
      <c r="Q1621" s="2" t="s">
        <v>20326</v>
      </c>
      <c r="R1621" s="3" t="s">
        <v>65</v>
      </c>
      <c r="S1621" s="4">
        <v>5</v>
      </c>
      <c r="T1621" s="4">
        <v>5</v>
      </c>
      <c r="U1621" s="5" t="s">
        <v>11222</v>
      </c>
      <c r="V1621" s="5" t="s">
        <v>11222</v>
      </c>
      <c r="W1621" s="5" t="s">
        <v>20327</v>
      </c>
      <c r="X1621" s="5" t="s">
        <v>20327</v>
      </c>
      <c r="Y1621" s="4">
        <v>392</v>
      </c>
      <c r="Z1621" s="4">
        <v>369</v>
      </c>
      <c r="AA1621" s="4">
        <v>435</v>
      </c>
      <c r="AB1621" s="4">
        <v>3</v>
      </c>
      <c r="AC1621" s="4">
        <v>3</v>
      </c>
      <c r="AD1621" s="4">
        <v>12</v>
      </c>
      <c r="AE1621" s="4">
        <v>18</v>
      </c>
      <c r="AF1621" s="4">
        <v>5</v>
      </c>
      <c r="AG1621" s="4">
        <v>7</v>
      </c>
      <c r="AH1621" s="4">
        <v>2</v>
      </c>
      <c r="AI1621" s="4">
        <v>4</v>
      </c>
      <c r="AJ1621" s="4">
        <v>7</v>
      </c>
      <c r="AK1621" s="4">
        <v>11</v>
      </c>
      <c r="AL1621" s="4">
        <v>1</v>
      </c>
      <c r="AM1621" s="4">
        <v>1</v>
      </c>
      <c r="AN1621" s="4">
        <v>0</v>
      </c>
      <c r="AO1621" s="4">
        <v>0</v>
      </c>
      <c r="AP1621" s="3" t="s">
        <v>58</v>
      </c>
      <c r="AQ1621" s="3" t="s">
        <v>68</v>
      </c>
      <c r="AR1621" s="6" t="str">
        <f>HYPERLINK("http://catalog.hathitrust.org/Record/009907799","HathiTrust Record")</f>
        <v>HathiTrust Record</v>
      </c>
      <c r="AS1621" s="6" t="str">
        <f>HYPERLINK("https://creighton-primo.hosted.exlibrisgroup.com/primo-explore/search?tab=default_tab&amp;search_scope=EVERYTHING&amp;vid=01CRU&amp;lang=en_US&amp;offset=0&amp;query=any,contains,991002718289702656","Catalog Record")</f>
        <v>Catalog Record</v>
      </c>
      <c r="AT1621" s="6" t="str">
        <f>HYPERLINK("http://www.worldcat.org/oclc/411923","WorldCat Record")</f>
        <v>WorldCat Record</v>
      </c>
      <c r="AU1621" s="3" t="s">
        <v>20328</v>
      </c>
      <c r="AV1621" s="3" t="s">
        <v>20329</v>
      </c>
      <c r="AW1621" s="3" t="s">
        <v>20330</v>
      </c>
      <c r="AX1621" s="3" t="s">
        <v>20330</v>
      </c>
      <c r="AY1621" s="3" t="s">
        <v>20331</v>
      </c>
      <c r="AZ1621" s="3" t="s">
        <v>73</v>
      </c>
      <c r="BC1621" s="3" t="s">
        <v>20332</v>
      </c>
      <c r="BD1621" s="3" t="s">
        <v>20333</v>
      </c>
    </row>
    <row r="1622" spans="1:56" ht="51" customHeight="1" x14ac:dyDescent="0.25">
      <c r="A1622" s="7" t="s">
        <v>58</v>
      </c>
      <c r="B1622" s="2" t="s">
        <v>20334</v>
      </c>
      <c r="C1622" s="2" t="s">
        <v>20335</v>
      </c>
      <c r="D1622" s="2" t="s">
        <v>20336</v>
      </c>
      <c r="F1622" s="3" t="s">
        <v>58</v>
      </c>
      <c r="G1622" s="3" t="s">
        <v>59</v>
      </c>
      <c r="H1622" s="3" t="s">
        <v>58</v>
      </c>
      <c r="I1622" s="3" t="s">
        <v>58</v>
      </c>
      <c r="J1622" s="3" t="s">
        <v>60</v>
      </c>
      <c r="K1622" s="2" t="s">
        <v>20337</v>
      </c>
      <c r="L1622" s="2" t="s">
        <v>8267</v>
      </c>
      <c r="M1622" s="3" t="s">
        <v>2757</v>
      </c>
      <c r="O1622" s="3" t="s">
        <v>63</v>
      </c>
      <c r="P1622" s="3" t="s">
        <v>214</v>
      </c>
      <c r="Q1622" s="2" t="s">
        <v>20338</v>
      </c>
      <c r="R1622" s="3" t="s">
        <v>65</v>
      </c>
      <c r="S1622" s="4">
        <v>2</v>
      </c>
      <c r="T1622" s="4">
        <v>2</v>
      </c>
      <c r="U1622" s="5" t="s">
        <v>19560</v>
      </c>
      <c r="V1622" s="5" t="s">
        <v>19560</v>
      </c>
      <c r="W1622" s="5" t="s">
        <v>11664</v>
      </c>
      <c r="X1622" s="5" t="s">
        <v>11664</v>
      </c>
      <c r="Y1622" s="4">
        <v>638</v>
      </c>
      <c r="Z1622" s="4">
        <v>572</v>
      </c>
      <c r="AA1622" s="4">
        <v>581</v>
      </c>
      <c r="AB1622" s="4">
        <v>6</v>
      </c>
      <c r="AC1622" s="4">
        <v>6</v>
      </c>
      <c r="AD1622" s="4">
        <v>28</v>
      </c>
      <c r="AE1622" s="4">
        <v>28</v>
      </c>
      <c r="AF1622" s="4">
        <v>10</v>
      </c>
      <c r="AG1622" s="4">
        <v>10</v>
      </c>
      <c r="AH1622" s="4">
        <v>6</v>
      </c>
      <c r="AI1622" s="4">
        <v>6</v>
      </c>
      <c r="AJ1622" s="4">
        <v>12</v>
      </c>
      <c r="AK1622" s="4">
        <v>12</v>
      </c>
      <c r="AL1622" s="4">
        <v>5</v>
      </c>
      <c r="AM1622" s="4">
        <v>5</v>
      </c>
      <c r="AN1622" s="4">
        <v>0</v>
      </c>
      <c r="AO1622" s="4">
        <v>0</v>
      </c>
      <c r="AP1622" s="3" t="s">
        <v>58</v>
      </c>
      <c r="AQ1622" s="3" t="s">
        <v>68</v>
      </c>
      <c r="AR1622" s="6" t="str">
        <f>HYPERLINK("http://catalog.hathitrust.org/Record/000602684","HathiTrust Record")</f>
        <v>HathiTrust Record</v>
      </c>
      <c r="AS1622" s="6" t="str">
        <f>HYPERLINK("https://creighton-primo.hosted.exlibrisgroup.com/primo-explore/search?tab=default_tab&amp;search_scope=EVERYTHING&amp;vid=01CRU&amp;lang=en_US&amp;offset=0&amp;query=any,contains,991003182619702656","Catalog Record")</f>
        <v>Catalog Record</v>
      </c>
      <c r="AT1622" s="6" t="str">
        <f>HYPERLINK("http://www.worldcat.org/oclc/712101","WorldCat Record")</f>
        <v>WorldCat Record</v>
      </c>
      <c r="AU1622" s="3" t="s">
        <v>20339</v>
      </c>
      <c r="AV1622" s="3" t="s">
        <v>20340</v>
      </c>
      <c r="AW1622" s="3" t="s">
        <v>20341</v>
      </c>
      <c r="AX1622" s="3" t="s">
        <v>20341</v>
      </c>
      <c r="AY1622" s="3" t="s">
        <v>20342</v>
      </c>
      <c r="AZ1622" s="3" t="s">
        <v>73</v>
      </c>
      <c r="BC1622" s="3" t="s">
        <v>20343</v>
      </c>
      <c r="BD1622" s="3" t="s">
        <v>20344</v>
      </c>
    </row>
    <row r="1623" spans="1:56" ht="51" customHeight="1" x14ac:dyDescent="0.25">
      <c r="A1623" s="7" t="s">
        <v>58</v>
      </c>
      <c r="B1623" s="2" t="s">
        <v>20345</v>
      </c>
      <c r="C1623" s="2" t="s">
        <v>20346</v>
      </c>
      <c r="D1623" s="2" t="s">
        <v>20347</v>
      </c>
      <c r="F1623" s="3" t="s">
        <v>58</v>
      </c>
      <c r="G1623" s="3" t="s">
        <v>59</v>
      </c>
      <c r="H1623" s="3" t="s">
        <v>58</v>
      </c>
      <c r="I1623" s="3" t="s">
        <v>58</v>
      </c>
      <c r="J1623" s="3" t="s">
        <v>60</v>
      </c>
      <c r="K1623" s="2" t="s">
        <v>20348</v>
      </c>
      <c r="L1623" s="2" t="s">
        <v>20349</v>
      </c>
      <c r="M1623" s="3" t="s">
        <v>2295</v>
      </c>
      <c r="O1623" s="3" t="s">
        <v>63</v>
      </c>
      <c r="P1623" s="3" t="s">
        <v>354</v>
      </c>
      <c r="Q1623" s="2" t="s">
        <v>20350</v>
      </c>
      <c r="R1623" s="3" t="s">
        <v>65</v>
      </c>
      <c r="S1623" s="4">
        <v>2</v>
      </c>
      <c r="T1623" s="4">
        <v>2</v>
      </c>
      <c r="U1623" s="5" t="s">
        <v>20351</v>
      </c>
      <c r="V1623" s="5" t="s">
        <v>20351</v>
      </c>
      <c r="W1623" s="5" t="s">
        <v>20351</v>
      </c>
      <c r="X1623" s="5" t="s">
        <v>20351</v>
      </c>
      <c r="Y1623" s="4">
        <v>317</v>
      </c>
      <c r="Z1623" s="4">
        <v>284</v>
      </c>
      <c r="AA1623" s="4">
        <v>390</v>
      </c>
      <c r="AB1623" s="4">
        <v>2</v>
      </c>
      <c r="AC1623" s="4">
        <v>2</v>
      </c>
      <c r="AD1623" s="4">
        <v>14</v>
      </c>
      <c r="AE1623" s="4">
        <v>21</v>
      </c>
      <c r="AF1623" s="4">
        <v>6</v>
      </c>
      <c r="AG1623" s="4">
        <v>10</v>
      </c>
      <c r="AH1623" s="4">
        <v>4</v>
      </c>
      <c r="AI1623" s="4">
        <v>5</v>
      </c>
      <c r="AJ1623" s="4">
        <v>8</v>
      </c>
      <c r="AK1623" s="4">
        <v>13</v>
      </c>
      <c r="AL1623" s="4">
        <v>1</v>
      </c>
      <c r="AM1623" s="4">
        <v>1</v>
      </c>
      <c r="AN1623" s="4">
        <v>0</v>
      </c>
      <c r="AO1623" s="4">
        <v>0</v>
      </c>
      <c r="AP1623" s="3" t="s">
        <v>58</v>
      </c>
      <c r="AQ1623" s="3" t="s">
        <v>58</v>
      </c>
      <c r="AS1623" s="6" t="str">
        <f>HYPERLINK("https://creighton-primo.hosted.exlibrisgroup.com/primo-explore/search?tab=default_tab&amp;search_scope=EVERYTHING&amp;vid=01CRU&amp;lang=en_US&amp;offset=0&amp;query=any,contains,991004544149702656","Catalog Record")</f>
        <v>Catalog Record</v>
      </c>
      <c r="AT1623" s="6" t="str">
        <f>HYPERLINK("http://www.worldcat.org/oclc/49936084","WorldCat Record")</f>
        <v>WorldCat Record</v>
      </c>
      <c r="AU1623" s="3" t="s">
        <v>20352</v>
      </c>
      <c r="AV1623" s="3" t="s">
        <v>20353</v>
      </c>
      <c r="AW1623" s="3" t="s">
        <v>20354</v>
      </c>
      <c r="AX1623" s="3" t="s">
        <v>20354</v>
      </c>
      <c r="AY1623" s="3" t="s">
        <v>20355</v>
      </c>
      <c r="AZ1623" s="3" t="s">
        <v>73</v>
      </c>
      <c r="BB1623" s="3" t="s">
        <v>20356</v>
      </c>
      <c r="BC1623" s="3" t="s">
        <v>20357</v>
      </c>
      <c r="BD1623" s="3" t="s">
        <v>20358</v>
      </c>
    </row>
    <row r="1624" spans="1:56" ht="51" customHeight="1" x14ac:dyDescent="0.25">
      <c r="A1624" s="7" t="s">
        <v>58</v>
      </c>
      <c r="B1624" s="2" t="s">
        <v>20359</v>
      </c>
      <c r="C1624" s="2" t="s">
        <v>20360</v>
      </c>
      <c r="D1624" s="2" t="s">
        <v>20361</v>
      </c>
      <c r="F1624" s="3" t="s">
        <v>58</v>
      </c>
      <c r="G1624" s="3" t="s">
        <v>59</v>
      </c>
      <c r="H1624" s="3" t="s">
        <v>58</v>
      </c>
      <c r="I1624" s="3" t="s">
        <v>58</v>
      </c>
      <c r="J1624" s="3" t="s">
        <v>60</v>
      </c>
      <c r="K1624" s="2" t="s">
        <v>7603</v>
      </c>
      <c r="L1624" s="2" t="s">
        <v>20362</v>
      </c>
      <c r="M1624" s="3" t="s">
        <v>800</v>
      </c>
      <c r="O1624" s="3" t="s">
        <v>63</v>
      </c>
      <c r="P1624" s="3" t="s">
        <v>214</v>
      </c>
      <c r="R1624" s="3" t="s">
        <v>65</v>
      </c>
      <c r="S1624" s="4">
        <v>6</v>
      </c>
      <c r="T1624" s="4">
        <v>6</v>
      </c>
      <c r="U1624" s="5" t="s">
        <v>20363</v>
      </c>
      <c r="V1624" s="5" t="s">
        <v>20363</v>
      </c>
      <c r="W1624" s="5" t="s">
        <v>20364</v>
      </c>
      <c r="X1624" s="5" t="s">
        <v>20364</v>
      </c>
      <c r="Y1624" s="4">
        <v>1845</v>
      </c>
      <c r="Z1624" s="4">
        <v>1734</v>
      </c>
      <c r="AA1624" s="4">
        <v>2310</v>
      </c>
      <c r="AB1624" s="4">
        <v>15</v>
      </c>
      <c r="AC1624" s="4">
        <v>22</v>
      </c>
      <c r="AD1624" s="4">
        <v>47</v>
      </c>
      <c r="AE1624" s="4">
        <v>57</v>
      </c>
      <c r="AF1624" s="4">
        <v>17</v>
      </c>
      <c r="AG1624" s="4">
        <v>22</v>
      </c>
      <c r="AH1624" s="4">
        <v>7</v>
      </c>
      <c r="AI1624" s="4">
        <v>9</v>
      </c>
      <c r="AJ1624" s="4">
        <v>22</v>
      </c>
      <c r="AK1624" s="4">
        <v>25</v>
      </c>
      <c r="AL1624" s="4">
        <v>9</v>
      </c>
      <c r="AM1624" s="4">
        <v>12</v>
      </c>
      <c r="AN1624" s="4">
        <v>1</v>
      </c>
      <c r="AO1624" s="4">
        <v>1</v>
      </c>
      <c r="AP1624" s="3" t="s">
        <v>58</v>
      </c>
      <c r="AQ1624" s="3" t="s">
        <v>68</v>
      </c>
      <c r="AR1624" s="6" t="str">
        <f>HYPERLINK("http://catalog.hathitrust.org/Record/003059404","HathiTrust Record")</f>
        <v>HathiTrust Record</v>
      </c>
      <c r="AS1624" s="6" t="str">
        <f>HYPERLINK("https://creighton-primo.hosted.exlibrisgroup.com/primo-explore/search?tab=default_tab&amp;search_scope=EVERYTHING&amp;vid=01CRU&amp;lang=en_US&amp;offset=0&amp;query=any,contains,991002609399702656","Catalog Record")</f>
        <v>Catalog Record</v>
      </c>
      <c r="AT1624" s="6" t="str">
        <f>HYPERLINK("http://www.worldcat.org/oclc/34190629","WorldCat Record")</f>
        <v>WorldCat Record</v>
      </c>
      <c r="AU1624" s="3" t="s">
        <v>20365</v>
      </c>
      <c r="AV1624" s="3" t="s">
        <v>20366</v>
      </c>
      <c r="AW1624" s="3" t="s">
        <v>20367</v>
      </c>
      <c r="AX1624" s="3" t="s">
        <v>20367</v>
      </c>
      <c r="AY1624" s="3" t="s">
        <v>20368</v>
      </c>
      <c r="AZ1624" s="3" t="s">
        <v>73</v>
      </c>
      <c r="BB1624" s="3" t="s">
        <v>20369</v>
      </c>
      <c r="BC1624" s="3" t="s">
        <v>20370</v>
      </c>
      <c r="BD1624" s="3" t="s">
        <v>20371</v>
      </c>
    </row>
    <row r="1625" spans="1:56" ht="51" customHeight="1" x14ac:dyDescent="0.25">
      <c r="A1625" s="7" t="s">
        <v>58</v>
      </c>
      <c r="B1625" s="2" t="s">
        <v>20372</v>
      </c>
      <c r="C1625" s="2" t="s">
        <v>20373</v>
      </c>
      <c r="D1625" s="2" t="s">
        <v>20374</v>
      </c>
      <c r="F1625" s="3" t="s">
        <v>58</v>
      </c>
      <c r="G1625" s="3" t="s">
        <v>59</v>
      </c>
      <c r="H1625" s="3" t="s">
        <v>58</v>
      </c>
      <c r="I1625" s="3" t="s">
        <v>58</v>
      </c>
      <c r="J1625" s="3" t="s">
        <v>60</v>
      </c>
      <c r="K1625" s="2" t="s">
        <v>20375</v>
      </c>
      <c r="L1625" s="2" t="s">
        <v>20376</v>
      </c>
      <c r="M1625" s="3" t="s">
        <v>1544</v>
      </c>
      <c r="O1625" s="3" t="s">
        <v>63</v>
      </c>
      <c r="P1625" s="3" t="s">
        <v>354</v>
      </c>
      <c r="R1625" s="3" t="s">
        <v>65</v>
      </c>
      <c r="S1625" s="4">
        <v>6</v>
      </c>
      <c r="T1625" s="4">
        <v>6</v>
      </c>
      <c r="U1625" s="5" t="s">
        <v>15010</v>
      </c>
      <c r="V1625" s="5" t="s">
        <v>15010</v>
      </c>
      <c r="W1625" s="5" t="s">
        <v>20377</v>
      </c>
      <c r="X1625" s="5" t="s">
        <v>20377</v>
      </c>
      <c r="Y1625" s="4">
        <v>174</v>
      </c>
      <c r="Z1625" s="4">
        <v>143</v>
      </c>
      <c r="AA1625" s="4">
        <v>386</v>
      </c>
      <c r="AB1625" s="4">
        <v>3</v>
      </c>
      <c r="AC1625" s="4">
        <v>3</v>
      </c>
      <c r="AD1625" s="4">
        <v>4</v>
      </c>
      <c r="AE1625" s="4">
        <v>12</v>
      </c>
      <c r="AF1625" s="4">
        <v>2</v>
      </c>
      <c r="AG1625" s="4">
        <v>4</v>
      </c>
      <c r="AH1625" s="4">
        <v>0</v>
      </c>
      <c r="AI1625" s="4">
        <v>3</v>
      </c>
      <c r="AJ1625" s="4">
        <v>2</v>
      </c>
      <c r="AK1625" s="4">
        <v>7</v>
      </c>
      <c r="AL1625" s="4">
        <v>1</v>
      </c>
      <c r="AM1625" s="4">
        <v>1</v>
      </c>
      <c r="AN1625" s="4">
        <v>0</v>
      </c>
      <c r="AO1625" s="4">
        <v>0</v>
      </c>
      <c r="AP1625" s="3" t="s">
        <v>58</v>
      </c>
      <c r="AQ1625" s="3" t="s">
        <v>68</v>
      </c>
      <c r="AR1625" s="6" t="str">
        <f>HYPERLINK("http://catalog.hathitrust.org/Record/002563587","HathiTrust Record")</f>
        <v>HathiTrust Record</v>
      </c>
      <c r="AS1625" s="6" t="str">
        <f>HYPERLINK("https://creighton-primo.hosted.exlibrisgroup.com/primo-explore/search?tab=default_tab&amp;search_scope=EVERYTHING&amp;vid=01CRU&amp;lang=en_US&amp;offset=0&amp;query=any,contains,991001826619702656","Catalog Record")</f>
        <v>Catalog Record</v>
      </c>
      <c r="AT1625" s="6" t="str">
        <f>HYPERLINK("http://www.worldcat.org/oclc/22952763","WorldCat Record")</f>
        <v>WorldCat Record</v>
      </c>
      <c r="AU1625" s="3" t="s">
        <v>20378</v>
      </c>
      <c r="AV1625" s="3" t="s">
        <v>20379</v>
      </c>
      <c r="AW1625" s="3" t="s">
        <v>20380</v>
      </c>
      <c r="AX1625" s="3" t="s">
        <v>20380</v>
      </c>
      <c r="AY1625" s="3" t="s">
        <v>20381</v>
      </c>
      <c r="AZ1625" s="3" t="s">
        <v>73</v>
      </c>
      <c r="BB1625" s="3" t="s">
        <v>20382</v>
      </c>
      <c r="BC1625" s="3" t="s">
        <v>20383</v>
      </c>
      <c r="BD1625" s="3" t="s">
        <v>20384</v>
      </c>
    </row>
    <row r="1626" spans="1:56" ht="51" customHeight="1" x14ac:dyDescent="0.25">
      <c r="A1626" s="7" t="s">
        <v>58</v>
      </c>
      <c r="B1626" s="2" t="s">
        <v>20385</v>
      </c>
      <c r="C1626" s="2" t="s">
        <v>20386</v>
      </c>
      <c r="D1626" s="2" t="s">
        <v>20387</v>
      </c>
      <c r="F1626" s="3" t="s">
        <v>58</v>
      </c>
      <c r="G1626" s="3" t="s">
        <v>59</v>
      </c>
      <c r="H1626" s="3" t="s">
        <v>58</v>
      </c>
      <c r="I1626" s="3" t="s">
        <v>58</v>
      </c>
      <c r="J1626" s="3" t="s">
        <v>60</v>
      </c>
      <c r="L1626" s="2" t="s">
        <v>20388</v>
      </c>
      <c r="M1626" s="3" t="s">
        <v>898</v>
      </c>
      <c r="O1626" s="3" t="s">
        <v>63</v>
      </c>
      <c r="P1626" s="3" t="s">
        <v>816</v>
      </c>
      <c r="Q1626" s="2" t="s">
        <v>20389</v>
      </c>
      <c r="R1626" s="3" t="s">
        <v>65</v>
      </c>
      <c r="S1626" s="4">
        <v>7</v>
      </c>
      <c r="T1626" s="4">
        <v>7</v>
      </c>
      <c r="U1626" s="5" t="s">
        <v>20390</v>
      </c>
      <c r="V1626" s="5" t="s">
        <v>20390</v>
      </c>
      <c r="W1626" s="5" t="s">
        <v>20391</v>
      </c>
      <c r="X1626" s="5" t="s">
        <v>20391</v>
      </c>
      <c r="Y1626" s="4">
        <v>594</v>
      </c>
      <c r="Z1626" s="4">
        <v>462</v>
      </c>
      <c r="AA1626" s="4">
        <v>465</v>
      </c>
      <c r="AB1626" s="4">
        <v>3</v>
      </c>
      <c r="AC1626" s="4">
        <v>3</v>
      </c>
      <c r="AD1626" s="4">
        <v>26</v>
      </c>
      <c r="AE1626" s="4">
        <v>26</v>
      </c>
      <c r="AF1626" s="4">
        <v>12</v>
      </c>
      <c r="AG1626" s="4">
        <v>12</v>
      </c>
      <c r="AH1626" s="4">
        <v>5</v>
      </c>
      <c r="AI1626" s="4">
        <v>5</v>
      </c>
      <c r="AJ1626" s="4">
        <v>13</v>
      </c>
      <c r="AK1626" s="4">
        <v>13</v>
      </c>
      <c r="AL1626" s="4">
        <v>2</v>
      </c>
      <c r="AM1626" s="4">
        <v>2</v>
      </c>
      <c r="AN1626" s="4">
        <v>0</v>
      </c>
      <c r="AO1626" s="4">
        <v>0</v>
      </c>
      <c r="AP1626" s="3" t="s">
        <v>58</v>
      </c>
      <c r="AQ1626" s="3" t="s">
        <v>58</v>
      </c>
      <c r="AS1626" s="6" t="str">
        <f>HYPERLINK("https://creighton-primo.hosted.exlibrisgroup.com/primo-explore/search?tab=default_tab&amp;search_scope=EVERYTHING&amp;vid=01CRU&amp;lang=en_US&amp;offset=0&amp;query=any,contains,991004965679702656","Catalog Record")</f>
        <v>Catalog Record</v>
      </c>
      <c r="AT1626" s="6" t="str">
        <f>HYPERLINK("http://www.worldcat.org/oclc/60375467","WorldCat Record")</f>
        <v>WorldCat Record</v>
      </c>
      <c r="AU1626" s="3" t="s">
        <v>20392</v>
      </c>
      <c r="AV1626" s="3" t="s">
        <v>20393</v>
      </c>
      <c r="AW1626" s="3" t="s">
        <v>20394</v>
      </c>
      <c r="AX1626" s="3" t="s">
        <v>20394</v>
      </c>
      <c r="AY1626" s="3" t="s">
        <v>20395</v>
      </c>
      <c r="AZ1626" s="3" t="s">
        <v>73</v>
      </c>
      <c r="BB1626" s="3" t="s">
        <v>20396</v>
      </c>
      <c r="BC1626" s="3" t="s">
        <v>20397</v>
      </c>
      <c r="BD1626" s="3" t="s">
        <v>20398</v>
      </c>
    </row>
    <row r="1627" spans="1:56" ht="51" customHeight="1" x14ac:dyDescent="0.25">
      <c r="A1627" s="7" t="s">
        <v>58</v>
      </c>
      <c r="B1627" s="2" t="s">
        <v>20399</v>
      </c>
      <c r="C1627" s="2" t="s">
        <v>20400</v>
      </c>
      <c r="D1627" s="2" t="s">
        <v>20401</v>
      </c>
      <c r="F1627" s="3" t="s">
        <v>58</v>
      </c>
      <c r="G1627" s="3" t="s">
        <v>59</v>
      </c>
      <c r="H1627" s="3" t="s">
        <v>58</v>
      </c>
      <c r="I1627" s="3" t="s">
        <v>58</v>
      </c>
      <c r="J1627" s="3" t="s">
        <v>60</v>
      </c>
      <c r="K1627" s="2" t="s">
        <v>2497</v>
      </c>
      <c r="L1627" s="2" t="s">
        <v>20402</v>
      </c>
      <c r="M1627" s="3" t="s">
        <v>83</v>
      </c>
      <c r="O1627" s="3" t="s">
        <v>63</v>
      </c>
      <c r="P1627" s="3" t="s">
        <v>2630</v>
      </c>
      <c r="R1627" s="3" t="s">
        <v>65</v>
      </c>
      <c r="S1627" s="4">
        <v>6</v>
      </c>
      <c r="T1627" s="4">
        <v>6</v>
      </c>
      <c r="U1627" s="5" t="s">
        <v>20403</v>
      </c>
      <c r="V1627" s="5" t="s">
        <v>20403</v>
      </c>
      <c r="W1627" s="5" t="s">
        <v>19704</v>
      </c>
      <c r="X1627" s="5" t="s">
        <v>19704</v>
      </c>
      <c r="Y1627" s="4">
        <v>794</v>
      </c>
      <c r="Z1627" s="4">
        <v>644</v>
      </c>
      <c r="AA1627" s="4">
        <v>812</v>
      </c>
      <c r="AB1627" s="4">
        <v>6</v>
      </c>
      <c r="AC1627" s="4">
        <v>6</v>
      </c>
      <c r="AD1627" s="4">
        <v>27</v>
      </c>
      <c r="AE1627" s="4">
        <v>32</v>
      </c>
      <c r="AF1627" s="4">
        <v>13</v>
      </c>
      <c r="AG1627" s="4">
        <v>17</v>
      </c>
      <c r="AH1627" s="4">
        <v>7</v>
      </c>
      <c r="AI1627" s="4">
        <v>7</v>
      </c>
      <c r="AJ1627" s="4">
        <v>11</v>
      </c>
      <c r="AK1627" s="4">
        <v>14</v>
      </c>
      <c r="AL1627" s="4">
        <v>4</v>
      </c>
      <c r="AM1627" s="4">
        <v>4</v>
      </c>
      <c r="AN1627" s="4">
        <v>0</v>
      </c>
      <c r="AO1627" s="4">
        <v>0</v>
      </c>
      <c r="AP1627" s="3" t="s">
        <v>58</v>
      </c>
      <c r="AQ1627" s="3" t="s">
        <v>68</v>
      </c>
      <c r="AR1627" s="6" t="str">
        <f>HYPERLINK("http://catalog.hathitrust.org/Record/000091420","HathiTrust Record")</f>
        <v>HathiTrust Record</v>
      </c>
      <c r="AS1627" s="6" t="str">
        <f>HYPERLINK("https://creighton-primo.hosted.exlibrisgroup.com/primo-explore/search?tab=default_tab&amp;search_scope=EVERYTHING&amp;vid=01CRU&amp;lang=en_US&amp;offset=0&amp;query=any,contains,991004473749702656","Catalog Record")</f>
        <v>Catalog Record</v>
      </c>
      <c r="AT1627" s="6" t="str">
        <f>HYPERLINK("http://www.worldcat.org/oclc/3608393","WorldCat Record")</f>
        <v>WorldCat Record</v>
      </c>
      <c r="AU1627" s="3" t="s">
        <v>20404</v>
      </c>
      <c r="AV1627" s="3" t="s">
        <v>20405</v>
      </c>
      <c r="AW1627" s="3" t="s">
        <v>20406</v>
      </c>
      <c r="AX1627" s="3" t="s">
        <v>20406</v>
      </c>
      <c r="AY1627" s="3" t="s">
        <v>20407</v>
      </c>
      <c r="AZ1627" s="3" t="s">
        <v>73</v>
      </c>
      <c r="BB1627" s="3" t="s">
        <v>20408</v>
      </c>
      <c r="BC1627" s="3" t="s">
        <v>20409</v>
      </c>
      <c r="BD1627" s="3" t="s">
        <v>20410</v>
      </c>
    </row>
    <row r="1628" spans="1:56" ht="51" customHeight="1" x14ac:dyDescent="0.25">
      <c r="A1628" s="7" t="s">
        <v>58</v>
      </c>
      <c r="B1628" s="2" t="s">
        <v>20411</v>
      </c>
      <c r="C1628" s="2" t="s">
        <v>20412</v>
      </c>
      <c r="D1628" s="2" t="s">
        <v>20413</v>
      </c>
      <c r="F1628" s="3" t="s">
        <v>58</v>
      </c>
      <c r="G1628" s="3" t="s">
        <v>59</v>
      </c>
      <c r="H1628" s="3" t="s">
        <v>58</v>
      </c>
      <c r="I1628" s="3" t="s">
        <v>58</v>
      </c>
      <c r="J1628" s="3" t="s">
        <v>60</v>
      </c>
      <c r="K1628" s="2" t="s">
        <v>20414</v>
      </c>
      <c r="L1628" s="2" t="s">
        <v>20415</v>
      </c>
      <c r="M1628" s="3" t="s">
        <v>62</v>
      </c>
      <c r="O1628" s="3" t="s">
        <v>63</v>
      </c>
      <c r="P1628" s="3" t="s">
        <v>214</v>
      </c>
      <c r="R1628" s="3" t="s">
        <v>65</v>
      </c>
      <c r="S1628" s="4">
        <v>9</v>
      </c>
      <c r="T1628" s="4">
        <v>9</v>
      </c>
      <c r="U1628" s="5" t="s">
        <v>11926</v>
      </c>
      <c r="V1628" s="5" t="s">
        <v>11926</v>
      </c>
      <c r="W1628" s="5" t="s">
        <v>20416</v>
      </c>
      <c r="X1628" s="5" t="s">
        <v>20416</v>
      </c>
      <c r="Y1628" s="4">
        <v>917</v>
      </c>
      <c r="Z1628" s="4">
        <v>709</v>
      </c>
      <c r="AA1628" s="4">
        <v>815</v>
      </c>
      <c r="AB1628" s="4">
        <v>3</v>
      </c>
      <c r="AC1628" s="4">
        <v>4</v>
      </c>
      <c r="AD1628" s="4">
        <v>24</v>
      </c>
      <c r="AE1628" s="4">
        <v>31</v>
      </c>
      <c r="AF1628" s="4">
        <v>10</v>
      </c>
      <c r="AG1628" s="4">
        <v>13</v>
      </c>
      <c r="AH1628" s="4">
        <v>8</v>
      </c>
      <c r="AI1628" s="4">
        <v>8</v>
      </c>
      <c r="AJ1628" s="4">
        <v>13</v>
      </c>
      <c r="AK1628" s="4">
        <v>17</v>
      </c>
      <c r="AL1628" s="4">
        <v>1</v>
      </c>
      <c r="AM1628" s="4">
        <v>2</v>
      </c>
      <c r="AN1628" s="4">
        <v>0</v>
      </c>
      <c r="AO1628" s="4">
        <v>0</v>
      </c>
      <c r="AP1628" s="3" t="s">
        <v>58</v>
      </c>
      <c r="AQ1628" s="3" t="s">
        <v>68</v>
      </c>
      <c r="AR1628" s="6" t="str">
        <f>HYPERLINK("http://catalog.hathitrust.org/Record/001241128","HathiTrust Record")</f>
        <v>HathiTrust Record</v>
      </c>
      <c r="AS1628" s="6" t="str">
        <f>HYPERLINK("https://creighton-primo.hosted.exlibrisgroup.com/primo-explore/search?tab=default_tab&amp;search_scope=EVERYTHING&amp;vid=01CRU&amp;lang=en_US&amp;offset=0&amp;query=any,contains,991001222009702656","Catalog Record")</f>
        <v>Catalog Record</v>
      </c>
      <c r="AT1628" s="6" t="str">
        <f>HYPERLINK("http://www.worldcat.org/oclc/197213","WorldCat Record")</f>
        <v>WorldCat Record</v>
      </c>
      <c r="AU1628" s="3" t="s">
        <v>20417</v>
      </c>
      <c r="AV1628" s="3" t="s">
        <v>20418</v>
      </c>
      <c r="AW1628" s="3" t="s">
        <v>20419</v>
      </c>
      <c r="AX1628" s="3" t="s">
        <v>20419</v>
      </c>
      <c r="AY1628" s="3" t="s">
        <v>20420</v>
      </c>
      <c r="AZ1628" s="3" t="s">
        <v>73</v>
      </c>
      <c r="BB1628" s="3" t="s">
        <v>20421</v>
      </c>
      <c r="BC1628" s="3" t="s">
        <v>20422</v>
      </c>
      <c r="BD1628" s="3" t="s">
        <v>20423</v>
      </c>
    </row>
    <row r="1629" spans="1:56" ht="51" customHeight="1" x14ac:dyDescent="0.25">
      <c r="A1629" s="7" t="s">
        <v>58</v>
      </c>
      <c r="B1629" s="2" t="s">
        <v>20424</v>
      </c>
      <c r="C1629" s="2" t="s">
        <v>20425</v>
      </c>
      <c r="D1629" s="2" t="s">
        <v>20426</v>
      </c>
      <c r="F1629" s="3" t="s">
        <v>58</v>
      </c>
      <c r="G1629" s="3" t="s">
        <v>59</v>
      </c>
      <c r="H1629" s="3" t="s">
        <v>58</v>
      </c>
      <c r="I1629" s="3" t="s">
        <v>58</v>
      </c>
      <c r="J1629" s="3" t="s">
        <v>60</v>
      </c>
      <c r="L1629" s="2" t="s">
        <v>20427</v>
      </c>
      <c r="M1629" s="3" t="s">
        <v>397</v>
      </c>
      <c r="O1629" s="3" t="s">
        <v>63</v>
      </c>
      <c r="P1629" s="3" t="s">
        <v>627</v>
      </c>
      <c r="R1629" s="3" t="s">
        <v>65</v>
      </c>
      <c r="S1629" s="4">
        <v>3</v>
      </c>
      <c r="T1629" s="4">
        <v>3</v>
      </c>
      <c r="U1629" s="5" t="s">
        <v>20428</v>
      </c>
      <c r="V1629" s="5" t="s">
        <v>20428</v>
      </c>
      <c r="W1629" s="5" t="s">
        <v>585</v>
      </c>
      <c r="X1629" s="5" t="s">
        <v>585</v>
      </c>
      <c r="Y1629" s="4">
        <v>337</v>
      </c>
      <c r="Z1629" s="4">
        <v>294</v>
      </c>
      <c r="AA1629" s="4">
        <v>299</v>
      </c>
      <c r="AB1629" s="4">
        <v>4</v>
      </c>
      <c r="AC1629" s="4">
        <v>4</v>
      </c>
      <c r="AD1629" s="4">
        <v>16</v>
      </c>
      <c r="AE1629" s="4">
        <v>16</v>
      </c>
      <c r="AF1629" s="4">
        <v>9</v>
      </c>
      <c r="AG1629" s="4">
        <v>9</v>
      </c>
      <c r="AH1629" s="4">
        <v>3</v>
      </c>
      <c r="AI1629" s="4">
        <v>3</v>
      </c>
      <c r="AJ1629" s="4">
        <v>7</v>
      </c>
      <c r="AK1629" s="4">
        <v>7</v>
      </c>
      <c r="AL1629" s="4">
        <v>1</v>
      </c>
      <c r="AM1629" s="4">
        <v>1</v>
      </c>
      <c r="AN1629" s="4">
        <v>0</v>
      </c>
      <c r="AO1629" s="4">
        <v>0</v>
      </c>
      <c r="AP1629" s="3" t="s">
        <v>58</v>
      </c>
      <c r="AQ1629" s="3" t="s">
        <v>58</v>
      </c>
      <c r="AS1629" s="6" t="str">
        <f>HYPERLINK("https://creighton-primo.hosted.exlibrisgroup.com/primo-explore/search?tab=default_tab&amp;search_scope=EVERYTHING&amp;vid=01CRU&amp;lang=en_US&amp;offset=0&amp;query=any,contains,991000628139702656","Catalog Record")</f>
        <v>Catalog Record</v>
      </c>
      <c r="AT1629" s="6" t="str">
        <f>HYPERLINK("http://www.worldcat.org/oclc/12050326","WorldCat Record")</f>
        <v>WorldCat Record</v>
      </c>
      <c r="AU1629" s="3" t="s">
        <v>20429</v>
      </c>
      <c r="AV1629" s="3" t="s">
        <v>20430</v>
      </c>
      <c r="AW1629" s="3" t="s">
        <v>20431</v>
      </c>
      <c r="AX1629" s="3" t="s">
        <v>20431</v>
      </c>
      <c r="AY1629" s="3" t="s">
        <v>20432</v>
      </c>
      <c r="AZ1629" s="3" t="s">
        <v>73</v>
      </c>
      <c r="BB1629" s="3" t="s">
        <v>20433</v>
      </c>
      <c r="BC1629" s="3" t="s">
        <v>20434</v>
      </c>
      <c r="BD1629" s="3" t="s">
        <v>20435</v>
      </c>
    </row>
    <row r="1630" spans="1:56" ht="51" customHeight="1" x14ac:dyDescent="0.25">
      <c r="A1630" s="7" t="s">
        <v>58</v>
      </c>
      <c r="B1630" s="2" t="s">
        <v>20436</v>
      </c>
      <c r="C1630" s="2" t="s">
        <v>20437</v>
      </c>
      <c r="D1630" s="2" t="s">
        <v>20438</v>
      </c>
      <c r="F1630" s="3" t="s">
        <v>58</v>
      </c>
      <c r="G1630" s="3" t="s">
        <v>59</v>
      </c>
      <c r="H1630" s="3" t="s">
        <v>58</v>
      </c>
      <c r="I1630" s="3" t="s">
        <v>58</v>
      </c>
      <c r="J1630" s="3" t="s">
        <v>60</v>
      </c>
      <c r="K1630" s="2" t="s">
        <v>20439</v>
      </c>
      <c r="L1630" s="2" t="s">
        <v>20440</v>
      </c>
      <c r="M1630" s="3" t="s">
        <v>626</v>
      </c>
      <c r="O1630" s="3" t="s">
        <v>63</v>
      </c>
      <c r="P1630" s="3" t="s">
        <v>510</v>
      </c>
      <c r="R1630" s="3" t="s">
        <v>65</v>
      </c>
      <c r="S1630" s="4">
        <v>10</v>
      </c>
      <c r="T1630" s="4">
        <v>10</v>
      </c>
      <c r="U1630" s="5" t="s">
        <v>4674</v>
      </c>
      <c r="V1630" s="5" t="s">
        <v>4674</v>
      </c>
      <c r="W1630" s="5" t="s">
        <v>585</v>
      </c>
      <c r="X1630" s="5" t="s">
        <v>585</v>
      </c>
      <c r="Y1630" s="4">
        <v>846</v>
      </c>
      <c r="Z1630" s="4">
        <v>667</v>
      </c>
      <c r="AA1630" s="4">
        <v>817</v>
      </c>
      <c r="AB1630" s="4">
        <v>4</v>
      </c>
      <c r="AC1630" s="4">
        <v>6</v>
      </c>
      <c r="AD1630" s="4">
        <v>37</v>
      </c>
      <c r="AE1630" s="4">
        <v>46</v>
      </c>
      <c r="AF1630" s="4">
        <v>17</v>
      </c>
      <c r="AG1630" s="4">
        <v>20</v>
      </c>
      <c r="AH1630" s="4">
        <v>9</v>
      </c>
      <c r="AI1630" s="4">
        <v>10</v>
      </c>
      <c r="AJ1630" s="4">
        <v>17</v>
      </c>
      <c r="AK1630" s="4">
        <v>22</v>
      </c>
      <c r="AL1630" s="4">
        <v>3</v>
      </c>
      <c r="AM1630" s="4">
        <v>5</v>
      </c>
      <c r="AN1630" s="4">
        <v>0</v>
      </c>
      <c r="AO1630" s="4">
        <v>0</v>
      </c>
      <c r="AP1630" s="3" t="s">
        <v>58</v>
      </c>
      <c r="AQ1630" s="3" t="s">
        <v>58</v>
      </c>
      <c r="AS1630" s="6" t="str">
        <f>HYPERLINK("https://creighton-primo.hosted.exlibrisgroup.com/primo-explore/search?tab=default_tab&amp;search_scope=EVERYTHING&amp;vid=01CRU&amp;lang=en_US&amp;offset=0&amp;query=any,contains,991000097199702656","Catalog Record")</f>
        <v>Catalog Record</v>
      </c>
      <c r="AT1630" s="6" t="str">
        <f>HYPERLINK("http://www.worldcat.org/oclc/8930041","WorldCat Record")</f>
        <v>WorldCat Record</v>
      </c>
      <c r="AU1630" s="3" t="s">
        <v>20441</v>
      </c>
      <c r="AV1630" s="3" t="s">
        <v>20442</v>
      </c>
      <c r="AW1630" s="3" t="s">
        <v>20443</v>
      </c>
      <c r="AX1630" s="3" t="s">
        <v>20443</v>
      </c>
      <c r="AY1630" s="3" t="s">
        <v>20444</v>
      </c>
      <c r="AZ1630" s="3" t="s">
        <v>73</v>
      </c>
      <c r="BB1630" s="3" t="s">
        <v>20445</v>
      </c>
      <c r="BC1630" s="3" t="s">
        <v>20446</v>
      </c>
      <c r="BD1630" s="3" t="s">
        <v>20447</v>
      </c>
    </row>
    <row r="1631" spans="1:56" ht="51" customHeight="1" x14ac:dyDescent="0.25">
      <c r="A1631" s="7" t="s">
        <v>58</v>
      </c>
      <c r="B1631" s="2" t="s">
        <v>20448</v>
      </c>
      <c r="C1631" s="2" t="s">
        <v>20449</v>
      </c>
      <c r="D1631" s="2" t="s">
        <v>20450</v>
      </c>
      <c r="F1631" s="3" t="s">
        <v>58</v>
      </c>
      <c r="G1631" s="3" t="s">
        <v>59</v>
      </c>
      <c r="H1631" s="3" t="s">
        <v>58</v>
      </c>
      <c r="I1631" s="3" t="s">
        <v>58</v>
      </c>
      <c r="J1631" s="3" t="s">
        <v>60</v>
      </c>
      <c r="K1631" s="2" t="s">
        <v>20451</v>
      </c>
      <c r="L1631" s="2" t="s">
        <v>20452</v>
      </c>
      <c r="M1631" s="3" t="s">
        <v>83</v>
      </c>
      <c r="N1631" s="2" t="s">
        <v>338</v>
      </c>
      <c r="O1631" s="3" t="s">
        <v>63</v>
      </c>
      <c r="P1631" s="3" t="s">
        <v>214</v>
      </c>
      <c r="Q1631" s="2" t="s">
        <v>20453</v>
      </c>
      <c r="R1631" s="3" t="s">
        <v>65</v>
      </c>
      <c r="S1631" s="4">
        <v>3</v>
      </c>
      <c r="T1631" s="4">
        <v>3</v>
      </c>
      <c r="U1631" s="5" t="s">
        <v>2958</v>
      </c>
      <c r="V1631" s="5" t="s">
        <v>2958</v>
      </c>
      <c r="W1631" s="5" t="s">
        <v>12344</v>
      </c>
      <c r="X1631" s="5" t="s">
        <v>12344</v>
      </c>
      <c r="Y1631" s="4">
        <v>925</v>
      </c>
      <c r="Z1631" s="4">
        <v>857</v>
      </c>
      <c r="AA1631" s="4">
        <v>878</v>
      </c>
      <c r="AB1631" s="4">
        <v>8</v>
      </c>
      <c r="AC1631" s="4">
        <v>8</v>
      </c>
      <c r="AD1631" s="4">
        <v>18</v>
      </c>
      <c r="AE1631" s="4">
        <v>18</v>
      </c>
      <c r="AF1631" s="4">
        <v>8</v>
      </c>
      <c r="AG1631" s="4">
        <v>8</v>
      </c>
      <c r="AH1631" s="4">
        <v>2</v>
      </c>
      <c r="AI1631" s="4">
        <v>2</v>
      </c>
      <c r="AJ1631" s="4">
        <v>7</v>
      </c>
      <c r="AK1631" s="4">
        <v>7</v>
      </c>
      <c r="AL1631" s="4">
        <v>3</v>
      </c>
      <c r="AM1631" s="4">
        <v>3</v>
      </c>
      <c r="AN1631" s="4">
        <v>0</v>
      </c>
      <c r="AO1631" s="4">
        <v>0</v>
      </c>
      <c r="AP1631" s="3" t="s">
        <v>58</v>
      </c>
      <c r="AQ1631" s="3" t="s">
        <v>58</v>
      </c>
      <c r="AS1631" s="6" t="str">
        <f>HYPERLINK("https://creighton-primo.hosted.exlibrisgroup.com/primo-explore/search?tab=default_tab&amp;search_scope=EVERYTHING&amp;vid=01CRU&amp;lang=en_US&amp;offset=0&amp;query=any,contains,991004543829702656","Catalog Record")</f>
        <v>Catalog Record</v>
      </c>
      <c r="AT1631" s="6" t="str">
        <f>HYPERLINK("http://www.worldcat.org/oclc/3910883","WorldCat Record")</f>
        <v>WorldCat Record</v>
      </c>
      <c r="AU1631" s="3" t="s">
        <v>20454</v>
      </c>
      <c r="AV1631" s="3" t="s">
        <v>20455</v>
      </c>
      <c r="AW1631" s="3" t="s">
        <v>20456</v>
      </c>
      <c r="AX1631" s="3" t="s">
        <v>20456</v>
      </c>
      <c r="AY1631" s="3" t="s">
        <v>20457</v>
      </c>
      <c r="AZ1631" s="3" t="s">
        <v>73</v>
      </c>
      <c r="BB1631" s="3" t="s">
        <v>20458</v>
      </c>
      <c r="BC1631" s="3" t="s">
        <v>20459</v>
      </c>
      <c r="BD1631" s="3" t="s">
        <v>20460</v>
      </c>
    </row>
    <row r="1632" spans="1:56" ht="51" customHeight="1" x14ac:dyDescent="0.25">
      <c r="A1632" s="7" t="s">
        <v>58</v>
      </c>
      <c r="B1632" s="2" t="s">
        <v>20461</v>
      </c>
      <c r="C1632" s="2" t="s">
        <v>20462</v>
      </c>
      <c r="D1632" s="2" t="s">
        <v>20463</v>
      </c>
      <c r="F1632" s="3" t="s">
        <v>58</v>
      </c>
      <c r="G1632" s="3" t="s">
        <v>59</v>
      </c>
      <c r="H1632" s="3" t="s">
        <v>58</v>
      </c>
      <c r="I1632" s="3" t="s">
        <v>58</v>
      </c>
      <c r="J1632" s="3" t="s">
        <v>60</v>
      </c>
      <c r="L1632" s="2" t="s">
        <v>20464</v>
      </c>
      <c r="M1632" s="3" t="s">
        <v>951</v>
      </c>
      <c r="O1632" s="3" t="s">
        <v>63</v>
      </c>
      <c r="P1632" s="3" t="s">
        <v>3109</v>
      </c>
      <c r="R1632" s="3" t="s">
        <v>65</v>
      </c>
      <c r="S1632" s="4">
        <v>3</v>
      </c>
      <c r="T1632" s="4">
        <v>3</v>
      </c>
      <c r="U1632" s="5" t="s">
        <v>20428</v>
      </c>
      <c r="V1632" s="5" t="s">
        <v>20428</v>
      </c>
      <c r="W1632" s="5" t="s">
        <v>20465</v>
      </c>
      <c r="X1632" s="5" t="s">
        <v>20465</v>
      </c>
      <c r="Y1632" s="4">
        <v>357</v>
      </c>
      <c r="Z1632" s="4">
        <v>252</v>
      </c>
      <c r="AA1632" s="4">
        <v>413</v>
      </c>
      <c r="AB1632" s="4">
        <v>1</v>
      </c>
      <c r="AC1632" s="4">
        <v>3</v>
      </c>
      <c r="AD1632" s="4">
        <v>12</v>
      </c>
      <c r="AE1632" s="4">
        <v>22</v>
      </c>
      <c r="AF1632" s="4">
        <v>3</v>
      </c>
      <c r="AG1632" s="4">
        <v>7</v>
      </c>
      <c r="AH1632" s="4">
        <v>4</v>
      </c>
      <c r="AI1632" s="4">
        <v>8</v>
      </c>
      <c r="AJ1632" s="4">
        <v>8</v>
      </c>
      <c r="AK1632" s="4">
        <v>11</v>
      </c>
      <c r="AL1632" s="4">
        <v>0</v>
      </c>
      <c r="AM1632" s="4">
        <v>2</v>
      </c>
      <c r="AN1632" s="4">
        <v>0</v>
      </c>
      <c r="AO1632" s="4">
        <v>0</v>
      </c>
      <c r="AP1632" s="3" t="s">
        <v>58</v>
      </c>
      <c r="AQ1632" s="3" t="s">
        <v>68</v>
      </c>
      <c r="AR1632" s="6" t="str">
        <f>HYPERLINK("http://catalog.hathitrust.org/Record/004067839","HathiTrust Record")</f>
        <v>HathiTrust Record</v>
      </c>
      <c r="AS1632" s="6" t="str">
        <f>HYPERLINK("https://creighton-primo.hosted.exlibrisgroup.com/primo-explore/search?tab=default_tab&amp;search_scope=EVERYTHING&amp;vid=01CRU&amp;lang=en_US&amp;offset=0&amp;query=any,contains,991003580159702656","Catalog Record")</f>
        <v>Catalog Record</v>
      </c>
      <c r="AT1632" s="6" t="str">
        <f>HYPERLINK("http://www.worldcat.org/oclc/42289942","WorldCat Record")</f>
        <v>WorldCat Record</v>
      </c>
      <c r="AU1632" s="3" t="s">
        <v>20466</v>
      </c>
      <c r="AV1632" s="3" t="s">
        <v>20467</v>
      </c>
      <c r="AW1632" s="3" t="s">
        <v>20468</v>
      </c>
      <c r="AX1632" s="3" t="s">
        <v>20468</v>
      </c>
      <c r="AY1632" s="3" t="s">
        <v>20469</v>
      </c>
      <c r="AZ1632" s="3" t="s">
        <v>73</v>
      </c>
      <c r="BB1632" s="3" t="s">
        <v>20470</v>
      </c>
      <c r="BC1632" s="3" t="s">
        <v>20471</v>
      </c>
      <c r="BD1632" s="3" t="s">
        <v>20472</v>
      </c>
    </row>
    <row r="1633" spans="1:56" ht="51" customHeight="1" x14ac:dyDescent="0.25">
      <c r="A1633" s="7" t="s">
        <v>58</v>
      </c>
      <c r="B1633" s="2" t="s">
        <v>20473</v>
      </c>
      <c r="C1633" s="2" t="s">
        <v>20474</v>
      </c>
      <c r="D1633" s="2" t="s">
        <v>20475</v>
      </c>
      <c r="F1633" s="3" t="s">
        <v>58</v>
      </c>
      <c r="G1633" s="3" t="s">
        <v>59</v>
      </c>
      <c r="H1633" s="3" t="s">
        <v>58</v>
      </c>
      <c r="I1633" s="3" t="s">
        <v>58</v>
      </c>
      <c r="J1633" s="3" t="s">
        <v>60</v>
      </c>
      <c r="K1633" s="2" t="s">
        <v>20476</v>
      </c>
      <c r="L1633" s="2" t="s">
        <v>20477</v>
      </c>
      <c r="M1633" s="3" t="s">
        <v>552</v>
      </c>
      <c r="O1633" s="3" t="s">
        <v>63</v>
      </c>
      <c r="P1633" s="3" t="s">
        <v>3403</v>
      </c>
      <c r="Q1633" s="2" t="s">
        <v>20478</v>
      </c>
      <c r="R1633" s="3" t="s">
        <v>65</v>
      </c>
      <c r="S1633" s="4">
        <v>1</v>
      </c>
      <c r="T1633" s="4">
        <v>1</v>
      </c>
      <c r="U1633" s="5" t="s">
        <v>468</v>
      </c>
      <c r="V1633" s="5" t="s">
        <v>468</v>
      </c>
      <c r="W1633" s="5" t="s">
        <v>19388</v>
      </c>
      <c r="X1633" s="5" t="s">
        <v>19388</v>
      </c>
      <c r="Y1633" s="4">
        <v>275</v>
      </c>
      <c r="Z1633" s="4">
        <v>175</v>
      </c>
      <c r="AA1633" s="4">
        <v>624</v>
      </c>
      <c r="AB1633" s="4">
        <v>3</v>
      </c>
      <c r="AC1633" s="4">
        <v>8</v>
      </c>
      <c r="AD1633" s="4">
        <v>14</v>
      </c>
      <c r="AE1633" s="4">
        <v>35</v>
      </c>
      <c r="AF1633" s="4">
        <v>3</v>
      </c>
      <c r="AG1633" s="4">
        <v>10</v>
      </c>
      <c r="AH1633" s="4">
        <v>4</v>
      </c>
      <c r="AI1633" s="4">
        <v>11</v>
      </c>
      <c r="AJ1633" s="4">
        <v>11</v>
      </c>
      <c r="AK1633" s="4">
        <v>16</v>
      </c>
      <c r="AL1633" s="4">
        <v>2</v>
      </c>
      <c r="AM1633" s="4">
        <v>6</v>
      </c>
      <c r="AN1633" s="4">
        <v>0</v>
      </c>
      <c r="AO1633" s="4">
        <v>1</v>
      </c>
      <c r="AP1633" s="3" t="s">
        <v>58</v>
      </c>
      <c r="AQ1633" s="3" t="s">
        <v>68</v>
      </c>
      <c r="AR1633" s="6" t="str">
        <f>HYPERLINK("http://catalog.hathitrust.org/Record/001953094","HathiTrust Record")</f>
        <v>HathiTrust Record</v>
      </c>
      <c r="AS1633" s="6" t="str">
        <f>HYPERLINK("https://creighton-primo.hosted.exlibrisgroup.com/primo-explore/search?tab=default_tab&amp;search_scope=EVERYTHING&amp;vid=01CRU&amp;lang=en_US&amp;offset=0&amp;query=any,contains,991001507929702656","Catalog Record")</f>
        <v>Catalog Record</v>
      </c>
      <c r="AT1633" s="6" t="str">
        <f>HYPERLINK("http://www.worldcat.org/oclc/26810857","WorldCat Record")</f>
        <v>WorldCat Record</v>
      </c>
      <c r="AU1633" s="3" t="s">
        <v>20479</v>
      </c>
      <c r="AV1633" s="3" t="s">
        <v>20480</v>
      </c>
      <c r="AW1633" s="3" t="s">
        <v>20481</v>
      </c>
      <c r="AX1633" s="3" t="s">
        <v>20481</v>
      </c>
      <c r="AY1633" s="3" t="s">
        <v>20482</v>
      </c>
      <c r="AZ1633" s="3" t="s">
        <v>73</v>
      </c>
      <c r="BB1633" s="3" t="s">
        <v>20483</v>
      </c>
      <c r="BC1633" s="3" t="s">
        <v>20484</v>
      </c>
      <c r="BD1633" s="3" t="s">
        <v>20485</v>
      </c>
    </row>
    <row r="1634" spans="1:56" ht="51" customHeight="1" x14ac:dyDescent="0.25">
      <c r="A1634" s="7" t="s">
        <v>58</v>
      </c>
      <c r="B1634" s="2" t="s">
        <v>20486</v>
      </c>
      <c r="C1634" s="2" t="s">
        <v>20487</v>
      </c>
      <c r="D1634" s="2" t="s">
        <v>20488</v>
      </c>
      <c r="F1634" s="3" t="s">
        <v>58</v>
      </c>
      <c r="G1634" s="3" t="s">
        <v>59</v>
      </c>
      <c r="H1634" s="3" t="s">
        <v>58</v>
      </c>
      <c r="I1634" s="3" t="s">
        <v>58</v>
      </c>
      <c r="J1634" s="3" t="s">
        <v>60</v>
      </c>
      <c r="L1634" s="2" t="s">
        <v>20489</v>
      </c>
      <c r="M1634" s="3" t="s">
        <v>1091</v>
      </c>
      <c r="N1634" s="2" t="s">
        <v>338</v>
      </c>
      <c r="O1634" s="3" t="s">
        <v>63</v>
      </c>
      <c r="P1634" s="3" t="s">
        <v>20490</v>
      </c>
      <c r="Q1634" s="2" t="s">
        <v>20491</v>
      </c>
      <c r="R1634" s="3" t="s">
        <v>65</v>
      </c>
      <c r="S1634" s="4">
        <v>2</v>
      </c>
      <c r="T1634" s="4">
        <v>2</v>
      </c>
      <c r="U1634" s="5" t="s">
        <v>20492</v>
      </c>
      <c r="V1634" s="5" t="s">
        <v>20492</v>
      </c>
      <c r="W1634" s="5" t="s">
        <v>20493</v>
      </c>
      <c r="X1634" s="5" t="s">
        <v>20493</v>
      </c>
      <c r="Y1634" s="4">
        <v>289</v>
      </c>
      <c r="Z1634" s="4">
        <v>209</v>
      </c>
      <c r="AA1634" s="4">
        <v>212</v>
      </c>
      <c r="AB1634" s="4">
        <v>2</v>
      </c>
      <c r="AC1634" s="4">
        <v>2</v>
      </c>
      <c r="AD1634" s="4">
        <v>11</v>
      </c>
      <c r="AE1634" s="4">
        <v>11</v>
      </c>
      <c r="AF1634" s="4">
        <v>2</v>
      </c>
      <c r="AG1634" s="4">
        <v>2</v>
      </c>
      <c r="AH1634" s="4">
        <v>4</v>
      </c>
      <c r="AI1634" s="4">
        <v>4</v>
      </c>
      <c r="AJ1634" s="4">
        <v>6</v>
      </c>
      <c r="AK1634" s="4">
        <v>6</v>
      </c>
      <c r="AL1634" s="4">
        <v>1</v>
      </c>
      <c r="AM1634" s="4">
        <v>1</v>
      </c>
      <c r="AN1634" s="4">
        <v>0</v>
      </c>
      <c r="AO1634" s="4">
        <v>0</v>
      </c>
      <c r="AP1634" s="3" t="s">
        <v>58</v>
      </c>
      <c r="AQ1634" s="3" t="s">
        <v>68</v>
      </c>
      <c r="AR1634" s="6" t="str">
        <f>HYPERLINK("http://catalog.hathitrust.org/Record/004214715","HathiTrust Record")</f>
        <v>HathiTrust Record</v>
      </c>
      <c r="AS1634" s="6" t="str">
        <f>HYPERLINK("https://creighton-primo.hosted.exlibrisgroup.com/primo-explore/search?tab=default_tab&amp;search_scope=EVERYTHING&amp;vid=01CRU&amp;lang=en_US&amp;offset=0&amp;query=any,contains,991003990389702656","Catalog Record")</f>
        <v>Catalog Record</v>
      </c>
      <c r="AT1634" s="6" t="str">
        <f>HYPERLINK("http://www.worldcat.org/oclc/47271122","WorldCat Record")</f>
        <v>WorldCat Record</v>
      </c>
      <c r="AU1634" s="3" t="s">
        <v>20494</v>
      </c>
      <c r="AV1634" s="3" t="s">
        <v>20495</v>
      </c>
      <c r="AW1634" s="3" t="s">
        <v>20496</v>
      </c>
      <c r="AX1634" s="3" t="s">
        <v>20496</v>
      </c>
      <c r="AY1634" s="3" t="s">
        <v>20497</v>
      </c>
      <c r="AZ1634" s="3" t="s">
        <v>73</v>
      </c>
      <c r="BB1634" s="3" t="s">
        <v>20498</v>
      </c>
      <c r="BC1634" s="3" t="s">
        <v>20499</v>
      </c>
      <c r="BD1634" s="3" t="s">
        <v>20500</v>
      </c>
    </row>
    <row r="1635" spans="1:56" ht="51" customHeight="1" x14ac:dyDescent="0.25">
      <c r="A1635" s="7" t="s">
        <v>58</v>
      </c>
      <c r="B1635" s="2" t="s">
        <v>20501</v>
      </c>
      <c r="C1635" s="2" t="s">
        <v>20502</v>
      </c>
      <c r="D1635" s="2" t="s">
        <v>20503</v>
      </c>
      <c r="F1635" s="3" t="s">
        <v>58</v>
      </c>
      <c r="G1635" s="3" t="s">
        <v>59</v>
      </c>
      <c r="H1635" s="3" t="s">
        <v>58</v>
      </c>
      <c r="I1635" s="3" t="s">
        <v>58</v>
      </c>
      <c r="J1635" s="3" t="s">
        <v>60</v>
      </c>
      <c r="K1635" s="2" t="s">
        <v>20504</v>
      </c>
      <c r="L1635" s="2" t="s">
        <v>20505</v>
      </c>
      <c r="M1635" s="3" t="s">
        <v>1091</v>
      </c>
      <c r="O1635" s="3" t="s">
        <v>2030</v>
      </c>
      <c r="P1635" s="3" t="s">
        <v>2031</v>
      </c>
      <c r="R1635" s="3" t="s">
        <v>65</v>
      </c>
      <c r="S1635" s="4">
        <v>1</v>
      </c>
      <c r="T1635" s="4">
        <v>1</v>
      </c>
      <c r="U1635" s="5" t="s">
        <v>1963</v>
      </c>
      <c r="V1635" s="5" t="s">
        <v>1963</v>
      </c>
      <c r="W1635" s="5" t="s">
        <v>1963</v>
      </c>
      <c r="X1635" s="5" t="s">
        <v>1963</v>
      </c>
      <c r="Y1635" s="4">
        <v>71</v>
      </c>
      <c r="Z1635" s="4">
        <v>39</v>
      </c>
      <c r="AA1635" s="4">
        <v>44</v>
      </c>
      <c r="AB1635" s="4">
        <v>1</v>
      </c>
      <c r="AC1635" s="4">
        <v>1</v>
      </c>
      <c r="AD1635" s="4">
        <v>2</v>
      </c>
      <c r="AE1635" s="4">
        <v>3</v>
      </c>
      <c r="AF1635" s="4">
        <v>0</v>
      </c>
      <c r="AG1635" s="4">
        <v>0</v>
      </c>
      <c r="AH1635" s="4">
        <v>1</v>
      </c>
      <c r="AI1635" s="4">
        <v>2</v>
      </c>
      <c r="AJ1635" s="4">
        <v>1</v>
      </c>
      <c r="AK1635" s="4">
        <v>2</v>
      </c>
      <c r="AL1635" s="4">
        <v>0</v>
      </c>
      <c r="AM1635" s="4">
        <v>0</v>
      </c>
      <c r="AN1635" s="4">
        <v>0</v>
      </c>
      <c r="AO1635" s="4">
        <v>0</v>
      </c>
      <c r="AP1635" s="3" t="s">
        <v>58</v>
      </c>
      <c r="AQ1635" s="3" t="s">
        <v>58</v>
      </c>
      <c r="AS1635" s="6" t="str">
        <f>HYPERLINK("https://creighton-primo.hosted.exlibrisgroup.com/primo-explore/search?tab=default_tab&amp;search_scope=EVERYTHING&amp;vid=01CRU&amp;lang=en_US&amp;offset=0&amp;query=any,contains,991004198999702656","Catalog Record")</f>
        <v>Catalog Record</v>
      </c>
      <c r="AT1635" s="6" t="str">
        <f>HYPERLINK("http://www.worldcat.org/oclc/48559359","WorldCat Record")</f>
        <v>WorldCat Record</v>
      </c>
      <c r="AU1635" s="3" t="s">
        <v>20506</v>
      </c>
      <c r="AV1635" s="3" t="s">
        <v>20507</v>
      </c>
      <c r="AW1635" s="3" t="s">
        <v>20508</v>
      </c>
      <c r="AX1635" s="3" t="s">
        <v>20508</v>
      </c>
      <c r="AY1635" s="3" t="s">
        <v>20509</v>
      </c>
      <c r="AZ1635" s="3" t="s">
        <v>73</v>
      </c>
      <c r="BB1635" s="3" t="s">
        <v>20510</v>
      </c>
      <c r="BC1635" s="3" t="s">
        <v>20511</v>
      </c>
      <c r="BD1635" s="3" t="s">
        <v>20512</v>
      </c>
    </row>
    <row r="1636" spans="1:56" ht="51" customHeight="1" x14ac:dyDescent="0.25">
      <c r="A1636" s="7" t="s">
        <v>58</v>
      </c>
      <c r="B1636" s="2" t="s">
        <v>20513</v>
      </c>
      <c r="C1636" s="2" t="s">
        <v>20514</v>
      </c>
      <c r="D1636" s="2" t="s">
        <v>20515</v>
      </c>
      <c r="E1636" s="3" t="s">
        <v>20516</v>
      </c>
      <c r="F1636" s="3" t="s">
        <v>68</v>
      </c>
      <c r="G1636" s="3" t="s">
        <v>59</v>
      </c>
      <c r="H1636" s="3" t="s">
        <v>58</v>
      </c>
      <c r="I1636" s="3" t="s">
        <v>58</v>
      </c>
      <c r="J1636" s="3" t="s">
        <v>60</v>
      </c>
      <c r="K1636" s="2" t="s">
        <v>20517</v>
      </c>
      <c r="L1636" s="2" t="s">
        <v>20518</v>
      </c>
      <c r="M1636" s="3" t="s">
        <v>800</v>
      </c>
      <c r="O1636" s="3" t="s">
        <v>63</v>
      </c>
      <c r="P1636" s="3" t="s">
        <v>1837</v>
      </c>
      <c r="R1636" s="3" t="s">
        <v>65</v>
      </c>
      <c r="S1636" s="4">
        <v>2</v>
      </c>
      <c r="T1636" s="4">
        <v>4</v>
      </c>
      <c r="U1636" s="5" t="s">
        <v>5049</v>
      </c>
      <c r="V1636" s="5" t="s">
        <v>5049</v>
      </c>
      <c r="W1636" s="5" t="s">
        <v>13198</v>
      </c>
      <c r="X1636" s="5" t="s">
        <v>13198</v>
      </c>
      <c r="Y1636" s="4">
        <v>250</v>
      </c>
      <c r="Z1636" s="4">
        <v>173</v>
      </c>
      <c r="AA1636" s="4">
        <v>191</v>
      </c>
      <c r="AB1636" s="4">
        <v>2</v>
      </c>
      <c r="AC1636" s="4">
        <v>2</v>
      </c>
      <c r="AD1636" s="4">
        <v>19</v>
      </c>
      <c r="AE1636" s="4">
        <v>20</v>
      </c>
      <c r="AF1636" s="4">
        <v>6</v>
      </c>
      <c r="AG1636" s="4">
        <v>6</v>
      </c>
      <c r="AH1636" s="4">
        <v>6</v>
      </c>
      <c r="AI1636" s="4">
        <v>7</v>
      </c>
      <c r="AJ1636" s="4">
        <v>10</v>
      </c>
      <c r="AK1636" s="4">
        <v>10</v>
      </c>
      <c r="AL1636" s="4">
        <v>1</v>
      </c>
      <c r="AM1636" s="4">
        <v>1</v>
      </c>
      <c r="AN1636" s="4">
        <v>0</v>
      </c>
      <c r="AO1636" s="4">
        <v>0</v>
      </c>
      <c r="AP1636" s="3" t="s">
        <v>58</v>
      </c>
      <c r="AQ1636" s="3" t="s">
        <v>68</v>
      </c>
      <c r="AR1636" s="6" t="str">
        <f>HYPERLINK("http://catalog.hathitrust.org/Record/003195141","HathiTrust Record")</f>
        <v>HathiTrust Record</v>
      </c>
      <c r="AS1636" s="6" t="str">
        <f>HYPERLINK("https://creighton-primo.hosted.exlibrisgroup.com/primo-explore/search?tab=default_tab&amp;search_scope=EVERYTHING&amp;vid=01CRU&amp;lang=en_US&amp;offset=0&amp;query=any,contains,991002253149702656","Catalog Record")</f>
        <v>Catalog Record</v>
      </c>
      <c r="AT1636" s="6" t="str">
        <f>HYPERLINK("http://www.worldcat.org/oclc/29184894","WorldCat Record")</f>
        <v>WorldCat Record</v>
      </c>
      <c r="AU1636" s="3" t="s">
        <v>20519</v>
      </c>
      <c r="AV1636" s="3" t="s">
        <v>20520</v>
      </c>
      <c r="AW1636" s="3" t="s">
        <v>20521</v>
      </c>
      <c r="AX1636" s="3" t="s">
        <v>20521</v>
      </c>
      <c r="AY1636" s="3" t="s">
        <v>20522</v>
      </c>
      <c r="AZ1636" s="3" t="s">
        <v>73</v>
      </c>
      <c r="BB1636" s="3" t="s">
        <v>20523</v>
      </c>
      <c r="BC1636" s="3" t="s">
        <v>20524</v>
      </c>
      <c r="BD1636" s="3" t="s">
        <v>20525</v>
      </c>
    </row>
    <row r="1637" spans="1:56" ht="51" customHeight="1" x14ac:dyDescent="0.25">
      <c r="A1637" s="7" t="s">
        <v>58</v>
      </c>
      <c r="B1637" s="2" t="s">
        <v>20513</v>
      </c>
      <c r="C1637" s="2" t="s">
        <v>20514</v>
      </c>
      <c r="D1637" s="2" t="s">
        <v>20515</v>
      </c>
      <c r="E1637" s="3" t="s">
        <v>20526</v>
      </c>
      <c r="F1637" s="3" t="s">
        <v>68</v>
      </c>
      <c r="G1637" s="3" t="s">
        <v>59</v>
      </c>
      <c r="H1637" s="3" t="s">
        <v>58</v>
      </c>
      <c r="I1637" s="3" t="s">
        <v>58</v>
      </c>
      <c r="J1637" s="3" t="s">
        <v>60</v>
      </c>
      <c r="K1637" s="2" t="s">
        <v>20517</v>
      </c>
      <c r="L1637" s="2" t="s">
        <v>20518</v>
      </c>
      <c r="M1637" s="3" t="s">
        <v>800</v>
      </c>
      <c r="O1637" s="3" t="s">
        <v>63</v>
      </c>
      <c r="P1637" s="3" t="s">
        <v>1837</v>
      </c>
      <c r="R1637" s="3" t="s">
        <v>65</v>
      </c>
      <c r="S1637" s="4">
        <v>2</v>
      </c>
      <c r="T1637" s="4">
        <v>4</v>
      </c>
      <c r="U1637" s="5" t="s">
        <v>5049</v>
      </c>
      <c r="V1637" s="5" t="s">
        <v>5049</v>
      </c>
      <c r="W1637" s="5" t="s">
        <v>13198</v>
      </c>
      <c r="X1637" s="5" t="s">
        <v>13198</v>
      </c>
      <c r="Y1637" s="4">
        <v>250</v>
      </c>
      <c r="Z1637" s="4">
        <v>173</v>
      </c>
      <c r="AA1637" s="4">
        <v>191</v>
      </c>
      <c r="AB1637" s="4">
        <v>2</v>
      </c>
      <c r="AC1637" s="4">
        <v>2</v>
      </c>
      <c r="AD1637" s="4">
        <v>19</v>
      </c>
      <c r="AE1637" s="4">
        <v>20</v>
      </c>
      <c r="AF1637" s="4">
        <v>6</v>
      </c>
      <c r="AG1637" s="4">
        <v>6</v>
      </c>
      <c r="AH1637" s="4">
        <v>6</v>
      </c>
      <c r="AI1637" s="4">
        <v>7</v>
      </c>
      <c r="AJ1637" s="4">
        <v>10</v>
      </c>
      <c r="AK1637" s="4">
        <v>10</v>
      </c>
      <c r="AL1637" s="4">
        <v>1</v>
      </c>
      <c r="AM1637" s="4">
        <v>1</v>
      </c>
      <c r="AN1637" s="4">
        <v>0</v>
      </c>
      <c r="AO1637" s="4">
        <v>0</v>
      </c>
      <c r="AP1637" s="3" t="s">
        <v>58</v>
      </c>
      <c r="AQ1637" s="3" t="s">
        <v>68</v>
      </c>
      <c r="AR1637" s="6" t="str">
        <f>HYPERLINK("http://catalog.hathitrust.org/Record/003195141","HathiTrust Record")</f>
        <v>HathiTrust Record</v>
      </c>
      <c r="AS1637" s="6" t="str">
        <f>HYPERLINK("https://creighton-primo.hosted.exlibrisgroup.com/primo-explore/search?tab=default_tab&amp;search_scope=EVERYTHING&amp;vid=01CRU&amp;lang=en_US&amp;offset=0&amp;query=any,contains,991002253149702656","Catalog Record")</f>
        <v>Catalog Record</v>
      </c>
      <c r="AT1637" s="6" t="str">
        <f>HYPERLINK("http://www.worldcat.org/oclc/29184894","WorldCat Record")</f>
        <v>WorldCat Record</v>
      </c>
      <c r="AU1637" s="3" t="s">
        <v>20519</v>
      </c>
      <c r="AV1637" s="3" t="s">
        <v>20520</v>
      </c>
      <c r="AW1637" s="3" t="s">
        <v>20521</v>
      </c>
      <c r="AX1637" s="3" t="s">
        <v>20521</v>
      </c>
      <c r="AY1637" s="3" t="s">
        <v>20522</v>
      </c>
      <c r="AZ1637" s="3" t="s">
        <v>73</v>
      </c>
      <c r="BB1637" s="3" t="s">
        <v>20523</v>
      </c>
      <c r="BC1637" s="3" t="s">
        <v>20527</v>
      </c>
      <c r="BD1637" s="3" t="s">
        <v>20528</v>
      </c>
    </row>
    <row r="1638" spans="1:56" ht="51" customHeight="1" x14ac:dyDescent="0.25">
      <c r="A1638" s="7" t="s">
        <v>58</v>
      </c>
      <c r="B1638" s="2" t="s">
        <v>20529</v>
      </c>
      <c r="C1638" s="2" t="s">
        <v>20530</v>
      </c>
      <c r="D1638" s="2" t="s">
        <v>20531</v>
      </c>
      <c r="F1638" s="3" t="s">
        <v>58</v>
      </c>
      <c r="G1638" s="3" t="s">
        <v>59</v>
      </c>
      <c r="H1638" s="3" t="s">
        <v>58</v>
      </c>
      <c r="I1638" s="3" t="s">
        <v>58</v>
      </c>
      <c r="J1638" s="3" t="s">
        <v>60</v>
      </c>
      <c r="L1638" s="2" t="s">
        <v>16521</v>
      </c>
      <c r="M1638" s="3" t="s">
        <v>196</v>
      </c>
      <c r="O1638" s="3" t="s">
        <v>63</v>
      </c>
      <c r="P1638" s="3" t="s">
        <v>214</v>
      </c>
      <c r="R1638" s="3" t="s">
        <v>65</v>
      </c>
      <c r="S1638" s="4">
        <v>1</v>
      </c>
      <c r="T1638" s="4">
        <v>1</v>
      </c>
      <c r="U1638" s="5" t="s">
        <v>20532</v>
      </c>
      <c r="V1638" s="5" t="s">
        <v>20532</v>
      </c>
      <c r="W1638" s="5" t="s">
        <v>2632</v>
      </c>
      <c r="X1638" s="5" t="s">
        <v>2632</v>
      </c>
      <c r="Y1638" s="4">
        <v>607</v>
      </c>
      <c r="Z1638" s="4">
        <v>481</v>
      </c>
      <c r="AA1638" s="4">
        <v>546</v>
      </c>
      <c r="AB1638" s="4">
        <v>4</v>
      </c>
      <c r="AC1638" s="4">
        <v>4</v>
      </c>
      <c r="AD1638" s="4">
        <v>28</v>
      </c>
      <c r="AE1638" s="4">
        <v>31</v>
      </c>
      <c r="AF1638" s="4">
        <v>10</v>
      </c>
      <c r="AG1638" s="4">
        <v>11</v>
      </c>
      <c r="AH1638" s="4">
        <v>6</v>
      </c>
      <c r="AI1638" s="4">
        <v>6</v>
      </c>
      <c r="AJ1638" s="4">
        <v>15</v>
      </c>
      <c r="AK1638" s="4">
        <v>18</v>
      </c>
      <c r="AL1638" s="4">
        <v>3</v>
      </c>
      <c r="AM1638" s="4">
        <v>3</v>
      </c>
      <c r="AN1638" s="4">
        <v>0</v>
      </c>
      <c r="AO1638" s="4">
        <v>0</v>
      </c>
      <c r="AP1638" s="3" t="s">
        <v>58</v>
      </c>
      <c r="AQ1638" s="3" t="s">
        <v>58</v>
      </c>
      <c r="AS1638" s="6" t="str">
        <f>HYPERLINK("https://creighton-primo.hosted.exlibrisgroup.com/primo-explore/search?tab=default_tab&amp;search_scope=EVERYTHING&amp;vid=01CRU&amp;lang=en_US&amp;offset=0&amp;query=any,contains,991002482349702656","Catalog Record")</f>
        <v>Catalog Record</v>
      </c>
      <c r="AT1638" s="6" t="str">
        <f>HYPERLINK("http://www.worldcat.org/oclc/32312142","WorldCat Record")</f>
        <v>WorldCat Record</v>
      </c>
      <c r="AU1638" s="3" t="s">
        <v>20533</v>
      </c>
      <c r="AV1638" s="3" t="s">
        <v>20534</v>
      </c>
      <c r="AW1638" s="3" t="s">
        <v>20535</v>
      </c>
      <c r="AX1638" s="3" t="s">
        <v>20535</v>
      </c>
      <c r="AY1638" s="3" t="s">
        <v>20536</v>
      </c>
      <c r="AZ1638" s="3" t="s">
        <v>73</v>
      </c>
      <c r="BB1638" s="3" t="s">
        <v>20537</v>
      </c>
      <c r="BC1638" s="3" t="s">
        <v>20538</v>
      </c>
      <c r="BD1638" s="3" t="s">
        <v>20539</v>
      </c>
    </row>
    <row r="1639" spans="1:56" ht="51" customHeight="1" x14ac:dyDescent="0.25">
      <c r="A1639" s="7" t="s">
        <v>58</v>
      </c>
      <c r="B1639" s="2" t="s">
        <v>20540</v>
      </c>
      <c r="C1639" s="2" t="s">
        <v>20541</v>
      </c>
      <c r="D1639" s="2" t="s">
        <v>20542</v>
      </c>
      <c r="F1639" s="3" t="s">
        <v>58</v>
      </c>
      <c r="G1639" s="3" t="s">
        <v>59</v>
      </c>
      <c r="H1639" s="3" t="s">
        <v>58</v>
      </c>
      <c r="I1639" s="3" t="s">
        <v>58</v>
      </c>
      <c r="J1639" s="3" t="s">
        <v>60</v>
      </c>
      <c r="K1639" s="2" t="s">
        <v>20543</v>
      </c>
      <c r="L1639" s="2" t="s">
        <v>20544</v>
      </c>
      <c r="M1639" s="3" t="s">
        <v>1399</v>
      </c>
      <c r="O1639" s="3" t="s">
        <v>63</v>
      </c>
      <c r="P1639" s="3" t="s">
        <v>584</v>
      </c>
      <c r="Q1639" s="2" t="s">
        <v>20545</v>
      </c>
      <c r="R1639" s="3" t="s">
        <v>65</v>
      </c>
      <c r="S1639" s="4">
        <v>2</v>
      </c>
      <c r="T1639" s="4">
        <v>2</v>
      </c>
      <c r="U1639" s="5" t="s">
        <v>19896</v>
      </c>
      <c r="V1639" s="5" t="s">
        <v>19896</v>
      </c>
      <c r="W1639" s="5" t="s">
        <v>1273</v>
      </c>
      <c r="X1639" s="5" t="s">
        <v>1273</v>
      </c>
      <c r="Y1639" s="4">
        <v>253</v>
      </c>
      <c r="Z1639" s="4">
        <v>167</v>
      </c>
      <c r="AA1639" s="4">
        <v>172</v>
      </c>
      <c r="AB1639" s="4">
        <v>1</v>
      </c>
      <c r="AC1639" s="4">
        <v>1</v>
      </c>
      <c r="AD1639" s="4">
        <v>6</v>
      </c>
      <c r="AE1639" s="4">
        <v>6</v>
      </c>
      <c r="AF1639" s="4">
        <v>0</v>
      </c>
      <c r="AG1639" s="4">
        <v>0</v>
      </c>
      <c r="AH1639" s="4">
        <v>3</v>
      </c>
      <c r="AI1639" s="4">
        <v>3</v>
      </c>
      <c r="AJ1639" s="4">
        <v>4</v>
      </c>
      <c r="AK1639" s="4">
        <v>4</v>
      </c>
      <c r="AL1639" s="4">
        <v>0</v>
      </c>
      <c r="AM1639" s="4">
        <v>0</v>
      </c>
      <c r="AN1639" s="4">
        <v>0</v>
      </c>
      <c r="AO1639" s="4">
        <v>0</v>
      </c>
      <c r="AP1639" s="3" t="s">
        <v>58</v>
      </c>
      <c r="AQ1639" s="3" t="s">
        <v>58</v>
      </c>
      <c r="AS1639" s="6" t="str">
        <f>HYPERLINK("https://creighton-primo.hosted.exlibrisgroup.com/primo-explore/search?tab=default_tab&amp;search_scope=EVERYTHING&amp;vid=01CRU&amp;lang=en_US&amp;offset=0&amp;query=any,contains,991001332729702656","Catalog Record")</f>
        <v>Catalog Record</v>
      </c>
      <c r="AT1639" s="6" t="str">
        <f>HYPERLINK("http://www.worldcat.org/oclc/21304858","WorldCat Record")</f>
        <v>WorldCat Record</v>
      </c>
      <c r="AU1639" s="3" t="s">
        <v>20546</v>
      </c>
      <c r="AV1639" s="3" t="s">
        <v>20547</v>
      </c>
      <c r="AW1639" s="3" t="s">
        <v>20548</v>
      </c>
      <c r="AX1639" s="3" t="s">
        <v>20548</v>
      </c>
      <c r="AY1639" s="3" t="s">
        <v>20549</v>
      </c>
      <c r="AZ1639" s="3" t="s">
        <v>73</v>
      </c>
      <c r="BB1639" s="3" t="s">
        <v>20550</v>
      </c>
      <c r="BC1639" s="3" t="s">
        <v>20551</v>
      </c>
      <c r="BD1639" s="3" t="s">
        <v>20552</v>
      </c>
    </row>
    <row r="1640" spans="1:56" ht="51" customHeight="1" x14ac:dyDescent="0.25">
      <c r="A1640" s="7" t="s">
        <v>58</v>
      </c>
      <c r="B1640" s="2" t="s">
        <v>20553</v>
      </c>
      <c r="C1640" s="2" t="s">
        <v>20554</v>
      </c>
      <c r="D1640" s="2" t="s">
        <v>20555</v>
      </c>
      <c r="F1640" s="3" t="s">
        <v>58</v>
      </c>
      <c r="G1640" s="3" t="s">
        <v>59</v>
      </c>
      <c r="H1640" s="3" t="s">
        <v>58</v>
      </c>
      <c r="I1640" s="3" t="s">
        <v>58</v>
      </c>
      <c r="J1640" s="3" t="s">
        <v>60</v>
      </c>
      <c r="L1640" s="2" t="s">
        <v>20556</v>
      </c>
      <c r="M1640" s="3" t="s">
        <v>1399</v>
      </c>
      <c r="O1640" s="3" t="s">
        <v>63</v>
      </c>
      <c r="P1640" s="3" t="s">
        <v>214</v>
      </c>
      <c r="R1640" s="3" t="s">
        <v>65</v>
      </c>
      <c r="S1640" s="4">
        <v>9</v>
      </c>
      <c r="T1640" s="4">
        <v>9</v>
      </c>
      <c r="U1640" s="5" t="s">
        <v>2367</v>
      </c>
      <c r="V1640" s="5" t="s">
        <v>2367</v>
      </c>
      <c r="W1640" s="5" t="s">
        <v>585</v>
      </c>
      <c r="X1640" s="5" t="s">
        <v>585</v>
      </c>
      <c r="Y1640" s="4">
        <v>418</v>
      </c>
      <c r="Z1640" s="4">
        <v>319</v>
      </c>
      <c r="AA1640" s="4">
        <v>494</v>
      </c>
      <c r="AB1640" s="4">
        <v>3</v>
      </c>
      <c r="AC1640" s="4">
        <v>3</v>
      </c>
      <c r="AD1640" s="4">
        <v>14</v>
      </c>
      <c r="AE1640" s="4">
        <v>23</v>
      </c>
      <c r="AF1640" s="4">
        <v>3</v>
      </c>
      <c r="AG1640" s="4">
        <v>10</v>
      </c>
      <c r="AH1640" s="4">
        <v>4</v>
      </c>
      <c r="AI1640" s="4">
        <v>6</v>
      </c>
      <c r="AJ1640" s="4">
        <v>8</v>
      </c>
      <c r="AK1640" s="4">
        <v>12</v>
      </c>
      <c r="AL1640" s="4">
        <v>2</v>
      </c>
      <c r="AM1640" s="4">
        <v>2</v>
      </c>
      <c r="AN1640" s="4">
        <v>0</v>
      </c>
      <c r="AO1640" s="4">
        <v>0</v>
      </c>
      <c r="AP1640" s="3" t="s">
        <v>58</v>
      </c>
      <c r="AQ1640" s="3" t="s">
        <v>68</v>
      </c>
      <c r="AR1640" s="6" t="str">
        <f>HYPERLINK("http://catalog.hathitrust.org/Record/000922934","HathiTrust Record")</f>
        <v>HathiTrust Record</v>
      </c>
      <c r="AS1640" s="6" t="str">
        <f>HYPERLINK("https://creighton-primo.hosted.exlibrisgroup.com/primo-explore/search?tab=default_tab&amp;search_scope=EVERYTHING&amp;vid=01CRU&amp;lang=en_US&amp;offset=0&amp;query=any,contains,991001222389702656","Catalog Record")</f>
        <v>Catalog Record</v>
      </c>
      <c r="AT1640" s="6" t="str">
        <f>HYPERLINK("http://www.worldcat.org/oclc/17480015","WorldCat Record")</f>
        <v>WorldCat Record</v>
      </c>
      <c r="AU1640" s="3" t="s">
        <v>20557</v>
      </c>
      <c r="AV1640" s="3" t="s">
        <v>20558</v>
      </c>
      <c r="AW1640" s="3" t="s">
        <v>20559</v>
      </c>
      <c r="AX1640" s="3" t="s">
        <v>20559</v>
      </c>
      <c r="AY1640" s="3" t="s">
        <v>20560</v>
      </c>
      <c r="AZ1640" s="3" t="s">
        <v>73</v>
      </c>
      <c r="BB1640" s="3" t="s">
        <v>20561</v>
      </c>
      <c r="BC1640" s="3" t="s">
        <v>20562</v>
      </c>
      <c r="BD1640" s="3" t="s">
        <v>20563</v>
      </c>
    </row>
    <row r="1641" spans="1:56" ht="51" customHeight="1" x14ac:dyDescent="0.25">
      <c r="A1641" s="7" t="s">
        <v>58</v>
      </c>
      <c r="B1641" s="2" t="s">
        <v>20564</v>
      </c>
      <c r="C1641" s="2" t="s">
        <v>20565</v>
      </c>
      <c r="D1641" s="2" t="s">
        <v>20566</v>
      </c>
      <c r="F1641" s="3" t="s">
        <v>58</v>
      </c>
      <c r="G1641" s="3" t="s">
        <v>59</v>
      </c>
      <c r="H1641" s="3" t="s">
        <v>58</v>
      </c>
      <c r="I1641" s="3" t="s">
        <v>58</v>
      </c>
      <c r="J1641" s="3" t="s">
        <v>60</v>
      </c>
      <c r="K1641" s="2" t="s">
        <v>20567</v>
      </c>
      <c r="L1641" s="2" t="s">
        <v>7737</v>
      </c>
      <c r="M1641" s="3" t="s">
        <v>4023</v>
      </c>
      <c r="O1641" s="3" t="s">
        <v>63</v>
      </c>
      <c r="P1641" s="3" t="s">
        <v>411</v>
      </c>
      <c r="R1641" s="3" t="s">
        <v>65</v>
      </c>
      <c r="S1641" s="4">
        <v>1</v>
      </c>
      <c r="T1641" s="4">
        <v>1</v>
      </c>
      <c r="U1641" s="5" t="s">
        <v>2173</v>
      </c>
      <c r="V1641" s="5" t="s">
        <v>2173</v>
      </c>
      <c r="W1641" s="5" t="s">
        <v>20568</v>
      </c>
      <c r="X1641" s="5" t="s">
        <v>20568</v>
      </c>
      <c r="Y1641" s="4">
        <v>102</v>
      </c>
      <c r="Z1641" s="4">
        <v>70</v>
      </c>
      <c r="AA1641" s="4">
        <v>577</v>
      </c>
      <c r="AB1641" s="4">
        <v>1</v>
      </c>
      <c r="AC1641" s="4">
        <v>7</v>
      </c>
      <c r="AD1641" s="4">
        <v>2</v>
      </c>
      <c r="AE1641" s="4">
        <v>21</v>
      </c>
      <c r="AF1641" s="4">
        <v>0</v>
      </c>
      <c r="AG1641" s="4">
        <v>5</v>
      </c>
      <c r="AH1641" s="4">
        <v>1</v>
      </c>
      <c r="AI1641" s="4">
        <v>5</v>
      </c>
      <c r="AJ1641" s="4">
        <v>2</v>
      </c>
      <c r="AK1641" s="4">
        <v>9</v>
      </c>
      <c r="AL1641" s="4">
        <v>0</v>
      </c>
      <c r="AM1641" s="4">
        <v>6</v>
      </c>
      <c r="AN1641" s="4">
        <v>0</v>
      </c>
      <c r="AO1641" s="4">
        <v>0</v>
      </c>
      <c r="AP1641" s="3" t="s">
        <v>58</v>
      </c>
      <c r="AQ1641" s="3" t="s">
        <v>58</v>
      </c>
      <c r="AS1641" s="6" t="str">
        <f>HYPERLINK("https://creighton-primo.hosted.exlibrisgroup.com/primo-explore/search?tab=default_tab&amp;search_scope=EVERYTHING&amp;vid=01CRU&amp;lang=en_US&amp;offset=0&amp;query=any,contains,991004372609702656","Catalog Record")</f>
        <v>Catalog Record</v>
      </c>
      <c r="AT1641" s="6" t="str">
        <f>HYPERLINK("http://www.worldcat.org/oclc/53356640","WorldCat Record")</f>
        <v>WorldCat Record</v>
      </c>
      <c r="AU1641" s="3" t="s">
        <v>20569</v>
      </c>
      <c r="AV1641" s="3" t="s">
        <v>20570</v>
      </c>
      <c r="AW1641" s="3" t="s">
        <v>20571</v>
      </c>
      <c r="AX1641" s="3" t="s">
        <v>20571</v>
      </c>
      <c r="AY1641" s="3" t="s">
        <v>20572</v>
      </c>
      <c r="AZ1641" s="3" t="s">
        <v>73</v>
      </c>
      <c r="BB1641" s="3" t="s">
        <v>20573</v>
      </c>
      <c r="BC1641" s="3" t="s">
        <v>20574</v>
      </c>
      <c r="BD1641" s="3" t="s">
        <v>20575</v>
      </c>
    </row>
    <row r="1642" spans="1:56" ht="51" customHeight="1" x14ac:dyDescent="0.25">
      <c r="A1642" s="7" t="s">
        <v>58</v>
      </c>
      <c r="B1642" s="2" t="s">
        <v>20576</v>
      </c>
      <c r="C1642" s="2" t="s">
        <v>20577</v>
      </c>
      <c r="D1642" s="2" t="s">
        <v>20578</v>
      </c>
      <c r="F1642" s="3" t="s">
        <v>58</v>
      </c>
      <c r="G1642" s="3" t="s">
        <v>59</v>
      </c>
      <c r="H1642" s="3" t="s">
        <v>58</v>
      </c>
      <c r="I1642" s="3" t="s">
        <v>58</v>
      </c>
      <c r="J1642" s="3" t="s">
        <v>60</v>
      </c>
      <c r="K1642" s="2" t="s">
        <v>7603</v>
      </c>
      <c r="L1642" s="2" t="s">
        <v>20579</v>
      </c>
      <c r="M1642" s="3" t="s">
        <v>337</v>
      </c>
      <c r="O1642" s="3" t="s">
        <v>63</v>
      </c>
      <c r="P1642" s="3" t="s">
        <v>584</v>
      </c>
      <c r="R1642" s="3" t="s">
        <v>65</v>
      </c>
      <c r="S1642" s="4">
        <v>9</v>
      </c>
      <c r="T1642" s="4">
        <v>9</v>
      </c>
      <c r="U1642" s="5" t="s">
        <v>20580</v>
      </c>
      <c r="V1642" s="5" t="s">
        <v>20580</v>
      </c>
      <c r="W1642" s="5" t="s">
        <v>20581</v>
      </c>
      <c r="X1642" s="5" t="s">
        <v>20581</v>
      </c>
      <c r="Y1642" s="4">
        <v>2524</v>
      </c>
      <c r="Z1642" s="4">
        <v>2315</v>
      </c>
      <c r="AA1642" s="4">
        <v>3125</v>
      </c>
      <c r="AB1642" s="4">
        <v>24</v>
      </c>
      <c r="AC1642" s="4">
        <v>44</v>
      </c>
      <c r="AD1642" s="4">
        <v>62</v>
      </c>
      <c r="AE1642" s="4">
        <v>71</v>
      </c>
      <c r="AF1642" s="4">
        <v>26</v>
      </c>
      <c r="AG1642" s="4">
        <v>27</v>
      </c>
      <c r="AH1642" s="4">
        <v>10</v>
      </c>
      <c r="AI1642" s="4">
        <v>10</v>
      </c>
      <c r="AJ1642" s="4">
        <v>24</v>
      </c>
      <c r="AK1642" s="4">
        <v>25</v>
      </c>
      <c r="AL1642" s="4">
        <v>11</v>
      </c>
      <c r="AM1642" s="4">
        <v>18</v>
      </c>
      <c r="AN1642" s="4">
        <v>4</v>
      </c>
      <c r="AO1642" s="4">
        <v>4</v>
      </c>
      <c r="AP1642" s="3" t="s">
        <v>58</v>
      </c>
      <c r="AQ1642" s="3" t="s">
        <v>58</v>
      </c>
      <c r="AS1642" s="6" t="str">
        <f>HYPERLINK("https://creighton-primo.hosted.exlibrisgroup.com/primo-explore/search?tab=default_tab&amp;search_scope=EVERYTHING&amp;vid=01CRU&amp;lang=en_US&amp;offset=0&amp;query=any,contains,991003710669702656","Catalog Record")</f>
        <v>Catalog Record</v>
      </c>
      <c r="AT1642" s="6" t="str">
        <f>HYPERLINK("http://www.worldcat.org/oclc/47101073","WorldCat Record")</f>
        <v>WorldCat Record</v>
      </c>
      <c r="AU1642" s="3" t="s">
        <v>20582</v>
      </c>
      <c r="AV1642" s="3" t="s">
        <v>20583</v>
      </c>
      <c r="AW1642" s="3" t="s">
        <v>20584</v>
      </c>
      <c r="AX1642" s="3" t="s">
        <v>20584</v>
      </c>
      <c r="AY1642" s="3" t="s">
        <v>20585</v>
      </c>
      <c r="AZ1642" s="3" t="s">
        <v>73</v>
      </c>
      <c r="BB1642" s="3" t="s">
        <v>20586</v>
      </c>
      <c r="BC1642" s="3" t="s">
        <v>20587</v>
      </c>
      <c r="BD1642" s="3" t="s">
        <v>20588</v>
      </c>
    </row>
    <row r="1643" spans="1:56" ht="51" customHeight="1" x14ac:dyDescent="0.25">
      <c r="A1643" s="7" t="s">
        <v>58</v>
      </c>
      <c r="B1643" s="2" t="s">
        <v>20589</v>
      </c>
      <c r="C1643" s="2" t="s">
        <v>20590</v>
      </c>
      <c r="D1643" s="2" t="s">
        <v>20591</v>
      </c>
      <c r="F1643" s="3" t="s">
        <v>58</v>
      </c>
      <c r="G1643" s="3" t="s">
        <v>59</v>
      </c>
      <c r="H1643" s="3" t="s">
        <v>58</v>
      </c>
      <c r="I1643" s="3" t="s">
        <v>58</v>
      </c>
      <c r="J1643" s="3" t="s">
        <v>60</v>
      </c>
      <c r="K1643" s="2" t="s">
        <v>9029</v>
      </c>
      <c r="L1643" s="2" t="s">
        <v>20592</v>
      </c>
      <c r="M1643" s="3" t="s">
        <v>4023</v>
      </c>
      <c r="N1643" s="2" t="s">
        <v>20593</v>
      </c>
      <c r="O1643" s="3" t="s">
        <v>63</v>
      </c>
      <c r="P1643" s="3" t="s">
        <v>214</v>
      </c>
      <c r="R1643" s="3" t="s">
        <v>65</v>
      </c>
      <c r="S1643" s="4">
        <v>3</v>
      </c>
      <c r="T1643" s="4">
        <v>3</v>
      </c>
      <c r="U1643" s="5" t="s">
        <v>20594</v>
      </c>
      <c r="V1643" s="5" t="s">
        <v>20594</v>
      </c>
      <c r="W1643" s="5" t="s">
        <v>20595</v>
      </c>
      <c r="X1643" s="5" t="s">
        <v>20595</v>
      </c>
      <c r="Y1643" s="4">
        <v>377</v>
      </c>
      <c r="Z1643" s="4">
        <v>336</v>
      </c>
      <c r="AA1643" s="4">
        <v>1555</v>
      </c>
      <c r="AB1643" s="4">
        <v>3</v>
      </c>
      <c r="AC1643" s="4">
        <v>10</v>
      </c>
      <c r="AD1643" s="4">
        <v>7</v>
      </c>
      <c r="AE1643" s="4">
        <v>43</v>
      </c>
      <c r="AF1643" s="4">
        <v>2</v>
      </c>
      <c r="AG1643" s="4">
        <v>18</v>
      </c>
      <c r="AH1643" s="4">
        <v>2</v>
      </c>
      <c r="AI1643" s="4">
        <v>9</v>
      </c>
      <c r="AJ1643" s="4">
        <v>5</v>
      </c>
      <c r="AK1643" s="4">
        <v>21</v>
      </c>
      <c r="AL1643" s="4">
        <v>1</v>
      </c>
      <c r="AM1643" s="4">
        <v>6</v>
      </c>
      <c r="AN1643" s="4">
        <v>0</v>
      </c>
      <c r="AO1643" s="4">
        <v>0</v>
      </c>
      <c r="AP1643" s="3" t="s">
        <v>58</v>
      </c>
      <c r="AQ1643" s="3" t="s">
        <v>68</v>
      </c>
      <c r="AR1643" s="6" t="str">
        <f>HYPERLINK("http://catalog.hathitrust.org/Record/102380072","HathiTrust Record")</f>
        <v>HathiTrust Record</v>
      </c>
      <c r="AS1643" s="6" t="str">
        <f>HYPERLINK("https://creighton-primo.hosted.exlibrisgroup.com/primo-explore/search?tab=default_tab&amp;search_scope=EVERYTHING&amp;vid=01CRU&amp;lang=en_US&amp;offset=0&amp;query=any,contains,991004422079702656","Catalog Record")</f>
        <v>Catalog Record</v>
      </c>
      <c r="AT1643" s="6" t="str">
        <f>HYPERLINK("http://www.worldcat.org/oclc/54959856","WorldCat Record")</f>
        <v>WorldCat Record</v>
      </c>
      <c r="AU1643" s="3" t="s">
        <v>20596</v>
      </c>
      <c r="AV1643" s="3" t="s">
        <v>20597</v>
      </c>
      <c r="AW1643" s="3" t="s">
        <v>20598</v>
      </c>
      <c r="AX1643" s="3" t="s">
        <v>20598</v>
      </c>
      <c r="AY1643" s="3" t="s">
        <v>20599</v>
      </c>
      <c r="AZ1643" s="3" t="s">
        <v>73</v>
      </c>
      <c r="BB1643" s="3" t="s">
        <v>20600</v>
      </c>
      <c r="BC1643" s="3" t="s">
        <v>20601</v>
      </c>
      <c r="BD1643" s="3" t="s">
        <v>20602</v>
      </c>
    </row>
    <row r="1644" spans="1:56" ht="51" customHeight="1" x14ac:dyDescent="0.25">
      <c r="A1644" s="7" t="s">
        <v>58</v>
      </c>
      <c r="B1644" s="2" t="s">
        <v>20603</v>
      </c>
      <c r="C1644" s="2" t="s">
        <v>20604</v>
      </c>
      <c r="D1644" s="2" t="s">
        <v>20605</v>
      </c>
      <c r="F1644" s="3" t="s">
        <v>58</v>
      </c>
      <c r="G1644" s="3" t="s">
        <v>59</v>
      </c>
      <c r="H1644" s="3" t="s">
        <v>58</v>
      </c>
      <c r="I1644" s="3" t="s">
        <v>58</v>
      </c>
      <c r="J1644" s="3" t="s">
        <v>60</v>
      </c>
      <c r="K1644" s="2" t="s">
        <v>20606</v>
      </c>
      <c r="L1644" s="2" t="s">
        <v>20607</v>
      </c>
      <c r="M1644" s="3" t="s">
        <v>842</v>
      </c>
      <c r="O1644" s="3" t="s">
        <v>63</v>
      </c>
      <c r="P1644" s="3" t="s">
        <v>214</v>
      </c>
      <c r="R1644" s="3" t="s">
        <v>65</v>
      </c>
      <c r="S1644" s="4">
        <v>3</v>
      </c>
      <c r="T1644" s="4">
        <v>3</v>
      </c>
      <c r="U1644" s="5" t="s">
        <v>20608</v>
      </c>
      <c r="V1644" s="5" t="s">
        <v>20608</v>
      </c>
      <c r="W1644" s="5" t="s">
        <v>3096</v>
      </c>
      <c r="X1644" s="5" t="s">
        <v>3096</v>
      </c>
      <c r="Y1644" s="4">
        <v>284</v>
      </c>
      <c r="Z1644" s="4">
        <v>250</v>
      </c>
      <c r="AA1644" s="4">
        <v>327</v>
      </c>
      <c r="AB1644" s="4">
        <v>1</v>
      </c>
      <c r="AC1644" s="4">
        <v>1</v>
      </c>
      <c r="AD1644" s="4">
        <v>9</v>
      </c>
      <c r="AE1644" s="4">
        <v>12</v>
      </c>
      <c r="AF1644" s="4">
        <v>5</v>
      </c>
      <c r="AG1644" s="4">
        <v>5</v>
      </c>
      <c r="AH1644" s="4">
        <v>2</v>
      </c>
      <c r="AI1644" s="4">
        <v>4</v>
      </c>
      <c r="AJ1644" s="4">
        <v>5</v>
      </c>
      <c r="AK1644" s="4">
        <v>7</v>
      </c>
      <c r="AL1644" s="4">
        <v>0</v>
      </c>
      <c r="AM1644" s="4">
        <v>0</v>
      </c>
      <c r="AN1644" s="4">
        <v>0</v>
      </c>
      <c r="AO1644" s="4">
        <v>0</v>
      </c>
      <c r="AP1644" s="3" t="s">
        <v>58</v>
      </c>
      <c r="AQ1644" s="3" t="s">
        <v>58</v>
      </c>
      <c r="AS1644" s="6" t="str">
        <f>HYPERLINK("https://creighton-primo.hosted.exlibrisgroup.com/primo-explore/search?tab=default_tab&amp;search_scope=EVERYTHING&amp;vid=01CRU&amp;lang=en_US&amp;offset=0&amp;query=any,contains,991005120799702656","Catalog Record")</f>
        <v>Catalog Record</v>
      </c>
      <c r="AT1644" s="6" t="str">
        <f>HYPERLINK("http://www.worldcat.org/oclc/7510780","WorldCat Record")</f>
        <v>WorldCat Record</v>
      </c>
      <c r="AU1644" s="3" t="s">
        <v>20609</v>
      </c>
      <c r="AV1644" s="3" t="s">
        <v>20610</v>
      </c>
      <c r="AW1644" s="3" t="s">
        <v>20611</v>
      </c>
      <c r="AX1644" s="3" t="s">
        <v>20611</v>
      </c>
      <c r="AY1644" s="3" t="s">
        <v>20612</v>
      </c>
      <c r="AZ1644" s="3" t="s">
        <v>73</v>
      </c>
      <c r="BB1644" s="3" t="s">
        <v>20613</v>
      </c>
      <c r="BC1644" s="3" t="s">
        <v>20614</v>
      </c>
      <c r="BD1644" s="3" t="s">
        <v>20615</v>
      </c>
    </row>
    <row r="1645" spans="1:56" ht="51" customHeight="1" x14ac:dyDescent="0.25">
      <c r="A1645" s="7" t="s">
        <v>58</v>
      </c>
      <c r="B1645" s="2" t="s">
        <v>20616</v>
      </c>
      <c r="C1645" s="2" t="s">
        <v>20617</v>
      </c>
      <c r="D1645" s="2" t="s">
        <v>20618</v>
      </c>
      <c r="F1645" s="3" t="s">
        <v>58</v>
      </c>
      <c r="G1645" s="3" t="s">
        <v>59</v>
      </c>
      <c r="H1645" s="3" t="s">
        <v>58</v>
      </c>
      <c r="I1645" s="3" t="s">
        <v>58</v>
      </c>
      <c r="J1645" s="3" t="s">
        <v>60</v>
      </c>
      <c r="K1645" s="2" t="s">
        <v>20619</v>
      </c>
      <c r="L1645" s="2" t="s">
        <v>20620</v>
      </c>
      <c r="M1645" s="3" t="s">
        <v>353</v>
      </c>
      <c r="O1645" s="3" t="s">
        <v>63</v>
      </c>
      <c r="P1645" s="3" t="s">
        <v>584</v>
      </c>
      <c r="Q1645" s="2" t="s">
        <v>12343</v>
      </c>
      <c r="R1645" s="3" t="s">
        <v>65</v>
      </c>
      <c r="S1645" s="4">
        <v>1</v>
      </c>
      <c r="T1645" s="4">
        <v>1</v>
      </c>
      <c r="U1645" s="5" t="s">
        <v>5998</v>
      </c>
      <c r="V1645" s="5" t="s">
        <v>5998</v>
      </c>
      <c r="W1645" s="5" t="s">
        <v>585</v>
      </c>
      <c r="X1645" s="5" t="s">
        <v>585</v>
      </c>
      <c r="Y1645" s="4">
        <v>762</v>
      </c>
      <c r="Z1645" s="4">
        <v>558</v>
      </c>
      <c r="AA1645" s="4">
        <v>587</v>
      </c>
      <c r="AB1645" s="4">
        <v>6</v>
      </c>
      <c r="AC1645" s="4">
        <v>6</v>
      </c>
      <c r="AD1645" s="4">
        <v>21</v>
      </c>
      <c r="AE1645" s="4">
        <v>21</v>
      </c>
      <c r="AF1645" s="4">
        <v>4</v>
      </c>
      <c r="AG1645" s="4">
        <v>4</v>
      </c>
      <c r="AH1645" s="4">
        <v>8</v>
      </c>
      <c r="AI1645" s="4">
        <v>8</v>
      </c>
      <c r="AJ1645" s="4">
        <v>10</v>
      </c>
      <c r="AK1645" s="4">
        <v>10</v>
      </c>
      <c r="AL1645" s="4">
        <v>4</v>
      </c>
      <c r="AM1645" s="4">
        <v>4</v>
      </c>
      <c r="AN1645" s="4">
        <v>0</v>
      </c>
      <c r="AO1645" s="4">
        <v>0</v>
      </c>
      <c r="AP1645" s="3" t="s">
        <v>58</v>
      </c>
      <c r="AQ1645" s="3" t="s">
        <v>68</v>
      </c>
      <c r="AR1645" s="6" t="str">
        <f>HYPERLINK("http://catalog.hathitrust.org/Record/000905525","HathiTrust Record")</f>
        <v>HathiTrust Record</v>
      </c>
      <c r="AS1645" s="6" t="str">
        <f>HYPERLINK("https://creighton-primo.hosted.exlibrisgroup.com/primo-explore/search?tab=default_tab&amp;search_scope=EVERYTHING&amp;vid=01CRU&amp;lang=en_US&amp;offset=0&amp;query=any,contains,991001004689702656","Catalog Record")</f>
        <v>Catalog Record</v>
      </c>
      <c r="AT1645" s="6" t="str">
        <f>HYPERLINK("http://www.worldcat.org/oclc/15224190","WorldCat Record")</f>
        <v>WorldCat Record</v>
      </c>
      <c r="AU1645" s="3" t="s">
        <v>20621</v>
      </c>
      <c r="AV1645" s="3" t="s">
        <v>20622</v>
      </c>
      <c r="AW1645" s="3" t="s">
        <v>20623</v>
      </c>
      <c r="AX1645" s="3" t="s">
        <v>20623</v>
      </c>
      <c r="AY1645" s="3" t="s">
        <v>20624</v>
      </c>
      <c r="AZ1645" s="3" t="s">
        <v>73</v>
      </c>
      <c r="BB1645" s="3" t="s">
        <v>20625</v>
      </c>
      <c r="BC1645" s="3" t="s">
        <v>20626</v>
      </c>
      <c r="BD1645" s="3" t="s">
        <v>20627</v>
      </c>
    </row>
    <row r="1646" spans="1:56" ht="51" customHeight="1" x14ac:dyDescent="0.25">
      <c r="A1646" s="7" t="s">
        <v>58</v>
      </c>
      <c r="B1646" s="2" t="s">
        <v>20628</v>
      </c>
      <c r="C1646" s="2" t="s">
        <v>20629</v>
      </c>
      <c r="D1646" s="2" t="s">
        <v>20630</v>
      </c>
      <c r="F1646" s="3" t="s">
        <v>58</v>
      </c>
      <c r="G1646" s="3" t="s">
        <v>59</v>
      </c>
      <c r="H1646" s="3" t="s">
        <v>58</v>
      </c>
      <c r="I1646" s="3" t="s">
        <v>58</v>
      </c>
      <c r="J1646" s="3" t="s">
        <v>60</v>
      </c>
      <c r="K1646" s="2" t="s">
        <v>20619</v>
      </c>
      <c r="L1646" s="2" t="s">
        <v>20631</v>
      </c>
      <c r="M1646" s="3" t="s">
        <v>653</v>
      </c>
      <c r="O1646" s="3" t="s">
        <v>63</v>
      </c>
      <c r="P1646" s="3" t="s">
        <v>584</v>
      </c>
      <c r="Q1646" s="2" t="s">
        <v>12343</v>
      </c>
      <c r="R1646" s="3" t="s">
        <v>65</v>
      </c>
      <c r="S1646" s="4">
        <v>9</v>
      </c>
      <c r="T1646" s="4">
        <v>9</v>
      </c>
      <c r="U1646" s="5" t="s">
        <v>20632</v>
      </c>
      <c r="V1646" s="5" t="s">
        <v>20632</v>
      </c>
      <c r="W1646" s="5" t="s">
        <v>20633</v>
      </c>
      <c r="X1646" s="5" t="s">
        <v>20633</v>
      </c>
      <c r="Y1646" s="4">
        <v>492</v>
      </c>
      <c r="Z1646" s="4">
        <v>316</v>
      </c>
      <c r="AA1646" s="4">
        <v>441</v>
      </c>
      <c r="AB1646" s="4">
        <v>2</v>
      </c>
      <c r="AC1646" s="4">
        <v>3</v>
      </c>
      <c r="AD1646" s="4">
        <v>10</v>
      </c>
      <c r="AE1646" s="4">
        <v>18</v>
      </c>
      <c r="AF1646" s="4">
        <v>4</v>
      </c>
      <c r="AG1646" s="4">
        <v>6</v>
      </c>
      <c r="AH1646" s="4">
        <v>3</v>
      </c>
      <c r="AI1646" s="4">
        <v>5</v>
      </c>
      <c r="AJ1646" s="4">
        <v>4</v>
      </c>
      <c r="AK1646" s="4">
        <v>10</v>
      </c>
      <c r="AL1646" s="4">
        <v>1</v>
      </c>
      <c r="AM1646" s="4">
        <v>2</v>
      </c>
      <c r="AN1646" s="4">
        <v>0</v>
      </c>
      <c r="AO1646" s="4">
        <v>0</v>
      </c>
      <c r="AP1646" s="3" t="s">
        <v>58</v>
      </c>
      <c r="AQ1646" s="3" t="s">
        <v>58</v>
      </c>
      <c r="AS1646" s="6" t="str">
        <f>HYPERLINK("https://creighton-primo.hosted.exlibrisgroup.com/primo-explore/search?tab=default_tab&amp;search_scope=EVERYTHING&amp;vid=01CRU&amp;lang=en_US&amp;offset=0&amp;query=any,contains,991001695659702656","Catalog Record")</f>
        <v>Catalog Record</v>
      </c>
      <c r="AT1646" s="6" t="str">
        <f>HYPERLINK("http://www.worldcat.org/oclc/21483309","WorldCat Record")</f>
        <v>WorldCat Record</v>
      </c>
      <c r="AU1646" s="3" t="s">
        <v>20634</v>
      </c>
      <c r="AV1646" s="3" t="s">
        <v>20635</v>
      </c>
      <c r="AW1646" s="3" t="s">
        <v>20636</v>
      </c>
      <c r="AX1646" s="3" t="s">
        <v>20636</v>
      </c>
      <c r="AY1646" s="3" t="s">
        <v>20637</v>
      </c>
      <c r="AZ1646" s="3" t="s">
        <v>73</v>
      </c>
      <c r="BB1646" s="3" t="s">
        <v>20638</v>
      </c>
      <c r="BC1646" s="3" t="s">
        <v>20639</v>
      </c>
      <c r="BD1646" s="3" t="s">
        <v>20640</v>
      </c>
    </row>
    <row r="1647" spans="1:56" ht="51" customHeight="1" x14ac:dyDescent="0.25">
      <c r="A1647" s="7" t="s">
        <v>58</v>
      </c>
      <c r="B1647" s="2" t="s">
        <v>20641</v>
      </c>
      <c r="C1647" s="2" t="s">
        <v>20642</v>
      </c>
      <c r="D1647" s="2" t="s">
        <v>20643</v>
      </c>
      <c r="F1647" s="3" t="s">
        <v>58</v>
      </c>
      <c r="G1647" s="3" t="s">
        <v>59</v>
      </c>
      <c r="H1647" s="3" t="s">
        <v>58</v>
      </c>
      <c r="I1647" s="3" t="s">
        <v>58</v>
      </c>
      <c r="J1647" s="3" t="s">
        <v>60</v>
      </c>
      <c r="K1647" s="2" t="s">
        <v>20644</v>
      </c>
      <c r="L1647" s="2" t="s">
        <v>20645</v>
      </c>
      <c r="M1647" s="3" t="s">
        <v>951</v>
      </c>
      <c r="O1647" s="3" t="s">
        <v>63</v>
      </c>
      <c r="P1647" s="3" t="s">
        <v>584</v>
      </c>
      <c r="R1647" s="3" t="s">
        <v>65</v>
      </c>
      <c r="S1647" s="4">
        <v>2</v>
      </c>
      <c r="T1647" s="4">
        <v>2</v>
      </c>
      <c r="U1647" s="5" t="s">
        <v>20646</v>
      </c>
      <c r="V1647" s="5" t="s">
        <v>20646</v>
      </c>
      <c r="W1647" s="5" t="s">
        <v>20647</v>
      </c>
      <c r="X1647" s="5" t="s">
        <v>20647</v>
      </c>
      <c r="Y1647" s="4">
        <v>565</v>
      </c>
      <c r="Z1647" s="4">
        <v>432</v>
      </c>
      <c r="AA1647" s="4">
        <v>435</v>
      </c>
      <c r="AB1647" s="4">
        <v>2</v>
      </c>
      <c r="AC1647" s="4">
        <v>2</v>
      </c>
      <c r="AD1647" s="4">
        <v>28</v>
      </c>
      <c r="AE1647" s="4">
        <v>28</v>
      </c>
      <c r="AF1647" s="4">
        <v>13</v>
      </c>
      <c r="AG1647" s="4">
        <v>13</v>
      </c>
      <c r="AH1647" s="4">
        <v>7</v>
      </c>
      <c r="AI1647" s="4">
        <v>7</v>
      </c>
      <c r="AJ1647" s="4">
        <v>13</v>
      </c>
      <c r="AK1647" s="4">
        <v>13</v>
      </c>
      <c r="AL1647" s="4">
        <v>1</v>
      </c>
      <c r="AM1647" s="4">
        <v>1</v>
      </c>
      <c r="AN1647" s="4">
        <v>0</v>
      </c>
      <c r="AO1647" s="4">
        <v>0</v>
      </c>
      <c r="AP1647" s="3" t="s">
        <v>58</v>
      </c>
      <c r="AQ1647" s="3" t="s">
        <v>58</v>
      </c>
      <c r="AS1647" s="6" t="str">
        <f>HYPERLINK("https://creighton-primo.hosted.exlibrisgroup.com/primo-explore/search?tab=default_tab&amp;search_scope=EVERYTHING&amp;vid=01CRU&amp;lang=en_US&amp;offset=0&amp;query=any,contains,991003716379702656","Catalog Record")</f>
        <v>Catalog Record</v>
      </c>
      <c r="AT1647" s="6" t="str">
        <f>HYPERLINK("http://www.worldcat.org/oclc/44039331","WorldCat Record")</f>
        <v>WorldCat Record</v>
      </c>
      <c r="AU1647" s="3" t="s">
        <v>20648</v>
      </c>
      <c r="AV1647" s="3" t="s">
        <v>20649</v>
      </c>
      <c r="AW1647" s="3" t="s">
        <v>20650</v>
      </c>
      <c r="AX1647" s="3" t="s">
        <v>20650</v>
      </c>
      <c r="AY1647" s="3" t="s">
        <v>20651</v>
      </c>
      <c r="AZ1647" s="3" t="s">
        <v>73</v>
      </c>
      <c r="BB1647" s="3" t="s">
        <v>20652</v>
      </c>
      <c r="BC1647" s="3" t="s">
        <v>20653</v>
      </c>
      <c r="BD1647" s="3" t="s">
        <v>20654</v>
      </c>
    </row>
    <row r="1648" spans="1:56" ht="51" customHeight="1" x14ac:dyDescent="0.25">
      <c r="A1648" s="7" t="s">
        <v>58</v>
      </c>
      <c r="B1648" s="2" t="s">
        <v>20655</v>
      </c>
      <c r="C1648" s="2" t="s">
        <v>20656</v>
      </c>
      <c r="D1648" s="2" t="s">
        <v>20657</v>
      </c>
      <c r="F1648" s="3" t="s">
        <v>58</v>
      </c>
      <c r="G1648" s="3" t="s">
        <v>59</v>
      </c>
      <c r="H1648" s="3" t="s">
        <v>58</v>
      </c>
      <c r="I1648" s="3" t="s">
        <v>58</v>
      </c>
      <c r="J1648" s="3" t="s">
        <v>60</v>
      </c>
      <c r="K1648" s="2" t="s">
        <v>4113</v>
      </c>
      <c r="L1648" s="2" t="s">
        <v>4206</v>
      </c>
      <c r="M1648" s="3" t="s">
        <v>382</v>
      </c>
      <c r="O1648" s="3" t="s">
        <v>63</v>
      </c>
      <c r="P1648" s="3" t="s">
        <v>816</v>
      </c>
      <c r="R1648" s="3" t="s">
        <v>65</v>
      </c>
      <c r="S1648" s="4">
        <v>8</v>
      </c>
      <c r="T1648" s="4">
        <v>8</v>
      </c>
      <c r="U1648" s="5" t="s">
        <v>20658</v>
      </c>
      <c r="V1648" s="5" t="s">
        <v>20658</v>
      </c>
      <c r="W1648" s="5" t="s">
        <v>20659</v>
      </c>
      <c r="X1648" s="5" t="s">
        <v>20659</v>
      </c>
      <c r="Y1648" s="4">
        <v>764</v>
      </c>
      <c r="Z1648" s="4">
        <v>652</v>
      </c>
      <c r="AA1648" s="4">
        <v>758</v>
      </c>
      <c r="AB1648" s="4">
        <v>5</v>
      </c>
      <c r="AC1648" s="4">
        <v>5</v>
      </c>
      <c r="AD1648" s="4">
        <v>36</v>
      </c>
      <c r="AE1648" s="4">
        <v>40</v>
      </c>
      <c r="AF1648" s="4">
        <v>14</v>
      </c>
      <c r="AG1648" s="4">
        <v>16</v>
      </c>
      <c r="AH1648" s="4">
        <v>7</v>
      </c>
      <c r="AI1648" s="4">
        <v>9</v>
      </c>
      <c r="AJ1648" s="4">
        <v>19</v>
      </c>
      <c r="AK1648" s="4">
        <v>20</v>
      </c>
      <c r="AL1648" s="4">
        <v>4</v>
      </c>
      <c r="AM1648" s="4">
        <v>4</v>
      </c>
      <c r="AN1648" s="4">
        <v>0</v>
      </c>
      <c r="AO1648" s="4">
        <v>0</v>
      </c>
      <c r="AP1648" s="3" t="s">
        <v>58</v>
      </c>
      <c r="AQ1648" s="3" t="s">
        <v>68</v>
      </c>
      <c r="AR1648" s="6" t="str">
        <f>HYPERLINK("http://catalog.hathitrust.org/Record/004062328","HathiTrust Record")</f>
        <v>HathiTrust Record</v>
      </c>
      <c r="AS1648" s="6" t="str">
        <f>HYPERLINK("https://creighton-primo.hosted.exlibrisgroup.com/primo-explore/search?tab=default_tab&amp;search_scope=EVERYTHING&amp;vid=01CRU&amp;lang=en_US&amp;offset=0&amp;query=any,contains,991003028699702656","Catalog Record")</f>
        <v>Catalog Record</v>
      </c>
      <c r="AT1648" s="6" t="str">
        <f>HYPERLINK("http://www.worldcat.org/oclc/41439554","WorldCat Record")</f>
        <v>WorldCat Record</v>
      </c>
      <c r="AU1648" s="3" t="s">
        <v>20660</v>
      </c>
      <c r="AV1648" s="3" t="s">
        <v>20661</v>
      </c>
      <c r="AW1648" s="3" t="s">
        <v>20662</v>
      </c>
      <c r="AX1648" s="3" t="s">
        <v>20662</v>
      </c>
      <c r="AY1648" s="3" t="s">
        <v>20663</v>
      </c>
      <c r="AZ1648" s="3" t="s">
        <v>73</v>
      </c>
      <c r="BB1648" s="3" t="s">
        <v>20664</v>
      </c>
      <c r="BC1648" s="3" t="s">
        <v>20665</v>
      </c>
      <c r="BD1648" s="3" t="s">
        <v>20666</v>
      </c>
    </row>
    <row r="1649" spans="1:56" ht="51" customHeight="1" x14ac:dyDescent="0.25">
      <c r="A1649" s="7" t="s">
        <v>58</v>
      </c>
      <c r="B1649" s="2" t="s">
        <v>20667</v>
      </c>
      <c r="C1649" s="2" t="s">
        <v>20668</v>
      </c>
      <c r="D1649" s="2" t="s">
        <v>20669</v>
      </c>
      <c r="F1649" s="3" t="s">
        <v>58</v>
      </c>
      <c r="G1649" s="3" t="s">
        <v>59</v>
      </c>
      <c r="H1649" s="3" t="s">
        <v>58</v>
      </c>
      <c r="I1649" s="3" t="s">
        <v>58</v>
      </c>
      <c r="J1649" s="3" t="s">
        <v>60</v>
      </c>
      <c r="K1649" s="2" t="s">
        <v>20670</v>
      </c>
      <c r="L1649" s="2" t="s">
        <v>20671</v>
      </c>
      <c r="M1649" s="3" t="s">
        <v>552</v>
      </c>
      <c r="N1649" s="2" t="s">
        <v>3417</v>
      </c>
      <c r="O1649" s="3" t="s">
        <v>63</v>
      </c>
      <c r="P1649" s="3" t="s">
        <v>354</v>
      </c>
      <c r="R1649" s="3" t="s">
        <v>65</v>
      </c>
      <c r="S1649" s="4">
        <v>9</v>
      </c>
      <c r="T1649" s="4">
        <v>9</v>
      </c>
      <c r="U1649" s="5" t="s">
        <v>20672</v>
      </c>
      <c r="V1649" s="5" t="s">
        <v>20672</v>
      </c>
      <c r="W1649" s="5" t="s">
        <v>3538</v>
      </c>
      <c r="X1649" s="5" t="s">
        <v>3538</v>
      </c>
      <c r="Y1649" s="4">
        <v>211</v>
      </c>
      <c r="Z1649" s="4">
        <v>155</v>
      </c>
      <c r="AA1649" s="4">
        <v>639</v>
      </c>
      <c r="AB1649" s="4">
        <v>2</v>
      </c>
      <c r="AC1649" s="4">
        <v>6</v>
      </c>
      <c r="AD1649" s="4">
        <v>5</v>
      </c>
      <c r="AE1649" s="4">
        <v>27</v>
      </c>
      <c r="AF1649" s="4">
        <v>1</v>
      </c>
      <c r="AG1649" s="4">
        <v>9</v>
      </c>
      <c r="AH1649" s="4">
        <v>2</v>
      </c>
      <c r="AI1649" s="4">
        <v>7</v>
      </c>
      <c r="AJ1649" s="4">
        <v>2</v>
      </c>
      <c r="AK1649" s="4">
        <v>14</v>
      </c>
      <c r="AL1649" s="4">
        <v>1</v>
      </c>
      <c r="AM1649" s="4">
        <v>5</v>
      </c>
      <c r="AN1649" s="4">
        <v>0</v>
      </c>
      <c r="AO1649" s="4">
        <v>0</v>
      </c>
      <c r="AP1649" s="3" t="s">
        <v>58</v>
      </c>
      <c r="AQ1649" s="3" t="s">
        <v>68</v>
      </c>
      <c r="AR1649" s="6" t="str">
        <f>HYPERLINK("http://catalog.hathitrust.org/Record/009931812","HathiTrust Record")</f>
        <v>HathiTrust Record</v>
      </c>
      <c r="AS1649" s="6" t="str">
        <f>HYPERLINK("https://creighton-primo.hosted.exlibrisgroup.com/primo-explore/search?tab=default_tab&amp;search_scope=EVERYTHING&amp;vid=01CRU&amp;lang=en_US&amp;offset=0&amp;query=any,contains,991001524389702656","Catalog Record")</f>
        <v>Catalog Record</v>
      </c>
      <c r="AT1649" s="6" t="str">
        <f>HYPERLINK("http://www.worldcat.org/oclc/20012121","WorldCat Record")</f>
        <v>WorldCat Record</v>
      </c>
      <c r="AU1649" s="3" t="s">
        <v>20673</v>
      </c>
      <c r="AV1649" s="3" t="s">
        <v>20674</v>
      </c>
      <c r="AW1649" s="3" t="s">
        <v>20675</v>
      </c>
      <c r="AX1649" s="3" t="s">
        <v>20675</v>
      </c>
      <c r="AY1649" s="3" t="s">
        <v>20676</v>
      </c>
      <c r="AZ1649" s="3" t="s">
        <v>73</v>
      </c>
      <c r="BB1649" s="3" t="s">
        <v>20677</v>
      </c>
      <c r="BC1649" s="3" t="s">
        <v>20678</v>
      </c>
      <c r="BD1649" s="3" t="s">
        <v>20679</v>
      </c>
    </row>
    <row r="1650" spans="1:56" ht="51" customHeight="1" x14ac:dyDescent="0.25">
      <c r="A1650" s="7" t="s">
        <v>58</v>
      </c>
      <c r="B1650" s="2" t="s">
        <v>20680</v>
      </c>
      <c r="C1650" s="2" t="s">
        <v>20681</v>
      </c>
      <c r="D1650" s="2" t="s">
        <v>20682</v>
      </c>
      <c r="F1650" s="3" t="s">
        <v>58</v>
      </c>
      <c r="G1650" s="3" t="s">
        <v>59</v>
      </c>
      <c r="H1650" s="3" t="s">
        <v>58</v>
      </c>
      <c r="I1650" s="3" t="s">
        <v>58</v>
      </c>
      <c r="J1650" s="3" t="s">
        <v>60</v>
      </c>
      <c r="K1650" s="2" t="s">
        <v>20683</v>
      </c>
      <c r="L1650" s="2" t="s">
        <v>7777</v>
      </c>
      <c r="M1650" s="3" t="s">
        <v>101</v>
      </c>
      <c r="O1650" s="3" t="s">
        <v>63</v>
      </c>
      <c r="P1650" s="3" t="s">
        <v>354</v>
      </c>
      <c r="Q1650" s="2" t="s">
        <v>20684</v>
      </c>
      <c r="R1650" s="3" t="s">
        <v>65</v>
      </c>
      <c r="S1650" s="4">
        <v>5</v>
      </c>
      <c r="T1650" s="4">
        <v>5</v>
      </c>
      <c r="U1650" s="5" t="s">
        <v>20685</v>
      </c>
      <c r="V1650" s="5" t="s">
        <v>20685</v>
      </c>
      <c r="W1650" s="5" t="s">
        <v>585</v>
      </c>
      <c r="X1650" s="5" t="s">
        <v>585</v>
      </c>
      <c r="Y1650" s="4">
        <v>686</v>
      </c>
      <c r="Z1650" s="4">
        <v>568</v>
      </c>
      <c r="AA1650" s="4">
        <v>584</v>
      </c>
      <c r="AB1650" s="4">
        <v>5</v>
      </c>
      <c r="AC1650" s="4">
        <v>5</v>
      </c>
      <c r="AD1650" s="4">
        <v>27</v>
      </c>
      <c r="AE1650" s="4">
        <v>28</v>
      </c>
      <c r="AF1650" s="4">
        <v>9</v>
      </c>
      <c r="AG1650" s="4">
        <v>9</v>
      </c>
      <c r="AH1650" s="4">
        <v>7</v>
      </c>
      <c r="AI1650" s="4">
        <v>8</v>
      </c>
      <c r="AJ1650" s="4">
        <v>15</v>
      </c>
      <c r="AK1650" s="4">
        <v>15</v>
      </c>
      <c r="AL1650" s="4">
        <v>4</v>
      </c>
      <c r="AM1650" s="4">
        <v>4</v>
      </c>
      <c r="AN1650" s="4">
        <v>0</v>
      </c>
      <c r="AO1650" s="4">
        <v>0</v>
      </c>
      <c r="AP1650" s="3" t="s">
        <v>58</v>
      </c>
      <c r="AQ1650" s="3" t="s">
        <v>58</v>
      </c>
      <c r="AS1650" s="6" t="str">
        <f>HYPERLINK("https://creighton-primo.hosted.exlibrisgroup.com/primo-explore/search?tab=default_tab&amp;search_scope=EVERYTHING&amp;vid=01CRU&amp;lang=en_US&amp;offset=0&amp;query=any,contains,991000275689702656","Catalog Record")</f>
        <v>Catalog Record</v>
      </c>
      <c r="AT1650" s="6" t="str">
        <f>HYPERLINK("http://www.worldcat.org/oclc/9894657","WorldCat Record")</f>
        <v>WorldCat Record</v>
      </c>
      <c r="AU1650" s="3" t="s">
        <v>20686</v>
      </c>
      <c r="AV1650" s="3" t="s">
        <v>20687</v>
      </c>
      <c r="AW1650" s="3" t="s">
        <v>20688</v>
      </c>
      <c r="AX1650" s="3" t="s">
        <v>20688</v>
      </c>
      <c r="AY1650" s="3" t="s">
        <v>20689</v>
      </c>
      <c r="AZ1650" s="3" t="s">
        <v>73</v>
      </c>
      <c r="BB1650" s="3" t="s">
        <v>20690</v>
      </c>
      <c r="BC1650" s="3" t="s">
        <v>20691</v>
      </c>
      <c r="BD1650" s="3" t="s">
        <v>20692</v>
      </c>
    </row>
    <row r="1651" spans="1:56" ht="51" customHeight="1" x14ac:dyDescent="0.25">
      <c r="A1651" s="7" t="s">
        <v>58</v>
      </c>
      <c r="B1651" s="2" t="s">
        <v>20693</v>
      </c>
      <c r="C1651" s="2" t="s">
        <v>20694</v>
      </c>
      <c r="D1651" s="2" t="s">
        <v>20695</v>
      </c>
      <c r="F1651" s="3" t="s">
        <v>58</v>
      </c>
      <c r="G1651" s="3" t="s">
        <v>59</v>
      </c>
      <c r="H1651" s="3" t="s">
        <v>58</v>
      </c>
      <c r="I1651" s="3" t="s">
        <v>58</v>
      </c>
      <c r="J1651" s="3" t="s">
        <v>60</v>
      </c>
      <c r="K1651" s="2" t="s">
        <v>20696</v>
      </c>
      <c r="L1651" s="2" t="s">
        <v>4999</v>
      </c>
      <c r="M1651" s="3" t="s">
        <v>2214</v>
      </c>
      <c r="N1651" s="2" t="s">
        <v>1009</v>
      </c>
      <c r="O1651" s="3" t="s">
        <v>63</v>
      </c>
      <c r="P1651" s="3" t="s">
        <v>214</v>
      </c>
      <c r="R1651" s="3" t="s">
        <v>65</v>
      </c>
      <c r="S1651" s="4">
        <v>2</v>
      </c>
      <c r="T1651" s="4">
        <v>2</v>
      </c>
      <c r="U1651" s="5" t="s">
        <v>20697</v>
      </c>
      <c r="V1651" s="5" t="s">
        <v>20697</v>
      </c>
      <c r="W1651" s="5" t="s">
        <v>20698</v>
      </c>
      <c r="X1651" s="5" t="s">
        <v>20698</v>
      </c>
      <c r="Y1651" s="4">
        <v>1350</v>
      </c>
      <c r="Z1651" s="4">
        <v>1246</v>
      </c>
      <c r="AA1651" s="4">
        <v>1472</v>
      </c>
      <c r="AB1651" s="4">
        <v>14</v>
      </c>
      <c r="AC1651" s="4">
        <v>15</v>
      </c>
      <c r="AD1651" s="4">
        <v>33</v>
      </c>
      <c r="AE1651" s="4">
        <v>40</v>
      </c>
      <c r="AF1651" s="4">
        <v>10</v>
      </c>
      <c r="AG1651" s="4">
        <v>14</v>
      </c>
      <c r="AH1651" s="4">
        <v>7</v>
      </c>
      <c r="AI1651" s="4">
        <v>10</v>
      </c>
      <c r="AJ1651" s="4">
        <v>9</v>
      </c>
      <c r="AK1651" s="4">
        <v>13</v>
      </c>
      <c r="AL1651" s="4">
        <v>9</v>
      </c>
      <c r="AM1651" s="4">
        <v>10</v>
      </c>
      <c r="AN1651" s="4">
        <v>0</v>
      </c>
      <c r="AO1651" s="4">
        <v>0</v>
      </c>
      <c r="AP1651" s="3" t="s">
        <v>58</v>
      </c>
      <c r="AQ1651" s="3" t="s">
        <v>68</v>
      </c>
      <c r="AR1651" s="6" t="str">
        <f>HYPERLINK("http://catalog.hathitrust.org/Record/005108015","HathiTrust Record")</f>
        <v>HathiTrust Record</v>
      </c>
      <c r="AS1651" s="6" t="str">
        <f>HYPERLINK("https://creighton-primo.hosted.exlibrisgroup.com/primo-explore/search?tab=default_tab&amp;search_scope=EVERYTHING&amp;vid=01CRU&amp;lang=en_US&amp;offset=0&amp;query=any,contains,991004681369702656","Catalog Record")</f>
        <v>Catalog Record</v>
      </c>
      <c r="AT1651" s="6" t="str">
        <f>HYPERLINK("http://www.worldcat.org/oclc/60401821","WorldCat Record")</f>
        <v>WorldCat Record</v>
      </c>
      <c r="AU1651" s="3" t="s">
        <v>20699</v>
      </c>
      <c r="AV1651" s="3" t="s">
        <v>20700</v>
      </c>
      <c r="AW1651" s="3" t="s">
        <v>20701</v>
      </c>
      <c r="AX1651" s="3" t="s">
        <v>20701</v>
      </c>
      <c r="AY1651" s="3" t="s">
        <v>20702</v>
      </c>
      <c r="AZ1651" s="3" t="s">
        <v>73</v>
      </c>
      <c r="BB1651" s="3" t="s">
        <v>20703</v>
      </c>
      <c r="BC1651" s="3" t="s">
        <v>20704</v>
      </c>
      <c r="BD1651" s="3" t="s">
        <v>20705</v>
      </c>
    </row>
    <row r="1652" spans="1:56" ht="51" customHeight="1" x14ac:dyDescent="0.25">
      <c r="A1652" s="7" t="s">
        <v>58</v>
      </c>
      <c r="B1652" s="2" t="s">
        <v>20706</v>
      </c>
      <c r="C1652" s="2" t="s">
        <v>20707</v>
      </c>
      <c r="D1652" s="2" t="s">
        <v>20708</v>
      </c>
      <c r="F1652" s="3" t="s">
        <v>58</v>
      </c>
      <c r="G1652" s="3" t="s">
        <v>59</v>
      </c>
      <c r="H1652" s="3" t="s">
        <v>58</v>
      </c>
      <c r="I1652" s="3" t="s">
        <v>58</v>
      </c>
      <c r="J1652" s="3" t="s">
        <v>60</v>
      </c>
      <c r="K1652" s="2" t="s">
        <v>10036</v>
      </c>
      <c r="L1652" s="2" t="s">
        <v>20709</v>
      </c>
      <c r="M1652" s="3" t="s">
        <v>1385</v>
      </c>
      <c r="N1652" s="2" t="s">
        <v>1470</v>
      </c>
      <c r="O1652" s="3" t="s">
        <v>63</v>
      </c>
      <c r="P1652" s="3" t="s">
        <v>214</v>
      </c>
      <c r="R1652" s="3" t="s">
        <v>65</v>
      </c>
      <c r="S1652" s="4">
        <v>2</v>
      </c>
      <c r="T1652" s="4">
        <v>2</v>
      </c>
      <c r="U1652" s="5" t="s">
        <v>2367</v>
      </c>
      <c r="V1652" s="5" t="s">
        <v>2367</v>
      </c>
      <c r="W1652" s="5" t="s">
        <v>3459</v>
      </c>
      <c r="X1652" s="5" t="s">
        <v>3459</v>
      </c>
      <c r="Y1652" s="4">
        <v>695</v>
      </c>
      <c r="Z1652" s="4">
        <v>569</v>
      </c>
      <c r="AA1652" s="4">
        <v>578</v>
      </c>
      <c r="AB1652" s="4">
        <v>8</v>
      </c>
      <c r="AC1652" s="4">
        <v>8</v>
      </c>
      <c r="AD1652" s="4">
        <v>31</v>
      </c>
      <c r="AE1652" s="4">
        <v>31</v>
      </c>
      <c r="AF1652" s="4">
        <v>10</v>
      </c>
      <c r="AG1652" s="4">
        <v>10</v>
      </c>
      <c r="AH1652" s="4">
        <v>10</v>
      </c>
      <c r="AI1652" s="4">
        <v>10</v>
      </c>
      <c r="AJ1652" s="4">
        <v>11</v>
      </c>
      <c r="AK1652" s="4">
        <v>11</v>
      </c>
      <c r="AL1652" s="4">
        <v>7</v>
      </c>
      <c r="AM1652" s="4">
        <v>7</v>
      </c>
      <c r="AN1652" s="4">
        <v>0</v>
      </c>
      <c r="AO1652" s="4">
        <v>0</v>
      </c>
      <c r="AP1652" s="3" t="s">
        <v>58</v>
      </c>
      <c r="AQ1652" s="3" t="s">
        <v>68</v>
      </c>
      <c r="AR1652" s="6" t="str">
        <f>HYPERLINK("http://catalog.hathitrust.org/Record/001241162","HathiTrust Record")</f>
        <v>HathiTrust Record</v>
      </c>
      <c r="AS1652" s="6" t="str">
        <f>HYPERLINK("https://creighton-primo.hosted.exlibrisgroup.com/primo-explore/search?tab=default_tab&amp;search_scope=EVERYTHING&amp;vid=01CRU&amp;lang=en_US&amp;offset=0&amp;query=any,contains,991003224519702656","Catalog Record")</f>
        <v>Catalog Record</v>
      </c>
      <c r="AT1652" s="6" t="str">
        <f>HYPERLINK("http://www.worldcat.org/oclc/749732","WorldCat Record")</f>
        <v>WorldCat Record</v>
      </c>
      <c r="AU1652" s="3" t="s">
        <v>20710</v>
      </c>
      <c r="AV1652" s="3" t="s">
        <v>20711</v>
      </c>
      <c r="AW1652" s="3" t="s">
        <v>20712</v>
      </c>
      <c r="AX1652" s="3" t="s">
        <v>20712</v>
      </c>
      <c r="AY1652" s="3" t="s">
        <v>20713</v>
      </c>
      <c r="AZ1652" s="3" t="s">
        <v>73</v>
      </c>
      <c r="BB1652" s="3" t="s">
        <v>20714</v>
      </c>
      <c r="BC1652" s="3" t="s">
        <v>20715</v>
      </c>
      <c r="BD1652" s="3" t="s">
        <v>20716</v>
      </c>
    </row>
    <row r="1653" spans="1:56" ht="51" customHeight="1" x14ac:dyDescent="0.25">
      <c r="A1653" s="7" t="s">
        <v>58</v>
      </c>
      <c r="B1653" s="2" t="s">
        <v>20717</v>
      </c>
      <c r="C1653" s="2" t="s">
        <v>20718</v>
      </c>
      <c r="D1653" s="2" t="s">
        <v>20719</v>
      </c>
      <c r="F1653" s="3" t="s">
        <v>58</v>
      </c>
      <c r="G1653" s="3" t="s">
        <v>59</v>
      </c>
      <c r="H1653" s="3" t="s">
        <v>58</v>
      </c>
      <c r="I1653" s="3" t="s">
        <v>58</v>
      </c>
      <c r="J1653" s="3" t="s">
        <v>60</v>
      </c>
      <c r="K1653" s="2" t="s">
        <v>20720</v>
      </c>
      <c r="L1653" s="2" t="s">
        <v>20721</v>
      </c>
      <c r="M1653" s="3" t="s">
        <v>382</v>
      </c>
      <c r="N1653" s="2" t="s">
        <v>1009</v>
      </c>
      <c r="O1653" s="3" t="s">
        <v>63</v>
      </c>
      <c r="P1653" s="3" t="s">
        <v>214</v>
      </c>
      <c r="Q1653" s="2" t="s">
        <v>20722</v>
      </c>
      <c r="R1653" s="3" t="s">
        <v>65</v>
      </c>
      <c r="S1653" s="4">
        <v>9</v>
      </c>
      <c r="T1653" s="4">
        <v>9</v>
      </c>
      <c r="U1653" s="5" t="s">
        <v>18413</v>
      </c>
      <c r="V1653" s="5" t="s">
        <v>18413</v>
      </c>
      <c r="W1653" s="5" t="s">
        <v>3629</v>
      </c>
      <c r="X1653" s="5" t="s">
        <v>3629</v>
      </c>
      <c r="Y1653" s="4">
        <v>250</v>
      </c>
      <c r="Z1653" s="4">
        <v>234</v>
      </c>
      <c r="AA1653" s="4">
        <v>305</v>
      </c>
      <c r="AB1653" s="4">
        <v>2</v>
      </c>
      <c r="AC1653" s="4">
        <v>2</v>
      </c>
      <c r="AD1653" s="4">
        <v>1</v>
      </c>
      <c r="AE1653" s="4">
        <v>3</v>
      </c>
      <c r="AF1653" s="4">
        <v>0</v>
      </c>
      <c r="AG1653" s="4">
        <v>0</v>
      </c>
      <c r="AH1653" s="4">
        <v>0</v>
      </c>
      <c r="AI1653" s="4">
        <v>2</v>
      </c>
      <c r="AJ1653" s="4">
        <v>0</v>
      </c>
      <c r="AK1653" s="4">
        <v>2</v>
      </c>
      <c r="AL1653" s="4">
        <v>1</v>
      </c>
      <c r="AM1653" s="4">
        <v>1</v>
      </c>
      <c r="AN1653" s="4">
        <v>0</v>
      </c>
      <c r="AO1653" s="4">
        <v>0</v>
      </c>
      <c r="AP1653" s="3" t="s">
        <v>58</v>
      </c>
      <c r="AQ1653" s="3" t="s">
        <v>58</v>
      </c>
      <c r="AS1653" s="6" t="str">
        <f>HYPERLINK("https://creighton-primo.hosted.exlibrisgroup.com/primo-explore/search?tab=default_tab&amp;search_scope=EVERYTHING&amp;vid=01CRU&amp;lang=en_US&amp;offset=0&amp;query=any,contains,991003779649702656","Catalog Record")</f>
        <v>Catalog Record</v>
      </c>
      <c r="AT1653" s="6" t="str">
        <f>HYPERLINK("http://www.worldcat.org/oclc/39024698","WorldCat Record")</f>
        <v>WorldCat Record</v>
      </c>
      <c r="AU1653" s="3" t="s">
        <v>20723</v>
      </c>
      <c r="AV1653" s="3" t="s">
        <v>20724</v>
      </c>
      <c r="AW1653" s="3" t="s">
        <v>20725</v>
      </c>
      <c r="AX1653" s="3" t="s">
        <v>20725</v>
      </c>
      <c r="AY1653" s="3" t="s">
        <v>20726</v>
      </c>
      <c r="AZ1653" s="3" t="s">
        <v>73</v>
      </c>
      <c r="BB1653" s="3" t="s">
        <v>20727</v>
      </c>
      <c r="BC1653" s="3" t="s">
        <v>20728</v>
      </c>
      <c r="BD1653" s="3" t="s">
        <v>20729</v>
      </c>
    </row>
    <row r="1654" spans="1:56" ht="51" customHeight="1" x14ac:dyDescent="0.25">
      <c r="A1654" s="7" t="s">
        <v>58</v>
      </c>
      <c r="B1654" s="2" t="s">
        <v>20730</v>
      </c>
      <c r="C1654" s="2" t="s">
        <v>20731</v>
      </c>
      <c r="D1654" s="2" t="s">
        <v>20732</v>
      </c>
      <c r="F1654" s="3" t="s">
        <v>58</v>
      </c>
      <c r="G1654" s="3" t="s">
        <v>59</v>
      </c>
      <c r="H1654" s="3" t="s">
        <v>58</v>
      </c>
      <c r="I1654" s="3" t="s">
        <v>58</v>
      </c>
      <c r="J1654" s="3" t="s">
        <v>60</v>
      </c>
      <c r="K1654" s="2" t="s">
        <v>3811</v>
      </c>
      <c r="L1654" s="2" t="s">
        <v>20733</v>
      </c>
      <c r="M1654" s="3" t="s">
        <v>479</v>
      </c>
      <c r="O1654" s="3" t="s">
        <v>63</v>
      </c>
      <c r="P1654" s="3" t="s">
        <v>214</v>
      </c>
      <c r="R1654" s="3" t="s">
        <v>65</v>
      </c>
      <c r="S1654" s="4">
        <v>4</v>
      </c>
      <c r="T1654" s="4">
        <v>4</v>
      </c>
      <c r="U1654" s="5" t="s">
        <v>3566</v>
      </c>
      <c r="V1654" s="5" t="s">
        <v>3566</v>
      </c>
      <c r="W1654" s="5" t="s">
        <v>7093</v>
      </c>
      <c r="X1654" s="5" t="s">
        <v>7093</v>
      </c>
      <c r="Y1654" s="4">
        <v>751</v>
      </c>
      <c r="Z1654" s="4">
        <v>674</v>
      </c>
      <c r="AA1654" s="4">
        <v>680</v>
      </c>
      <c r="AB1654" s="4">
        <v>3</v>
      </c>
      <c r="AC1654" s="4">
        <v>3</v>
      </c>
      <c r="AD1654" s="4">
        <v>28</v>
      </c>
      <c r="AE1654" s="4">
        <v>28</v>
      </c>
      <c r="AF1654" s="4">
        <v>10</v>
      </c>
      <c r="AG1654" s="4">
        <v>10</v>
      </c>
      <c r="AH1654" s="4">
        <v>8</v>
      </c>
      <c r="AI1654" s="4">
        <v>8</v>
      </c>
      <c r="AJ1654" s="4">
        <v>17</v>
      </c>
      <c r="AK1654" s="4">
        <v>17</v>
      </c>
      <c r="AL1654" s="4">
        <v>2</v>
      </c>
      <c r="AM1654" s="4">
        <v>2</v>
      </c>
      <c r="AN1654" s="4">
        <v>0</v>
      </c>
      <c r="AO1654" s="4">
        <v>0</v>
      </c>
      <c r="AP1654" s="3" t="s">
        <v>58</v>
      </c>
      <c r="AQ1654" s="3" t="s">
        <v>68</v>
      </c>
      <c r="AR1654" s="6" t="str">
        <f>HYPERLINK("http://catalog.hathitrust.org/Record/002901822","HathiTrust Record")</f>
        <v>HathiTrust Record</v>
      </c>
      <c r="AS1654" s="6" t="str">
        <f>HYPERLINK("https://creighton-primo.hosted.exlibrisgroup.com/primo-explore/search?tab=default_tab&amp;search_scope=EVERYTHING&amp;vid=01CRU&amp;lang=en_US&amp;offset=0&amp;query=any,contains,991002261219702656","Catalog Record")</f>
        <v>Catalog Record</v>
      </c>
      <c r="AT1654" s="6" t="str">
        <f>HYPERLINK("http://www.worldcat.org/oclc/29319927","WorldCat Record")</f>
        <v>WorldCat Record</v>
      </c>
      <c r="AU1654" s="3" t="s">
        <v>20734</v>
      </c>
      <c r="AV1654" s="3" t="s">
        <v>20735</v>
      </c>
      <c r="AW1654" s="3" t="s">
        <v>20736</v>
      </c>
      <c r="AX1654" s="3" t="s">
        <v>20736</v>
      </c>
      <c r="AY1654" s="3" t="s">
        <v>20737</v>
      </c>
      <c r="AZ1654" s="3" t="s">
        <v>73</v>
      </c>
      <c r="BB1654" s="3" t="s">
        <v>20738</v>
      </c>
      <c r="BC1654" s="3" t="s">
        <v>20739</v>
      </c>
      <c r="BD1654" s="3" t="s">
        <v>20740</v>
      </c>
    </row>
    <row r="1655" spans="1:56" ht="51" customHeight="1" x14ac:dyDescent="0.25">
      <c r="A1655" s="7" t="s">
        <v>58</v>
      </c>
      <c r="B1655" s="2" t="s">
        <v>20741</v>
      </c>
      <c r="C1655" s="2" t="s">
        <v>20742</v>
      </c>
      <c r="D1655" s="2" t="s">
        <v>20743</v>
      </c>
      <c r="F1655" s="3" t="s">
        <v>58</v>
      </c>
      <c r="G1655" s="3" t="s">
        <v>59</v>
      </c>
      <c r="H1655" s="3" t="s">
        <v>58</v>
      </c>
      <c r="I1655" s="3" t="s">
        <v>58</v>
      </c>
      <c r="J1655" s="3" t="s">
        <v>60</v>
      </c>
      <c r="K1655" s="2" t="s">
        <v>4998</v>
      </c>
      <c r="L1655" s="2" t="s">
        <v>20744</v>
      </c>
      <c r="M1655" s="3" t="s">
        <v>538</v>
      </c>
      <c r="N1655" s="2" t="s">
        <v>1470</v>
      </c>
      <c r="O1655" s="3" t="s">
        <v>63</v>
      </c>
      <c r="P1655" s="3" t="s">
        <v>214</v>
      </c>
      <c r="R1655" s="3" t="s">
        <v>65</v>
      </c>
      <c r="S1655" s="4">
        <v>1</v>
      </c>
      <c r="T1655" s="4">
        <v>1</v>
      </c>
      <c r="U1655" s="5" t="s">
        <v>12217</v>
      </c>
      <c r="V1655" s="5" t="s">
        <v>12217</v>
      </c>
      <c r="W1655" s="5" t="s">
        <v>20416</v>
      </c>
      <c r="X1655" s="5" t="s">
        <v>20416</v>
      </c>
      <c r="Y1655" s="4">
        <v>860</v>
      </c>
      <c r="Z1655" s="4">
        <v>748</v>
      </c>
      <c r="AA1655" s="4">
        <v>768</v>
      </c>
      <c r="AB1655" s="4">
        <v>2</v>
      </c>
      <c r="AC1655" s="4">
        <v>3</v>
      </c>
      <c r="AD1655" s="4">
        <v>25</v>
      </c>
      <c r="AE1655" s="4">
        <v>27</v>
      </c>
      <c r="AF1655" s="4">
        <v>10</v>
      </c>
      <c r="AG1655" s="4">
        <v>10</v>
      </c>
      <c r="AH1655" s="4">
        <v>7</v>
      </c>
      <c r="AI1655" s="4">
        <v>7</v>
      </c>
      <c r="AJ1655" s="4">
        <v>14</v>
      </c>
      <c r="AK1655" s="4">
        <v>15</v>
      </c>
      <c r="AL1655" s="4">
        <v>1</v>
      </c>
      <c r="AM1655" s="4">
        <v>2</v>
      </c>
      <c r="AN1655" s="4">
        <v>0</v>
      </c>
      <c r="AO1655" s="4">
        <v>0</v>
      </c>
      <c r="AP1655" s="3" t="s">
        <v>58</v>
      </c>
      <c r="AQ1655" s="3" t="s">
        <v>68</v>
      </c>
      <c r="AR1655" s="6" t="str">
        <f>HYPERLINK("http://catalog.hathitrust.org/Record/001241184","HathiTrust Record")</f>
        <v>HathiTrust Record</v>
      </c>
      <c r="AS1655" s="6" t="str">
        <f>HYPERLINK("https://creighton-primo.hosted.exlibrisgroup.com/primo-explore/search?tab=default_tab&amp;search_scope=EVERYTHING&amp;vid=01CRU&amp;lang=en_US&amp;offset=0&amp;query=any,contains,991000079709702656","Catalog Record")</f>
        <v>Catalog Record</v>
      </c>
      <c r="AT1655" s="6" t="str">
        <f>HYPERLINK("http://www.worldcat.org/oclc/31335","WorldCat Record")</f>
        <v>WorldCat Record</v>
      </c>
      <c r="AU1655" s="3" t="s">
        <v>20745</v>
      </c>
      <c r="AV1655" s="3" t="s">
        <v>20746</v>
      </c>
      <c r="AW1655" s="3" t="s">
        <v>20747</v>
      </c>
      <c r="AX1655" s="3" t="s">
        <v>20747</v>
      </c>
      <c r="AY1655" s="3" t="s">
        <v>20748</v>
      </c>
      <c r="AZ1655" s="3" t="s">
        <v>73</v>
      </c>
      <c r="BC1655" s="3" t="s">
        <v>20749</v>
      </c>
      <c r="BD1655" s="3" t="s">
        <v>20750</v>
      </c>
    </row>
    <row r="1656" spans="1:56" ht="51" customHeight="1" x14ac:dyDescent="0.25">
      <c r="A1656" s="7" t="s">
        <v>58</v>
      </c>
      <c r="B1656" s="2" t="s">
        <v>20751</v>
      </c>
      <c r="C1656" s="2" t="s">
        <v>20752</v>
      </c>
      <c r="D1656" s="2" t="s">
        <v>20753</v>
      </c>
      <c r="F1656" s="3" t="s">
        <v>58</v>
      </c>
      <c r="G1656" s="3" t="s">
        <v>59</v>
      </c>
      <c r="H1656" s="3" t="s">
        <v>58</v>
      </c>
      <c r="I1656" s="3" t="s">
        <v>58</v>
      </c>
      <c r="J1656" s="3" t="s">
        <v>60</v>
      </c>
      <c r="K1656" s="2" t="s">
        <v>20754</v>
      </c>
      <c r="L1656" s="2" t="s">
        <v>20755</v>
      </c>
      <c r="M1656" s="3" t="s">
        <v>2757</v>
      </c>
      <c r="O1656" s="3" t="s">
        <v>63</v>
      </c>
      <c r="P1656" s="3" t="s">
        <v>214</v>
      </c>
      <c r="R1656" s="3" t="s">
        <v>65</v>
      </c>
      <c r="S1656" s="4">
        <v>1</v>
      </c>
      <c r="T1656" s="4">
        <v>1</v>
      </c>
      <c r="U1656" s="5" t="s">
        <v>326</v>
      </c>
      <c r="V1656" s="5" t="s">
        <v>326</v>
      </c>
      <c r="W1656" s="5" t="s">
        <v>20416</v>
      </c>
      <c r="X1656" s="5" t="s">
        <v>20416</v>
      </c>
      <c r="Y1656" s="4">
        <v>903</v>
      </c>
      <c r="Z1656" s="4">
        <v>832</v>
      </c>
      <c r="AA1656" s="4">
        <v>960</v>
      </c>
      <c r="AB1656" s="4">
        <v>6</v>
      </c>
      <c r="AC1656" s="4">
        <v>7</v>
      </c>
      <c r="AD1656" s="4">
        <v>32</v>
      </c>
      <c r="AE1656" s="4">
        <v>39</v>
      </c>
      <c r="AF1656" s="4">
        <v>15</v>
      </c>
      <c r="AG1656" s="4">
        <v>19</v>
      </c>
      <c r="AH1656" s="4">
        <v>6</v>
      </c>
      <c r="AI1656" s="4">
        <v>7</v>
      </c>
      <c r="AJ1656" s="4">
        <v>12</v>
      </c>
      <c r="AK1656" s="4">
        <v>17</v>
      </c>
      <c r="AL1656" s="4">
        <v>5</v>
      </c>
      <c r="AM1656" s="4">
        <v>6</v>
      </c>
      <c r="AN1656" s="4">
        <v>1</v>
      </c>
      <c r="AO1656" s="4">
        <v>1</v>
      </c>
      <c r="AP1656" s="3" t="s">
        <v>58</v>
      </c>
      <c r="AQ1656" s="3" t="s">
        <v>68</v>
      </c>
      <c r="AR1656" s="6" t="str">
        <f>HYPERLINK("http://catalog.hathitrust.org/Record/001241230","HathiTrust Record")</f>
        <v>HathiTrust Record</v>
      </c>
      <c r="AS1656" s="6" t="str">
        <f>HYPERLINK("https://creighton-primo.hosted.exlibrisgroup.com/primo-explore/search?tab=default_tab&amp;search_scope=EVERYTHING&amp;vid=01CRU&amp;lang=en_US&amp;offset=0&amp;query=any,contains,991002679189702656","Catalog Record")</f>
        <v>Catalog Record</v>
      </c>
      <c r="AT1656" s="6" t="str">
        <f>HYPERLINK("http://www.worldcat.org/oclc/397894","WorldCat Record")</f>
        <v>WorldCat Record</v>
      </c>
      <c r="AU1656" s="3" t="s">
        <v>20756</v>
      </c>
      <c r="AV1656" s="3" t="s">
        <v>20757</v>
      </c>
      <c r="AW1656" s="3" t="s">
        <v>20758</v>
      </c>
      <c r="AX1656" s="3" t="s">
        <v>20758</v>
      </c>
      <c r="AY1656" s="3" t="s">
        <v>20759</v>
      </c>
      <c r="AZ1656" s="3" t="s">
        <v>73</v>
      </c>
      <c r="BC1656" s="3" t="s">
        <v>20760</v>
      </c>
      <c r="BD1656" s="3" t="s">
        <v>20761</v>
      </c>
    </row>
    <row r="1657" spans="1:56" ht="51" customHeight="1" x14ac:dyDescent="0.25">
      <c r="A1657" s="7" t="s">
        <v>58</v>
      </c>
      <c r="B1657" s="2" t="s">
        <v>20762</v>
      </c>
      <c r="C1657" s="2" t="s">
        <v>20763</v>
      </c>
      <c r="D1657" s="2" t="s">
        <v>20764</v>
      </c>
      <c r="F1657" s="3" t="s">
        <v>58</v>
      </c>
      <c r="G1657" s="3" t="s">
        <v>59</v>
      </c>
      <c r="H1657" s="3" t="s">
        <v>58</v>
      </c>
      <c r="I1657" s="3" t="s">
        <v>58</v>
      </c>
      <c r="J1657" s="3" t="s">
        <v>60</v>
      </c>
      <c r="K1657" s="2" t="s">
        <v>7603</v>
      </c>
      <c r="L1657" s="2" t="s">
        <v>20765</v>
      </c>
      <c r="M1657" s="3" t="s">
        <v>2132</v>
      </c>
      <c r="O1657" s="3" t="s">
        <v>63</v>
      </c>
      <c r="P1657" s="3" t="s">
        <v>1299</v>
      </c>
      <c r="R1657" s="3" t="s">
        <v>65</v>
      </c>
      <c r="S1657" s="4">
        <v>1</v>
      </c>
      <c r="T1657" s="4">
        <v>1</v>
      </c>
      <c r="U1657" s="5" t="s">
        <v>20766</v>
      </c>
      <c r="V1657" s="5" t="s">
        <v>20766</v>
      </c>
      <c r="W1657" s="5" t="s">
        <v>20416</v>
      </c>
      <c r="X1657" s="5" t="s">
        <v>20416</v>
      </c>
      <c r="Y1657" s="4">
        <v>766</v>
      </c>
      <c r="Z1657" s="4">
        <v>697</v>
      </c>
      <c r="AA1657" s="4">
        <v>895</v>
      </c>
      <c r="AB1657" s="4">
        <v>4</v>
      </c>
      <c r="AC1657" s="4">
        <v>5</v>
      </c>
      <c r="AD1657" s="4">
        <v>30</v>
      </c>
      <c r="AE1657" s="4">
        <v>38</v>
      </c>
      <c r="AF1657" s="4">
        <v>12</v>
      </c>
      <c r="AG1657" s="4">
        <v>16</v>
      </c>
      <c r="AH1657" s="4">
        <v>8</v>
      </c>
      <c r="AI1657" s="4">
        <v>8</v>
      </c>
      <c r="AJ1657" s="4">
        <v>16</v>
      </c>
      <c r="AK1657" s="4">
        <v>19</v>
      </c>
      <c r="AL1657" s="4">
        <v>3</v>
      </c>
      <c r="AM1657" s="4">
        <v>4</v>
      </c>
      <c r="AN1657" s="4">
        <v>0</v>
      </c>
      <c r="AO1657" s="4">
        <v>0</v>
      </c>
      <c r="AP1657" s="3" t="s">
        <v>58</v>
      </c>
      <c r="AQ1657" s="3" t="s">
        <v>68</v>
      </c>
      <c r="AR1657" s="6" t="str">
        <f>HYPERLINK("http://catalog.hathitrust.org/Record/001241244","HathiTrust Record")</f>
        <v>HathiTrust Record</v>
      </c>
      <c r="AS1657" s="6" t="str">
        <f>HYPERLINK("https://creighton-primo.hosted.exlibrisgroup.com/primo-explore/search?tab=default_tab&amp;search_scope=EVERYTHING&amp;vid=01CRU&amp;lang=en_US&amp;offset=0&amp;query=any,contains,991001933249702656","Catalog Record")</f>
        <v>Catalog Record</v>
      </c>
      <c r="AT1657" s="6" t="str">
        <f>HYPERLINK("http://www.worldcat.org/oclc/249711","WorldCat Record")</f>
        <v>WorldCat Record</v>
      </c>
      <c r="AU1657" s="3" t="s">
        <v>20767</v>
      </c>
      <c r="AV1657" s="3" t="s">
        <v>20768</v>
      </c>
      <c r="AW1657" s="3" t="s">
        <v>20769</v>
      </c>
      <c r="AX1657" s="3" t="s">
        <v>20769</v>
      </c>
      <c r="AY1657" s="3" t="s">
        <v>20770</v>
      </c>
      <c r="AZ1657" s="3" t="s">
        <v>73</v>
      </c>
      <c r="BC1657" s="3" t="s">
        <v>20771</v>
      </c>
      <c r="BD1657" s="3" t="s">
        <v>20772</v>
      </c>
    </row>
    <row r="1658" spans="1:56" ht="51" customHeight="1" x14ac:dyDescent="0.25">
      <c r="A1658" s="7" t="s">
        <v>58</v>
      </c>
      <c r="B1658" s="2" t="s">
        <v>20773</v>
      </c>
      <c r="C1658" s="2" t="s">
        <v>20774</v>
      </c>
      <c r="D1658" s="2" t="s">
        <v>20775</v>
      </c>
      <c r="F1658" s="3" t="s">
        <v>58</v>
      </c>
      <c r="G1658" s="3" t="s">
        <v>59</v>
      </c>
      <c r="H1658" s="3" t="s">
        <v>58</v>
      </c>
      <c r="I1658" s="3" t="s">
        <v>58</v>
      </c>
      <c r="J1658" s="3" t="s">
        <v>60</v>
      </c>
      <c r="K1658" s="2" t="s">
        <v>7470</v>
      </c>
      <c r="L1658" s="2" t="s">
        <v>20776</v>
      </c>
      <c r="M1658" s="3" t="s">
        <v>12203</v>
      </c>
      <c r="O1658" s="3" t="s">
        <v>63</v>
      </c>
      <c r="P1658" s="3" t="s">
        <v>214</v>
      </c>
      <c r="R1658" s="3" t="s">
        <v>65</v>
      </c>
      <c r="S1658" s="4">
        <v>5</v>
      </c>
      <c r="T1658" s="4">
        <v>5</v>
      </c>
      <c r="U1658" s="5" t="s">
        <v>1559</v>
      </c>
      <c r="V1658" s="5" t="s">
        <v>1559</v>
      </c>
      <c r="W1658" s="5" t="s">
        <v>20416</v>
      </c>
      <c r="X1658" s="5" t="s">
        <v>20416</v>
      </c>
      <c r="Y1658" s="4">
        <v>457</v>
      </c>
      <c r="Z1658" s="4">
        <v>401</v>
      </c>
      <c r="AA1658" s="4">
        <v>523</v>
      </c>
      <c r="AB1658" s="4">
        <v>6</v>
      </c>
      <c r="AC1658" s="4">
        <v>7</v>
      </c>
      <c r="AD1658" s="4">
        <v>25</v>
      </c>
      <c r="AE1658" s="4">
        <v>27</v>
      </c>
      <c r="AF1658" s="4">
        <v>7</v>
      </c>
      <c r="AG1658" s="4">
        <v>7</v>
      </c>
      <c r="AH1658" s="4">
        <v>4</v>
      </c>
      <c r="AI1658" s="4">
        <v>5</v>
      </c>
      <c r="AJ1658" s="4">
        <v>13</v>
      </c>
      <c r="AK1658" s="4">
        <v>13</v>
      </c>
      <c r="AL1658" s="4">
        <v>4</v>
      </c>
      <c r="AM1658" s="4">
        <v>5</v>
      </c>
      <c r="AN1658" s="4">
        <v>2</v>
      </c>
      <c r="AO1658" s="4">
        <v>2</v>
      </c>
      <c r="AP1658" s="3" t="s">
        <v>58</v>
      </c>
      <c r="AQ1658" s="3" t="s">
        <v>68</v>
      </c>
      <c r="AR1658" s="6" t="str">
        <f>HYPERLINK("http://catalog.hathitrust.org/Record/001241245","HathiTrust Record")</f>
        <v>HathiTrust Record</v>
      </c>
      <c r="AS1658" s="6" t="str">
        <f>HYPERLINK("https://creighton-primo.hosted.exlibrisgroup.com/primo-explore/search?tab=default_tab&amp;search_scope=EVERYTHING&amp;vid=01CRU&amp;lang=en_US&amp;offset=0&amp;query=any,contains,991002678679702656","Catalog Record")</f>
        <v>Catalog Record</v>
      </c>
      <c r="AT1658" s="6" t="str">
        <f>HYPERLINK("http://www.worldcat.org/oclc/397723","WorldCat Record")</f>
        <v>WorldCat Record</v>
      </c>
      <c r="AU1658" s="3" t="s">
        <v>20777</v>
      </c>
      <c r="AV1658" s="3" t="s">
        <v>20778</v>
      </c>
      <c r="AW1658" s="3" t="s">
        <v>20779</v>
      </c>
      <c r="AX1658" s="3" t="s">
        <v>20779</v>
      </c>
      <c r="AY1658" s="3" t="s">
        <v>20780</v>
      </c>
      <c r="AZ1658" s="3" t="s">
        <v>73</v>
      </c>
      <c r="BC1658" s="3" t="s">
        <v>20781</v>
      </c>
      <c r="BD1658" s="3" t="s">
        <v>20782</v>
      </c>
    </row>
    <row r="1659" spans="1:56" ht="51" customHeight="1" x14ac:dyDescent="0.25">
      <c r="A1659" s="7" t="s">
        <v>58</v>
      </c>
      <c r="B1659" s="2" t="s">
        <v>20783</v>
      </c>
      <c r="C1659" s="2" t="s">
        <v>20784</v>
      </c>
      <c r="D1659" s="2" t="s">
        <v>20785</v>
      </c>
      <c r="F1659" s="3" t="s">
        <v>58</v>
      </c>
      <c r="G1659" s="3" t="s">
        <v>59</v>
      </c>
      <c r="H1659" s="3" t="s">
        <v>68</v>
      </c>
      <c r="I1659" s="3" t="s">
        <v>58</v>
      </c>
      <c r="J1659" s="3" t="s">
        <v>60</v>
      </c>
      <c r="K1659" s="2" t="s">
        <v>20786</v>
      </c>
      <c r="L1659" s="2" t="s">
        <v>20787</v>
      </c>
      <c r="M1659" s="3" t="s">
        <v>2004</v>
      </c>
      <c r="O1659" s="3" t="s">
        <v>63</v>
      </c>
      <c r="P1659" s="3" t="s">
        <v>354</v>
      </c>
      <c r="Q1659" s="2" t="s">
        <v>20788</v>
      </c>
      <c r="R1659" s="3" t="s">
        <v>65</v>
      </c>
      <c r="S1659" s="4">
        <v>2</v>
      </c>
      <c r="T1659" s="4">
        <v>2</v>
      </c>
      <c r="U1659" s="5" t="s">
        <v>20789</v>
      </c>
      <c r="V1659" s="5" t="s">
        <v>20789</v>
      </c>
      <c r="W1659" s="5" t="s">
        <v>20416</v>
      </c>
      <c r="X1659" s="5" t="s">
        <v>20790</v>
      </c>
      <c r="Y1659" s="4">
        <v>647</v>
      </c>
      <c r="Z1659" s="4">
        <v>535</v>
      </c>
      <c r="AA1659" s="4">
        <v>575</v>
      </c>
      <c r="AB1659" s="4">
        <v>4</v>
      </c>
      <c r="AC1659" s="4">
        <v>4</v>
      </c>
      <c r="AD1659" s="4">
        <v>24</v>
      </c>
      <c r="AE1659" s="4">
        <v>26</v>
      </c>
      <c r="AF1659" s="4">
        <v>11</v>
      </c>
      <c r="AG1659" s="4">
        <v>12</v>
      </c>
      <c r="AH1659" s="4">
        <v>4</v>
      </c>
      <c r="AI1659" s="4">
        <v>4</v>
      </c>
      <c r="AJ1659" s="4">
        <v>9</v>
      </c>
      <c r="AK1659" s="4">
        <v>11</v>
      </c>
      <c r="AL1659" s="4">
        <v>2</v>
      </c>
      <c r="AM1659" s="4">
        <v>2</v>
      </c>
      <c r="AN1659" s="4">
        <v>1</v>
      </c>
      <c r="AO1659" s="4">
        <v>1</v>
      </c>
      <c r="AP1659" s="3" t="s">
        <v>68</v>
      </c>
      <c r="AQ1659" s="3" t="s">
        <v>58</v>
      </c>
      <c r="AR1659" s="6" t="str">
        <f>HYPERLINK("http://catalog.hathitrust.org/Record/001241274","HathiTrust Record")</f>
        <v>HathiTrust Record</v>
      </c>
      <c r="AS1659" s="6" t="str">
        <f>HYPERLINK("https://creighton-primo.hosted.exlibrisgroup.com/primo-explore/search?tab=default_tab&amp;search_scope=EVERYTHING&amp;vid=01CRU&amp;lang=en_US&amp;offset=0&amp;query=any,contains,991001631039702656","Catalog Record")</f>
        <v>Catalog Record</v>
      </c>
      <c r="AT1659" s="6" t="str">
        <f>HYPERLINK("http://www.worldcat.org/oclc/310800","WorldCat Record")</f>
        <v>WorldCat Record</v>
      </c>
      <c r="AU1659" s="3" t="s">
        <v>20791</v>
      </c>
      <c r="AV1659" s="3" t="s">
        <v>20792</v>
      </c>
      <c r="AW1659" s="3" t="s">
        <v>20793</v>
      </c>
      <c r="AX1659" s="3" t="s">
        <v>20793</v>
      </c>
      <c r="AY1659" s="3" t="s">
        <v>20794</v>
      </c>
      <c r="AZ1659" s="3" t="s">
        <v>73</v>
      </c>
      <c r="BC1659" s="3" t="s">
        <v>20795</v>
      </c>
      <c r="BD1659" s="3" t="s">
        <v>20796</v>
      </c>
    </row>
    <row r="1660" spans="1:56" ht="51" customHeight="1" x14ac:dyDescent="0.25">
      <c r="A1660" s="7" t="s">
        <v>58</v>
      </c>
      <c r="B1660" s="2" t="s">
        <v>20797</v>
      </c>
      <c r="C1660" s="2" t="s">
        <v>20798</v>
      </c>
      <c r="D1660" s="2" t="s">
        <v>20799</v>
      </c>
      <c r="F1660" s="3" t="s">
        <v>58</v>
      </c>
      <c r="G1660" s="3" t="s">
        <v>59</v>
      </c>
      <c r="H1660" s="3" t="s">
        <v>58</v>
      </c>
      <c r="I1660" s="3" t="s">
        <v>58</v>
      </c>
      <c r="J1660" s="3" t="s">
        <v>60</v>
      </c>
      <c r="K1660" s="2" t="s">
        <v>20800</v>
      </c>
      <c r="L1660" s="2" t="s">
        <v>20801</v>
      </c>
      <c r="M1660" s="3" t="s">
        <v>1499</v>
      </c>
      <c r="O1660" s="3" t="s">
        <v>63</v>
      </c>
      <c r="P1660" s="3" t="s">
        <v>584</v>
      </c>
      <c r="Q1660" s="2" t="s">
        <v>20802</v>
      </c>
      <c r="R1660" s="3" t="s">
        <v>65</v>
      </c>
      <c r="S1660" s="4">
        <v>4</v>
      </c>
      <c r="T1660" s="4">
        <v>4</v>
      </c>
      <c r="U1660" s="5" t="s">
        <v>20803</v>
      </c>
      <c r="V1660" s="5" t="s">
        <v>20803</v>
      </c>
      <c r="W1660" s="5" t="s">
        <v>20804</v>
      </c>
      <c r="X1660" s="5" t="s">
        <v>20804</v>
      </c>
      <c r="Y1660" s="4">
        <v>737</v>
      </c>
      <c r="Z1660" s="4">
        <v>541</v>
      </c>
      <c r="AA1660" s="4">
        <v>543</v>
      </c>
      <c r="AB1660" s="4">
        <v>6</v>
      </c>
      <c r="AC1660" s="4">
        <v>6</v>
      </c>
      <c r="AD1660" s="4">
        <v>27</v>
      </c>
      <c r="AE1660" s="4">
        <v>27</v>
      </c>
      <c r="AF1660" s="4">
        <v>8</v>
      </c>
      <c r="AG1660" s="4">
        <v>8</v>
      </c>
      <c r="AH1660" s="4">
        <v>6</v>
      </c>
      <c r="AI1660" s="4">
        <v>6</v>
      </c>
      <c r="AJ1660" s="4">
        <v>15</v>
      </c>
      <c r="AK1660" s="4">
        <v>15</v>
      </c>
      <c r="AL1660" s="4">
        <v>5</v>
      </c>
      <c r="AM1660" s="4">
        <v>5</v>
      </c>
      <c r="AN1660" s="4">
        <v>0</v>
      </c>
      <c r="AO1660" s="4">
        <v>0</v>
      </c>
      <c r="AP1660" s="3" t="s">
        <v>58</v>
      </c>
      <c r="AQ1660" s="3" t="s">
        <v>68</v>
      </c>
      <c r="AR1660" s="6" t="str">
        <f>HYPERLINK("http://catalog.hathitrust.org/Record/001241286","HathiTrust Record")</f>
        <v>HathiTrust Record</v>
      </c>
      <c r="AS1660" s="6" t="str">
        <f>HYPERLINK("https://creighton-primo.hosted.exlibrisgroup.com/primo-explore/search?tab=default_tab&amp;search_scope=EVERYTHING&amp;vid=01CRU&amp;lang=en_US&amp;offset=0&amp;query=any,contains,991002286109702656","Catalog Record")</f>
        <v>Catalog Record</v>
      </c>
      <c r="AT1660" s="6" t="str">
        <f>HYPERLINK("http://www.worldcat.org/oclc/311506","WorldCat Record")</f>
        <v>WorldCat Record</v>
      </c>
      <c r="AU1660" s="3" t="s">
        <v>20805</v>
      </c>
      <c r="AV1660" s="3" t="s">
        <v>20806</v>
      </c>
      <c r="AW1660" s="3" t="s">
        <v>20807</v>
      </c>
      <c r="AX1660" s="3" t="s">
        <v>20807</v>
      </c>
      <c r="AY1660" s="3" t="s">
        <v>20808</v>
      </c>
      <c r="AZ1660" s="3" t="s">
        <v>73</v>
      </c>
      <c r="BC1660" s="3" t="s">
        <v>20809</v>
      </c>
      <c r="BD1660" s="3" t="s">
        <v>20810</v>
      </c>
    </row>
    <row r="1661" spans="1:56" ht="51" customHeight="1" x14ac:dyDescent="0.25">
      <c r="A1661" s="7" t="s">
        <v>58</v>
      </c>
      <c r="B1661" s="2" t="s">
        <v>20811</v>
      </c>
      <c r="C1661" s="2" t="s">
        <v>20812</v>
      </c>
      <c r="D1661" s="2" t="s">
        <v>20813</v>
      </c>
      <c r="F1661" s="3" t="s">
        <v>58</v>
      </c>
      <c r="G1661" s="3" t="s">
        <v>59</v>
      </c>
      <c r="H1661" s="3" t="s">
        <v>58</v>
      </c>
      <c r="I1661" s="3" t="s">
        <v>58</v>
      </c>
      <c r="J1661" s="3" t="s">
        <v>60</v>
      </c>
      <c r="K1661" s="2" t="s">
        <v>20814</v>
      </c>
      <c r="L1661" s="2" t="s">
        <v>3667</v>
      </c>
      <c r="M1661" s="3" t="s">
        <v>1061</v>
      </c>
      <c r="O1661" s="3" t="s">
        <v>63</v>
      </c>
      <c r="P1661" s="3" t="s">
        <v>584</v>
      </c>
      <c r="R1661" s="3" t="s">
        <v>65</v>
      </c>
      <c r="S1661" s="4">
        <v>5</v>
      </c>
      <c r="T1661" s="4">
        <v>5</v>
      </c>
      <c r="U1661" s="5" t="s">
        <v>20815</v>
      </c>
      <c r="V1661" s="5" t="s">
        <v>20815</v>
      </c>
      <c r="W1661" s="5" t="s">
        <v>20816</v>
      </c>
      <c r="X1661" s="5" t="s">
        <v>20816</v>
      </c>
      <c r="Y1661" s="4">
        <v>354</v>
      </c>
      <c r="Z1661" s="4">
        <v>294</v>
      </c>
      <c r="AA1661" s="4">
        <v>313</v>
      </c>
      <c r="AB1661" s="4">
        <v>2</v>
      </c>
      <c r="AC1661" s="4">
        <v>2</v>
      </c>
      <c r="AD1661" s="4">
        <v>16</v>
      </c>
      <c r="AE1661" s="4">
        <v>16</v>
      </c>
      <c r="AF1661" s="4">
        <v>4</v>
      </c>
      <c r="AG1661" s="4">
        <v>4</v>
      </c>
      <c r="AH1661" s="4">
        <v>6</v>
      </c>
      <c r="AI1661" s="4">
        <v>6</v>
      </c>
      <c r="AJ1661" s="4">
        <v>10</v>
      </c>
      <c r="AK1661" s="4">
        <v>10</v>
      </c>
      <c r="AL1661" s="4">
        <v>1</v>
      </c>
      <c r="AM1661" s="4">
        <v>1</v>
      </c>
      <c r="AN1661" s="4">
        <v>0</v>
      </c>
      <c r="AO1661" s="4">
        <v>0</v>
      </c>
      <c r="AP1661" s="3" t="s">
        <v>58</v>
      </c>
      <c r="AQ1661" s="3" t="s">
        <v>58</v>
      </c>
      <c r="AS1661" s="6" t="str">
        <f>HYPERLINK("https://creighton-primo.hosted.exlibrisgroup.com/primo-explore/search?tab=default_tab&amp;search_scope=EVERYTHING&amp;vid=01CRU&amp;lang=en_US&amp;offset=0&amp;query=any,contains,991002720029702656","Catalog Record")</f>
        <v>Catalog Record</v>
      </c>
      <c r="AT1661" s="6" t="str">
        <f>HYPERLINK("http://www.worldcat.org/oclc/35658039","WorldCat Record")</f>
        <v>WorldCat Record</v>
      </c>
      <c r="AU1661" s="3" t="s">
        <v>20817</v>
      </c>
      <c r="AV1661" s="3" t="s">
        <v>20818</v>
      </c>
      <c r="AW1661" s="3" t="s">
        <v>20819</v>
      </c>
      <c r="AX1661" s="3" t="s">
        <v>20819</v>
      </c>
      <c r="AY1661" s="3" t="s">
        <v>20820</v>
      </c>
      <c r="AZ1661" s="3" t="s">
        <v>73</v>
      </c>
      <c r="BB1661" s="3" t="s">
        <v>20821</v>
      </c>
      <c r="BC1661" s="3" t="s">
        <v>20822</v>
      </c>
      <c r="BD1661" s="3" t="s">
        <v>20823</v>
      </c>
    </row>
    <row r="1662" spans="1:56" ht="51" customHeight="1" x14ac:dyDescent="0.25">
      <c r="A1662" s="7" t="s">
        <v>58</v>
      </c>
      <c r="B1662" s="2" t="s">
        <v>20824</v>
      </c>
      <c r="C1662" s="2" t="s">
        <v>20825</v>
      </c>
      <c r="D1662" s="2" t="s">
        <v>20826</v>
      </c>
      <c r="F1662" s="3" t="s">
        <v>58</v>
      </c>
      <c r="G1662" s="3" t="s">
        <v>59</v>
      </c>
      <c r="H1662" s="3" t="s">
        <v>58</v>
      </c>
      <c r="I1662" s="3" t="s">
        <v>58</v>
      </c>
      <c r="J1662" s="3" t="s">
        <v>60</v>
      </c>
      <c r="K1662" s="2" t="s">
        <v>20827</v>
      </c>
      <c r="L1662" s="2" t="s">
        <v>20828</v>
      </c>
      <c r="M1662" s="3" t="s">
        <v>842</v>
      </c>
      <c r="O1662" s="3" t="s">
        <v>63</v>
      </c>
      <c r="P1662" s="3" t="s">
        <v>584</v>
      </c>
      <c r="R1662" s="3" t="s">
        <v>65</v>
      </c>
      <c r="S1662" s="4">
        <v>3</v>
      </c>
      <c r="T1662" s="4">
        <v>3</v>
      </c>
      <c r="U1662" s="5" t="s">
        <v>20829</v>
      </c>
      <c r="V1662" s="5" t="s">
        <v>20829</v>
      </c>
      <c r="W1662" s="5" t="s">
        <v>17640</v>
      </c>
      <c r="X1662" s="5" t="s">
        <v>17640</v>
      </c>
      <c r="Y1662" s="4">
        <v>940</v>
      </c>
      <c r="Z1662" s="4">
        <v>769</v>
      </c>
      <c r="AA1662" s="4">
        <v>1052</v>
      </c>
      <c r="AB1662" s="4">
        <v>4</v>
      </c>
      <c r="AC1662" s="4">
        <v>9</v>
      </c>
      <c r="AD1662" s="4">
        <v>34</v>
      </c>
      <c r="AE1662" s="4">
        <v>49</v>
      </c>
      <c r="AF1662" s="4">
        <v>17</v>
      </c>
      <c r="AG1662" s="4">
        <v>20</v>
      </c>
      <c r="AH1662" s="4">
        <v>9</v>
      </c>
      <c r="AI1662" s="4">
        <v>11</v>
      </c>
      <c r="AJ1662" s="4">
        <v>16</v>
      </c>
      <c r="AK1662" s="4">
        <v>22</v>
      </c>
      <c r="AL1662" s="4">
        <v>3</v>
      </c>
      <c r="AM1662" s="4">
        <v>8</v>
      </c>
      <c r="AN1662" s="4">
        <v>0</v>
      </c>
      <c r="AO1662" s="4">
        <v>0</v>
      </c>
      <c r="AP1662" s="3" t="s">
        <v>58</v>
      </c>
      <c r="AQ1662" s="3" t="s">
        <v>58</v>
      </c>
      <c r="AS1662" s="6" t="str">
        <f>HYPERLINK("https://creighton-primo.hosted.exlibrisgroup.com/primo-explore/search?tab=default_tab&amp;search_scope=EVERYTHING&amp;vid=01CRU&amp;lang=en_US&amp;offset=0&amp;query=any,contains,991005080659702656","Catalog Record")</f>
        <v>Catalog Record</v>
      </c>
      <c r="AT1662" s="6" t="str">
        <f>HYPERLINK("http://www.worldcat.org/oclc/7171425","WorldCat Record")</f>
        <v>WorldCat Record</v>
      </c>
      <c r="AU1662" s="3" t="s">
        <v>20830</v>
      </c>
      <c r="AV1662" s="3" t="s">
        <v>20831</v>
      </c>
      <c r="AW1662" s="3" t="s">
        <v>20832</v>
      </c>
      <c r="AX1662" s="3" t="s">
        <v>20832</v>
      </c>
      <c r="AY1662" s="3" t="s">
        <v>20833</v>
      </c>
      <c r="AZ1662" s="3" t="s">
        <v>73</v>
      </c>
      <c r="BB1662" s="3" t="s">
        <v>20834</v>
      </c>
      <c r="BC1662" s="3" t="s">
        <v>20835</v>
      </c>
      <c r="BD1662" s="3" t="s">
        <v>20836</v>
      </c>
    </row>
    <row r="1663" spans="1:56" ht="51" customHeight="1" x14ac:dyDescent="0.25">
      <c r="A1663" s="7" t="s">
        <v>58</v>
      </c>
      <c r="B1663" s="2" t="s">
        <v>20837</v>
      </c>
      <c r="C1663" s="2" t="s">
        <v>20838</v>
      </c>
      <c r="D1663" s="2" t="s">
        <v>20839</v>
      </c>
      <c r="F1663" s="3" t="s">
        <v>58</v>
      </c>
      <c r="G1663" s="3" t="s">
        <v>59</v>
      </c>
      <c r="H1663" s="3" t="s">
        <v>58</v>
      </c>
      <c r="I1663" s="3" t="s">
        <v>58</v>
      </c>
      <c r="J1663" s="3" t="s">
        <v>60</v>
      </c>
      <c r="K1663" s="2" t="s">
        <v>20840</v>
      </c>
      <c r="L1663" s="2" t="s">
        <v>20841</v>
      </c>
      <c r="M1663" s="3" t="s">
        <v>1784</v>
      </c>
      <c r="O1663" s="3" t="s">
        <v>63</v>
      </c>
      <c r="P1663" s="3" t="s">
        <v>816</v>
      </c>
      <c r="Q1663" s="2" t="s">
        <v>20842</v>
      </c>
      <c r="R1663" s="3" t="s">
        <v>65</v>
      </c>
      <c r="S1663" s="4">
        <v>6</v>
      </c>
      <c r="T1663" s="4">
        <v>6</v>
      </c>
      <c r="U1663" s="5" t="s">
        <v>16549</v>
      </c>
      <c r="V1663" s="5" t="s">
        <v>16549</v>
      </c>
      <c r="W1663" s="5" t="s">
        <v>585</v>
      </c>
      <c r="X1663" s="5" t="s">
        <v>585</v>
      </c>
      <c r="Y1663" s="4">
        <v>595</v>
      </c>
      <c r="Z1663" s="4">
        <v>508</v>
      </c>
      <c r="AA1663" s="4">
        <v>838</v>
      </c>
      <c r="AB1663" s="4">
        <v>4</v>
      </c>
      <c r="AC1663" s="4">
        <v>6</v>
      </c>
      <c r="AD1663" s="4">
        <v>22</v>
      </c>
      <c r="AE1663" s="4">
        <v>38</v>
      </c>
      <c r="AF1663" s="4">
        <v>10</v>
      </c>
      <c r="AG1663" s="4">
        <v>16</v>
      </c>
      <c r="AH1663" s="4">
        <v>6</v>
      </c>
      <c r="AI1663" s="4">
        <v>10</v>
      </c>
      <c r="AJ1663" s="4">
        <v>7</v>
      </c>
      <c r="AK1663" s="4">
        <v>15</v>
      </c>
      <c r="AL1663" s="4">
        <v>3</v>
      </c>
      <c r="AM1663" s="4">
        <v>5</v>
      </c>
      <c r="AN1663" s="4">
        <v>0</v>
      </c>
      <c r="AO1663" s="4">
        <v>0</v>
      </c>
      <c r="AP1663" s="3" t="s">
        <v>58</v>
      </c>
      <c r="AQ1663" s="3" t="s">
        <v>68</v>
      </c>
      <c r="AR1663" s="6" t="str">
        <f>HYPERLINK("http://catalog.hathitrust.org/Record/101955115","HathiTrust Record")</f>
        <v>HathiTrust Record</v>
      </c>
      <c r="AS1663" s="6" t="str">
        <f>HYPERLINK("https://creighton-primo.hosted.exlibrisgroup.com/primo-explore/search?tab=default_tab&amp;search_scope=EVERYTHING&amp;vid=01CRU&amp;lang=en_US&amp;offset=0&amp;query=any,contains,991004779889702656","Catalog Record")</f>
        <v>Catalog Record</v>
      </c>
      <c r="AT1663" s="6" t="str">
        <f>HYPERLINK("http://www.worldcat.org/oclc/5103072","WorldCat Record")</f>
        <v>WorldCat Record</v>
      </c>
      <c r="AU1663" s="3" t="s">
        <v>20843</v>
      </c>
      <c r="AV1663" s="3" t="s">
        <v>20844</v>
      </c>
      <c r="AW1663" s="3" t="s">
        <v>20845</v>
      </c>
      <c r="AX1663" s="3" t="s">
        <v>20845</v>
      </c>
      <c r="AY1663" s="3" t="s">
        <v>20846</v>
      </c>
      <c r="AZ1663" s="3" t="s">
        <v>73</v>
      </c>
      <c r="BC1663" s="3" t="s">
        <v>20847</v>
      </c>
      <c r="BD1663" s="3" t="s">
        <v>20848</v>
      </c>
    </row>
    <row r="1664" spans="1:56" ht="51" customHeight="1" x14ac:dyDescent="0.25">
      <c r="A1664" s="7" t="s">
        <v>58</v>
      </c>
      <c r="B1664" s="2" t="s">
        <v>20849</v>
      </c>
      <c r="C1664" s="2" t="s">
        <v>20850</v>
      </c>
      <c r="D1664" s="2" t="s">
        <v>20851</v>
      </c>
      <c r="F1664" s="3" t="s">
        <v>58</v>
      </c>
      <c r="G1664" s="3" t="s">
        <v>59</v>
      </c>
      <c r="H1664" s="3" t="s">
        <v>58</v>
      </c>
      <c r="I1664" s="3" t="s">
        <v>58</v>
      </c>
      <c r="J1664" s="3" t="s">
        <v>60</v>
      </c>
      <c r="L1664" s="2" t="s">
        <v>20852</v>
      </c>
      <c r="M1664" s="3" t="s">
        <v>479</v>
      </c>
      <c r="O1664" s="3" t="s">
        <v>63</v>
      </c>
      <c r="P1664" s="3" t="s">
        <v>2630</v>
      </c>
      <c r="R1664" s="3" t="s">
        <v>65</v>
      </c>
      <c r="S1664" s="4">
        <v>6</v>
      </c>
      <c r="T1664" s="4">
        <v>6</v>
      </c>
      <c r="U1664" s="5" t="s">
        <v>20853</v>
      </c>
      <c r="V1664" s="5" t="s">
        <v>20853</v>
      </c>
      <c r="W1664" s="5" t="s">
        <v>20854</v>
      </c>
      <c r="X1664" s="5" t="s">
        <v>20854</v>
      </c>
      <c r="Y1664" s="4">
        <v>265</v>
      </c>
      <c r="Z1664" s="4">
        <v>200</v>
      </c>
      <c r="AA1664" s="4">
        <v>205</v>
      </c>
      <c r="AB1664" s="4">
        <v>1</v>
      </c>
      <c r="AC1664" s="4">
        <v>1</v>
      </c>
      <c r="AD1664" s="4">
        <v>12</v>
      </c>
      <c r="AE1664" s="4">
        <v>12</v>
      </c>
      <c r="AF1664" s="4">
        <v>2</v>
      </c>
      <c r="AG1664" s="4">
        <v>2</v>
      </c>
      <c r="AH1664" s="4">
        <v>7</v>
      </c>
      <c r="AI1664" s="4">
        <v>7</v>
      </c>
      <c r="AJ1664" s="4">
        <v>6</v>
      </c>
      <c r="AK1664" s="4">
        <v>6</v>
      </c>
      <c r="AL1664" s="4">
        <v>0</v>
      </c>
      <c r="AM1664" s="4">
        <v>0</v>
      </c>
      <c r="AN1664" s="4">
        <v>0</v>
      </c>
      <c r="AO1664" s="4">
        <v>0</v>
      </c>
      <c r="AP1664" s="3" t="s">
        <v>58</v>
      </c>
      <c r="AQ1664" s="3" t="s">
        <v>58</v>
      </c>
      <c r="AS1664" s="6" t="str">
        <f>HYPERLINK("https://creighton-primo.hosted.exlibrisgroup.com/primo-explore/search?tab=default_tab&amp;search_scope=EVERYTHING&amp;vid=01CRU&amp;lang=en_US&amp;offset=0&amp;query=any,contains,991002217079702656","Catalog Record")</f>
        <v>Catalog Record</v>
      </c>
      <c r="AT1664" s="6" t="str">
        <f>HYPERLINK("http://www.worldcat.org/oclc/28548948","WorldCat Record")</f>
        <v>WorldCat Record</v>
      </c>
      <c r="AU1664" s="3" t="s">
        <v>20855</v>
      </c>
      <c r="AV1664" s="3" t="s">
        <v>20856</v>
      </c>
      <c r="AW1664" s="3" t="s">
        <v>20857</v>
      </c>
      <c r="AX1664" s="3" t="s">
        <v>20857</v>
      </c>
      <c r="AY1664" s="3" t="s">
        <v>20858</v>
      </c>
      <c r="AZ1664" s="3" t="s">
        <v>73</v>
      </c>
      <c r="BB1664" s="3" t="s">
        <v>20859</v>
      </c>
      <c r="BC1664" s="3" t="s">
        <v>20860</v>
      </c>
      <c r="BD1664" s="3" t="s">
        <v>20861</v>
      </c>
    </row>
    <row r="1665" spans="1:56" ht="51" customHeight="1" x14ac:dyDescent="0.25">
      <c r="A1665" s="7" t="s">
        <v>58</v>
      </c>
      <c r="B1665" s="2" t="s">
        <v>20862</v>
      </c>
      <c r="C1665" s="2" t="s">
        <v>20863</v>
      </c>
      <c r="D1665" s="2" t="s">
        <v>20864</v>
      </c>
      <c r="F1665" s="3" t="s">
        <v>58</v>
      </c>
      <c r="G1665" s="3" t="s">
        <v>59</v>
      </c>
      <c r="H1665" s="3" t="s">
        <v>58</v>
      </c>
      <c r="I1665" s="3" t="s">
        <v>58</v>
      </c>
      <c r="J1665" s="3" t="s">
        <v>60</v>
      </c>
      <c r="K1665" s="2" t="s">
        <v>20865</v>
      </c>
      <c r="L1665" s="2" t="s">
        <v>20866</v>
      </c>
      <c r="M1665" s="3" t="s">
        <v>524</v>
      </c>
      <c r="O1665" s="3" t="s">
        <v>63</v>
      </c>
      <c r="P1665" s="3" t="s">
        <v>214</v>
      </c>
      <c r="R1665" s="3" t="s">
        <v>65</v>
      </c>
      <c r="S1665" s="4">
        <v>1</v>
      </c>
      <c r="T1665" s="4">
        <v>1</v>
      </c>
      <c r="U1665" s="5" t="s">
        <v>2281</v>
      </c>
      <c r="V1665" s="5" t="s">
        <v>2281</v>
      </c>
      <c r="W1665" s="5" t="s">
        <v>585</v>
      </c>
      <c r="X1665" s="5" t="s">
        <v>585</v>
      </c>
      <c r="Y1665" s="4">
        <v>477</v>
      </c>
      <c r="Z1665" s="4">
        <v>399</v>
      </c>
      <c r="AA1665" s="4">
        <v>416</v>
      </c>
      <c r="AB1665" s="4">
        <v>3</v>
      </c>
      <c r="AC1665" s="4">
        <v>3</v>
      </c>
      <c r="AD1665" s="4">
        <v>15</v>
      </c>
      <c r="AE1665" s="4">
        <v>17</v>
      </c>
      <c r="AF1665" s="4">
        <v>4</v>
      </c>
      <c r="AG1665" s="4">
        <v>4</v>
      </c>
      <c r="AH1665" s="4">
        <v>5</v>
      </c>
      <c r="AI1665" s="4">
        <v>5</v>
      </c>
      <c r="AJ1665" s="4">
        <v>10</v>
      </c>
      <c r="AK1665" s="4">
        <v>10</v>
      </c>
      <c r="AL1665" s="4">
        <v>2</v>
      </c>
      <c r="AM1665" s="4">
        <v>2</v>
      </c>
      <c r="AN1665" s="4">
        <v>0</v>
      </c>
      <c r="AO1665" s="4">
        <v>2</v>
      </c>
      <c r="AP1665" s="3" t="s">
        <v>58</v>
      </c>
      <c r="AQ1665" s="3" t="s">
        <v>68</v>
      </c>
      <c r="AR1665" s="6" t="str">
        <f>HYPERLINK("http://catalog.hathitrust.org/Record/000881118","HathiTrust Record")</f>
        <v>HathiTrust Record</v>
      </c>
      <c r="AS1665" s="6" t="str">
        <f>HYPERLINK("https://creighton-primo.hosted.exlibrisgroup.com/primo-explore/search?tab=default_tab&amp;search_scope=EVERYTHING&amp;vid=01CRU&amp;lang=en_US&amp;offset=0&amp;query=any,contains,991000907209702656","Catalog Record")</f>
        <v>Catalog Record</v>
      </c>
      <c r="AT1665" s="6" t="str">
        <f>HYPERLINK("http://www.worldcat.org/oclc/14099361","WorldCat Record")</f>
        <v>WorldCat Record</v>
      </c>
      <c r="AU1665" s="3" t="s">
        <v>20867</v>
      </c>
      <c r="AV1665" s="3" t="s">
        <v>20868</v>
      </c>
      <c r="AW1665" s="3" t="s">
        <v>20869</v>
      </c>
      <c r="AX1665" s="3" t="s">
        <v>20869</v>
      </c>
      <c r="AY1665" s="3" t="s">
        <v>20870</v>
      </c>
      <c r="AZ1665" s="3" t="s">
        <v>73</v>
      </c>
      <c r="BB1665" s="3" t="s">
        <v>20871</v>
      </c>
      <c r="BC1665" s="3" t="s">
        <v>20872</v>
      </c>
      <c r="BD1665" s="3" t="s">
        <v>20873</v>
      </c>
    </row>
    <row r="1666" spans="1:56" ht="51" customHeight="1" x14ac:dyDescent="0.25">
      <c r="A1666" s="7" t="s">
        <v>58</v>
      </c>
      <c r="B1666" s="2" t="s">
        <v>20874</v>
      </c>
      <c r="C1666" s="2" t="s">
        <v>20875</v>
      </c>
      <c r="D1666" s="2" t="s">
        <v>20876</v>
      </c>
      <c r="F1666" s="3" t="s">
        <v>58</v>
      </c>
      <c r="G1666" s="3" t="s">
        <v>59</v>
      </c>
      <c r="H1666" s="3" t="s">
        <v>58</v>
      </c>
      <c r="I1666" s="3" t="s">
        <v>58</v>
      </c>
      <c r="J1666" s="3" t="s">
        <v>60</v>
      </c>
      <c r="K1666" s="2" t="s">
        <v>20877</v>
      </c>
      <c r="L1666" s="2" t="s">
        <v>20878</v>
      </c>
      <c r="M1666" s="3" t="s">
        <v>800</v>
      </c>
      <c r="O1666" s="3" t="s">
        <v>63</v>
      </c>
      <c r="P1666" s="3" t="s">
        <v>816</v>
      </c>
      <c r="R1666" s="3" t="s">
        <v>65</v>
      </c>
      <c r="S1666" s="4">
        <v>6</v>
      </c>
      <c r="T1666" s="4">
        <v>6</v>
      </c>
      <c r="U1666" s="5" t="s">
        <v>19728</v>
      </c>
      <c r="V1666" s="5" t="s">
        <v>19728</v>
      </c>
      <c r="W1666" s="5" t="s">
        <v>4733</v>
      </c>
      <c r="X1666" s="5" t="s">
        <v>4733</v>
      </c>
      <c r="Y1666" s="4">
        <v>1000</v>
      </c>
      <c r="Z1666" s="4">
        <v>923</v>
      </c>
      <c r="AA1666" s="4">
        <v>1010</v>
      </c>
      <c r="AB1666" s="4">
        <v>6</v>
      </c>
      <c r="AC1666" s="4">
        <v>6</v>
      </c>
      <c r="AD1666" s="4">
        <v>38</v>
      </c>
      <c r="AE1666" s="4">
        <v>39</v>
      </c>
      <c r="AF1666" s="4">
        <v>18</v>
      </c>
      <c r="AG1666" s="4">
        <v>18</v>
      </c>
      <c r="AH1666" s="4">
        <v>8</v>
      </c>
      <c r="AI1666" s="4">
        <v>9</v>
      </c>
      <c r="AJ1666" s="4">
        <v>14</v>
      </c>
      <c r="AK1666" s="4">
        <v>15</v>
      </c>
      <c r="AL1666" s="4">
        <v>5</v>
      </c>
      <c r="AM1666" s="4">
        <v>5</v>
      </c>
      <c r="AN1666" s="4">
        <v>0</v>
      </c>
      <c r="AO1666" s="4">
        <v>0</v>
      </c>
      <c r="AP1666" s="3" t="s">
        <v>58</v>
      </c>
      <c r="AQ1666" s="3" t="s">
        <v>68</v>
      </c>
      <c r="AR1666" s="6" t="str">
        <f>HYPERLINK("http://catalog.hathitrust.org/Record/002972910","HathiTrust Record")</f>
        <v>HathiTrust Record</v>
      </c>
      <c r="AS1666" s="6" t="str">
        <f>HYPERLINK("https://creighton-primo.hosted.exlibrisgroup.com/primo-explore/search?tab=default_tab&amp;search_scope=EVERYTHING&amp;vid=01CRU&amp;lang=en_US&amp;offset=0&amp;query=any,contains,991002353599702656","Catalog Record")</f>
        <v>Catalog Record</v>
      </c>
      <c r="AT1666" s="6" t="str">
        <f>HYPERLINK("http://www.worldcat.org/oclc/30625231","WorldCat Record")</f>
        <v>WorldCat Record</v>
      </c>
      <c r="AU1666" s="3" t="s">
        <v>20879</v>
      </c>
      <c r="AV1666" s="3" t="s">
        <v>20880</v>
      </c>
      <c r="AW1666" s="3" t="s">
        <v>20881</v>
      </c>
      <c r="AX1666" s="3" t="s">
        <v>20881</v>
      </c>
      <c r="AY1666" s="3" t="s">
        <v>20882</v>
      </c>
      <c r="AZ1666" s="3" t="s">
        <v>73</v>
      </c>
      <c r="BB1666" s="3" t="s">
        <v>20883</v>
      </c>
      <c r="BC1666" s="3" t="s">
        <v>20884</v>
      </c>
      <c r="BD1666" s="3" t="s">
        <v>20885</v>
      </c>
    </row>
    <row r="1667" spans="1:56" ht="51" customHeight="1" x14ac:dyDescent="0.25">
      <c r="A1667" s="7" t="s">
        <v>58</v>
      </c>
      <c r="B1667" s="2" t="s">
        <v>20886</v>
      </c>
      <c r="C1667" s="2" t="s">
        <v>20887</v>
      </c>
      <c r="D1667" s="2" t="s">
        <v>20888</v>
      </c>
      <c r="F1667" s="3" t="s">
        <v>58</v>
      </c>
      <c r="G1667" s="3" t="s">
        <v>59</v>
      </c>
      <c r="H1667" s="3" t="s">
        <v>58</v>
      </c>
      <c r="I1667" s="3" t="s">
        <v>58</v>
      </c>
      <c r="J1667" s="3" t="s">
        <v>60</v>
      </c>
      <c r="L1667" s="2" t="s">
        <v>20889</v>
      </c>
      <c r="M1667" s="3" t="s">
        <v>101</v>
      </c>
      <c r="O1667" s="3" t="s">
        <v>63</v>
      </c>
      <c r="P1667" s="3" t="s">
        <v>2630</v>
      </c>
      <c r="R1667" s="3" t="s">
        <v>65</v>
      </c>
      <c r="S1667" s="4">
        <v>1</v>
      </c>
      <c r="T1667" s="4">
        <v>1</v>
      </c>
      <c r="U1667" s="5" t="s">
        <v>20890</v>
      </c>
      <c r="V1667" s="5" t="s">
        <v>20890</v>
      </c>
      <c r="W1667" s="5" t="s">
        <v>585</v>
      </c>
      <c r="X1667" s="5" t="s">
        <v>585</v>
      </c>
      <c r="Y1667" s="4">
        <v>406</v>
      </c>
      <c r="Z1667" s="4">
        <v>297</v>
      </c>
      <c r="AA1667" s="4">
        <v>720</v>
      </c>
      <c r="AB1667" s="4">
        <v>3</v>
      </c>
      <c r="AC1667" s="4">
        <v>6</v>
      </c>
      <c r="AD1667" s="4">
        <v>10</v>
      </c>
      <c r="AE1667" s="4">
        <v>32</v>
      </c>
      <c r="AF1667" s="4">
        <v>1</v>
      </c>
      <c r="AG1667" s="4">
        <v>10</v>
      </c>
      <c r="AH1667" s="4">
        <v>3</v>
      </c>
      <c r="AI1667" s="4">
        <v>9</v>
      </c>
      <c r="AJ1667" s="4">
        <v>6</v>
      </c>
      <c r="AK1667" s="4">
        <v>13</v>
      </c>
      <c r="AL1667" s="4">
        <v>2</v>
      </c>
      <c r="AM1667" s="4">
        <v>5</v>
      </c>
      <c r="AN1667" s="4">
        <v>0</v>
      </c>
      <c r="AO1667" s="4">
        <v>1</v>
      </c>
      <c r="AP1667" s="3" t="s">
        <v>58</v>
      </c>
      <c r="AQ1667" s="3" t="s">
        <v>68</v>
      </c>
      <c r="AR1667" s="6" t="str">
        <f>HYPERLINK("http://catalog.hathitrust.org/Record/000247048","HathiTrust Record")</f>
        <v>HathiTrust Record</v>
      </c>
      <c r="AS1667" s="6" t="str">
        <f>HYPERLINK("https://creighton-primo.hosted.exlibrisgroup.com/primo-explore/search?tab=default_tab&amp;search_scope=EVERYTHING&amp;vid=01CRU&amp;lang=en_US&amp;offset=0&amp;query=any,contains,991000517779702656","Catalog Record")</f>
        <v>Catalog Record</v>
      </c>
      <c r="AT1667" s="6" t="str">
        <f>HYPERLINK("http://www.worldcat.org/oclc/11295125","WorldCat Record")</f>
        <v>WorldCat Record</v>
      </c>
      <c r="AU1667" s="3" t="s">
        <v>20891</v>
      </c>
      <c r="AV1667" s="3" t="s">
        <v>20892</v>
      </c>
      <c r="AW1667" s="3" t="s">
        <v>20893</v>
      </c>
      <c r="AX1667" s="3" t="s">
        <v>20893</v>
      </c>
      <c r="AY1667" s="3" t="s">
        <v>20894</v>
      </c>
      <c r="AZ1667" s="3" t="s">
        <v>73</v>
      </c>
      <c r="BB1667" s="3" t="s">
        <v>20895</v>
      </c>
      <c r="BC1667" s="3" t="s">
        <v>20896</v>
      </c>
      <c r="BD1667" s="3" t="s">
        <v>20897</v>
      </c>
    </row>
    <row r="1668" spans="1:56" ht="51" customHeight="1" x14ac:dyDescent="0.25">
      <c r="A1668" s="7" t="s">
        <v>58</v>
      </c>
      <c r="B1668" s="2" t="s">
        <v>20898</v>
      </c>
      <c r="C1668" s="2" t="s">
        <v>20899</v>
      </c>
      <c r="D1668" s="2" t="s">
        <v>20900</v>
      </c>
      <c r="F1668" s="3" t="s">
        <v>58</v>
      </c>
      <c r="G1668" s="3" t="s">
        <v>59</v>
      </c>
      <c r="H1668" s="3" t="s">
        <v>58</v>
      </c>
      <c r="I1668" s="3" t="s">
        <v>58</v>
      </c>
      <c r="J1668" s="3" t="s">
        <v>60</v>
      </c>
      <c r="L1668" s="2" t="s">
        <v>20901</v>
      </c>
      <c r="M1668" s="3" t="s">
        <v>1784</v>
      </c>
      <c r="O1668" s="3" t="s">
        <v>63</v>
      </c>
      <c r="P1668" s="3" t="s">
        <v>214</v>
      </c>
      <c r="Q1668" s="2" t="s">
        <v>20902</v>
      </c>
      <c r="R1668" s="3" t="s">
        <v>65</v>
      </c>
      <c r="S1668" s="4">
        <v>3</v>
      </c>
      <c r="T1668" s="4">
        <v>3</v>
      </c>
      <c r="U1668" s="5" t="s">
        <v>20903</v>
      </c>
      <c r="V1668" s="5" t="s">
        <v>20903</v>
      </c>
      <c r="W1668" s="5" t="s">
        <v>585</v>
      </c>
      <c r="X1668" s="5" t="s">
        <v>585</v>
      </c>
      <c r="Y1668" s="4">
        <v>429</v>
      </c>
      <c r="Z1668" s="4">
        <v>315</v>
      </c>
      <c r="AA1668" s="4">
        <v>329</v>
      </c>
      <c r="AB1668" s="4">
        <v>4</v>
      </c>
      <c r="AC1668" s="4">
        <v>4</v>
      </c>
      <c r="AD1668" s="4">
        <v>11</v>
      </c>
      <c r="AE1668" s="4">
        <v>11</v>
      </c>
      <c r="AF1668" s="4">
        <v>2</v>
      </c>
      <c r="AG1668" s="4">
        <v>2</v>
      </c>
      <c r="AH1668" s="4">
        <v>4</v>
      </c>
      <c r="AI1668" s="4">
        <v>4</v>
      </c>
      <c r="AJ1668" s="4">
        <v>4</v>
      </c>
      <c r="AK1668" s="4">
        <v>4</v>
      </c>
      <c r="AL1668" s="4">
        <v>3</v>
      </c>
      <c r="AM1668" s="4">
        <v>3</v>
      </c>
      <c r="AN1668" s="4">
        <v>0</v>
      </c>
      <c r="AO1668" s="4">
        <v>0</v>
      </c>
      <c r="AP1668" s="3" t="s">
        <v>58</v>
      </c>
      <c r="AQ1668" s="3" t="s">
        <v>68</v>
      </c>
      <c r="AR1668" s="6" t="str">
        <f>HYPERLINK("http://catalog.hathitrust.org/Record/000259873","HathiTrust Record")</f>
        <v>HathiTrust Record</v>
      </c>
      <c r="AS1668" s="6" t="str">
        <f>HYPERLINK("https://creighton-primo.hosted.exlibrisgroup.com/primo-explore/search?tab=default_tab&amp;search_scope=EVERYTHING&amp;vid=01CRU&amp;lang=en_US&amp;offset=0&amp;query=any,contains,991004693899702656","Catalog Record")</f>
        <v>Catalog Record</v>
      </c>
      <c r="AT1668" s="6" t="str">
        <f>HYPERLINK("http://www.worldcat.org/oclc/4638152","WorldCat Record")</f>
        <v>WorldCat Record</v>
      </c>
      <c r="AU1668" s="3" t="s">
        <v>20904</v>
      </c>
      <c r="AV1668" s="3" t="s">
        <v>20905</v>
      </c>
      <c r="AW1668" s="3" t="s">
        <v>20906</v>
      </c>
      <c r="AX1668" s="3" t="s">
        <v>20906</v>
      </c>
      <c r="AY1668" s="3" t="s">
        <v>20907</v>
      </c>
      <c r="AZ1668" s="3" t="s">
        <v>73</v>
      </c>
      <c r="BB1668" s="3" t="s">
        <v>20908</v>
      </c>
      <c r="BC1668" s="3" t="s">
        <v>20909</v>
      </c>
      <c r="BD1668" s="3" t="s">
        <v>20910</v>
      </c>
    </row>
    <row r="1669" spans="1:56" ht="51" customHeight="1" x14ac:dyDescent="0.25">
      <c r="A1669" s="7" t="s">
        <v>58</v>
      </c>
      <c r="B1669" s="2" t="s">
        <v>20911</v>
      </c>
      <c r="C1669" s="2" t="s">
        <v>20912</v>
      </c>
      <c r="D1669" s="2" t="s">
        <v>20913</v>
      </c>
      <c r="F1669" s="3" t="s">
        <v>58</v>
      </c>
      <c r="G1669" s="3" t="s">
        <v>59</v>
      </c>
      <c r="H1669" s="3" t="s">
        <v>58</v>
      </c>
      <c r="I1669" s="3" t="s">
        <v>58</v>
      </c>
      <c r="J1669" s="3" t="s">
        <v>60</v>
      </c>
      <c r="L1669" s="2" t="s">
        <v>20914</v>
      </c>
      <c r="M1669" s="3" t="s">
        <v>101</v>
      </c>
      <c r="O1669" s="3" t="s">
        <v>63</v>
      </c>
      <c r="P1669" s="3" t="s">
        <v>816</v>
      </c>
      <c r="R1669" s="3" t="s">
        <v>65</v>
      </c>
      <c r="S1669" s="4">
        <v>2</v>
      </c>
      <c r="T1669" s="4">
        <v>2</v>
      </c>
      <c r="U1669" s="5" t="s">
        <v>12217</v>
      </c>
      <c r="V1669" s="5" t="s">
        <v>12217</v>
      </c>
      <c r="W1669" s="5" t="s">
        <v>585</v>
      </c>
      <c r="X1669" s="5" t="s">
        <v>585</v>
      </c>
      <c r="Y1669" s="4">
        <v>145</v>
      </c>
      <c r="Z1669" s="4">
        <v>111</v>
      </c>
      <c r="AA1669" s="4">
        <v>113</v>
      </c>
      <c r="AB1669" s="4">
        <v>2</v>
      </c>
      <c r="AC1669" s="4">
        <v>2</v>
      </c>
      <c r="AD1669" s="4">
        <v>4</v>
      </c>
      <c r="AE1669" s="4">
        <v>4</v>
      </c>
      <c r="AF1669" s="4">
        <v>2</v>
      </c>
      <c r="AG1669" s="4">
        <v>2</v>
      </c>
      <c r="AH1669" s="4">
        <v>1</v>
      </c>
      <c r="AI1669" s="4">
        <v>1</v>
      </c>
      <c r="AJ1669" s="4">
        <v>2</v>
      </c>
      <c r="AK1669" s="4">
        <v>2</v>
      </c>
      <c r="AL1669" s="4">
        <v>1</v>
      </c>
      <c r="AM1669" s="4">
        <v>1</v>
      </c>
      <c r="AN1669" s="4">
        <v>0</v>
      </c>
      <c r="AO1669" s="4">
        <v>0</v>
      </c>
      <c r="AP1669" s="3" t="s">
        <v>58</v>
      </c>
      <c r="AQ1669" s="3" t="s">
        <v>68</v>
      </c>
      <c r="AR1669" s="6" t="str">
        <f>HYPERLINK("http://catalog.hathitrust.org/Record/000354502","HathiTrust Record")</f>
        <v>HathiTrust Record</v>
      </c>
      <c r="AS1669" s="6" t="str">
        <f>HYPERLINK("https://creighton-primo.hosted.exlibrisgroup.com/primo-explore/search?tab=default_tab&amp;search_scope=EVERYTHING&amp;vid=01CRU&amp;lang=en_US&amp;offset=0&amp;query=any,contains,991005123069702656","Catalog Record")</f>
        <v>Catalog Record</v>
      </c>
      <c r="AT1669" s="6" t="str">
        <f>HYPERLINK("http://www.worldcat.org/oclc/7550722","WorldCat Record")</f>
        <v>WorldCat Record</v>
      </c>
      <c r="AU1669" s="3" t="s">
        <v>20915</v>
      </c>
      <c r="AV1669" s="3" t="s">
        <v>20916</v>
      </c>
      <c r="AW1669" s="3" t="s">
        <v>20917</v>
      </c>
      <c r="AX1669" s="3" t="s">
        <v>20917</v>
      </c>
      <c r="AY1669" s="3" t="s">
        <v>20918</v>
      </c>
      <c r="AZ1669" s="3" t="s">
        <v>73</v>
      </c>
      <c r="BB1669" s="3" t="s">
        <v>20919</v>
      </c>
      <c r="BC1669" s="3" t="s">
        <v>20920</v>
      </c>
      <c r="BD1669" s="3" t="s">
        <v>20921</v>
      </c>
    </row>
    <row r="1670" spans="1:56" ht="51" customHeight="1" x14ac:dyDescent="0.25">
      <c r="A1670" s="7" t="s">
        <v>58</v>
      </c>
      <c r="B1670" s="2" t="s">
        <v>20922</v>
      </c>
      <c r="C1670" s="2" t="s">
        <v>20923</v>
      </c>
      <c r="D1670" s="2" t="s">
        <v>20924</v>
      </c>
      <c r="F1670" s="3" t="s">
        <v>58</v>
      </c>
      <c r="G1670" s="3" t="s">
        <v>59</v>
      </c>
      <c r="H1670" s="3" t="s">
        <v>58</v>
      </c>
      <c r="I1670" s="3" t="s">
        <v>58</v>
      </c>
      <c r="J1670" s="3" t="s">
        <v>60</v>
      </c>
      <c r="K1670" s="2" t="s">
        <v>5047</v>
      </c>
      <c r="L1670" s="2" t="s">
        <v>5048</v>
      </c>
      <c r="M1670" s="3" t="s">
        <v>653</v>
      </c>
      <c r="O1670" s="3" t="s">
        <v>63</v>
      </c>
      <c r="P1670" s="3" t="s">
        <v>1837</v>
      </c>
      <c r="Q1670" s="2" t="s">
        <v>20925</v>
      </c>
      <c r="R1670" s="3" t="s">
        <v>65</v>
      </c>
      <c r="S1670" s="4">
        <v>4</v>
      </c>
      <c r="T1670" s="4">
        <v>4</v>
      </c>
      <c r="U1670" s="5" t="s">
        <v>12695</v>
      </c>
      <c r="V1670" s="5" t="s">
        <v>12695</v>
      </c>
      <c r="W1670" s="5" t="s">
        <v>20926</v>
      </c>
      <c r="X1670" s="5" t="s">
        <v>20926</v>
      </c>
      <c r="Y1670" s="4">
        <v>82</v>
      </c>
      <c r="Z1670" s="4">
        <v>54</v>
      </c>
      <c r="AA1670" s="4">
        <v>55</v>
      </c>
      <c r="AB1670" s="4">
        <v>1</v>
      </c>
      <c r="AC1670" s="4">
        <v>1</v>
      </c>
      <c r="AD1670" s="4">
        <v>7</v>
      </c>
      <c r="AE1670" s="4">
        <v>7</v>
      </c>
      <c r="AF1670" s="4">
        <v>3</v>
      </c>
      <c r="AG1670" s="4">
        <v>3</v>
      </c>
      <c r="AH1670" s="4">
        <v>3</v>
      </c>
      <c r="AI1670" s="4">
        <v>3</v>
      </c>
      <c r="AJ1670" s="4">
        <v>4</v>
      </c>
      <c r="AK1670" s="4">
        <v>4</v>
      </c>
      <c r="AL1670" s="4">
        <v>0</v>
      </c>
      <c r="AM1670" s="4">
        <v>0</v>
      </c>
      <c r="AN1670" s="4">
        <v>0</v>
      </c>
      <c r="AO1670" s="4">
        <v>0</v>
      </c>
      <c r="AP1670" s="3" t="s">
        <v>58</v>
      </c>
      <c r="AQ1670" s="3" t="s">
        <v>58</v>
      </c>
      <c r="AS1670" s="6" t="str">
        <f>HYPERLINK("https://creighton-primo.hosted.exlibrisgroup.com/primo-explore/search?tab=default_tab&amp;search_scope=EVERYTHING&amp;vid=01CRU&amp;lang=en_US&amp;offset=0&amp;query=any,contains,991001961849702656","Catalog Record")</f>
        <v>Catalog Record</v>
      </c>
      <c r="AT1670" s="6" t="str">
        <f>HYPERLINK("http://www.worldcat.org/oclc/24849295","WorldCat Record")</f>
        <v>WorldCat Record</v>
      </c>
      <c r="AU1670" s="3" t="s">
        <v>20927</v>
      </c>
      <c r="AV1670" s="3" t="s">
        <v>20928</v>
      </c>
      <c r="AW1670" s="3" t="s">
        <v>20929</v>
      </c>
      <c r="AX1670" s="3" t="s">
        <v>20929</v>
      </c>
      <c r="AY1670" s="3" t="s">
        <v>20930</v>
      </c>
      <c r="AZ1670" s="3" t="s">
        <v>73</v>
      </c>
      <c r="BB1670" s="3" t="s">
        <v>20931</v>
      </c>
      <c r="BC1670" s="3" t="s">
        <v>20932</v>
      </c>
      <c r="BD1670" s="3" t="s">
        <v>20933</v>
      </c>
    </row>
    <row r="1671" spans="1:56" ht="51" customHeight="1" x14ac:dyDescent="0.25">
      <c r="A1671" s="7" t="s">
        <v>58</v>
      </c>
      <c r="B1671" s="2" t="s">
        <v>20934</v>
      </c>
      <c r="C1671" s="2" t="s">
        <v>20935</v>
      </c>
      <c r="D1671" s="2" t="s">
        <v>20936</v>
      </c>
      <c r="F1671" s="3" t="s">
        <v>58</v>
      </c>
      <c r="G1671" s="3" t="s">
        <v>59</v>
      </c>
      <c r="H1671" s="3" t="s">
        <v>58</v>
      </c>
      <c r="I1671" s="3" t="s">
        <v>58</v>
      </c>
      <c r="J1671" s="3" t="s">
        <v>60</v>
      </c>
      <c r="K1671" s="2" t="s">
        <v>20937</v>
      </c>
      <c r="L1671" s="2" t="s">
        <v>20938</v>
      </c>
      <c r="M1671" s="3" t="s">
        <v>653</v>
      </c>
      <c r="N1671" s="2" t="s">
        <v>20939</v>
      </c>
      <c r="O1671" s="3" t="s">
        <v>63</v>
      </c>
      <c r="P1671" s="3" t="s">
        <v>2630</v>
      </c>
      <c r="R1671" s="3" t="s">
        <v>65</v>
      </c>
      <c r="S1671" s="4">
        <v>4</v>
      </c>
      <c r="T1671" s="4">
        <v>4</v>
      </c>
      <c r="U1671" s="5" t="s">
        <v>20940</v>
      </c>
      <c r="V1671" s="5" t="s">
        <v>20940</v>
      </c>
      <c r="W1671" s="5" t="s">
        <v>3931</v>
      </c>
      <c r="X1671" s="5" t="s">
        <v>3931</v>
      </c>
      <c r="Y1671" s="4">
        <v>341</v>
      </c>
      <c r="Z1671" s="4">
        <v>258</v>
      </c>
      <c r="AA1671" s="4">
        <v>286</v>
      </c>
      <c r="AB1671" s="4">
        <v>2</v>
      </c>
      <c r="AC1671" s="4">
        <v>2</v>
      </c>
      <c r="AD1671" s="4">
        <v>11</v>
      </c>
      <c r="AE1671" s="4">
        <v>11</v>
      </c>
      <c r="AF1671" s="4">
        <v>5</v>
      </c>
      <c r="AG1671" s="4">
        <v>5</v>
      </c>
      <c r="AH1671" s="4">
        <v>2</v>
      </c>
      <c r="AI1671" s="4">
        <v>2</v>
      </c>
      <c r="AJ1671" s="4">
        <v>7</v>
      </c>
      <c r="AK1671" s="4">
        <v>7</v>
      </c>
      <c r="AL1671" s="4">
        <v>1</v>
      </c>
      <c r="AM1671" s="4">
        <v>1</v>
      </c>
      <c r="AN1671" s="4">
        <v>0</v>
      </c>
      <c r="AO1671" s="4">
        <v>0</v>
      </c>
      <c r="AP1671" s="3" t="s">
        <v>58</v>
      </c>
      <c r="AQ1671" s="3" t="s">
        <v>68</v>
      </c>
      <c r="AR1671" s="6" t="str">
        <f>HYPERLINK("http://catalog.hathitrust.org/Record/007130425","HathiTrust Record")</f>
        <v>HathiTrust Record</v>
      </c>
      <c r="AS1671" s="6" t="str">
        <f>HYPERLINK("https://creighton-primo.hosted.exlibrisgroup.com/primo-explore/search?tab=default_tab&amp;search_scope=EVERYTHING&amp;vid=01CRU&amp;lang=en_US&amp;offset=0&amp;query=any,contains,991001813789702656","Catalog Record")</f>
        <v>Catalog Record</v>
      </c>
      <c r="AT1671" s="6" t="str">
        <f>HYPERLINK("http://www.worldcat.org/oclc/22767203","WorldCat Record")</f>
        <v>WorldCat Record</v>
      </c>
      <c r="AU1671" s="3" t="s">
        <v>20941</v>
      </c>
      <c r="AV1671" s="3" t="s">
        <v>20942</v>
      </c>
      <c r="AW1671" s="3" t="s">
        <v>20943</v>
      </c>
      <c r="AX1671" s="3" t="s">
        <v>20943</v>
      </c>
      <c r="AY1671" s="3" t="s">
        <v>20944</v>
      </c>
      <c r="AZ1671" s="3" t="s">
        <v>73</v>
      </c>
      <c r="BB1671" s="3" t="s">
        <v>20945</v>
      </c>
      <c r="BC1671" s="3" t="s">
        <v>20946</v>
      </c>
      <c r="BD1671" s="3" t="s">
        <v>20947</v>
      </c>
    </row>
    <row r="1672" spans="1:56" ht="51" customHeight="1" x14ac:dyDescent="0.25">
      <c r="A1672" s="7" t="s">
        <v>58</v>
      </c>
      <c r="B1672" s="2" t="s">
        <v>20948</v>
      </c>
      <c r="C1672" s="2" t="s">
        <v>20949</v>
      </c>
      <c r="D1672" s="2" t="s">
        <v>20950</v>
      </c>
      <c r="F1672" s="3" t="s">
        <v>58</v>
      </c>
      <c r="G1672" s="3" t="s">
        <v>59</v>
      </c>
      <c r="H1672" s="3" t="s">
        <v>58</v>
      </c>
      <c r="I1672" s="3" t="s">
        <v>58</v>
      </c>
      <c r="J1672" s="3" t="s">
        <v>60</v>
      </c>
      <c r="K1672" s="2" t="s">
        <v>20951</v>
      </c>
      <c r="L1672" s="2" t="s">
        <v>20952</v>
      </c>
      <c r="M1672" s="3" t="s">
        <v>183</v>
      </c>
      <c r="O1672" s="3" t="s">
        <v>63</v>
      </c>
      <c r="P1672" s="3" t="s">
        <v>214</v>
      </c>
      <c r="Q1672" s="2" t="s">
        <v>2919</v>
      </c>
      <c r="R1672" s="3" t="s">
        <v>65</v>
      </c>
      <c r="S1672" s="4">
        <v>1</v>
      </c>
      <c r="T1672" s="4">
        <v>1</v>
      </c>
      <c r="U1672" s="5" t="s">
        <v>20953</v>
      </c>
      <c r="V1672" s="5" t="s">
        <v>20953</v>
      </c>
      <c r="W1672" s="5" t="s">
        <v>20954</v>
      </c>
      <c r="X1672" s="5" t="s">
        <v>20954</v>
      </c>
      <c r="Y1672" s="4">
        <v>551</v>
      </c>
      <c r="Z1672" s="4">
        <v>453</v>
      </c>
      <c r="AA1672" s="4">
        <v>460</v>
      </c>
      <c r="AB1672" s="4">
        <v>4</v>
      </c>
      <c r="AC1672" s="4">
        <v>4</v>
      </c>
      <c r="AD1672" s="4">
        <v>19</v>
      </c>
      <c r="AE1672" s="4">
        <v>19</v>
      </c>
      <c r="AF1672" s="4">
        <v>4</v>
      </c>
      <c r="AG1672" s="4">
        <v>4</v>
      </c>
      <c r="AH1672" s="4">
        <v>7</v>
      </c>
      <c r="AI1672" s="4">
        <v>7</v>
      </c>
      <c r="AJ1672" s="4">
        <v>10</v>
      </c>
      <c r="AK1672" s="4">
        <v>10</v>
      </c>
      <c r="AL1672" s="4">
        <v>3</v>
      </c>
      <c r="AM1672" s="4">
        <v>3</v>
      </c>
      <c r="AN1672" s="4">
        <v>0</v>
      </c>
      <c r="AO1672" s="4">
        <v>0</v>
      </c>
      <c r="AP1672" s="3" t="s">
        <v>58</v>
      </c>
      <c r="AQ1672" s="3" t="s">
        <v>68</v>
      </c>
      <c r="AR1672" s="6" t="str">
        <f>HYPERLINK("http://catalog.hathitrust.org/Record/000251425","HathiTrust Record")</f>
        <v>HathiTrust Record</v>
      </c>
      <c r="AS1672" s="6" t="str">
        <f>HYPERLINK("https://creighton-primo.hosted.exlibrisgroup.com/primo-explore/search?tab=default_tab&amp;search_scope=EVERYTHING&amp;vid=01CRU&amp;lang=en_US&amp;offset=0&amp;query=any,contains,991004315389702656","Catalog Record")</f>
        <v>Catalog Record</v>
      </c>
      <c r="AT1672" s="6" t="str">
        <f>HYPERLINK("http://www.worldcat.org/oclc/3003639","WorldCat Record")</f>
        <v>WorldCat Record</v>
      </c>
      <c r="AU1672" s="3" t="s">
        <v>20955</v>
      </c>
      <c r="AV1672" s="3" t="s">
        <v>20956</v>
      </c>
      <c r="AW1672" s="3" t="s">
        <v>20957</v>
      </c>
      <c r="AX1672" s="3" t="s">
        <v>20957</v>
      </c>
      <c r="AY1672" s="3" t="s">
        <v>20958</v>
      </c>
      <c r="AZ1672" s="3" t="s">
        <v>73</v>
      </c>
      <c r="BB1672" s="3" t="s">
        <v>20959</v>
      </c>
      <c r="BC1672" s="3" t="s">
        <v>20960</v>
      </c>
      <c r="BD1672" s="3" t="s">
        <v>20961</v>
      </c>
    </row>
    <row r="1673" spans="1:56" ht="51" customHeight="1" x14ac:dyDescent="0.25">
      <c r="A1673" s="7" t="s">
        <v>58</v>
      </c>
      <c r="B1673" s="2" t="s">
        <v>20962</v>
      </c>
      <c r="C1673" s="2" t="s">
        <v>20963</v>
      </c>
      <c r="D1673" s="2" t="s">
        <v>20964</v>
      </c>
      <c r="F1673" s="3" t="s">
        <v>58</v>
      </c>
      <c r="G1673" s="3" t="s">
        <v>59</v>
      </c>
      <c r="H1673" s="3" t="s">
        <v>58</v>
      </c>
      <c r="I1673" s="3" t="s">
        <v>58</v>
      </c>
      <c r="J1673" s="3" t="s">
        <v>60</v>
      </c>
      <c r="L1673" s="2" t="s">
        <v>20965</v>
      </c>
      <c r="M1673" s="3" t="s">
        <v>2186</v>
      </c>
      <c r="N1673" s="2" t="s">
        <v>20966</v>
      </c>
      <c r="O1673" s="3" t="s">
        <v>63</v>
      </c>
      <c r="P1673" s="3" t="s">
        <v>1837</v>
      </c>
      <c r="R1673" s="3" t="s">
        <v>65</v>
      </c>
      <c r="S1673" s="4">
        <v>1</v>
      </c>
      <c r="T1673" s="4">
        <v>1</v>
      </c>
      <c r="U1673" s="5" t="s">
        <v>12916</v>
      </c>
      <c r="V1673" s="5" t="s">
        <v>12916</v>
      </c>
      <c r="W1673" s="5" t="s">
        <v>12916</v>
      </c>
      <c r="X1673" s="5" t="s">
        <v>12916</v>
      </c>
      <c r="Y1673" s="4">
        <v>574</v>
      </c>
      <c r="Z1673" s="4">
        <v>539</v>
      </c>
      <c r="AA1673" s="4">
        <v>539</v>
      </c>
      <c r="AB1673" s="4">
        <v>3</v>
      </c>
      <c r="AC1673" s="4">
        <v>3</v>
      </c>
      <c r="AD1673" s="4">
        <v>20</v>
      </c>
      <c r="AE1673" s="4">
        <v>20</v>
      </c>
      <c r="AF1673" s="4">
        <v>12</v>
      </c>
      <c r="AG1673" s="4">
        <v>12</v>
      </c>
      <c r="AH1673" s="4">
        <v>3</v>
      </c>
      <c r="AI1673" s="4">
        <v>3</v>
      </c>
      <c r="AJ1673" s="4">
        <v>8</v>
      </c>
      <c r="AK1673" s="4">
        <v>8</v>
      </c>
      <c r="AL1673" s="4">
        <v>2</v>
      </c>
      <c r="AM1673" s="4">
        <v>2</v>
      </c>
      <c r="AN1673" s="4">
        <v>0</v>
      </c>
      <c r="AO1673" s="4">
        <v>0</v>
      </c>
      <c r="AP1673" s="3" t="s">
        <v>58</v>
      </c>
      <c r="AQ1673" s="3" t="s">
        <v>58</v>
      </c>
      <c r="AS1673" s="6" t="str">
        <f>HYPERLINK("https://creighton-primo.hosted.exlibrisgroup.com/primo-explore/search?tab=default_tab&amp;search_scope=EVERYTHING&amp;vid=01CRU&amp;lang=en_US&amp;offset=0&amp;query=any,contains,991005321309702656","Catalog Record")</f>
        <v>Catalog Record</v>
      </c>
      <c r="AT1673" s="6" t="str">
        <f>HYPERLINK("http://www.worldcat.org/oclc/126231245","WorldCat Record")</f>
        <v>WorldCat Record</v>
      </c>
      <c r="AU1673" s="3" t="s">
        <v>20967</v>
      </c>
      <c r="AV1673" s="3" t="s">
        <v>20968</v>
      </c>
      <c r="AW1673" s="3" t="s">
        <v>20969</v>
      </c>
      <c r="AX1673" s="3" t="s">
        <v>20969</v>
      </c>
      <c r="AY1673" s="3" t="s">
        <v>20970</v>
      </c>
      <c r="AZ1673" s="3" t="s">
        <v>73</v>
      </c>
      <c r="BB1673" s="3" t="s">
        <v>20971</v>
      </c>
      <c r="BC1673" s="3" t="s">
        <v>20972</v>
      </c>
      <c r="BD1673" s="3" t="s">
        <v>20973</v>
      </c>
    </row>
    <row r="1674" spans="1:56" ht="51" customHeight="1" x14ac:dyDescent="0.25">
      <c r="A1674" s="7" t="s">
        <v>58</v>
      </c>
      <c r="B1674" s="2" t="s">
        <v>20974</v>
      </c>
      <c r="C1674" s="2" t="s">
        <v>20975</v>
      </c>
      <c r="D1674" s="2" t="s">
        <v>20976</v>
      </c>
      <c r="F1674" s="3" t="s">
        <v>58</v>
      </c>
      <c r="G1674" s="3" t="s">
        <v>59</v>
      </c>
      <c r="H1674" s="3" t="s">
        <v>58</v>
      </c>
      <c r="I1674" s="3" t="s">
        <v>58</v>
      </c>
      <c r="J1674" s="3" t="s">
        <v>60</v>
      </c>
      <c r="L1674" s="2" t="s">
        <v>20977</v>
      </c>
      <c r="M1674" s="3" t="s">
        <v>138</v>
      </c>
      <c r="O1674" s="3" t="s">
        <v>63</v>
      </c>
      <c r="P1674" s="3" t="s">
        <v>584</v>
      </c>
      <c r="R1674" s="3" t="s">
        <v>65</v>
      </c>
      <c r="S1674" s="4">
        <v>2</v>
      </c>
      <c r="T1674" s="4">
        <v>2</v>
      </c>
      <c r="U1674" s="5" t="s">
        <v>20890</v>
      </c>
      <c r="V1674" s="5" t="s">
        <v>20890</v>
      </c>
      <c r="W1674" s="5" t="s">
        <v>17640</v>
      </c>
      <c r="X1674" s="5" t="s">
        <v>17640</v>
      </c>
      <c r="Y1674" s="4">
        <v>425</v>
      </c>
      <c r="Z1674" s="4">
        <v>294</v>
      </c>
      <c r="AA1674" s="4">
        <v>335</v>
      </c>
      <c r="AB1674" s="4">
        <v>3</v>
      </c>
      <c r="AC1674" s="4">
        <v>3</v>
      </c>
      <c r="AD1674" s="4">
        <v>12</v>
      </c>
      <c r="AE1674" s="4">
        <v>12</v>
      </c>
      <c r="AF1674" s="4">
        <v>3</v>
      </c>
      <c r="AG1674" s="4">
        <v>3</v>
      </c>
      <c r="AH1674" s="4">
        <v>3</v>
      </c>
      <c r="AI1674" s="4">
        <v>3</v>
      </c>
      <c r="AJ1674" s="4">
        <v>6</v>
      </c>
      <c r="AK1674" s="4">
        <v>6</v>
      </c>
      <c r="AL1674" s="4">
        <v>2</v>
      </c>
      <c r="AM1674" s="4">
        <v>2</v>
      </c>
      <c r="AN1674" s="4">
        <v>0</v>
      </c>
      <c r="AO1674" s="4">
        <v>0</v>
      </c>
      <c r="AP1674" s="3" t="s">
        <v>58</v>
      </c>
      <c r="AQ1674" s="3" t="s">
        <v>58</v>
      </c>
      <c r="AS1674" s="6" t="str">
        <f>HYPERLINK("https://creighton-primo.hosted.exlibrisgroup.com/primo-explore/search?tab=default_tab&amp;search_scope=EVERYTHING&amp;vid=01CRU&amp;lang=en_US&amp;offset=0&amp;query=any,contains,991005238159702656","Catalog Record")</f>
        <v>Catalog Record</v>
      </c>
      <c r="AT1674" s="6" t="str">
        <f>HYPERLINK("http://www.worldcat.org/oclc/8389618","WorldCat Record")</f>
        <v>WorldCat Record</v>
      </c>
      <c r="AU1674" s="3" t="s">
        <v>20978</v>
      </c>
      <c r="AV1674" s="3" t="s">
        <v>20979</v>
      </c>
      <c r="AW1674" s="3" t="s">
        <v>20980</v>
      </c>
      <c r="AX1674" s="3" t="s">
        <v>20980</v>
      </c>
      <c r="AY1674" s="3" t="s">
        <v>20981</v>
      </c>
      <c r="AZ1674" s="3" t="s">
        <v>73</v>
      </c>
      <c r="BB1674" s="3" t="s">
        <v>20982</v>
      </c>
      <c r="BC1674" s="3" t="s">
        <v>20983</v>
      </c>
      <c r="BD1674" s="3" t="s">
        <v>20984</v>
      </c>
    </row>
    <row r="1675" spans="1:56" ht="51" customHeight="1" x14ac:dyDescent="0.25">
      <c r="A1675" s="7" t="s">
        <v>58</v>
      </c>
      <c r="B1675" s="2" t="s">
        <v>20985</v>
      </c>
      <c r="C1675" s="2" t="s">
        <v>20986</v>
      </c>
      <c r="D1675" s="2" t="s">
        <v>20987</v>
      </c>
      <c r="F1675" s="3" t="s">
        <v>58</v>
      </c>
      <c r="G1675" s="3" t="s">
        <v>59</v>
      </c>
      <c r="H1675" s="3" t="s">
        <v>58</v>
      </c>
      <c r="I1675" s="3" t="s">
        <v>58</v>
      </c>
      <c r="J1675" s="3" t="s">
        <v>60</v>
      </c>
      <c r="L1675" s="2" t="s">
        <v>20988</v>
      </c>
      <c r="M1675" s="3" t="s">
        <v>101</v>
      </c>
      <c r="O1675" s="3" t="s">
        <v>63</v>
      </c>
      <c r="P1675" s="3" t="s">
        <v>2630</v>
      </c>
      <c r="Q1675" s="2" t="s">
        <v>9491</v>
      </c>
      <c r="R1675" s="3" t="s">
        <v>65</v>
      </c>
      <c r="S1675" s="4">
        <v>6</v>
      </c>
      <c r="T1675" s="4">
        <v>6</v>
      </c>
      <c r="U1675" s="5" t="s">
        <v>7524</v>
      </c>
      <c r="V1675" s="5" t="s">
        <v>7524</v>
      </c>
      <c r="W1675" s="5" t="s">
        <v>3096</v>
      </c>
      <c r="X1675" s="5" t="s">
        <v>3096</v>
      </c>
      <c r="Y1675" s="4">
        <v>387</v>
      </c>
      <c r="Z1675" s="4">
        <v>306</v>
      </c>
      <c r="AA1675" s="4">
        <v>333</v>
      </c>
      <c r="AB1675" s="4">
        <v>4</v>
      </c>
      <c r="AC1675" s="4">
        <v>4</v>
      </c>
      <c r="AD1675" s="4">
        <v>15</v>
      </c>
      <c r="AE1675" s="4">
        <v>15</v>
      </c>
      <c r="AF1675" s="4">
        <v>3</v>
      </c>
      <c r="AG1675" s="4">
        <v>3</v>
      </c>
      <c r="AH1675" s="4">
        <v>6</v>
      </c>
      <c r="AI1675" s="4">
        <v>6</v>
      </c>
      <c r="AJ1675" s="4">
        <v>8</v>
      </c>
      <c r="AK1675" s="4">
        <v>8</v>
      </c>
      <c r="AL1675" s="4">
        <v>3</v>
      </c>
      <c r="AM1675" s="4">
        <v>3</v>
      </c>
      <c r="AN1675" s="4">
        <v>0</v>
      </c>
      <c r="AO1675" s="4">
        <v>0</v>
      </c>
      <c r="AP1675" s="3" t="s">
        <v>58</v>
      </c>
      <c r="AQ1675" s="3" t="s">
        <v>68</v>
      </c>
      <c r="AR1675" s="6" t="str">
        <f>HYPERLINK("http://catalog.hathitrust.org/Record/000780856","HathiTrust Record")</f>
        <v>HathiTrust Record</v>
      </c>
      <c r="AS1675" s="6" t="str">
        <f>HYPERLINK("https://creighton-primo.hosted.exlibrisgroup.com/primo-explore/search?tab=default_tab&amp;search_scope=EVERYTHING&amp;vid=01CRU&amp;lang=en_US&amp;offset=0&amp;query=any,contains,991000293889702656","Catalog Record")</f>
        <v>Catalog Record</v>
      </c>
      <c r="AT1675" s="6" t="str">
        <f>HYPERLINK("http://www.worldcat.org/oclc/9971250","WorldCat Record")</f>
        <v>WorldCat Record</v>
      </c>
      <c r="AU1675" s="3" t="s">
        <v>20989</v>
      </c>
      <c r="AV1675" s="3" t="s">
        <v>20990</v>
      </c>
      <c r="AW1675" s="3" t="s">
        <v>20991</v>
      </c>
      <c r="AX1675" s="3" t="s">
        <v>20991</v>
      </c>
      <c r="AY1675" s="3" t="s">
        <v>20992</v>
      </c>
      <c r="AZ1675" s="3" t="s">
        <v>73</v>
      </c>
      <c r="BB1675" s="3" t="s">
        <v>20993</v>
      </c>
      <c r="BC1675" s="3" t="s">
        <v>20994</v>
      </c>
      <c r="BD1675" s="3" t="s">
        <v>20995</v>
      </c>
    </row>
    <row r="1676" spans="1:56" ht="51" customHeight="1" x14ac:dyDescent="0.25">
      <c r="A1676" s="7" t="s">
        <v>58</v>
      </c>
      <c r="B1676" s="2" t="s">
        <v>20996</v>
      </c>
      <c r="C1676" s="2" t="s">
        <v>20997</v>
      </c>
      <c r="D1676" s="2" t="s">
        <v>20998</v>
      </c>
      <c r="F1676" s="3" t="s">
        <v>58</v>
      </c>
      <c r="G1676" s="3" t="s">
        <v>59</v>
      </c>
      <c r="H1676" s="3" t="s">
        <v>58</v>
      </c>
      <c r="I1676" s="3" t="s">
        <v>58</v>
      </c>
      <c r="J1676" s="3" t="s">
        <v>60</v>
      </c>
      <c r="K1676" s="2" t="s">
        <v>20999</v>
      </c>
      <c r="L1676" s="2" t="s">
        <v>21000</v>
      </c>
      <c r="M1676" s="3" t="s">
        <v>1091</v>
      </c>
      <c r="O1676" s="3" t="s">
        <v>63</v>
      </c>
      <c r="P1676" s="3" t="s">
        <v>584</v>
      </c>
      <c r="Q1676" s="2" t="s">
        <v>21001</v>
      </c>
      <c r="R1676" s="3" t="s">
        <v>65</v>
      </c>
      <c r="S1676" s="4">
        <v>7</v>
      </c>
      <c r="T1676" s="4">
        <v>7</v>
      </c>
      <c r="U1676" s="5" t="s">
        <v>21002</v>
      </c>
      <c r="V1676" s="5" t="s">
        <v>21002</v>
      </c>
      <c r="W1676" s="5" t="s">
        <v>21003</v>
      </c>
      <c r="X1676" s="5" t="s">
        <v>21003</v>
      </c>
      <c r="Y1676" s="4">
        <v>384</v>
      </c>
      <c r="Z1676" s="4">
        <v>242</v>
      </c>
      <c r="AA1676" s="4">
        <v>844</v>
      </c>
      <c r="AB1676" s="4">
        <v>2</v>
      </c>
      <c r="AC1676" s="4">
        <v>28</v>
      </c>
      <c r="AD1676" s="4">
        <v>10</v>
      </c>
      <c r="AE1676" s="4">
        <v>30</v>
      </c>
      <c r="AF1676" s="4">
        <v>2</v>
      </c>
      <c r="AG1676" s="4">
        <v>10</v>
      </c>
      <c r="AH1676" s="4">
        <v>3</v>
      </c>
      <c r="AI1676" s="4">
        <v>5</v>
      </c>
      <c r="AJ1676" s="4">
        <v>6</v>
      </c>
      <c r="AK1676" s="4">
        <v>11</v>
      </c>
      <c r="AL1676" s="4">
        <v>1</v>
      </c>
      <c r="AM1676" s="4">
        <v>9</v>
      </c>
      <c r="AN1676" s="4">
        <v>0</v>
      </c>
      <c r="AO1676" s="4">
        <v>0</v>
      </c>
      <c r="AP1676" s="3" t="s">
        <v>58</v>
      </c>
      <c r="AQ1676" s="3" t="s">
        <v>58</v>
      </c>
      <c r="AS1676" s="6" t="str">
        <f>HYPERLINK("https://creighton-primo.hosted.exlibrisgroup.com/primo-explore/search?tab=default_tab&amp;search_scope=EVERYTHING&amp;vid=01CRU&amp;lang=en_US&amp;offset=0&amp;query=any,contains,991003639609702656","Catalog Record")</f>
        <v>Catalog Record</v>
      </c>
      <c r="AT1676" s="6" t="str">
        <f>HYPERLINK("http://www.worldcat.org/oclc/45958041","WorldCat Record")</f>
        <v>WorldCat Record</v>
      </c>
      <c r="AU1676" s="3" t="s">
        <v>21004</v>
      </c>
      <c r="AV1676" s="3" t="s">
        <v>21005</v>
      </c>
      <c r="AW1676" s="3" t="s">
        <v>21006</v>
      </c>
      <c r="AX1676" s="3" t="s">
        <v>21006</v>
      </c>
      <c r="AY1676" s="3" t="s">
        <v>21007</v>
      </c>
      <c r="AZ1676" s="3" t="s">
        <v>73</v>
      </c>
      <c r="BB1676" s="3" t="s">
        <v>21008</v>
      </c>
      <c r="BC1676" s="3" t="s">
        <v>21009</v>
      </c>
      <c r="BD1676" s="3" t="s">
        <v>21010</v>
      </c>
    </row>
    <row r="1677" spans="1:56" ht="51" customHeight="1" x14ac:dyDescent="0.25">
      <c r="A1677" s="7" t="s">
        <v>58</v>
      </c>
      <c r="B1677" s="2" t="s">
        <v>21011</v>
      </c>
      <c r="C1677" s="2" t="s">
        <v>21012</v>
      </c>
      <c r="D1677" s="2" t="s">
        <v>21013</v>
      </c>
      <c r="F1677" s="3" t="s">
        <v>58</v>
      </c>
      <c r="G1677" s="3" t="s">
        <v>59</v>
      </c>
      <c r="H1677" s="3" t="s">
        <v>58</v>
      </c>
      <c r="I1677" s="3" t="s">
        <v>58</v>
      </c>
      <c r="J1677" s="3" t="s">
        <v>60</v>
      </c>
      <c r="K1677" s="2" t="s">
        <v>21014</v>
      </c>
      <c r="L1677" s="2" t="s">
        <v>13483</v>
      </c>
      <c r="M1677" s="3" t="s">
        <v>196</v>
      </c>
      <c r="O1677" s="3" t="s">
        <v>63</v>
      </c>
      <c r="P1677" s="3" t="s">
        <v>214</v>
      </c>
      <c r="R1677" s="3" t="s">
        <v>65</v>
      </c>
      <c r="S1677" s="4">
        <v>2</v>
      </c>
      <c r="T1677" s="4">
        <v>2</v>
      </c>
      <c r="U1677" s="5" t="s">
        <v>20766</v>
      </c>
      <c r="V1677" s="5" t="s">
        <v>20766</v>
      </c>
      <c r="W1677" s="5" t="s">
        <v>21015</v>
      </c>
      <c r="X1677" s="5" t="s">
        <v>21015</v>
      </c>
      <c r="Y1677" s="4">
        <v>286</v>
      </c>
      <c r="Z1677" s="4">
        <v>241</v>
      </c>
      <c r="AA1677" s="4">
        <v>315</v>
      </c>
      <c r="AB1677" s="4">
        <v>3</v>
      </c>
      <c r="AC1677" s="4">
        <v>3</v>
      </c>
      <c r="AD1677" s="4">
        <v>12</v>
      </c>
      <c r="AE1677" s="4">
        <v>14</v>
      </c>
      <c r="AF1677" s="4">
        <v>2</v>
      </c>
      <c r="AG1677" s="4">
        <v>4</v>
      </c>
      <c r="AH1677" s="4">
        <v>4</v>
      </c>
      <c r="AI1677" s="4">
        <v>4</v>
      </c>
      <c r="AJ1677" s="4">
        <v>7</v>
      </c>
      <c r="AK1677" s="4">
        <v>9</v>
      </c>
      <c r="AL1677" s="4">
        <v>2</v>
      </c>
      <c r="AM1677" s="4">
        <v>2</v>
      </c>
      <c r="AN1677" s="4">
        <v>0</v>
      </c>
      <c r="AO1677" s="4">
        <v>0</v>
      </c>
      <c r="AP1677" s="3" t="s">
        <v>58</v>
      </c>
      <c r="AQ1677" s="3" t="s">
        <v>58</v>
      </c>
      <c r="AS1677" s="6" t="str">
        <f>HYPERLINK("https://creighton-primo.hosted.exlibrisgroup.com/primo-explore/search?tab=default_tab&amp;search_scope=EVERYTHING&amp;vid=01CRU&amp;lang=en_US&amp;offset=0&amp;query=any,contains,991002668849702656","Catalog Record")</f>
        <v>Catalog Record</v>
      </c>
      <c r="AT1677" s="6" t="str">
        <f>HYPERLINK("http://www.worldcat.org/oclc/34912594","WorldCat Record")</f>
        <v>WorldCat Record</v>
      </c>
      <c r="AU1677" s="3" t="s">
        <v>21016</v>
      </c>
      <c r="AV1677" s="3" t="s">
        <v>21017</v>
      </c>
      <c r="AW1677" s="3" t="s">
        <v>21018</v>
      </c>
      <c r="AX1677" s="3" t="s">
        <v>21018</v>
      </c>
      <c r="AY1677" s="3" t="s">
        <v>21019</v>
      </c>
      <c r="AZ1677" s="3" t="s">
        <v>73</v>
      </c>
      <c r="BB1677" s="3" t="s">
        <v>21020</v>
      </c>
      <c r="BC1677" s="3" t="s">
        <v>21021</v>
      </c>
      <c r="BD1677" s="3" t="s">
        <v>21022</v>
      </c>
    </row>
    <row r="1678" spans="1:56" ht="51" customHeight="1" x14ac:dyDescent="0.25">
      <c r="A1678" s="7" t="s">
        <v>58</v>
      </c>
      <c r="B1678" s="2" t="s">
        <v>21023</v>
      </c>
      <c r="C1678" s="2" t="s">
        <v>21024</v>
      </c>
      <c r="D1678" s="2" t="s">
        <v>21025</v>
      </c>
      <c r="F1678" s="3" t="s">
        <v>58</v>
      </c>
      <c r="G1678" s="3" t="s">
        <v>59</v>
      </c>
      <c r="H1678" s="3" t="s">
        <v>58</v>
      </c>
      <c r="I1678" s="3" t="s">
        <v>58</v>
      </c>
      <c r="J1678" s="3" t="s">
        <v>60</v>
      </c>
      <c r="L1678" s="2" t="s">
        <v>21026</v>
      </c>
      <c r="M1678" s="3" t="s">
        <v>996</v>
      </c>
      <c r="O1678" s="3" t="s">
        <v>63</v>
      </c>
      <c r="P1678" s="3" t="s">
        <v>214</v>
      </c>
      <c r="Q1678" s="2" t="s">
        <v>21027</v>
      </c>
      <c r="R1678" s="3" t="s">
        <v>65</v>
      </c>
      <c r="S1678" s="4">
        <v>1</v>
      </c>
      <c r="T1678" s="4">
        <v>1</v>
      </c>
      <c r="U1678" s="5" t="s">
        <v>21028</v>
      </c>
      <c r="V1678" s="5" t="s">
        <v>21028</v>
      </c>
      <c r="W1678" s="5" t="s">
        <v>20416</v>
      </c>
      <c r="X1678" s="5" t="s">
        <v>20416</v>
      </c>
      <c r="Y1678" s="4">
        <v>493</v>
      </c>
      <c r="Z1678" s="4">
        <v>380</v>
      </c>
      <c r="AA1678" s="4">
        <v>382</v>
      </c>
      <c r="AB1678" s="4">
        <v>4</v>
      </c>
      <c r="AC1678" s="4">
        <v>4</v>
      </c>
      <c r="AD1678" s="4">
        <v>17</v>
      </c>
      <c r="AE1678" s="4">
        <v>17</v>
      </c>
      <c r="AF1678" s="4">
        <v>4</v>
      </c>
      <c r="AG1678" s="4">
        <v>4</v>
      </c>
      <c r="AH1678" s="4">
        <v>5</v>
      </c>
      <c r="AI1678" s="4">
        <v>5</v>
      </c>
      <c r="AJ1678" s="4">
        <v>9</v>
      </c>
      <c r="AK1678" s="4">
        <v>9</v>
      </c>
      <c r="AL1678" s="4">
        <v>3</v>
      </c>
      <c r="AM1678" s="4">
        <v>3</v>
      </c>
      <c r="AN1678" s="4">
        <v>0</v>
      </c>
      <c r="AO1678" s="4">
        <v>0</v>
      </c>
      <c r="AP1678" s="3" t="s">
        <v>58</v>
      </c>
      <c r="AQ1678" s="3" t="s">
        <v>68</v>
      </c>
      <c r="AR1678" s="6" t="str">
        <f>HYPERLINK("http://catalog.hathitrust.org/Record/001241307","HathiTrust Record")</f>
        <v>HathiTrust Record</v>
      </c>
      <c r="AS1678" s="6" t="str">
        <f>HYPERLINK("https://creighton-primo.hosted.exlibrisgroup.com/primo-explore/search?tab=default_tab&amp;search_scope=EVERYTHING&amp;vid=01CRU&amp;lang=en_US&amp;offset=0&amp;query=any,contains,991002651759702656","Catalog Record")</f>
        <v>Catalog Record</v>
      </c>
      <c r="AT1678" s="6" t="str">
        <f>HYPERLINK("http://www.worldcat.org/oclc/387293","WorldCat Record")</f>
        <v>WorldCat Record</v>
      </c>
      <c r="AU1678" s="3" t="s">
        <v>21029</v>
      </c>
      <c r="AV1678" s="3" t="s">
        <v>21030</v>
      </c>
      <c r="AW1678" s="3" t="s">
        <v>21031</v>
      </c>
      <c r="AX1678" s="3" t="s">
        <v>21031</v>
      </c>
      <c r="AY1678" s="3" t="s">
        <v>21032</v>
      </c>
      <c r="AZ1678" s="3" t="s">
        <v>73</v>
      </c>
      <c r="BB1678" s="3" t="s">
        <v>21033</v>
      </c>
      <c r="BC1678" s="3" t="s">
        <v>21034</v>
      </c>
      <c r="BD1678" s="3" t="s">
        <v>21035</v>
      </c>
    </row>
    <row r="1679" spans="1:56" ht="51" customHeight="1" x14ac:dyDescent="0.25">
      <c r="A1679" s="7" t="s">
        <v>58</v>
      </c>
      <c r="B1679" s="2" t="s">
        <v>21036</v>
      </c>
      <c r="C1679" s="2" t="s">
        <v>21037</v>
      </c>
      <c r="D1679" s="2" t="s">
        <v>21038</v>
      </c>
      <c r="F1679" s="3" t="s">
        <v>58</v>
      </c>
      <c r="G1679" s="3" t="s">
        <v>59</v>
      </c>
      <c r="H1679" s="3" t="s">
        <v>58</v>
      </c>
      <c r="I1679" s="3" t="s">
        <v>58</v>
      </c>
      <c r="J1679" s="3" t="s">
        <v>60</v>
      </c>
      <c r="K1679" s="2" t="s">
        <v>21039</v>
      </c>
      <c r="L1679" s="2" t="s">
        <v>21040</v>
      </c>
      <c r="M1679" s="3" t="s">
        <v>2310</v>
      </c>
      <c r="N1679" s="2" t="s">
        <v>338</v>
      </c>
      <c r="O1679" s="3" t="s">
        <v>63</v>
      </c>
      <c r="P1679" s="3" t="s">
        <v>214</v>
      </c>
      <c r="R1679" s="3" t="s">
        <v>65</v>
      </c>
      <c r="S1679" s="4">
        <v>2</v>
      </c>
      <c r="T1679" s="4">
        <v>2</v>
      </c>
      <c r="U1679" s="5" t="s">
        <v>21041</v>
      </c>
      <c r="V1679" s="5" t="s">
        <v>21041</v>
      </c>
      <c r="W1679" s="5" t="s">
        <v>21042</v>
      </c>
      <c r="X1679" s="5" t="s">
        <v>21042</v>
      </c>
      <c r="Y1679" s="4">
        <v>1017</v>
      </c>
      <c r="Z1679" s="4">
        <v>959</v>
      </c>
      <c r="AA1679" s="4">
        <v>1190</v>
      </c>
      <c r="AB1679" s="4">
        <v>12</v>
      </c>
      <c r="AC1679" s="4">
        <v>15</v>
      </c>
      <c r="AD1679" s="4">
        <v>22</v>
      </c>
      <c r="AE1679" s="4">
        <v>24</v>
      </c>
      <c r="AF1679" s="4">
        <v>9</v>
      </c>
      <c r="AG1679" s="4">
        <v>9</v>
      </c>
      <c r="AH1679" s="4">
        <v>4</v>
      </c>
      <c r="AI1679" s="4">
        <v>5</v>
      </c>
      <c r="AJ1679" s="4">
        <v>9</v>
      </c>
      <c r="AK1679" s="4">
        <v>9</v>
      </c>
      <c r="AL1679" s="4">
        <v>5</v>
      </c>
      <c r="AM1679" s="4">
        <v>6</v>
      </c>
      <c r="AN1679" s="4">
        <v>0</v>
      </c>
      <c r="AO1679" s="4">
        <v>0</v>
      </c>
      <c r="AP1679" s="3" t="s">
        <v>58</v>
      </c>
      <c r="AQ1679" s="3" t="s">
        <v>58</v>
      </c>
      <c r="AS1679" s="6" t="str">
        <f>HYPERLINK("https://creighton-primo.hosted.exlibrisgroup.com/primo-explore/search?tab=default_tab&amp;search_scope=EVERYTHING&amp;vid=01CRU&amp;lang=en_US&amp;offset=0&amp;query=any,contains,991000106949702656","Catalog Record")</f>
        <v>Catalog Record</v>
      </c>
      <c r="AT1679" s="6" t="str">
        <f>HYPERLINK("http://www.worldcat.org/oclc/434438429","WorldCat Record")</f>
        <v>WorldCat Record</v>
      </c>
      <c r="AU1679" s="3" t="s">
        <v>21043</v>
      </c>
      <c r="AV1679" s="3" t="s">
        <v>21044</v>
      </c>
      <c r="AW1679" s="3" t="s">
        <v>21045</v>
      </c>
      <c r="AX1679" s="3" t="s">
        <v>21045</v>
      </c>
      <c r="AY1679" s="3" t="s">
        <v>21046</v>
      </c>
      <c r="AZ1679" s="3" t="s">
        <v>73</v>
      </c>
      <c r="BB1679" s="3" t="s">
        <v>21047</v>
      </c>
      <c r="BC1679" s="3" t="s">
        <v>21048</v>
      </c>
      <c r="BD1679" s="3" t="s">
        <v>21049</v>
      </c>
    </row>
    <row r="1680" spans="1:56" ht="51" customHeight="1" x14ac:dyDescent="0.25">
      <c r="A1680" s="7" t="s">
        <v>58</v>
      </c>
      <c r="B1680" s="2" t="s">
        <v>21050</v>
      </c>
      <c r="C1680" s="2" t="s">
        <v>21051</v>
      </c>
      <c r="D1680" s="2" t="s">
        <v>21052</v>
      </c>
      <c r="F1680" s="3" t="s">
        <v>58</v>
      </c>
      <c r="G1680" s="3" t="s">
        <v>59</v>
      </c>
      <c r="H1680" s="3" t="s">
        <v>58</v>
      </c>
      <c r="I1680" s="3" t="s">
        <v>58</v>
      </c>
      <c r="J1680" s="3" t="s">
        <v>60</v>
      </c>
      <c r="K1680" s="2" t="s">
        <v>13724</v>
      </c>
      <c r="L1680" s="2" t="s">
        <v>21053</v>
      </c>
      <c r="M1680" s="3" t="s">
        <v>2326</v>
      </c>
      <c r="O1680" s="3" t="s">
        <v>63</v>
      </c>
      <c r="P1680" s="3" t="s">
        <v>3109</v>
      </c>
      <c r="R1680" s="3" t="s">
        <v>65</v>
      </c>
      <c r="S1680" s="4">
        <v>1</v>
      </c>
      <c r="T1680" s="4">
        <v>1</v>
      </c>
      <c r="U1680" s="5" t="s">
        <v>6500</v>
      </c>
      <c r="V1680" s="5" t="s">
        <v>6500</v>
      </c>
      <c r="W1680" s="5" t="s">
        <v>6500</v>
      </c>
      <c r="X1680" s="5" t="s">
        <v>6500</v>
      </c>
      <c r="Y1680" s="4">
        <v>80</v>
      </c>
      <c r="Z1680" s="4">
        <v>67</v>
      </c>
      <c r="AA1680" s="4">
        <v>86</v>
      </c>
      <c r="AB1680" s="4">
        <v>1</v>
      </c>
      <c r="AC1680" s="4">
        <v>1</v>
      </c>
      <c r="AD1680" s="4">
        <v>2</v>
      </c>
      <c r="AE1680" s="4">
        <v>3</v>
      </c>
      <c r="AF1680" s="4">
        <v>0</v>
      </c>
      <c r="AG1680" s="4">
        <v>1</v>
      </c>
      <c r="AH1680" s="4">
        <v>1</v>
      </c>
      <c r="AI1680" s="4">
        <v>2</v>
      </c>
      <c r="AJ1680" s="4">
        <v>2</v>
      </c>
      <c r="AK1680" s="4">
        <v>2</v>
      </c>
      <c r="AL1680" s="4">
        <v>0</v>
      </c>
      <c r="AM1680" s="4">
        <v>0</v>
      </c>
      <c r="AN1680" s="4">
        <v>0</v>
      </c>
      <c r="AO1680" s="4">
        <v>0</v>
      </c>
      <c r="AP1680" s="3" t="s">
        <v>58</v>
      </c>
      <c r="AQ1680" s="3" t="s">
        <v>58</v>
      </c>
      <c r="AS1680" s="6" t="str">
        <f>HYPERLINK("https://creighton-primo.hosted.exlibrisgroup.com/primo-explore/search?tab=default_tab&amp;search_scope=EVERYTHING&amp;vid=01CRU&amp;lang=en_US&amp;offset=0&amp;query=any,contains,991005374819702656","Catalog Record")</f>
        <v>Catalog Record</v>
      </c>
      <c r="AT1680" s="6" t="str">
        <f>HYPERLINK("http://www.worldcat.org/oclc/429020403","WorldCat Record")</f>
        <v>WorldCat Record</v>
      </c>
      <c r="AU1680" s="3" t="s">
        <v>21054</v>
      </c>
      <c r="AV1680" s="3" t="s">
        <v>21055</v>
      </c>
      <c r="AW1680" s="3" t="s">
        <v>21056</v>
      </c>
      <c r="AX1680" s="3" t="s">
        <v>21056</v>
      </c>
      <c r="AY1680" s="3" t="s">
        <v>21057</v>
      </c>
      <c r="AZ1680" s="3" t="s">
        <v>73</v>
      </c>
      <c r="BB1680" s="3" t="s">
        <v>21058</v>
      </c>
      <c r="BC1680" s="3" t="s">
        <v>21059</v>
      </c>
      <c r="BD1680" s="3" t="s">
        <v>21060</v>
      </c>
    </row>
    <row r="1681" spans="1:56" ht="51" customHeight="1" x14ac:dyDescent="0.25">
      <c r="A1681" s="7" t="s">
        <v>58</v>
      </c>
      <c r="B1681" s="2" t="s">
        <v>21061</v>
      </c>
      <c r="C1681" s="2" t="s">
        <v>21062</v>
      </c>
      <c r="D1681" s="2" t="s">
        <v>21063</v>
      </c>
      <c r="F1681" s="3" t="s">
        <v>58</v>
      </c>
      <c r="G1681" s="3" t="s">
        <v>59</v>
      </c>
      <c r="H1681" s="3" t="s">
        <v>58</v>
      </c>
      <c r="I1681" s="3" t="s">
        <v>58</v>
      </c>
      <c r="J1681" s="3" t="s">
        <v>60</v>
      </c>
      <c r="K1681" s="2" t="s">
        <v>21064</v>
      </c>
      <c r="L1681" s="2" t="s">
        <v>21065</v>
      </c>
      <c r="M1681" s="3" t="s">
        <v>1091</v>
      </c>
      <c r="O1681" s="3" t="s">
        <v>63</v>
      </c>
      <c r="P1681" s="3" t="s">
        <v>2061</v>
      </c>
      <c r="Q1681" s="2" t="s">
        <v>21066</v>
      </c>
      <c r="R1681" s="3" t="s">
        <v>65</v>
      </c>
      <c r="S1681" s="4">
        <v>8</v>
      </c>
      <c r="T1681" s="4">
        <v>8</v>
      </c>
      <c r="U1681" s="5" t="s">
        <v>1559</v>
      </c>
      <c r="V1681" s="5" t="s">
        <v>1559</v>
      </c>
      <c r="W1681" s="5" t="s">
        <v>21067</v>
      </c>
      <c r="X1681" s="5" t="s">
        <v>21067</v>
      </c>
      <c r="Y1681" s="4">
        <v>586</v>
      </c>
      <c r="Z1681" s="4">
        <v>483</v>
      </c>
      <c r="AA1681" s="4">
        <v>1465</v>
      </c>
      <c r="AB1681" s="4">
        <v>2</v>
      </c>
      <c r="AC1681" s="4">
        <v>9</v>
      </c>
      <c r="AD1681" s="4">
        <v>30</v>
      </c>
      <c r="AE1681" s="4">
        <v>51</v>
      </c>
      <c r="AF1681" s="4">
        <v>14</v>
      </c>
      <c r="AG1681" s="4">
        <v>21</v>
      </c>
      <c r="AH1681" s="4">
        <v>7</v>
      </c>
      <c r="AI1681" s="4">
        <v>11</v>
      </c>
      <c r="AJ1681" s="4">
        <v>14</v>
      </c>
      <c r="AK1681" s="4">
        <v>21</v>
      </c>
      <c r="AL1681" s="4">
        <v>1</v>
      </c>
      <c r="AM1681" s="4">
        <v>8</v>
      </c>
      <c r="AN1681" s="4">
        <v>0</v>
      </c>
      <c r="AO1681" s="4">
        <v>1</v>
      </c>
      <c r="AP1681" s="3" t="s">
        <v>58</v>
      </c>
      <c r="AQ1681" s="3" t="s">
        <v>58</v>
      </c>
      <c r="AS1681" s="6" t="str">
        <f>HYPERLINK("https://creighton-primo.hosted.exlibrisgroup.com/primo-explore/search?tab=default_tab&amp;search_scope=EVERYTHING&amp;vid=01CRU&amp;lang=en_US&amp;offset=0&amp;query=any,contains,991003677429702656","Catalog Record")</f>
        <v>Catalog Record</v>
      </c>
      <c r="AT1681" s="6" t="str">
        <f>HYPERLINK("http://www.worldcat.org/oclc/45015749","WorldCat Record")</f>
        <v>WorldCat Record</v>
      </c>
      <c r="AU1681" s="3" t="s">
        <v>21068</v>
      </c>
      <c r="AV1681" s="3" t="s">
        <v>21069</v>
      </c>
      <c r="AW1681" s="3" t="s">
        <v>21070</v>
      </c>
      <c r="AX1681" s="3" t="s">
        <v>21070</v>
      </c>
      <c r="AY1681" s="3" t="s">
        <v>21071</v>
      </c>
      <c r="AZ1681" s="3" t="s">
        <v>73</v>
      </c>
      <c r="BB1681" s="3" t="s">
        <v>21072</v>
      </c>
      <c r="BC1681" s="3" t="s">
        <v>21073</v>
      </c>
      <c r="BD1681" s="3" t="s">
        <v>21074</v>
      </c>
    </row>
    <row r="1682" spans="1:56" ht="51" customHeight="1" x14ac:dyDescent="0.25">
      <c r="A1682" s="7" t="s">
        <v>58</v>
      </c>
      <c r="B1682" s="2" t="s">
        <v>21075</v>
      </c>
      <c r="C1682" s="2" t="s">
        <v>21076</v>
      </c>
      <c r="D1682" s="2" t="s">
        <v>21077</v>
      </c>
      <c r="F1682" s="3" t="s">
        <v>58</v>
      </c>
      <c r="G1682" s="3" t="s">
        <v>59</v>
      </c>
      <c r="H1682" s="3" t="s">
        <v>58</v>
      </c>
      <c r="I1682" s="3" t="s">
        <v>58</v>
      </c>
      <c r="J1682" s="3" t="s">
        <v>60</v>
      </c>
      <c r="K1682" s="2" t="s">
        <v>21078</v>
      </c>
      <c r="L1682" s="2" t="s">
        <v>9595</v>
      </c>
      <c r="M1682" s="3" t="s">
        <v>1784</v>
      </c>
      <c r="O1682" s="3" t="s">
        <v>63</v>
      </c>
      <c r="P1682" s="3" t="s">
        <v>2630</v>
      </c>
      <c r="Q1682" s="2" t="s">
        <v>21079</v>
      </c>
      <c r="R1682" s="3" t="s">
        <v>65</v>
      </c>
      <c r="S1682" s="4">
        <v>1</v>
      </c>
      <c r="T1682" s="4">
        <v>1</v>
      </c>
      <c r="U1682" s="5" t="s">
        <v>21080</v>
      </c>
      <c r="V1682" s="5" t="s">
        <v>21080</v>
      </c>
      <c r="W1682" s="5" t="s">
        <v>17640</v>
      </c>
      <c r="X1682" s="5" t="s">
        <v>17640</v>
      </c>
      <c r="Y1682" s="4">
        <v>501</v>
      </c>
      <c r="Z1682" s="4">
        <v>408</v>
      </c>
      <c r="AA1682" s="4">
        <v>428</v>
      </c>
      <c r="AB1682" s="4">
        <v>3</v>
      </c>
      <c r="AC1682" s="4">
        <v>3</v>
      </c>
      <c r="AD1682" s="4">
        <v>15</v>
      </c>
      <c r="AE1682" s="4">
        <v>15</v>
      </c>
      <c r="AF1682" s="4">
        <v>5</v>
      </c>
      <c r="AG1682" s="4">
        <v>5</v>
      </c>
      <c r="AH1682" s="4">
        <v>5</v>
      </c>
      <c r="AI1682" s="4">
        <v>5</v>
      </c>
      <c r="AJ1682" s="4">
        <v>8</v>
      </c>
      <c r="AK1682" s="4">
        <v>8</v>
      </c>
      <c r="AL1682" s="4">
        <v>2</v>
      </c>
      <c r="AM1682" s="4">
        <v>2</v>
      </c>
      <c r="AN1682" s="4">
        <v>0</v>
      </c>
      <c r="AO1682" s="4">
        <v>0</v>
      </c>
      <c r="AP1682" s="3" t="s">
        <v>58</v>
      </c>
      <c r="AQ1682" s="3" t="s">
        <v>68</v>
      </c>
      <c r="AR1682" s="6" t="str">
        <f>HYPERLINK("http://catalog.hathitrust.org/Record/000257527","HathiTrust Record")</f>
        <v>HathiTrust Record</v>
      </c>
      <c r="AS1682" s="6" t="str">
        <f>HYPERLINK("https://creighton-primo.hosted.exlibrisgroup.com/primo-explore/search?tab=default_tab&amp;search_scope=EVERYTHING&amp;vid=01CRU&amp;lang=en_US&amp;offset=0&amp;query=any,contains,991004670559702656","Catalog Record")</f>
        <v>Catalog Record</v>
      </c>
      <c r="AT1682" s="6" t="str">
        <f>HYPERLINK("http://www.worldcat.org/oclc/4515392","WorldCat Record")</f>
        <v>WorldCat Record</v>
      </c>
      <c r="AU1682" s="3" t="s">
        <v>21081</v>
      </c>
      <c r="AV1682" s="3" t="s">
        <v>21082</v>
      </c>
      <c r="AW1682" s="3" t="s">
        <v>21083</v>
      </c>
      <c r="AX1682" s="3" t="s">
        <v>21083</v>
      </c>
      <c r="AY1682" s="3" t="s">
        <v>21084</v>
      </c>
      <c r="AZ1682" s="3" t="s">
        <v>73</v>
      </c>
      <c r="BB1682" s="3" t="s">
        <v>21085</v>
      </c>
      <c r="BC1682" s="3" t="s">
        <v>21086</v>
      </c>
      <c r="BD1682" s="3" t="s">
        <v>21087</v>
      </c>
    </row>
    <row r="1683" spans="1:56" ht="51" customHeight="1" x14ac:dyDescent="0.25">
      <c r="A1683" s="7" t="s">
        <v>58</v>
      </c>
      <c r="B1683" s="2" t="s">
        <v>21088</v>
      </c>
      <c r="C1683" s="2" t="s">
        <v>21089</v>
      </c>
      <c r="D1683" s="2" t="s">
        <v>21090</v>
      </c>
      <c r="F1683" s="3" t="s">
        <v>58</v>
      </c>
      <c r="G1683" s="3" t="s">
        <v>59</v>
      </c>
      <c r="H1683" s="3" t="s">
        <v>58</v>
      </c>
      <c r="I1683" s="3" t="s">
        <v>58</v>
      </c>
      <c r="J1683" s="3" t="s">
        <v>60</v>
      </c>
      <c r="L1683" s="2" t="s">
        <v>21091</v>
      </c>
      <c r="M1683" s="3" t="s">
        <v>154</v>
      </c>
      <c r="O1683" s="3" t="s">
        <v>63</v>
      </c>
      <c r="P1683" s="3" t="s">
        <v>495</v>
      </c>
      <c r="Q1683" s="2" t="s">
        <v>21092</v>
      </c>
      <c r="R1683" s="3" t="s">
        <v>65</v>
      </c>
      <c r="S1683" s="4">
        <v>2</v>
      </c>
      <c r="T1683" s="4">
        <v>2</v>
      </c>
      <c r="U1683" s="5" t="s">
        <v>20903</v>
      </c>
      <c r="V1683" s="5" t="s">
        <v>20903</v>
      </c>
      <c r="W1683" s="5" t="s">
        <v>585</v>
      </c>
      <c r="X1683" s="5" t="s">
        <v>585</v>
      </c>
      <c r="Y1683" s="4">
        <v>291</v>
      </c>
      <c r="Z1683" s="4">
        <v>244</v>
      </c>
      <c r="AA1683" s="4">
        <v>256</v>
      </c>
      <c r="AB1683" s="4">
        <v>3</v>
      </c>
      <c r="AC1683" s="4">
        <v>3</v>
      </c>
      <c r="AD1683" s="4">
        <v>16</v>
      </c>
      <c r="AE1683" s="4">
        <v>17</v>
      </c>
      <c r="AF1683" s="4">
        <v>4</v>
      </c>
      <c r="AG1683" s="4">
        <v>5</v>
      </c>
      <c r="AH1683" s="4">
        <v>4</v>
      </c>
      <c r="AI1683" s="4">
        <v>4</v>
      </c>
      <c r="AJ1683" s="4">
        <v>8</v>
      </c>
      <c r="AK1683" s="4">
        <v>9</v>
      </c>
      <c r="AL1683" s="4">
        <v>2</v>
      </c>
      <c r="AM1683" s="4">
        <v>2</v>
      </c>
      <c r="AN1683" s="4">
        <v>1</v>
      </c>
      <c r="AO1683" s="4">
        <v>1</v>
      </c>
      <c r="AP1683" s="3" t="s">
        <v>58</v>
      </c>
      <c r="AQ1683" s="3" t="s">
        <v>68</v>
      </c>
      <c r="AR1683" s="6" t="str">
        <f>HYPERLINK("http://catalog.hathitrust.org/Record/001292447","HathiTrust Record")</f>
        <v>HathiTrust Record</v>
      </c>
      <c r="AS1683" s="6" t="str">
        <f>HYPERLINK("https://creighton-primo.hosted.exlibrisgroup.com/primo-explore/search?tab=default_tab&amp;search_scope=EVERYTHING&amp;vid=01CRU&amp;lang=en_US&amp;offset=0&amp;query=any,contains,991001367459702656","Catalog Record")</f>
        <v>Catalog Record</v>
      </c>
      <c r="AT1683" s="6" t="str">
        <f>HYPERLINK("http://www.worldcat.org/oclc/18559456","WorldCat Record")</f>
        <v>WorldCat Record</v>
      </c>
      <c r="AU1683" s="3" t="s">
        <v>21093</v>
      </c>
      <c r="AV1683" s="3" t="s">
        <v>21094</v>
      </c>
      <c r="AW1683" s="3" t="s">
        <v>21095</v>
      </c>
      <c r="AX1683" s="3" t="s">
        <v>21095</v>
      </c>
      <c r="AY1683" s="3" t="s">
        <v>21096</v>
      </c>
      <c r="AZ1683" s="3" t="s">
        <v>73</v>
      </c>
      <c r="BB1683" s="3" t="s">
        <v>21097</v>
      </c>
      <c r="BC1683" s="3" t="s">
        <v>21098</v>
      </c>
      <c r="BD1683" s="3" t="s">
        <v>21099</v>
      </c>
    </row>
    <row r="1684" spans="1:56" ht="51" customHeight="1" x14ac:dyDescent="0.25">
      <c r="A1684" s="7" t="s">
        <v>58</v>
      </c>
      <c r="B1684" s="2" t="s">
        <v>21100</v>
      </c>
      <c r="C1684" s="2" t="s">
        <v>21101</v>
      </c>
      <c r="D1684" s="2" t="s">
        <v>21102</v>
      </c>
      <c r="F1684" s="3" t="s">
        <v>58</v>
      </c>
      <c r="G1684" s="3" t="s">
        <v>59</v>
      </c>
      <c r="H1684" s="3" t="s">
        <v>58</v>
      </c>
      <c r="I1684" s="3" t="s">
        <v>58</v>
      </c>
      <c r="J1684" s="3" t="s">
        <v>60</v>
      </c>
      <c r="K1684" s="2" t="s">
        <v>21103</v>
      </c>
      <c r="L1684" s="2" t="s">
        <v>21104</v>
      </c>
      <c r="M1684" s="3" t="s">
        <v>759</v>
      </c>
      <c r="O1684" s="3" t="s">
        <v>63</v>
      </c>
      <c r="P1684" s="3" t="s">
        <v>2061</v>
      </c>
      <c r="R1684" s="3" t="s">
        <v>65</v>
      </c>
      <c r="S1684" s="4">
        <v>3</v>
      </c>
      <c r="T1684" s="4">
        <v>3</v>
      </c>
      <c r="U1684" s="5" t="s">
        <v>20144</v>
      </c>
      <c r="V1684" s="5" t="s">
        <v>20144</v>
      </c>
      <c r="W1684" s="5" t="s">
        <v>17640</v>
      </c>
      <c r="X1684" s="5" t="s">
        <v>17640</v>
      </c>
      <c r="Y1684" s="4">
        <v>551</v>
      </c>
      <c r="Z1684" s="4">
        <v>501</v>
      </c>
      <c r="AA1684" s="4">
        <v>535</v>
      </c>
      <c r="AB1684" s="4">
        <v>4</v>
      </c>
      <c r="AC1684" s="4">
        <v>5</v>
      </c>
      <c r="AD1684" s="4">
        <v>24</v>
      </c>
      <c r="AE1684" s="4">
        <v>25</v>
      </c>
      <c r="AF1684" s="4">
        <v>6</v>
      </c>
      <c r="AG1684" s="4">
        <v>6</v>
      </c>
      <c r="AH1684" s="4">
        <v>10</v>
      </c>
      <c r="AI1684" s="4">
        <v>10</v>
      </c>
      <c r="AJ1684" s="4">
        <v>13</v>
      </c>
      <c r="AK1684" s="4">
        <v>13</v>
      </c>
      <c r="AL1684" s="4">
        <v>3</v>
      </c>
      <c r="AM1684" s="4">
        <v>4</v>
      </c>
      <c r="AN1684" s="4">
        <v>0</v>
      </c>
      <c r="AO1684" s="4">
        <v>0</v>
      </c>
      <c r="AP1684" s="3" t="s">
        <v>58</v>
      </c>
      <c r="AQ1684" s="3" t="s">
        <v>58</v>
      </c>
      <c r="AS1684" s="6" t="str">
        <f>HYPERLINK("https://creighton-primo.hosted.exlibrisgroup.com/primo-explore/search?tab=default_tab&amp;search_scope=EVERYTHING&amp;vid=01CRU&amp;lang=en_US&amp;offset=0&amp;query=any,contains,991004996489702656","Catalog Record")</f>
        <v>Catalog Record</v>
      </c>
      <c r="AT1684" s="6" t="str">
        <f>HYPERLINK("http://www.worldcat.org/oclc/6520352","WorldCat Record")</f>
        <v>WorldCat Record</v>
      </c>
      <c r="AU1684" s="3" t="s">
        <v>21105</v>
      </c>
      <c r="AV1684" s="3" t="s">
        <v>21106</v>
      </c>
      <c r="AW1684" s="3" t="s">
        <v>21107</v>
      </c>
      <c r="AX1684" s="3" t="s">
        <v>21107</v>
      </c>
      <c r="AY1684" s="3" t="s">
        <v>21108</v>
      </c>
      <c r="AZ1684" s="3" t="s">
        <v>73</v>
      </c>
      <c r="BB1684" s="3" t="s">
        <v>21109</v>
      </c>
      <c r="BC1684" s="3" t="s">
        <v>21110</v>
      </c>
      <c r="BD1684" s="3" t="s">
        <v>21111</v>
      </c>
    </row>
    <row r="1685" spans="1:56" ht="51" customHeight="1" x14ac:dyDescent="0.25">
      <c r="A1685" s="7" t="s">
        <v>58</v>
      </c>
      <c r="B1685" s="2" t="s">
        <v>21112</v>
      </c>
      <c r="C1685" s="2" t="s">
        <v>21113</v>
      </c>
      <c r="D1685" s="2" t="s">
        <v>21114</v>
      </c>
      <c r="F1685" s="3" t="s">
        <v>58</v>
      </c>
      <c r="G1685" s="3" t="s">
        <v>59</v>
      </c>
      <c r="H1685" s="3" t="s">
        <v>58</v>
      </c>
      <c r="I1685" s="3" t="s">
        <v>58</v>
      </c>
      <c r="J1685" s="3" t="s">
        <v>60</v>
      </c>
      <c r="K1685" s="2" t="s">
        <v>7603</v>
      </c>
      <c r="L1685" s="2" t="s">
        <v>21115</v>
      </c>
      <c r="M1685" s="3" t="s">
        <v>138</v>
      </c>
      <c r="N1685" s="2" t="s">
        <v>338</v>
      </c>
      <c r="O1685" s="3" t="s">
        <v>63</v>
      </c>
      <c r="P1685" s="3" t="s">
        <v>214</v>
      </c>
      <c r="R1685" s="3" t="s">
        <v>65</v>
      </c>
      <c r="S1685" s="4">
        <v>1</v>
      </c>
      <c r="T1685" s="4">
        <v>1</v>
      </c>
      <c r="U1685" s="5" t="s">
        <v>21080</v>
      </c>
      <c r="V1685" s="5" t="s">
        <v>21080</v>
      </c>
      <c r="W1685" s="5" t="s">
        <v>585</v>
      </c>
      <c r="X1685" s="5" t="s">
        <v>585</v>
      </c>
      <c r="Y1685" s="4">
        <v>982</v>
      </c>
      <c r="Z1685" s="4">
        <v>852</v>
      </c>
      <c r="AA1685" s="4">
        <v>1045</v>
      </c>
      <c r="AB1685" s="4">
        <v>8</v>
      </c>
      <c r="AC1685" s="4">
        <v>11</v>
      </c>
      <c r="AD1685" s="4">
        <v>39</v>
      </c>
      <c r="AE1685" s="4">
        <v>45</v>
      </c>
      <c r="AF1685" s="4">
        <v>15</v>
      </c>
      <c r="AG1685" s="4">
        <v>18</v>
      </c>
      <c r="AH1685" s="4">
        <v>8</v>
      </c>
      <c r="AI1685" s="4">
        <v>8</v>
      </c>
      <c r="AJ1685" s="4">
        <v>18</v>
      </c>
      <c r="AK1685" s="4">
        <v>19</v>
      </c>
      <c r="AL1685" s="4">
        <v>7</v>
      </c>
      <c r="AM1685" s="4">
        <v>9</v>
      </c>
      <c r="AN1685" s="4">
        <v>0</v>
      </c>
      <c r="AO1685" s="4">
        <v>0</v>
      </c>
      <c r="AP1685" s="3" t="s">
        <v>58</v>
      </c>
      <c r="AQ1685" s="3" t="s">
        <v>58</v>
      </c>
      <c r="AS1685" s="6" t="str">
        <f>HYPERLINK("https://creighton-primo.hosted.exlibrisgroup.com/primo-explore/search?tab=default_tab&amp;search_scope=EVERYTHING&amp;vid=01CRU&amp;lang=en_US&amp;offset=0&amp;query=any,contains,991005193679702656","Catalog Record")</f>
        <v>Catalog Record</v>
      </c>
      <c r="AT1685" s="6" t="str">
        <f>HYPERLINK("http://www.worldcat.org/oclc/8032662","WorldCat Record")</f>
        <v>WorldCat Record</v>
      </c>
      <c r="AU1685" s="3" t="s">
        <v>21116</v>
      </c>
      <c r="AV1685" s="3" t="s">
        <v>21117</v>
      </c>
      <c r="AW1685" s="3" t="s">
        <v>21118</v>
      </c>
      <c r="AX1685" s="3" t="s">
        <v>21118</v>
      </c>
      <c r="AY1685" s="3" t="s">
        <v>21119</v>
      </c>
      <c r="AZ1685" s="3" t="s">
        <v>73</v>
      </c>
      <c r="BB1685" s="3" t="s">
        <v>21120</v>
      </c>
      <c r="BC1685" s="3" t="s">
        <v>21121</v>
      </c>
      <c r="BD1685" s="3" t="s">
        <v>21122</v>
      </c>
    </row>
    <row r="1686" spans="1:56" ht="51" customHeight="1" x14ac:dyDescent="0.25">
      <c r="A1686" s="7" t="s">
        <v>58</v>
      </c>
      <c r="B1686" s="2" t="s">
        <v>21123</v>
      </c>
      <c r="C1686" s="2" t="s">
        <v>21124</v>
      </c>
      <c r="D1686" s="2" t="s">
        <v>21125</v>
      </c>
      <c r="F1686" s="3" t="s">
        <v>58</v>
      </c>
      <c r="G1686" s="3" t="s">
        <v>59</v>
      </c>
      <c r="H1686" s="3" t="s">
        <v>58</v>
      </c>
      <c r="I1686" s="3" t="s">
        <v>58</v>
      </c>
      <c r="J1686" s="3" t="s">
        <v>60</v>
      </c>
      <c r="K1686" s="2" t="s">
        <v>21126</v>
      </c>
      <c r="L1686" s="2" t="s">
        <v>21127</v>
      </c>
      <c r="M1686" s="3" t="s">
        <v>626</v>
      </c>
      <c r="O1686" s="3" t="s">
        <v>63</v>
      </c>
      <c r="P1686" s="3" t="s">
        <v>354</v>
      </c>
      <c r="Q1686" s="2" t="s">
        <v>21128</v>
      </c>
      <c r="R1686" s="3" t="s">
        <v>65</v>
      </c>
      <c r="S1686" s="4">
        <v>1</v>
      </c>
      <c r="T1686" s="4">
        <v>1</v>
      </c>
      <c r="U1686" s="5" t="s">
        <v>20903</v>
      </c>
      <c r="V1686" s="5" t="s">
        <v>20903</v>
      </c>
      <c r="W1686" s="5" t="s">
        <v>585</v>
      </c>
      <c r="X1686" s="5" t="s">
        <v>585</v>
      </c>
      <c r="Y1686" s="4">
        <v>325</v>
      </c>
      <c r="Z1686" s="4">
        <v>251</v>
      </c>
      <c r="AA1686" s="4">
        <v>260</v>
      </c>
      <c r="AB1686" s="4">
        <v>1</v>
      </c>
      <c r="AC1686" s="4">
        <v>1</v>
      </c>
      <c r="AD1686" s="4">
        <v>12</v>
      </c>
      <c r="AE1686" s="4">
        <v>12</v>
      </c>
      <c r="AF1686" s="4">
        <v>5</v>
      </c>
      <c r="AG1686" s="4">
        <v>5</v>
      </c>
      <c r="AH1686" s="4">
        <v>4</v>
      </c>
      <c r="AI1686" s="4">
        <v>4</v>
      </c>
      <c r="AJ1686" s="4">
        <v>7</v>
      </c>
      <c r="AK1686" s="4">
        <v>7</v>
      </c>
      <c r="AL1686" s="4">
        <v>0</v>
      </c>
      <c r="AM1686" s="4">
        <v>0</v>
      </c>
      <c r="AN1686" s="4">
        <v>0</v>
      </c>
      <c r="AO1686" s="4">
        <v>0</v>
      </c>
      <c r="AP1686" s="3" t="s">
        <v>58</v>
      </c>
      <c r="AQ1686" s="3" t="s">
        <v>68</v>
      </c>
      <c r="AR1686" s="6" t="str">
        <f>HYPERLINK("http://catalog.hathitrust.org/Record/000592514","HathiTrust Record")</f>
        <v>HathiTrust Record</v>
      </c>
      <c r="AS1686" s="6" t="str">
        <f>HYPERLINK("https://creighton-primo.hosted.exlibrisgroup.com/primo-explore/search?tab=default_tab&amp;search_scope=EVERYTHING&amp;vid=01CRU&amp;lang=en_US&amp;offset=0&amp;query=any,contains,991000272349702656","Catalog Record")</f>
        <v>Catalog Record</v>
      </c>
      <c r="AT1686" s="6" t="str">
        <f>HYPERLINK("http://www.worldcat.org/oclc/9875115","WorldCat Record")</f>
        <v>WorldCat Record</v>
      </c>
      <c r="AU1686" s="3" t="s">
        <v>21129</v>
      </c>
      <c r="AV1686" s="3" t="s">
        <v>21130</v>
      </c>
      <c r="AW1686" s="3" t="s">
        <v>21131</v>
      </c>
      <c r="AX1686" s="3" t="s">
        <v>21131</v>
      </c>
      <c r="AY1686" s="3" t="s">
        <v>21132</v>
      </c>
      <c r="AZ1686" s="3" t="s">
        <v>73</v>
      </c>
      <c r="BB1686" s="3" t="s">
        <v>21133</v>
      </c>
      <c r="BC1686" s="3" t="s">
        <v>21134</v>
      </c>
      <c r="BD1686" s="3" t="s">
        <v>21135</v>
      </c>
    </row>
    <row r="1687" spans="1:56" ht="51" customHeight="1" x14ac:dyDescent="0.25">
      <c r="A1687" s="7" t="s">
        <v>58</v>
      </c>
      <c r="B1687" s="2" t="s">
        <v>21136</v>
      </c>
      <c r="C1687" s="2" t="s">
        <v>21137</v>
      </c>
      <c r="D1687" s="2" t="s">
        <v>21138</v>
      </c>
      <c r="F1687" s="3" t="s">
        <v>58</v>
      </c>
      <c r="G1687" s="3" t="s">
        <v>59</v>
      </c>
      <c r="H1687" s="3" t="s">
        <v>58</v>
      </c>
      <c r="I1687" s="3" t="s">
        <v>58</v>
      </c>
      <c r="J1687" s="3" t="s">
        <v>60</v>
      </c>
      <c r="K1687" s="2" t="s">
        <v>21139</v>
      </c>
      <c r="L1687" s="2" t="s">
        <v>7367</v>
      </c>
      <c r="M1687" s="3" t="s">
        <v>653</v>
      </c>
      <c r="O1687" s="3" t="s">
        <v>63</v>
      </c>
      <c r="P1687" s="3" t="s">
        <v>584</v>
      </c>
      <c r="Q1687" s="2" t="s">
        <v>21140</v>
      </c>
      <c r="R1687" s="3" t="s">
        <v>65</v>
      </c>
      <c r="S1687" s="4">
        <v>1</v>
      </c>
      <c r="T1687" s="4">
        <v>1</v>
      </c>
      <c r="U1687" s="5" t="s">
        <v>1560</v>
      </c>
      <c r="V1687" s="5" t="s">
        <v>1560</v>
      </c>
      <c r="W1687" s="5" t="s">
        <v>21141</v>
      </c>
      <c r="X1687" s="5" t="s">
        <v>21141</v>
      </c>
      <c r="Y1687" s="4">
        <v>540</v>
      </c>
      <c r="Z1687" s="4">
        <v>396</v>
      </c>
      <c r="AA1687" s="4">
        <v>418</v>
      </c>
      <c r="AB1687" s="4">
        <v>4</v>
      </c>
      <c r="AC1687" s="4">
        <v>4</v>
      </c>
      <c r="AD1687" s="4">
        <v>21</v>
      </c>
      <c r="AE1687" s="4">
        <v>23</v>
      </c>
      <c r="AF1687" s="4">
        <v>4</v>
      </c>
      <c r="AG1687" s="4">
        <v>5</v>
      </c>
      <c r="AH1687" s="4">
        <v>6</v>
      </c>
      <c r="AI1687" s="4">
        <v>6</v>
      </c>
      <c r="AJ1687" s="4">
        <v>12</v>
      </c>
      <c r="AK1687" s="4">
        <v>14</v>
      </c>
      <c r="AL1687" s="4">
        <v>3</v>
      </c>
      <c r="AM1687" s="4">
        <v>3</v>
      </c>
      <c r="AN1687" s="4">
        <v>0</v>
      </c>
      <c r="AO1687" s="4">
        <v>0</v>
      </c>
      <c r="AP1687" s="3" t="s">
        <v>58</v>
      </c>
      <c r="AQ1687" s="3" t="s">
        <v>58</v>
      </c>
      <c r="AS1687" s="6" t="str">
        <f>HYPERLINK("https://creighton-primo.hosted.exlibrisgroup.com/primo-explore/search?tab=default_tab&amp;search_scope=EVERYTHING&amp;vid=01CRU&amp;lang=en_US&amp;offset=0&amp;query=any,contains,991001622769702656","Catalog Record")</f>
        <v>Catalog Record</v>
      </c>
      <c r="AT1687" s="6" t="str">
        <f>HYPERLINK("http://www.worldcat.org/oclc/20826327","WorldCat Record")</f>
        <v>WorldCat Record</v>
      </c>
      <c r="AU1687" s="3" t="s">
        <v>21142</v>
      </c>
      <c r="AV1687" s="3" t="s">
        <v>21143</v>
      </c>
      <c r="AW1687" s="3" t="s">
        <v>21144</v>
      </c>
      <c r="AX1687" s="3" t="s">
        <v>21144</v>
      </c>
      <c r="AY1687" s="3" t="s">
        <v>21145</v>
      </c>
      <c r="AZ1687" s="3" t="s">
        <v>73</v>
      </c>
      <c r="BB1687" s="3" t="s">
        <v>21146</v>
      </c>
      <c r="BC1687" s="3" t="s">
        <v>21147</v>
      </c>
      <c r="BD1687" s="3" t="s">
        <v>21148</v>
      </c>
    </row>
    <row r="1688" spans="1:56" ht="51" customHeight="1" x14ac:dyDescent="0.25">
      <c r="A1688" s="7" t="s">
        <v>58</v>
      </c>
      <c r="B1688" s="2" t="s">
        <v>21149</v>
      </c>
      <c r="C1688" s="2" t="s">
        <v>21150</v>
      </c>
      <c r="D1688" s="2" t="s">
        <v>21151</v>
      </c>
      <c r="F1688" s="3" t="s">
        <v>58</v>
      </c>
      <c r="G1688" s="3" t="s">
        <v>59</v>
      </c>
      <c r="H1688" s="3" t="s">
        <v>58</v>
      </c>
      <c r="I1688" s="3" t="s">
        <v>58</v>
      </c>
      <c r="J1688" s="3" t="s">
        <v>60</v>
      </c>
      <c r="L1688" s="2" t="s">
        <v>21152</v>
      </c>
      <c r="M1688" s="3" t="s">
        <v>1544</v>
      </c>
      <c r="O1688" s="3" t="s">
        <v>63</v>
      </c>
      <c r="P1688" s="3" t="s">
        <v>584</v>
      </c>
      <c r="Q1688" s="2" t="s">
        <v>21153</v>
      </c>
      <c r="R1688" s="3" t="s">
        <v>65</v>
      </c>
      <c r="S1688" s="4">
        <v>3</v>
      </c>
      <c r="T1688" s="4">
        <v>3</v>
      </c>
      <c r="U1688" s="5" t="s">
        <v>21154</v>
      </c>
      <c r="V1688" s="5" t="s">
        <v>21154</v>
      </c>
      <c r="W1688" s="5" t="s">
        <v>21155</v>
      </c>
      <c r="X1688" s="5" t="s">
        <v>21155</v>
      </c>
      <c r="Y1688" s="4">
        <v>60</v>
      </c>
      <c r="Z1688" s="4">
        <v>18</v>
      </c>
      <c r="AA1688" s="4">
        <v>123</v>
      </c>
      <c r="AB1688" s="4">
        <v>1</v>
      </c>
      <c r="AC1688" s="4">
        <v>1</v>
      </c>
      <c r="AD1688" s="4">
        <v>1</v>
      </c>
      <c r="AE1688" s="4">
        <v>6</v>
      </c>
      <c r="AF1688" s="4">
        <v>0</v>
      </c>
      <c r="AG1688" s="4">
        <v>1</v>
      </c>
      <c r="AH1688" s="4">
        <v>1</v>
      </c>
      <c r="AI1688" s="4">
        <v>3</v>
      </c>
      <c r="AJ1688" s="4">
        <v>1</v>
      </c>
      <c r="AK1688" s="4">
        <v>5</v>
      </c>
      <c r="AL1688" s="4">
        <v>0</v>
      </c>
      <c r="AM1688" s="4">
        <v>0</v>
      </c>
      <c r="AN1688" s="4">
        <v>0</v>
      </c>
      <c r="AO1688" s="4">
        <v>0</v>
      </c>
      <c r="AP1688" s="3" t="s">
        <v>58</v>
      </c>
      <c r="AQ1688" s="3" t="s">
        <v>68</v>
      </c>
      <c r="AR1688" s="6" t="str">
        <f>HYPERLINK("http://catalog.hathitrust.org/Record/006041346","HathiTrust Record")</f>
        <v>HathiTrust Record</v>
      </c>
      <c r="AS1688" s="6" t="str">
        <f>HYPERLINK("https://creighton-primo.hosted.exlibrisgroup.com/primo-explore/search?tab=default_tab&amp;search_scope=EVERYTHING&amp;vid=01CRU&amp;lang=en_US&amp;offset=0&amp;query=any,contains,991002113629702656","Catalog Record")</f>
        <v>Catalog Record</v>
      </c>
      <c r="AT1688" s="6" t="str">
        <f>HYPERLINK("http://www.worldcat.org/oclc/27072170","WorldCat Record")</f>
        <v>WorldCat Record</v>
      </c>
      <c r="AU1688" s="3" t="s">
        <v>21156</v>
      </c>
      <c r="AV1688" s="3" t="s">
        <v>21157</v>
      </c>
      <c r="AW1688" s="3" t="s">
        <v>21158</v>
      </c>
      <c r="AX1688" s="3" t="s">
        <v>21158</v>
      </c>
      <c r="AY1688" s="3" t="s">
        <v>21159</v>
      </c>
      <c r="AZ1688" s="3" t="s">
        <v>73</v>
      </c>
      <c r="BB1688" s="3" t="s">
        <v>21160</v>
      </c>
      <c r="BC1688" s="3" t="s">
        <v>21161</v>
      </c>
      <c r="BD1688" s="3" t="s">
        <v>21162</v>
      </c>
    </row>
    <row r="1689" spans="1:56" ht="51" customHeight="1" x14ac:dyDescent="0.25">
      <c r="A1689" s="7" t="s">
        <v>58</v>
      </c>
      <c r="B1689" s="2" t="s">
        <v>21163</v>
      </c>
      <c r="C1689" s="2" t="s">
        <v>21164</v>
      </c>
      <c r="D1689" s="2" t="s">
        <v>21165</v>
      </c>
      <c r="F1689" s="3" t="s">
        <v>58</v>
      </c>
      <c r="G1689" s="3" t="s">
        <v>59</v>
      </c>
      <c r="H1689" s="3" t="s">
        <v>58</v>
      </c>
      <c r="I1689" s="3" t="s">
        <v>58</v>
      </c>
      <c r="J1689" s="3" t="s">
        <v>60</v>
      </c>
      <c r="K1689" s="2" t="s">
        <v>21166</v>
      </c>
      <c r="L1689" s="2" t="s">
        <v>21167</v>
      </c>
      <c r="M1689" s="3" t="s">
        <v>842</v>
      </c>
      <c r="O1689" s="3" t="s">
        <v>63</v>
      </c>
      <c r="P1689" s="3" t="s">
        <v>214</v>
      </c>
      <c r="R1689" s="3" t="s">
        <v>65</v>
      </c>
      <c r="S1689" s="4">
        <v>3</v>
      </c>
      <c r="T1689" s="4">
        <v>3</v>
      </c>
      <c r="U1689" s="5" t="s">
        <v>8152</v>
      </c>
      <c r="V1689" s="5" t="s">
        <v>8152</v>
      </c>
      <c r="W1689" s="5" t="s">
        <v>585</v>
      </c>
      <c r="X1689" s="5" t="s">
        <v>585</v>
      </c>
      <c r="Y1689" s="4">
        <v>231</v>
      </c>
      <c r="Z1689" s="4">
        <v>203</v>
      </c>
      <c r="AA1689" s="4">
        <v>259</v>
      </c>
      <c r="AB1689" s="4">
        <v>3</v>
      </c>
      <c r="AC1689" s="4">
        <v>4</v>
      </c>
      <c r="AD1689" s="4">
        <v>9</v>
      </c>
      <c r="AE1689" s="4">
        <v>11</v>
      </c>
      <c r="AF1689" s="4">
        <v>2</v>
      </c>
      <c r="AG1689" s="4">
        <v>3</v>
      </c>
      <c r="AH1689" s="4">
        <v>3</v>
      </c>
      <c r="AI1689" s="4">
        <v>3</v>
      </c>
      <c r="AJ1689" s="4">
        <v>4</v>
      </c>
      <c r="AK1689" s="4">
        <v>5</v>
      </c>
      <c r="AL1689" s="4">
        <v>2</v>
      </c>
      <c r="AM1689" s="4">
        <v>3</v>
      </c>
      <c r="AN1689" s="4">
        <v>0</v>
      </c>
      <c r="AO1689" s="4">
        <v>0</v>
      </c>
      <c r="AP1689" s="3" t="s">
        <v>58</v>
      </c>
      <c r="AQ1689" s="3" t="s">
        <v>58</v>
      </c>
      <c r="AS1689" s="6" t="str">
        <f>HYPERLINK("https://creighton-primo.hosted.exlibrisgroup.com/primo-explore/search?tab=default_tab&amp;search_scope=EVERYTHING&amp;vid=01CRU&amp;lang=en_US&amp;offset=0&amp;query=any,contains,991004952579702656","Catalog Record")</f>
        <v>Catalog Record</v>
      </c>
      <c r="AT1689" s="6" t="str">
        <f>HYPERLINK("http://www.worldcat.org/oclc/6251595","WorldCat Record")</f>
        <v>WorldCat Record</v>
      </c>
      <c r="AU1689" s="3" t="s">
        <v>21168</v>
      </c>
      <c r="AV1689" s="3" t="s">
        <v>21169</v>
      </c>
      <c r="AW1689" s="3" t="s">
        <v>21170</v>
      </c>
      <c r="AX1689" s="3" t="s">
        <v>21170</v>
      </c>
      <c r="AY1689" s="3" t="s">
        <v>21171</v>
      </c>
      <c r="AZ1689" s="3" t="s">
        <v>73</v>
      </c>
      <c r="BB1689" s="3" t="s">
        <v>21172</v>
      </c>
      <c r="BC1689" s="3" t="s">
        <v>21173</v>
      </c>
      <c r="BD1689" s="3" t="s">
        <v>21174</v>
      </c>
    </row>
    <row r="1690" spans="1:56" ht="51" customHeight="1" x14ac:dyDescent="0.25">
      <c r="A1690" s="7" t="s">
        <v>58</v>
      </c>
      <c r="B1690" s="2" t="s">
        <v>21175</v>
      </c>
      <c r="C1690" s="2" t="s">
        <v>21176</v>
      </c>
      <c r="D1690" s="2" t="s">
        <v>21177</v>
      </c>
      <c r="F1690" s="3" t="s">
        <v>58</v>
      </c>
      <c r="G1690" s="3" t="s">
        <v>59</v>
      </c>
      <c r="H1690" s="3" t="s">
        <v>58</v>
      </c>
      <c r="I1690" s="3" t="s">
        <v>58</v>
      </c>
      <c r="J1690" s="3" t="s">
        <v>60</v>
      </c>
      <c r="K1690" s="2" t="s">
        <v>20567</v>
      </c>
      <c r="L1690" s="2" t="s">
        <v>21178</v>
      </c>
      <c r="M1690" s="3" t="s">
        <v>368</v>
      </c>
      <c r="O1690" s="3" t="s">
        <v>63</v>
      </c>
      <c r="P1690" s="3" t="s">
        <v>816</v>
      </c>
      <c r="Q1690" s="2" t="s">
        <v>21179</v>
      </c>
      <c r="R1690" s="3" t="s">
        <v>65</v>
      </c>
      <c r="S1690" s="4">
        <v>3</v>
      </c>
      <c r="T1690" s="4">
        <v>3</v>
      </c>
      <c r="U1690" s="5" t="s">
        <v>6898</v>
      </c>
      <c r="V1690" s="5" t="s">
        <v>6898</v>
      </c>
      <c r="W1690" s="5" t="s">
        <v>3201</v>
      </c>
      <c r="X1690" s="5" t="s">
        <v>3201</v>
      </c>
      <c r="Y1690" s="4">
        <v>438</v>
      </c>
      <c r="Z1690" s="4">
        <v>293</v>
      </c>
      <c r="AA1690" s="4">
        <v>347</v>
      </c>
      <c r="AB1690" s="4">
        <v>3</v>
      </c>
      <c r="AC1690" s="4">
        <v>3</v>
      </c>
      <c r="AD1690" s="4">
        <v>13</v>
      </c>
      <c r="AE1690" s="4">
        <v>14</v>
      </c>
      <c r="AF1690" s="4">
        <v>2</v>
      </c>
      <c r="AG1690" s="4">
        <v>2</v>
      </c>
      <c r="AH1690" s="4">
        <v>4</v>
      </c>
      <c r="AI1690" s="4">
        <v>4</v>
      </c>
      <c r="AJ1690" s="4">
        <v>9</v>
      </c>
      <c r="AK1690" s="4">
        <v>10</v>
      </c>
      <c r="AL1690" s="4">
        <v>2</v>
      </c>
      <c r="AM1690" s="4">
        <v>2</v>
      </c>
      <c r="AN1690" s="4">
        <v>0</v>
      </c>
      <c r="AO1690" s="4">
        <v>0</v>
      </c>
      <c r="AP1690" s="3" t="s">
        <v>58</v>
      </c>
      <c r="AQ1690" s="3" t="s">
        <v>58</v>
      </c>
      <c r="AS1690" s="6" t="str">
        <f>HYPERLINK("https://creighton-primo.hosted.exlibrisgroup.com/primo-explore/search?tab=default_tab&amp;search_scope=EVERYTHING&amp;vid=01CRU&amp;lang=en_US&amp;offset=0&amp;query=any,contains,991003909349702656","Catalog Record")</f>
        <v>Catalog Record</v>
      </c>
      <c r="AT1690" s="6" t="str">
        <f>HYPERLINK("http://www.worldcat.org/oclc/1848902","WorldCat Record")</f>
        <v>WorldCat Record</v>
      </c>
      <c r="AU1690" s="3" t="s">
        <v>21180</v>
      </c>
      <c r="AV1690" s="3" t="s">
        <v>21181</v>
      </c>
      <c r="AW1690" s="3" t="s">
        <v>21182</v>
      </c>
      <c r="AX1690" s="3" t="s">
        <v>21182</v>
      </c>
      <c r="AY1690" s="3" t="s">
        <v>21183</v>
      </c>
      <c r="AZ1690" s="3" t="s">
        <v>73</v>
      </c>
      <c r="BB1690" s="3" t="s">
        <v>21184</v>
      </c>
      <c r="BC1690" s="3" t="s">
        <v>21185</v>
      </c>
      <c r="BD1690" s="3" t="s">
        <v>21186</v>
      </c>
    </row>
    <row r="1691" spans="1:56" ht="51" customHeight="1" x14ac:dyDescent="0.25">
      <c r="A1691" s="7" t="s">
        <v>58</v>
      </c>
      <c r="B1691" s="2" t="s">
        <v>21187</v>
      </c>
      <c r="C1691" s="2" t="s">
        <v>21188</v>
      </c>
      <c r="D1691" s="2" t="s">
        <v>21189</v>
      </c>
      <c r="F1691" s="3" t="s">
        <v>58</v>
      </c>
      <c r="G1691" s="3" t="s">
        <v>59</v>
      </c>
      <c r="H1691" s="3" t="s">
        <v>58</v>
      </c>
      <c r="I1691" s="3" t="s">
        <v>58</v>
      </c>
      <c r="J1691" s="3" t="s">
        <v>60</v>
      </c>
      <c r="K1691" s="2" t="s">
        <v>21190</v>
      </c>
      <c r="L1691" s="2" t="s">
        <v>21191</v>
      </c>
      <c r="M1691" s="3" t="s">
        <v>1357</v>
      </c>
      <c r="O1691" s="3" t="s">
        <v>63</v>
      </c>
      <c r="P1691" s="3" t="s">
        <v>3109</v>
      </c>
      <c r="R1691" s="3" t="s">
        <v>65</v>
      </c>
      <c r="S1691" s="4">
        <v>2</v>
      </c>
      <c r="T1691" s="4">
        <v>2</v>
      </c>
      <c r="U1691" s="5" t="s">
        <v>4142</v>
      </c>
      <c r="V1691" s="5" t="s">
        <v>4142</v>
      </c>
      <c r="W1691" s="5" t="s">
        <v>2955</v>
      </c>
      <c r="X1691" s="5" t="s">
        <v>2955</v>
      </c>
      <c r="Y1691" s="4">
        <v>629</v>
      </c>
      <c r="Z1691" s="4">
        <v>501</v>
      </c>
      <c r="AA1691" s="4">
        <v>506</v>
      </c>
      <c r="AB1691" s="4">
        <v>6</v>
      </c>
      <c r="AC1691" s="4">
        <v>6</v>
      </c>
      <c r="AD1691" s="4">
        <v>27</v>
      </c>
      <c r="AE1691" s="4">
        <v>27</v>
      </c>
      <c r="AF1691" s="4">
        <v>8</v>
      </c>
      <c r="AG1691" s="4">
        <v>8</v>
      </c>
      <c r="AH1691" s="4">
        <v>8</v>
      </c>
      <c r="AI1691" s="4">
        <v>8</v>
      </c>
      <c r="AJ1691" s="4">
        <v>11</v>
      </c>
      <c r="AK1691" s="4">
        <v>11</v>
      </c>
      <c r="AL1691" s="4">
        <v>5</v>
      </c>
      <c r="AM1691" s="4">
        <v>5</v>
      </c>
      <c r="AN1691" s="4">
        <v>0</v>
      </c>
      <c r="AO1691" s="4">
        <v>0</v>
      </c>
      <c r="AP1691" s="3" t="s">
        <v>58</v>
      </c>
      <c r="AQ1691" s="3" t="s">
        <v>68</v>
      </c>
      <c r="AR1691" s="6" t="str">
        <f>HYPERLINK("http://catalog.hathitrust.org/Record/001241325","HathiTrust Record")</f>
        <v>HathiTrust Record</v>
      </c>
      <c r="AS1691" s="6" t="str">
        <f>HYPERLINK("https://creighton-primo.hosted.exlibrisgroup.com/primo-explore/search?tab=default_tab&amp;search_scope=EVERYTHING&amp;vid=01CRU&amp;lang=en_US&amp;offset=0&amp;query=any,contains,991000607589702656","Catalog Record")</f>
        <v>Catalog Record</v>
      </c>
      <c r="AT1691" s="6" t="str">
        <f>HYPERLINK("http://www.worldcat.org/oclc/99612","WorldCat Record")</f>
        <v>WorldCat Record</v>
      </c>
      <c r="AU1691" s="3" t="s">
        <v>21192</v>
      </c>
      <c r="AV1691" s="3" t="s">
        <v>21193</v>
      </c>
      <c r="AW1691" s="3" t="s">
        <v>21194</v>
      </c>
      <c r="AX1691" s="3" t="s">
        <v>21194</v>
      </c>
      <c r="AY1691" s="3" t="s">
        <v>21195</v>
      </c>
      <c r="AZ1691" s="3" t="s">
        <v>73</v>
      </c>
      <c r="BB1691" s="3" t="s">
        <v>21196</v>
      </c>
      <c r="BC1691" s="3" t="s">
        <v>21197</v>
      </c>
      <c r="BD1691" s="3" t="s">
        <v>21198</v>
      </c>
    </row>
    <row r="1692" spans="1:56" ht="51" customHeight="1" x14ac:dyDescent="0.25">
      <c r="A1692" s="7" t="s">
        <v>58</v>
      </c>
      <c r="B1692" s="2" t="s">
        <v>21199</v>
      </c>
      <c r="C1692" s="2" t="s">
        <v>21200</v>
      </c>
      <c r="D1692" s="2" t="s">
        <v>21201</v>
      </c>
      <c r="F1692" s="3" t="s">
        <v>58</v>
      </c>
      <c r="G1692" s="3" t="s">
        <v>59</v>
      </c>
      <c r="H1692" s="3" t="s">
        <v>58</v>
      </c>
      <c r="I1692" s="3" t="s">
        <v>58</v>
      </c>
      <c r="J1692" s="3" t="s">
        <v>60</v>
      </c>
      <c r="K1692" s="2" t="s">
        <v>21202</v>
      </c>
      <c r="L1692" s="2" t="s">
        <v>21203</v>
      </c>
      <c r="M1692" s="3" t="s">
        <v>101</v>
      </c>
      <c r="O1692" s="3" t="s">
        <v>63</v>
      </c>
      <c r="P1692" s="3" t="s">
        <v>584</v>
      </c>
      <c r="R1692" s="3" t="s">
        <v>65</v>
      </c>
      <c r="S1692" s="4">
        <v>1</v>
      </c>
      <c r="T1692" s="4">
        <v>1</v>
      </c>
      <c r="U1692" s="5" t="s">
        <v>21204</v>
      </c>
      <c r="V1692" s="5" t="s">
        <v>21204</v>
      </c>
      <c r="W1692" s="5" t="s">
        <v>17640</v>
      </c>
      <c r="X1692" s="5" t="s">
        <v>17640</v>
      </c>
      <c r="Y1692" s="4">
        <v>793</v>
      </c>
      <c r="Z1692" s="4">
        <v>595</v>
      </c>
      <c r="AA1692" s="4">
        <v>599</v>
      </c>
      <c r="AB1692" s="4">
        <v>3</v>
      </c>
      <c r="AC1692" s="4">
        <v>3</v>
      </c>
      <c r="AD1692" s="4">
        <v>30</v>
      </c>
      <c r="AE1692" s="4">
        <v>30</v>
      </c>
      <c r="AF1692" s="4">
        <v>12</v>
      </c>
      <c r="AG1692" s="4">
        <v>12</v>
      </c>
      <c r="AH1692" s="4">
        <v>8</v>
      </c>
      <c r="AI1692" s="4">
        <v>8</v>
      </c>
      <c r="AJ1692" s="4">
        <v>18</v>
      </c>
      <c r="AK1692" s="4">
        <v>18</v>
      </c>
      <c r="AL1692" s="4">
        <v>2</v>
      </c>
      <c r="AM1692" s="4">
        <v>2</v>
      </c>
      <c r="AN1692" s="4">
        <v>0</v>
      </c>
      <c r="AO1692" s="4">
        <v>0</v>
      </c>
      <c r="AP1692" s="3" t="s">
        <v>58</v>
      </c>
      <c r="AQ1692" s="3" t="s">
        <v>58</v>
      </c>
      <c r="AS1692" s="6" t="str">
        <f>HYPERLINK("https://creighton-primo.hosted.exlibrisgroup.com/primo-explore/search?tab=default_tab&amp;search_scope=EVERYTHING&amp;vid=01CRU&amp;lang=en_US&amp;offset=0&amp;query=any,contains,991000283129702656","Catalog Record")</f>
        <v>Catalog Record</v>
      </c>
      <c r="AT1692" s="6" t="str">
        <f>HYPERLINK("http://www.worldcat.org/oclc/9919777","WorldCat Record")</f>
        <v>WorldCat Record</v>
      </c>
      <c r="AU1692" s="3" t="s">
        <v>21205</v>
      </c>
      <c r="AV1692" s="3" t="s">
        <v>21206</v>
      </c>
      <c r="AW1692" s="3" t="s">
        <v>21207</v>
      </c>
      <c r="AX1692" s="3" t="s">
        <v>21207</v>
      </c>
      <c r="AY1692" s="3" t="s">
        <v>21208</v>
      </c>
      <c r="AZ1692" s="3" t="s">
        <v>73</v>
      </c>
      <c r="BB1692" s="3" t="s">
        <v>21209</v>
      </c>
      <c r="BC1692" s="3" t="s">
        <v>21210</v>
      </c>
      <c r="BD1692" s="3" t="s">
        <v>21211</v>
      </c>
    </row>
    <row r="1693" spans="1:56" ht="51" customHeight="1" x14ac:dyDescent="0.25">
      <c r="A1693" s="7" t="s">
        <v>58</v>
      </c>
      <c r="B1693" s="2" t="s">
        <v>21212</v>
      </c>
      <c r="C1693" s="2" t="s">
        <v>21213</v>
      </c>
      <c r="D1693" s="2" t="s">
        <v>21214</v>
      </c>
      <c r="F1693" s="3" t="s">
        <v>58</v>
      </c>
      <c r="G1693" s="3" t="s">
        <v>59</v>
      </c>
      <c r="H1693" s="3" t="s">
        <v>58</v>
      </c>
      <c r="I1693" s="3" t="s">
        <v>58</v>
      </c>
      <c r="J1693" s="3" t="s">
        <v>60</v>
      </c>
      <c r="K1693" s="2" t="s">
        <v>21215</v>
      </c>
      <c r="L1693" s="2" t="s">
        <v>21216</v>
      </c>
      <c r="M1693" s="3" t="s">
        <v>524</v>
      </c>
      <c r="O1693" s="3" t="s">
        <v>63</v>
      </c>
      <c r="P1693" s="3" t="s">
        <v>3109</v>
      </c>
      <c r="R1693" s="3" t="s">
        <v>65</v>
      </c>
      <c r="S1693" s="4">
        <v>2</v>
      </c>
      <c r="T1693" s="4">
        <v>2</v>
      </c>
      <c r="U1693" s="5" t="s">
        <v>12419</v>
      </c>
      <c r="V1693" s="5" t="s">
        <v>12419</v>
      </c>
      <c r="W1693" s="5" t="s">
        <v>585</v>
      </c>
      <c r="X1693" s="5" t="s">
        <v>585</v>
      </c>
      <c r="Y1693" s="4">
        <v>947</v>
      </c>
      <c r="Z1693" s="4">
        <v>837</v>
      </c>
      <c r="AA1693" s="4">
        <v>903</v>
      </c>
      <c r="AB1693" s="4">
        <v>5</v>
      </c>
      <c r="AC1693" s="4">
        <v>5</v>
      </c>
      <c r="AD1693" s="4">
        <v>32</v>
      </c>
      <c r="AE1693" s="4">
        <v>34</v>
      </c>
      <c r="AF1693" s="4">
        <v>11</v>
      </c>
      <c r="AG1693" s="4">
        <v>12</v>
      </c>
      <c r="AH1693" s="4">
        <v>7</v>
      </c>
      <c r="AI1693" s="4">
        <v>7</v>
      </c>
      <c r="AJ1693" s="4">
        <v>19</v>
      </c>
      <c r="AK1693" s="4">
        <v>21</v>
      </c>
      <c r="AL1693" s="4">
        <v>4</v>
      </c>
      <c r="AM1693" s="4">
        <v>4</v>
      </c>
      <c r="AN1693" s="4">
        <v>1</v>
      </c>
      <c r="AO1693" s="4">
        <v>1</v>
      </c>
      <c r="AP1693" s="3" t="s">
        <v>58</v>
      </c>
      <c r="AQ1693" s="3" t="s">
        <v>68</v>
      </c>
      <c r="AR1693" s="6" t="str">
        <f>HYPERLINK("http://catalog.hathitrust.org/Record/000805152","HathiTrust Record")</f>
        <v>HathiTrust Record</v>
      </c>
      <c r="AS1693" s="6" t="str">
        <f>HYPERLINK("https://creighton-primo.hosted.exlibrisgroup.com/primo-explore/search?tab=default_tab&amp;search_scope=EVERYTHING&amp;vid=01CRU&amp;lang=en_US&amp;offset=0&amp;query=any,contains,991000858049702656","Catalog Record")</f>
        <v>Catalog Record</v>
      </c>
      <c r="AT1693" s="6" t="str">
        <f>HYPERLINK("http://www.worldcat.org/oclc/13667151","WorldCat Record")</f>
        <v>WorldCat Record</v>
      </c>
      <c r="AU1693" s="3" t="s">
        <v>21217</v>
      </c>
      <c r="AV1693" s="3" t="s">
        <v>21218</v>
      </c>
      <c r="AW1693" s="3" t="s">
        <v>21219</v>
      </c>
      <c r="AX1693" s="3" t="s">
        <v>21219</v>
      </c>
      <c r="AY1693" s="3" t="s">
        <v>21220</v>
      </c>
      <c r="AZ1693" s="3" t="s">
        <v>73</v>
      </c>
      <c r="BB1693" s="3" t="s">
        <v>21221</v>
      </c>
      <c r="BC1693" s="3" t="s">
        <v>21222</v>
      </c>
      <c r="BD1693" s="3" t="s">
        <v>21223</v>
      </c>
    </row>
    <row r="1694" spans="1:56" ht="51" customHeight="1" x14ac:dyDescent="0.25">
      <c r="A1694" s="7" t="s">
        <v>58</v>
      </c>
      <c r="B1694" s="2" t="s">
        <v>21224</v>
      </c>
      <c r="C1694" s="2" t="s">
        <v>21225</v>
      </c>
      <c r="D1694" s="2" t="s">
        <v>21226</v>
      </c>
      <c r="F1694" s="3" t="s">
        <v>58</v>
      </c>
      <c r="G1694" s="3" t="s">
        <v>59</v>
      </c>
      <c r="H1694" s="3" t="s">
        <v>58</v>
      </c>
      <c r="I1694" s="3" t="s">
        <v>58</v>
      </c>
      <c r="J1694" s="3" t="s">
        <v>60</v>
      </c>
      <c r="K1694" s="2" t="s">
        <v>21227</v>
      </c>
      <c r="L1694" s="2" t="s">
        <v>21228</v>
      </c>
      <c r="M1694" s="3" t="s">
        <v>2186</v>
      </c>
      <c r="O1694" s="3" t="s">
        <v>63</v>
      </c>
      <c r="P1694" s="3" t="s">
        <v>510</v>
      </c>
      <c r="R1694" s="3" t="s">
        <v>65</v>
      </c>
      <c r="S1694" s="4">
        <v>1</v>
      </c>
      <c r="T1694" s="4">
        <v>1</v>
      </c>
      <c r="U1694" s="5" t="s">
        <v>12146</v>
      </c>
      <c r="V1694" s="5" t="s">
        <v>12146</v>
      </c>
      <c r="W1694" s="5" t="s">
        <v>12146</v>
      </c>
      <c r="X1694" s="5" t="s">
        <v>12146</v>
      </c>
      <c r="Y1694" s="4">
        <v>270</v>
      </c>
      <c r="Z1694" s="4">
        <v>203</v>
      </c>
      <c r="AA1694" s="4">
        <v>562</v>
      </c>
      <c r="AB1694" s="4">
        <v>3</v>
      </c>
      <c r="AC1694" s="4">
        <v>5</v>
      </c>
      <c r="AD1694" s="4">
        <v>12</v>
      </c>
      <c r="AE1694" s="4">
        <v>17</v>
      </c>
      <c r="AF1694" s="4">
        <v>4</v>
      </c>
      <c r="AG1694" s="4">
        <v>6</v>
      </c>
      <c r="AH1694" s="4">
        <v>4</v>
      </c>
      <c r="AI1694" s="4">
        <v>4</v>
      </c>
      <c r="AJ1694" s="4">
        <v>6</v>
      </c>
      <c r="AK1694" s="4">
        <v>7</v>
      </c>
      <c r="AL1694" s="4">
        <v>2</v>
      </c>
      <c r="AM1694" s="4">
        <v>4</v>
      </c>
      <c r="AN1694" s="4">
        <v>0</v>
      </c>
      <c r="AO1694" s="4">
        <v>0</v>
      </c>
      <c r="AP1694" s="3" t="s">
        <v>58</v>
      </c>
      <c r="AQ1694" s="3" t="s">
        <v>68</v>
      </c>
      <c r="AR1694" s="6" t="str">
        <f>HYPERLINK("http://catalog.hathitrust.org/Record/005406944","HathiTrust Record")</f>
        <v>HathiTrust Record</v>
      </c>
      <c r="AS1694" s="6" t="str">
        <f>HYPERLINK("https://creighton-primo.hosted.exlibrisgroup.com/primo-explore/search?tab=default_tab&amp;search_scope=EVERYTHING&amp;vid=01CRU&amp;lang=en_US&amp;offset=0&amp;query=any,contains,991005116219702656","Catalog Record")</f>
        <v>Catalog Record</v>
      </c>
      <c r="AT1694" s="6" t="str">
        <f>HYPERLINK("http://www.worldcat.org/oclc/71163997","WorldCat Record")</f>
        <v>WorldCat Record</v>
      </c>
      <c r="AU1694" s="3" t="s">
        <v>21229</v>
      </c>
      <c r="AV1694" s="3" t="s">
        <v>21230</v>
      </c>
      <c r="AW1694" s="3" t="s">
        <v>21231</v>
      </c>
      <c r="AX1694" s="3" t="s">
        <v>21231</v>
      </c>
      <c r="AY1694" s="3" t="s">
        <v>21232</v>
      </c>
      <c r="AZ1694" s="3" t="s">
        <v>73</v>
      </c>
      <c r="BB1694" s="3" t="s">
        <v>21233</v>
      </c>
      <c r="BC1694" s="3" t="s">
        <v>21234</v>
      </c>
      <c r="BD1694" s="3" t="s">
        <v>21235</v>
      </c>
    </row>
    <row r="1695" spans="1:56" ht="51" customHeight="1" x14ac:dyDescent="0.25">
      <c r="A1695" s="7" t="s">
        <v>58</v>
      </c>
      <c r="B1695" s="2" t="s">
        <v>21236</v>
      </c>
      <c r="C1695" s="2" t="s">
        <v>21237</v>
      </c>
      <c r="D1695" s="2" t="s">
        <v>21238</v>
      </c>
      <c r="F1695" s="3" t="s">
        <v>58</v>
      </c>
      <c r="G1695" s="3" t="s">
        <v>59</v>
      </c>
      <c r="H1695" s="3" t="s">
        <v>58</v>
      </c>
      <c r="I1695" s="3" t="s">
        <v>58</v>
      </c>
      <c r="J1695" s="3" t="s">
        <v>60</v>
      </c>
      <c r="K1695" s="2" t="s">
        <v>21239</v>
      </c>
      <c r="L1695" s="2" t="s">
        <v>21240</v>
      </c>
      <c r="M1695" s="3" t="s">
        <v>382</v>
      </c>
      <c r="O1695" s="3" t="s">
        <v>63</v>
      </c>
      <c r="P1695" s="3" t="s">
        <v>214</v>
      </c>
      <c r="R1695" s="3" t="s">
        <v>65</v>
      </c>
      <c r="S1695" s="4">
        <v>1</v>
      </c>
      <c r="T1695" s="4">
        <v>1</v>
      </c>
      <c r="U1695" s="5" t="s">
        <v>2965</v>
      </c>
      <c r="V1695" s="5" t="s">
        <v>2965</v>
      </c>
      <c r="W1695" s="5" t="s">
        <v>21241</v>
      </c>
      <c r="X1695" s="5" t="s">
        <v>21241</v>
      </c>
      <c r="Y1695" s="4">
        <v>172</v>
      </c>
      <c r="Z1695" s="4">
        <v>147</v>
      </c>
      <c r="AA1695" s="4">
        <v>178</v>
      </c>
      <c r="AB1695" s="4">
        <v>2</v>
      </c>
      <c r="AC1695" s="4">
        <v>2</v>
      </c>
      <c r="AD1695" s="4">
        <v>8</v>
      </c>
      <c r="AE1695" s="4">
        <v>10</v>
      </c>
      <c r="AF1695" s="4">
        <v>1</v>
      </c>
      <c r="AG1695" s="4">
        <v>1</v>
      </c>
      <c r="AH1695" s="4">
        <v>3</v>
      </c>
      <c r="AI1695" s="4">
        <v>5</v>
      </c>
      <c r="AJ1695" s="4">
        <v>4</v>
      </c>
      <c r="AK1695" s="4">
        <v>6</v>
      </c>
      <c r="AL1695" s="4">
        <v>1</v>
      </c>
      <c r="AM1695" s="4">
        <v>1</v>
      </c>
      <c r="AN1695" s="4">
        <v>0</v>
      </c>
      <c r="AO1695" s="4">
        <v>0</v>
      </c>
      <c r="AP1695" s="3" t="s">
        <v>58</v>
      </c>
      <c r="AQ1695" s="3" t="s">
        <v>58</v>
      </c>
      <c r="AS1695" s="6" t="str">
        <f>HYPERLINK("https://creighton-primo.hosted.exlibrisgroup.com/primo-explore/search?tab=default_tab&amp;search_scope=EVERYTHING&amp;vid=01CRU&amp;lang=en_US&amp;offset=0&amp;query=any,contains,991003016069702656","Catalog Record")</f>
        <v>Catalog Record</v>
      </c>
      <c r="AT1695" s="6" t="str">
        <f>HYPERLINK("http://www.worldcat.org/oclc/41026427","WorldCat Record")</f>
        <v>WorldCat Record</v>
      </c>
      <c r="AU1695" s="3" t="s">
        <v>21242</v>
      </c>
      <c r="AV1695" s="3" t="s">
        <v>21243</v>
      </c>
      <c r="AW1695" s="3" t="s">
        <v>21244</v>
      </c>
      <c r="AX1695" s="3" t="s">
        <v>21244</v>
      </c>
      <c r="AY1695" s="3" t="s">
        <v>21245</v>
      </c>
      <c r="AZ1695" s="3" t="s">
        <v>73</v>
      </c>
      <c r="BB1695" s="3" t="s">
        <v>21246</v>
      </c>
      <c r="BC1695" s="3" t="s">
        <v>21247</v>
      </c>
      <c r="BD1695" s="3" t="s">
        <v>21248</v>
      </c>
    </row>
    <row r="1696" spans="1:56" ht="51" customHeight="1" x14ac:dyDescent="0.25">
      <c r="A1696" s="7" t="s">
        <v>58</v>
      </c>
      <c r="B1696" s="2" t="s">
        <v>21249</v>
      </c>
      <c r="C1696" s="2" t="s">
        <v>21250</v>
      </c>
      <c r="D1696" s="2" t="s">
        <v>21251</v>
      </c>
      <c r="F1696" s="3" t="s">
        <v>58</v>
      </c>
      <c r="G1696" s="3" t="s">
        <v>59</v>
      </c>
      <c r="H1696" s="3" t="s">
        <v>58</v>
      </c>
      <c r="I1696" s="3" t="s">
        <v>58</v>
      </c>
      <c r="J1696" s="3" t="s">
        <v>60</v>
      </c>
      <c r="K1696" s="2" t="s">
        <v>21252</v>
      </c>
      <c r="L1696" s="2" t="s">
        <v>21253</v>
      </c>
      <c r="M1696" s="3" t="s">
        <v>325</v>
      </c>
      <c r="O1696" s="3" t="s">
        <v>63</v>
      </c>
      <c r="P1696" s="3" t="s">
        <v>6817</v>
      </c>
      <c r="R1696" s="3" t="s">
        <v>65</v>
      </c>
      <c r="S1696" s="4">
        <v>1</v>
      </c>
      <c r="T1696" s="4">
        <v>1</v>
      </c>
      <c r="U1696" s="5" t="s">
        <v>21254</v>
      </c>
      <c r="V1696" s="5" t="s">
        <v>21254</v>
      </c>
      <c r="W1696" s="5" t="s">
        <v>20416</v>
      </c>
      <c r="X1696" s="5" t="s">
        <v>20416</v>
      </c>
      <c r="Y1696" s="4">
        <v>473</v>
      </c>
      <c r="Z1696" s="4">
        <v>385</v>
      </c>
      <c r="AA1696" s="4">
        <v>575</v>
      </c>
      <c r="AB1696" s="4">
        <v>3</v>
      </c>
      <c r="AC1696" s="4">
        <v>5</v>
      </c>
      <c r="AD1696" s="4">
        <v>15</v>
      </c>
      <c r="AE1696" s="4">
        <v>24</v>
      </c>
      <c r="AF1696" s="4">
        <v>5</v>
      </c>
      <c r="AG1696" s="4">
        <v>6</v>
      </c>
      <c r="AH1696" s="4">
        <v>3</v>
      </c>
      <c r="AI1696" s="4">
        <v>6</v>
      </c>
      <c r="AJ1696" s="4">
        <v>9</v>
      </c>
      <c r="AK1696" s="4">
        <v>14</v>
      </c>
      <c r="AL1696" s="4">
        <v>2</v>
      </c>
      <c r="AM1696" s="4">
        <v>4</v>
      </c>
      <c r="AN1696" s="4">
        <v>0</v>
      </c>
      <c r="AO1696" s="4">
        <v>0</v>
      </c>
      <c r="AP1696" s="3" t="s">
        <v>58</v>
      </c>
      <c r="AQ1696" s="3" t="s">
        <v>68</v>
      </c>
      <c r="AR1696" s="6" t="str">
        <f>HYPERLINK("http://catalog.hathitrust.org/Record/001241352","HathiTrust Record")</f>
        <v>HathiTrust Record</v>
      </c>
      <c r="AS1696" s="6" t="str">
        <f>HYPERLINK("https://creighton-primo.hosted.exlibrisgroup.com/primo-explore/search?tab=default_tab&amp;search_scope=EVERYTHING&amp;vid=01CRU&amp;lang=en_US&amp;offset=0&amp;query=any,contains,991002279019702656","Catalog Record")</f>
        <v>Catalog Record</v>
      </c>
      <c r="AT1696" s="6" t="str">
        <f>HYPERLINK("http://www.worldcat.org/oclc/310686","WorldCat Record")</f>
        <v>WorldCat Record</v>
      </c>
      <c r="AU1696" s="3" t="s">
        <v>21255</v>
      </c>
      <c r="AV1696" s="3" t="s">
        <v>21256</v>
      </c>
      <c r="AW1696" s="3" t="s">
        <v>21257</v>
      </c>
      <c r="AX1696" s="3" t="s">
        <v>21257</v>
      </c>
      <c r="AY1696" s="3" t="s">
        <v>21258</v>
      </c>
      <c r="AZ1696" s="3" t="s">
        <v>73</v>
      </c>
      <c r="BC1696" s="3" t="s">
        <v>21259</v>
      </c>
      <c r="BD1696" s="3" t="s">
        <v>21260</v>
      </c>
    </row>
    <row r="1697" spans="1:56" ht="51" customHeight="1" x14ac:dyDescent="0.25">
      <c r="A1697" s="7" t="s">
        <v>58</v>
      </c>
      <c r="B1697" s="2" t="s">
        <v>21261</v>
      </c>
      <c r="C1697" s="2" t="s">
        <v>21262</v>
      </c>
      <c r="D1697" s="2" t="s">
        <v>21263</v>
      </c>
      <c r="F1697" s="3" t="s">
        <v>58</v>
      </c>
      <c r="G1697" s="3" t="s">
        <v>59</v>
      </c>
      <c r="H1697" s="3" t="s">
        <v>58</v>
      </c>
      <c r="I1697" s="3" t="s">
        <v>58</v>
      </c>
      <c r="J1697" s="3" t="s">
        <v>60</v>
      </c>
      <c r="K1697" s="2" t="s">
        <v>21264</v>
      </c>
      <c r="L1697" s="2" t="s">
        <v>7367</v>
      </c>
      <c r="M1697" s="3" t="s">
        <v>653</v>
      </c>
      <c r="O1697" s="3" t="s">
        <v>63</v>
      </c>
      <c r="P1697" s="3" t="s">
        <v>584</v>
      </c>
      <c r="R1697" s="3" t="s">
        <v>65</v>
      </c>
      <c r="S1697" s="4">
        <v>3</v>
      </c>
      <c r="T1697" s="4">
        <v>3</v>
      </c>
      <c r="U1697" s="5" t="s">
        <v>11469</v>
      </c>
      <c r="V1697" s="5" t="s">
        <v>11469</v>
      </c>
      <c r="W1697" s="5" t="s">
        <v>21265</v>
      </c>
      <c r="X1697" s="5" t="s">
        <v>21265</v>
      </c>
      <c r="Y1697" s="4">
        <v>528</v>
      </c>
      <c r="Z1697" s="4">
        <v>389</v>
      </c>
      <c r="AA1697" s="4">
        <v>390</v>
      </c>
      <c r="AB1697" s="4">
        <v>3</v>
      </c>
      <c r="AC1697" s="4">
        <v>3</v>
      </c>
      <c r="AD1697" s="4">
        <v>23</v>
      </c>
      <c r="AE1697" s="4">
        <v>23</v>
      </c>
      <c r="AF1697" s="4">
        <v>6</v>
      </c>
      <c r="AG1697" s="4">
        <v>6</v>
      </c>
      <c r="AH1697" s="4">
        <v>7</v>
      </c>
      <c r="AI1697" s="4">
        <v>7</v>
      </c>
      <c r="AJ1697" s="4">
        <v>12</v>
      </c>
      <c r="AK1697" s="4">
        <v>12</v>
      </c>
      <c r="AL1697" s="4">
        <v>2</v>
      </c>
      <c r="AM1697" s="4">
        <v>2</v>
      </c>
      <c r="AN1697" s="4">
        <v>0</v>
      </c>
      <c r="AO1697" s="4">
        <v>0</v>
      </c>
      <c r="AP1697" s="3" t="s">
        <v>58</v>
      </c>
      <c r="AQ1697" s="3" t="s">
        <v>58</v>
      </c>
      <c r="AS1697" s="6" t="str">
        <f>HYPERLINK("https://creighton-primo.hosted.exlibrisgroup.com/primo-explore/search?tab=default_tab&amp;search_scope=EVERYTHING&amp;vid=01CRU&amp;lang=en_US&amp;offset=0&amp;query=any,contains,991001650339702656","Catalog Record")</f>
        <v>Catalog Record</v>
      </c>
      <c r="AT1697" s="6" t="str">
        <f>HYPERLINK("http://www.worldcat.org/oclc/21080238","WorldCat Record")</f>
        <v>WorldCat Record</v>
      </c>
      <c r="AU1697" s="3" t="s">
        <v>21266</v>
      </c>
      <c r="AV1697" s="3" t="s">
        <v>21267</v>
      </c>
      <c r="AW1697" s="3" t="s">
        <v>21268</v>
      </c>
      <c r="AX1697" s="3" t="s">
        <v>21268</v>
      </c>
      <c r="AY1697" s="3" t="s">
        <v>21269</v>
      </c>
      <c r="AZ1697" s="3" t="s">
        <v>73</v>
      </c>
      <c r="BB1697" s="3" t="s">
        <v>21270</v>
      </c>
      <c r="BC1697" s="3" t="s">
        <v>21271</v>
      </c>
      <c r="BD1697" s="3" t="s">
        <v>21272</v>
      </c>
    </row>
    <row r="1698" spans="1:56" ht="51" customHeight="1" x14ac:dyDescent="0.25">
      <c r="A1698" s="7" t="s">
        <v>58</v>
      </c>
      <c r="B1698" s="2" t="s">
        <v>21273</v>
      </c>
      <c r="C1698" s="2" t="s">
        <v>21274</v>
      </c>
      <c r="D1698" s="2" t="s">
        <v>21275</v>
      </c>
      <c r="F1698" s="3" t="s">
        <v>58</v>
      </c>
      <c r="G1698" s="3" t="s">
        <v>59</v>
      </c>
      <c r="H1698" s="3" t="s">
        <v>58</v>
      </c>
      <c r="I1698" s="3" t="s">
        <v>58</v>
      </c>
      <c r="J1698" s="3" t="s">
        <v>60</v>
      </c>
      <c r="K1698" s="2" t="s">
        <v>21276</v>
      </c>
      <c r="L1698" s="2" t="s">
        <v>21277</v>
      </c>
      <c r="M1698" s="3" t="s">
        <v>1544</v>
      </c>
      <c r="O1698" s="3" t="s">
        <v>63</v>
      </c>
      <c r="P1698" s="3" t="s">
        <v>214</v>
      </c>
      <c r="Q1698" s="2" t="s">
        <v>9702</v>
      </c>
      <c r="R1698" s="3" t="s">
        <v>65</v>
      </c>
      <c r="S1698" s="4">
        <v>2</v>
      </c>
      <c r="T1698" s="4">
        <v>2</v>
      </c>
      <c r="U1698" s="5" t="s">
        <v>2965</v>
      </c>
      <c r="V1698" s="5" t="s">
        <v>2965</v>
      </c>
      <c r="W1698" s="5" t="s">
        <v>656</v>
      </c>
      <c r="X1698" s="5" t="s">
        <v>656</v>
      </c>
      <c r="Y1698" s="4">
        <v>165</v>
      </c>
      <c r="Z1698" s="4">
        <v>142</v>
      </c>
      <c r="AA1698" s="4">
        <v>183</v>
      </c>
      <c r="AB1698" s="4">
        <v>2</v>
      </c>
      <c r="AC1698" s="4">
        <v>2</v>
      </c>
      <c r="AD1698" s="4">
        <v>9</v>
      </c>
      <c r="AE1698" s="4">
        <v>12</v>
      </c>
      <c r="AF1698" s="4">
        <v>1</v>
      </c>
      <c r="AG1698" s="4">
        <v>1</v>
      </c>
      <c r="AH1698" s="4">
        <v>4</v>
      </c>
      <c r="AI1698" s="4">
        <v>5</v>
      </c>
      <c r="AJ1698" s="4">
        <v>5</v>
      </c>
      <c r="AK1698" s="4">
        <v>6</v>
      </c>
      <c r="AL1698" s="4">
        <v>1</v>
      </c>
      <c r="AM1698" s="4">
        <v>1</v>
      </c>
      <c r="AN1698" s="4">
        <v>0</v>
      </c>
      <c r="AO1698" s="4">
        <v>2</v>
      </c>
      <c r="AP1698" s="3" t="s">
        <v>58</v>
      </c>
      <c r="AQ1698" s="3" t="s">
        <v>58</v>
      </c>
      <c r="AS1698" s="6" t="str">
        <f>HYPERLINK("https://creighton-primo.hosted.exlibrisgroup.com/primo-explore/search?tab=default_tab&amp;search_scope=EVERYTHING&amp;vid=01CRU&amp;lang=en_US&amp;offset=0&amp;query=any,contains,991002009759702656","Catalog Record")</f>
        <v>Catalog Record</v>
      </c>
      <c r="AT1698" s="6" t="str">
        <f>HYPERLINK("http://www.worldcat.org/oclc/25548508","WorldCat Record")</f>
        <v>WorldCat Record</v>
      </c>
      <c r="AU1698" s="3" t="s">
        <v>21278</v>
      </c>
      <c r="AV1698" s="3" t="s">
        <v>21279</v>
      </c>
      <c r="AW1698" s="3" t="s">
        <v>21280</v>
      </c>
      <c r="AX1698" s="3" t="s">
        <v>21280</v>
      </c>
      <c r="AY1698" s="3" t="s">
        <v>21281</v>
      </c>
      <c r="AZ1698" s="3" t="s">
        <v>73</v>
      </c>
      <c r="BB1698" s="3" t="s">
        <v>21282</v>
      </c>
      <c r="BC1698" s="3" t="s">
        <v>21283</v>
      </c>
      <c r="BD1698" s="3" t="s">
        <v>21284</v>
      </c>
    </row>
    <row r="1699" spans="1:56" ht="51" customHeight="1" x14ac:dyDescent="0.25">
      <c r="A1699" s="7" t="s">
        <v>58</v>
      </c>
      <c r="B1699" s="2" t="s">
        <v>21285</v>
      </c>
      <c r="C1699" s="2" t="s">
        <v>21286</v>
      </c>
      <c r="D1699" s="2" t="s">
        <v>21287</v>
      </c>
      <c r="F1699" s="3" t="s">
        <v>58</v>
      </c>
      <c r="G1699" s="3" t="s">
        <v>59</v>
      </c>
      <c r="H1699" s="3" t="s">
        <v>58</v>
      </c>
      <c r="I1699" s="3" t="s">
        <v>58</v>
      </c>
      <c r="J1699" s="3" t="s">
        <v>60</v>
      </c>
      <c r="L1699" s="2" t="s">
        <v>21288</v>
      </c>
      <c r="M1699" s="3" t="s">
        <v>138</v>
      </c>
      <c r="O1699" s="3" t="s">
        <v>63</v>
      </c>
      <c r="P1699" s="3" t="s">
        <v>214</v>
      </c>
      <c r="R1699" s="3" t="s">
        <v>65</v>
      </c>
      <c r="S1699" s="4">
        <v>1</v>
      </c>
      <c r="T1699" s="4">
        <v>1</v>
      </c>
      <c r="U1699" s="5" t="s">
        <v>11469</v>
      </c>
      <c r="V1699" s="5" t="s">
        <v>11469</v>
      </c>
      <c r="W1699" s="5" t="s">
        <v>585</v>
      </c>
      <c r="X1699" s="5" t="s">
        <v>585</v>
      </c>
      <c r="Y1699" s="4">
        <v>349</v>
      </c>
      <c r="Z1699" s="4">
        <v>306</v>
      </c>
      <c r="AA1699" s="4">
        <v>350</v>
      </c>
      <c r="AB1699" s="4">
        <v>4</v>
      </c>
      <c r="AC1699" s="4">
        <v>4</v>
      </c>
      <c r="AD1699" s="4">
        <v>12</v>
      </c>
      <c r="AE1699" s="4">
        <v>14</v>
      </c>
      <c r="AF1699" s="4">
        <v>2</v>
      </c>
      <c r="AG1699" s="4">
        <v>3</v>
      </c>
      <c r="AH1699" s="4">
        <v>3</v>
      </c>
      <c r="AI1699" s="4">
        <v>4</v>
      </c>
      <c r="AJ1699" s="4">
        <v>6</v>
      </c>
      <c r="AK1699" s="4">
        <v>7</v>
      </c>
      <c r="AL1699" s="4">
        <v>3</v>
      </c>
      <c r="AM1699" s="4">
        <v>3</v>
      </c>
      <c r="AN1699" s="4">
        <v>0</v>
      </c>
      <c r="AO1699" s="4">
        <v>0</v>
      </c>
      <c r="AP1699" s="3" t="s">
        <v>58</v>
      </c>
      <c r="AQ1699" s="3" t="s">
        <v>68</v>
      </c>
      <c r="AR1699" s="6" t="str">
        <f>HYPERLINK("http://catalog.hathitrust.org/Record/007880592","HathiTrust Record")</f>
        <v>HathiTrust Record</v>
      </c>
      <c r="AS1699" s="6" t="str">
        <f>HYPERLINK("https://creighton-primo.hosted.exlibrisgroup.com/primo-explore/search?tab=default_tab&amp;search_scope=EVERYTHING&amp;vid=01CRU&amp;lang=en_US&amp;offset=0&amp;query=any,contains,991005212189702656","Catalog Record")</f>
        <v>Catalog Record</v>
      </c>
      <c r="AT1699" s="6" t="str">
        <f>HYPERLINK("http://www.worldcat.org/oclc/8170124","WorldCat Record")</f>
        <v>WorldCat Record</v>
      </c>
      <c r="AU1699" s="3" t="s">
        <v>21289</v>
      </c>
      <c r="AV1699" s="3" t="s">
        <v>21290</v>
      </c>
      <c r="AW1699" s="3" t="s">
        <v>21291</v>
      </c>
      <c r="AX1699" s="3" t="s">
        <v>21291</v>
      </c>
      <c r="AY1699" s="3" t="s">
        <v>21292</v>
      </c>
      <c r="AZ1699" s="3" t="s">
        <v>73</v>
      </c>
      <c r="BB1699" s="3" t="s">
        <v>21293</v>
      </c>
      <c r="BC1699" s="3" t="s">
        <v>21294</v>
      </c>
      <c r="BD1699" s="3" t="s">
        <v>21295</v>
      </c>
    </row>
    <row r="1700" spans="1:56" ht="51" customHeight="1" x14ac:dyDescent="0.25">
      <c r="A1700" s="7" t="s">
        <v>58</v>
      </c>
      <c r="B1700" s="2" t="s">
        <v>21296</v>
      </c>
      <c r="C1700" s="2" t="s">
        <v>21297</v>
      </c>
      <c r="D1700" s="2" t="s">
        <v>21298</v>
      </c>
      <c r="F1700" s="3" t="s">
        <v>58</v>
      </c>
      <c r="G1700" s="3" t="s">
        <v>59</v>
      </c>
      <c r="H1700" s="3" t="s">
        <v>58</v>
      </c>
      <c r="I1700" s="3" t="s">
        <v>58</v>
      </c>
      <c r="J1700" s="3" t="s">
        <v>60</v>
      </c>
      <c r="L1700" s="2" t="s">
        <v>21299</v>
      </c>
      <c r="M1700" s="3" t="s">
        <v>397</v>
      </c>
      <c r="O1700" s="3" t="s">
        <v>63</v>
      </c>
      <c r="P1700" s="3" t="s">
        <v>2630</v>
      </c>
      <c r="Q1700" s="2" t="s">
        <v>21300</v>
      </c>
      <c r="R1700" s="3" t="s">
        <v>65</v>
      </c>
      <c r="S1700" s="4">
        <v>1</v>
      </c>
      <c r="T1700" s="4">
        <v>1</v>
      </c>
      <c r="U1700" s="5" t="s">
        <v>10849</v>
      </c>
      <c r="V1700" s="5" t="s">
        <v>10849</v>
      </c>
      <c r="W1700" s="5" t="s">
        <v>585</v>
      </c>
      <c r="X1700" s="5" t="s">
        <v>585</v>
      </c>
      <c r="Y1700" s="4">
        <v>275</v>
      </c>
      <c r="Z1700" s="4">
        <v>209</v>
      </c>
      <c r="AA1700" s="4">
        <v>228</v>
      </c>
      <c r="AB1700" s="4">
        <v>2</v>
      </c>
      <c r="AC1700" s="4">
        <v>2</v>
      </c>
      <c r="AD1700" s="4">
        <v>6</v>
      </c>
      <c r="AE1700" s="4">
        <v>6</v>
      </c>
      <c r="AF1700" s="4">
        <v>1</v>
      </c>
      <c r="AG1700" s="4">
        <v>1</v>
      </c>
      <c r="AH1700" s="4">
        <v>3</v>
      </c>
      <c r="AI1700" s="4">
        <v>3</v>
      </c>
      <c r="AJ1700" s="4">
        <v>3</v>
      </c>
      <c r="AK1700" s="4">
        <v>3</v>
      </c>
      <c r="AL1700" s="4">
        <v>1</v>
      </c>
      <c r="AM1700" s="4">
        <v>1</v>
      </c>
      <c r="AN1700" s="4">
        <v>0</v>
      </c>
      <c r="AO1700" s="4">
        <v>0</v>
      </c>
      <c r="AP1700" s="3" t="s">
        <v>58</v>
      </c>
      <c r="AQ1700" s="3" t="s">
        <v>68</v>
      </c>
      <c r="AR1700" s="6" t="str">
        <f>HYPERLINK("http://catalog.hathitrust.org/Record/000376923","HathiTrust Record")</f>
        <v>HathiTrust Record</v>
      </c>
      <c r="AS1700" s="6" t="str">
        <f>HYPERLINK("https://creighton-primo.hosted.exlibrisgroup.com/primo-explore/search?tab=default_tab&amp;search_scope=EVERYTHING&amp;vid=01CRU&amp;lang=en_US&amp;offset=0&amp;query=any,contains,991000652569702656","Catalog Record")</f>
        <v>Catalog Record</v>
      </c>
      <c r="AT1700" s="6" t="str">
        <f>HYPERLINK("http://www.worldcat.org/oclc/12188475","WorldCat Record")</f>
        <v>WorldCat Record</v>
      </c>
      <c r="AU1700" s="3" t="s">
        <v>21301</v>
      </c>
      <c r="AV1700" s="3" t="s">
        <v>21302</v>
      </c>
      <c r="AW1700" s="3" t="s">
        <v>21303</v>
      </c>
      <c r="AX1700" s="3" t="s">
        <v>21303</v>
      </c>
      <c r="AY1700" s="3" t="s">
        <v>21304</v>
      </c>
      <c r="AZ1700" s="3" t="s">
        <v>73</v>
      </c>
      <c r="BB1700" s="3" t="s">
        <v>21305</v>
      </c>
      <c r="BC1700" s="3" t="s">
        <v>21306</v>
      </c>
      <c r="BD1700" s="3" t="s">
        <v>21307</v>
      </c>
    </row>
    <row r="1701" spans="1:56" ht="51" customHeight="1" x14ac:dyDescent="0.25">
      <c r="A1701" s="7" t="s">
        <v>58</v>
      </c>
      <c r="B1701" s="2" t="s">
        <v>21308</v>
      </c>
      <c r="C1701" s="2" t="s">
        <v>21309</v>
      </c>
      <c r="D1701" s="2" t="s">
        <v>21310</v>
      </c>
      <c r="F1701" s="3" t="s">
        <v>58</v>
      </c>
      <c r="G1701" s="3" t="s">
        <v>59</v>
      </c>
      <c r="H1701" s="3" t="s">
        <v>58</v>
      </c>
      <c r="I1701" s="3" t="s">
        <v>58</v>
      </c>
      <c r="J1701" s="3" t="s">
        <v>60</v>
      </c>
      <c r="K1701" s="2" t="s">
        <v>8560</v>
      </c>
      <c r="L1701" s="2" t="s">
        <v>21311</v>
      </c>
      <c r="M1701" s="3" t="s">
        <v>653</v>
      </c>
      <c r="O1701" s="3" t="s">
        <v>63</v>
      </c>
      <c r="P1701" s="3" t="s">
        <v>214</v>
      </c>
      <c r="Q1701" s="2" t="s">
        <v>9702</v>
      </c>
      <c r="R1701" s="3" t="s">
        <v>65</v>
      </c>
      <c r="S1701" s="4">
        <v>3</v>
      </c>
      <c r="T1701" s="4">
        <v>3</v>
      </c>
      <c r="U1701" s="5" t="s">
        <v>21312</v>
      </c>
      <c r="V1701" s="5" t="s">
        <v>21312</v>
      </c>
      <c r="W1701" s="5" t="s">
        <v>16074</v>
      </c>
      <c r="X1701" s="5" t="s">
        <v>16074</v>
      </c>
      <c r="Y1701" s="4">
        <v>189</v>
      </c>
      <c r="Z1701" s="4">
        <v>161</v>
      </c>
      <c r="AA1701" s="4">
        <v>214</v>
      </c>
      <c r="AB1701" s="4">
        <v>2</v>
      </c>
      <c r="AC1701" s="4">
        <v>2</v>
      </c>
      <c r="AD1701" s="4">
        <v>8</v>
      </c>
      <c r="AE1701" s="4">
        <v>10</v>
      </c>
      <c r="AF1701" s="4">
        <v>3</v>
      </c>
      <c r="AG1701" s="4">
        <v>3</v>
      </c>
      <c r="AH1701" s="4">
        <v>3</v>
      </c>
      <c r="AI1701" s="4">
        <v>3</v>
      </c>
      <c r="AJ1701" s="4">
        <v>3</v>
      </c>
      <c r="AK1701" s="4">
        <v>3</v>
      </c>
      <c r="AL1701" s="4">
        <v>1</v>
      </c>
      <c r="AM1701" s="4">
        <v>1</v>
      </c>
      <c r="AN1701" s="4">
        <v>0</v>
      </c>
      <c r="AO1701" s="4">
        <v>2</v>
      </c>
      <c r="AP1701" s="3" t="s">
        <v>58</v>
      </c>
      <c r="AQ1701" s="3" t="s">
        <v>68</v>
      </c>
      <c r="AR1701" s="6" t="str">
        <f>HYPERLINK("http://catalog.hathitrust.org/Record/006253487","HathiTrust Record")</f>
        <v>HathiTrust Record</v>
      </c>
      <c r="AS1701" s="6" t="str">
        <f>HYPERLINK("https://creighton-primo.hosted.exlibrisgroup.com/primo-explore/search?tab=default_tab&amp;search_scope=EVERYTHING&amp;vid=01CRU&amp;lang=en_US&amp;offset=0&amp;query=any,contains,991001866479702656","Catalog Record")</f>
        <v>Catalog Record</v>
      </c>
      <c r="AT1701" s="6" t="str">
        <f>HYPERLINK("http://www.worldcat.org/oclc/23463522","WorldCat Record")</f>
        <v>WorldCat Record</v>
      </c>
      <c r="AU1701" s="3" t="s">
        <v>21313</v>
      </c>
      <c r="AV1701" s="3" t="s">
        <v>21314</v>
      </c>
      <c r="AW1701" s="3" t="s">
        <v>21315</v>
      </c>
      <c r="AX1701" s="3" t="s">
        <v>21315</v>
      </c>
      <c r="AY1701" s="3" t="s">
        <v>21316</v>
      </c>
      <c r="AZ1701" s="3" t="s">
        <v>73</v>
      </c>
      <c r="BB1701" s="3" t="s">
        <v>21317</v>
      </c>
      <c r="BC1701" s="3" t="s">
        <v>21318</v>
      </c>
      <c r="BD1701" s="3" t="s">
        <v>21319</v>
      </c>
    </row>
    <row r="1702" spans="1:56" ht="51" customHeight="1" x14ac:dyDescent="0.25">
      <c r="A1702" s="7" t="s">
        <v>58</v>
      </c>
      <c r="B1702" s="2" t="s">
        <v>21320</v>
      </c>
      <c r="C1702" s="2" t="s">
        <v>21321</v>
      </c>
      <c r="D1702" s="2" t="s">
        <v>21322</v>
      </c>
      <c r="F1702" s="3" t="s">
        <v>58</v>
      </c>
      <c r="G1702" s="3" t="s">
        <v>59</v>
      </c>
      <c r="H1702" s="3" t="s">
        <v>58</v>
      </c>
      <c r="I1702" s="3" t="s">
        <v>58</v>
      </c>
      <c r="J1702" s="3" t="s">
        <v>60</v>
      </c>
      <c r="L1702" s="2" t="s">
        <v>21323</v>
      </c>
      <c r="M1702" s="3" t="s">
        <v>653</v>
      </c>
      <c r="O1702" s="3" t="s">
        <v>63</v>
      </c>
      <c r="P1702" s="3" t="s">
        <v>1837</v>
      </c>
      <c r="R1702" s="3" t="s">
        <v>65</v>
      </c>
      <c r="S1702" s="4">
        <v>3</v>
      </c>
      <c r="T1702" s="4">
        <v>3</v>
      </c>
      <c r="U1702" s="5" t="s">
        <v>21324</v>
      </c>
      <c r="V1702" s="5" t="s">
        <v>21324</v>
      </c>
      <c r="W1702" s="5" t="s">
        <v>21325</v>
      </c>
      <c r="X1702" s="5" t="s">
        <v>21325</v>
      </c>
      <c r="Y1702" s="4">
        <v>65</v>
      </c>
      <c r="Z1702" s="4">
        <v>49</v>
      </c>
      <c r="AA1702" s="4">
        <v>49</v>
      </c>
      <c r="AB1702" s="4">
        <v>1</v>
      </c>
      <c r="AC1702" s="4">
        <v>1</v>
      </c>
      <c r="AD1702" s="4">
        <v>1</v>
      </c>
      <c r="AE1702" s="4">
        <v>1</v>
      </c>
      <c r="AF1702" s="4">
        <v>1</v>
      </c>
      <c r="AG1702" s="4">
        <v>1</v>
      </c>
      <c r="AH1702" s="4">
        <v>0</v>
      </c>
      <c r="AI1702" s="4">
        <v>0</v>
      </c>
      <c r="AJ1702" s="4">
        <v>1</v>
      </c>
      <c r="AK1702" s="4">
        <v>1</v>
      </c>
      <c r="AL1702" s="4">
        <v>0</v>
      </c>
      <c r="AM1702" s="4">
        <v>0</v>
      </c>
      <c r="AN1702" s="4">
        <v>0</v>
      </c>
      <c r="AO1702" s="4">
        <v>0</v>
      </c>
      <c r="AP1702" s="3" t="s">
        <v>58</v>
      </c>
      <c r="AQ1702" s="3" t="s">
        <v>58</v>
      </c>
      <c r="AS1702" s="6" t="str">
        <f>HYPERLINK("https://creighton-primo.hosted.exlibrisgroup.com/primo-explore/search?tab=default_tab&amp;search_scope=EVERYTHING&amp;vid=01CRU&amp;lang=en_US&amp;offset=0&amp;query=any,contains,991001904479702656","Catalog Record")</f>
        <v>Catalog Record</v>
      </c>
      <c r="AT1702" s="6" t="str">
        <f>HYPERLINK("http://www.worldcat.org/oclc/24066435","WorldCat Record")</f>
        <v>WorldCat Record</v>
      </c>
      <c r="AU1702" s="3" t="s">
        <v>21326</v>
      </c>
      <c r="AV1702" s="3" t="s">
        <v>21327</v>
      </c>
      <c r="AW1702" s="3" t="s">
        <v>21328</v>
      </c>
      <c r="AX1702" s="3" t="s">
        <v>21328</v>
      </c>
      <c r="AY1702" s="3" t="s">
        <v>21329</v>
      </c>
      <c r="AZ1702" s="3" t="s">
        <v>73</v>
      </c>
      <c r="BB1702" s="3" t="s">
        <v>21330</v>
      </c>
      <c r="BC1702" s="3" t="s">
        <v>21331</v>
      </c>
      <c r="BD1702" s="3" t="s">
        <v>21332</v>
      </c>
    </row>
    <row r="1703" spans="1:56" ht="51" customHeight="1" x14ac:dyDescent="0.25">
      <c r="A1703" s="7" t="s">
        <v>58</v>
      </c>
      <c r="B1703" s="2" t="s">
        <v>21333</v>
      </c>
      <c r="C1703" s="2" t="s">
        <v>21334</v>
      </c>
      <c r="D1703" s="2" t="s">
        <v>21335</v>
      </c>
      <c r="F1703" s="3" t="s">
        <v>58</v>
      </c>
      <c r="G1703" s="3" t="s">
        <v>59</v>
      </c>
      <c r="H1703" s="3" t="s">
        <v>58</v>
      </c>
      <c r="I1703" s="3" t="s">
        <v>58</v>
      </c>
      <c r="J1703" s="3" t="s">
        <v>60</v>
      </c>
      <c r="K1703" s="2" t="s">
        <v>20271</v>
      </c>
      <c r="L1703" s="2" t="s">
        <v>21336</v>
      </c>
      <c r="M1703" s="3" t="s">
        <v>1499</v>
      </c>
      <c r="N1703" s="2" t="s">
        <v>1470</v>
      </c>
      <c r="O1703" s="3" t="s">
        <v>63</v>
      </c>
      <c r="P1703" s="3" t="s">
        <v>214</v>
      </c>
      <c r="Q1703" s="2" t="s">
        <v>21337</v>
      </c>
      <c r="R1703" s="3" t="s">
        <v>65</v>
      </c>
      <c r="S1703" s="4">
        <v>1</v>
      </c>
      <c r="T1703" s="4">
        <v>1</v>
      </c>
      <c r="U1703" s="5" t="s">
        <v>21338</v>
      </c>
      <c r="V1703" s="5" t="s">
        <v>21338</v>
      </c>
      <c r="W1703" s="5" t="s">
        <v>20416</v>
      </c>
      <c r="X1703" s="5" t="s">
        <v>20416</v>
      </c>
      <c r="Y1703" s="4">
        <v>832</v>
      </c>
      <c r="Z1703" s="4">
        <v>722</v>
      </c>
      <c r="AA1703" s="4">
        <v>746</v>
      </c>
      <c r="AB1703" s="4">
        <v>4</v>
      </c>
      <c r="AC1703" s="4">
        <v>4</v>
      </c>
      <c r="AD1703" s="4">
        <v>31</v>
      </c>
      <c r="AE1703" s="4">
        <v>35</v>
      </c>
      <c r="AF1703" s="4">
        <v>12</v>
      </c>
      <c r="AG1703" s="4">
        <v>12</v>
      </c>
      <c r="AH1703" s="4">
        <v>6</v>
      </c>
      <c r="AI1703" s="4">
        <v>6</v>
      </c>
      <c r="AJ1703" s="4">
        <v>14</v>
      </c>
      <c r="AK1703" s="4">
        <v>14</v>
      </c>
      <c r="AL1703" s="4">
        <v>3</v>
      </c>
      <c r="AM1703" s="4">
        <v>3</v>
      </c>
      <c r="AN1703" s="4">
        <v>2</v>
      </c>
      <c r="AO1703" s="4">
        <v>6</v>
      </c>
      <c r="AP1703" s="3" t="s">
        <v>58</v>
      </c>
      <c r="AQ1703" s="3" t="s">
        <v>68</v>
      </c>
      <c r="AR1703" s="6" t="str">
        <f>HYPERLINK("http://catalog.hathitrust.org/Record/001241358","HathiTrust Record")</f>
        <v>HathiTrust Record</v>
      </c>
      <c r="AS1703" s="6" t="str">
        <f>HYPERLINK("https://creighton-primo.hosted.exlibrisgroup.com/primo-explore/search?tab=default_tab&amp;search_scope=EVERYTHING&amp;vid=01CRU&amp;lang=en_US&amp;offset=0&amp;query=any,contains,991001633639702656","Catalog Record")</f>
        <v>Catalog Record</v>
      </c>
      <c r="AT1703" s="6" t="str">
        <f>HYPERLINK("http://www.worldcat.org/oclc/233678","WorldCat Record")</f>
        <v>WorldCat Record</v>
      </c>
      <c r="AU1703" s="3" t="s">
        <v>21339</v>
      </c>
      <c r="AV1703" s="3" t="s">
        <v>21340</v>
      </c>
      <c r="AW1703" s="3" t="s">
        <v>21341</v>
      </c>
      <c r="AX1703" s="3" t="s">
        <v>21341</v>
      </c>
      <c r="AY1703" s="3" t="s">
        <v>21342</v>
      </c>
      <c r="AZ1703" s="3" t="s">
        <v>73</v>
      </c>
      <c r="BC1703" s="3" t="s">
        <v>21343</v>
      </c>
      <c r="BD1703" s="3" t="s">
        <v>21344</v>
      </c>
    </row>
    <row r="1704" spans="1:56" ht="51" customHeight="1" x14ac:dyDescent="0.25">
      <c r="A1704" s="7" t="s">
        <v>58</v>
      </c>
      <c r="B1704" s="2" t="s">
        <v>21345</v>
      </c>
      <c r="C1704" s="2" t="s">
        <v>21346</v>
      </c>
      <c r="D1704" s="2" t="s">
        <v>21347</v>
      </c>
      <c r="F1704" s="3" t="s">
        <v>58</v>
      </c>
      <c r="G1704" s="3" t="s">
        <v>59</v>
      </c>
      <c r="H1704" s="3" t="s">
        <v>58</v>
      </c>
      <c r="I1704" s="3" t="s">
        <v>58</v>
      </c>
      <c r="J1704" s="3" t="s">
        <v>60</v>
      </c>
      <c r="K1704" s="2" t="s">
        <v>21348</v>
      </c>
      <c r="L1704" s="2" t="s">
        <v>21349</v>
      </c>
      <c r="M1704" s="3" t="s">
        <v>337</v>
      </c>
      <c r="N1704" s="2" t="s">
        <v>338</v>
      </c>
      <c r="O1704" s="3" t="s">
        <v>63</v>
      </c>
      <c r="P1704" s="3" t="s">
        <v>2061</v>
      </c>
      <c r="R1704" s="3" t="s">
        <v>65</v>
      </c>
      <c r="S1704" s="4">
        <v>3</v>
      </c>
      <c r="T1704" s="4">
        <v>3</v>
      </c>
      <c r="U1704" s="5" t="s">
        <v>21350</v>
      </c>
      <c r="V1704" s="5" t="s">
        <v>21350</v>
      </c>
      <c r="W1704" s="5" t="s">
        <v>21350</v>
      </c>
      <c r="X1704" s="5" t="s">
        <v>21350</v>
      </c>
      <c r="Y1704" s="4">
        <v>489</v>
      </c>
      <c r="Z1704" s="4">
        <v>420</v>
      </c>
      <c r="AA1704" s="4">
        <v>434</v>
      </c>
      <c r="AB1704" s="4">
        <v>2</v>
      </c>
      <c r="AC1704" s="4">
        <v>2</v>
      </c>
      <c r="AD1704" s="4">
        <v>14</v>
      </c>
      <c r="AE1704" s="4">
        <v>15</v>
      </c>
      <c r="AF1704" s="4">
        <v>6</v>
      </c>
      <c r="AG1704" s="4">
        <v>6</v>
      </c>
      <c r="AH1704" s="4">
        <v>2</v>
      </c>
      <c r="AI1704" s="4">
        <v>2</v>
      </c>
      <c r="AJ1704" s="4">
        <v>6</v>
      </c>
      <c r="AK1704" s="4">
        <v>7</v>
      </c>
      <c r="AL1704" s="4">
        <v>1</v>
      </c>
      <c r="AM1704" s="4">
        <v>1</v>
      </c>
      <c r="AN1704" s="4">
        <v>1</v>
      </c>
      <c r="AO1704" s="4">
        <v>1</v>
      </c>
      <c r="AP1704" s="3" t="s">
        <v>58</v>
      </c>
      <c r="AQ1704" s="3" t="s">
        <v>68</v>
      </c>
      <c r="AR1704" s="6" t="str">
        <f>HYPERLINK("http://catalog.hathitrust.org/Record/004283326","HathiTrust Record")</f>
        <v>HathiTrust Record</v>
      </c>
      <c r="AS1704" s="6" t="str">
        <f>HYPERLINK("https://creighton-primo.hosted.exlibrisgroup.com/primo-explore/search?tab=default_tab&amp;search_scope=EVERYTHING&amp;vid=01CRU&amp;lang=en_US&amp;offset=0&amp;query=any,contains,991003955969702656","Catalog Record")</f>
        <v>Catalog Record</v>
      </c>
      <c r="AT1704" s="6" t="str">
        <f>HYPERLINK("http://www.worldcat.org/oclc/49530004","WorldCat Record")</f>
        <v>WorldCat Record</v>
      </c>
      <c r="AU1704" s="3" t="s">
        <v>21351</v>
      </c>
      <c r="AV1704" s="3" t="s">
        <v>21352</v>
      </c>
      <c r="AW1704" s="3" t="s">
        <v>21353</v>
      </c>
      <c r="AX1704" s="3" t="s">
        <v>21353</v>
      </c>
      <c r="AY1704" s="3" t="s">
        <v>21354</v>
      </c>
      <c r="AZ1704" s="3" t="s">
        <v>73</v>
      </c>
      <c r="BB1704" s="3" t="s">
        <v>21355</v>
      </c>
      <c r="BC1704" s="3" t="s">
        <v>21356</v>
      </c>
      <c r="BD1704" s="3" t="s">
        <v>21357</v>
      </c>
    </row>
    <row r="1705" spans="1:56" ht="51" customHeight="1" x14ac:dyDescent="0.25">
      <c r="A1705" s="7" t="s">
        <v>58</v>
      </c>
      <c r="B1705" s="2" t="s">
        <v>21358</v>
      </c>
      <c r="C1705" s="2" t="s">
        <v>21359</v>
      </c>
      <c r="D1705" s="2" t="s">
        <v>21360</v>
      </c>
      <c r="F1705" s="3" t="s">
        <v>58</v>
      </c>
      <c r="G1705" s="3" t="s">
        <v>59</v>
      </c>
      <c r="H1705" s="3" t="s">
        <v>58</v>
      </c>
      <c r="I1705" s="3" t="s">
        <v>58</v>
      </c>
      <c r="J1705" s="3" t="s">
        <v>60</v>
      </c>
      <c r="K1705" s="2" t="s">
        <v>21361</v>
      </c>
      <c r="L1705" s="2" t="s">
        <v>16808</v>
      </c>
      <c r="M1705" s="3" t="s">
        <v>538</v>
      </c>
      <c r="O1705" s="3" t="s">
        <v>63</v>
      </c>
      <c r="P1705" s="3" t="s">
        <v>354</v>
      </c>
      <c r="R1705" s="3" t="s">
        <v>65</v>
      </c>
      <c r="S1705" s="4">
        <v>0</v>
      </c>
      <c r="T1705" s="4">
        <v>0</v>
      </c>
      <c r="U1705" s="5" t="s">
        <v>20658</v>
      </c>
      <c r="V1705" s="5" t="s">
        <v>20658</v>
      </c>
      <c r="W1705" s="5" t="s">
        <v>20416</v>
      </c>
      <c r="X1705" s="5" t="s">
        <v>20416</v>
      </c>
      <c r="Y1705" s="4">
        <v>761</v>
      </c>
      <c r="Z1705" s="4">
        <v>672</v>
      </c>
      <c r="AA1705" s="4">
        <v>710</v>
      </c>
      <c r="AB1705" s="4">
        <v>5</v>
      </c>
      <c r="AC1705" s="4">
        <v>5</v>
      </c>
      <c r="AD1705" s="4">
        <v>33</v>
      </c>
      <c r="AE1705" s="4">
        <v>34</v>
      </c>
      <c r="AF1705" s="4">
        <v>13</v>
      </c>
      <c r="AG1705" s="4">
        <v>14</v>
      </c>
      <c r="AH1705" s="4">
        <v>9</v>
      </c>
      <c r="AI1705" s="4">
        <v>9</v>
      </c>
      <c r="AJ1705" s="4">
        <v>18</v>
      </c>
      <c r="AK1705" s="4">
        <v>19</v>
      </c>
      <c r="AL1705" s="4">
        <v>4</v>
      </c>
      <c r="AM1705" s="4">
        <v>4</v>
      </c>
      <c r="AN1705" s="4">
        <v>0</v>
      </c>
      <c r="AO1705" s="4">
        <v>0</v>
      </c>
      <c r="AP1705" s="3" t="s">
        <v>58</v>
      </c>
      <c r="AQ1705" s="3" t="s">
        <v>58</v>
      </c>
      <c r="AS1705" s="6" t="str">
        <f>HYPERLINK("https://creighton-primo.hosted.exlibrisgroup.com/primo-explore/search?tab=default_tab&amp;search_scope=EVERYTHING&amp;vid=01CRU&amp;lang=en_US&amp;offset=0&amp;query=any,contains,991005431969702656","Catalog Record")</f>
        <v>Catalog Record</v>
      </c>
      <c r="AT1705" s="6" t="str">
        <f>HYPERLINK("http://www.worldcat.org/oclc/821","WorldCat Record")</f>
        <v>WorldCat Record</v>
      </c>
      <c r="AU1705" s="3" t="s">
        <v>21362</v>
      </c>
      <c r="AV1705" s="3" t="s">
        <v>21363</v>
      </c>
      <c r="AW1705" s="3" t="s">
        <v>21364</v>
      </c>
      <c r="AX1705" s="3" t="s">
        <v>21364</v>
      </c>
      <c r="AY1705" s="3" t="s">
        <v>21365</v>
      </c>
      <c r="AZ1705" s="3" t="s">
        <v>73</v>
      </c>
      <c r="BC1705" s="3" t="s">
        <v>21366</v>
      </c>
      <c r="BD1705" s="3" t="s">
        <v>21367</v>
      </c>
    </row>
    <row r="1706" spans="1:56" ht="51" customHeight="1" x14ac:dyDescent="0.25">
      <c r="A1706" s="7" t="s">
        <v>58</v>
      </c>
      <c r="B1706" s="2" t="s">
        <v>21368</v>
      </c>
      <c r="C1706" s="2" t="s">
        <v>21369</v>
      </c>
      <c r="D1706" s="2" t="s">
        <v>21370</v>
      </c>
      <c r="F1706" s="3" t="s">
        <v>58</v>
      </c>
      <c r="G1706" s="3" t="s">
        <v>59</v>
      </c>
      <c r="H1706" s="3" t="s">
        <v>58</v>
      </c>
      <c r="I1706" s="3" t="s">
        <v>58</v>
      </c>
      <c r="J1706" s="3" t="s">
        <v>60</v>
      </c>
      <c r="K1706" s="2" t="s">
        <v>21371</v>
      </c>
      <c r="L1706" s="2" t="s">
        <v>10303</v>
      </c>
      <c r="M1706" s="3" t="s">
        <v>154</v>
      </c>
      <c r="O1706" s="3" t="s">
        <v>63</v>
      </c>
      <c r="P1706" s="3" t="s">
        <v>214</v>
      </c>
      <c r="R1706" s="3" t="s">
        <v>65</v>
      </c>
      <c r="S1706" s="4">
        <v>2</v>
      </c>
      <c r="T1706" s="4">
        <v>2</v>
      </c>
      <c r="U1706" s="5" t="s">
        <v>20685</v>
      </c>
      <c r="V1706" s="5" t="s">
        <v>20685</v>
      </c>
      <c r="W1706" s="5" t="s">
        <v>21372</v>
      </c>
      <c r="X1706" s="5" t="s">
        <v>21372</v>
      </c>
      <c r="Y1706" s="4">
        <v>473</v>
      </c>
      <c r="Z1706" s="4">
        <v>426</v>
      </c>
      <c r="AA1706" s="4">
        <v>518</v>
      </c>
      <c r="AB1706" s="4">
        <v>3</v>
      </c>
      <c r="AC1706" s="4">
        <v>3</v>
      </c>
      <c r="AD1706" s="4">
        <v>15</v>
      </c>
      <c r="AE1706" s="4">
        <v>17</v>
      </c>
      <c r="AF1706" s="4">
        <v>5</v>
      </c>
      <c r="AG1706" s="4">
        <v>6</v>
      </c>
      <c r="AH1706" s="4">
        <v>4</v>
      </c>
      <c r="AI1706" s="4">
        <v>5</v>
      </c>
      <c r="AJ1706" s="4">
        <v>8</v>
      </c>
      <c r="AK1706" s="4">
        <v>9</v>
      </c>
      <c r="AL1706" s="4">
        <v>2</v>
      </c>
      <c r="AM1706" s="4">
        <v>2</v>
      </c>
      <c r="AN1706" s="4">
        <v>0</v>
      </c>
      <c r="AO1706" s="4">
        <v>0</v>
      </c>
      <c r="AP1706" s="3" t="s">
        <v>58</v>
      </c>
      <c r="AQ1706" s="3" t="s">
        <v>58</v>
      </c>
      <c r="AS1706" s="6" t="str">
        <f>HYPERLINK("https://creighton-primo.hosted.exlibrisgroup.com/primo-explore/search?tab=default_tab&amp;search_scope=EVERYTHING&amp;vid=01CRU&amp;lang=en_US&amp;offset=0&amp;query=any,contains,991001416489702656","Catalog Record")</f>
        <v>Catalog Record</v>
      </c>
      <c r="AT1706" s="6" t="str">
        <f>HYPERLINK("http://www.worldcat.org/oclc/18949652","WorldCat Record")</f>
        <v>WorldCat Record</v>
      </c>
      <c r="AU1706" s="3" t="s">
        <v>21373</v>
      </c>
      <c r="AV1706" s="3" t="s">
        <v>21374</v>
      </c>
      <c r="AW1706" s="3" t="s">
        <v>21375</v>
      </c>
      <c r="AX1706" s="3" t="s">
        <v>21375</v>
      </c>
      <c r="AY1706" s="3" t="s">
        <v>21376</v>
      </c>
      <c r="AZ1706" s="3" t="s">
        <v>73</v>
      </c>
      <c r="BB1706" s="3" t="s">
        <v>21377</v>
      </c>
      <c r="BC1706" s="3" t="s">
        <v>21378</v>
      </c>
      <c r="BD1706" s="3" t="s">
        <v>21379</v>
      </c>
    </row>
    <row r="1707" spans="1:56" ht="51" customHeight="1" x14ac:dyDescent="0.25">
      <c r="A1707" s="7" t="s">
        <v>58</v>
      </c>
      <c r="B1707" s="2" t="s">
        <v>21380</v>
      </c>
      <c r="C1707" s="2" t="s">
        <v>21381</v>
      </c>
      <c r="D1707" s="2" t="s">
        <v>21382</v>
      </c>
      <c r="F1707" s="3" t="s">
        <v>58</v>
      </c>
      <c r="G1707" s="3" t="s">
        <v>59</v>
      </c>
      <c r="H1707" s="3" t="s">
        <v>58</v>
      </c>
      <c r="I1707" s="3" t="s">
        <v>58</v>
      </c>
      <c r="J1707" s="3" t="s">
        <v>60</v>
      </c>
      <c r="K1707" s="2" t="s">
        <v>21383</v>
      </c>
      <c r="L1707" s="2" t="s">
        <v>21384</v>
      </c>
      <c r="M1707" s="3" t="s">
        <v>1544</v>
      </c>
      <c r="O1707" s="3" t="s">
        <v>63</v>
      </c>
      <c r="P1707" s="3" t="s">
        <v>411</v>
      </c>
      <c r="R1707" s="3" t="s">
        <v>65</v>
      </c>
      <c r="S1707" s="4">
        <v>4</v>
      </c>
      <c r="T1707" s="4">
        <v>4</v>
      </c>
      <c r="U1707" s="5" t="s">
        <v>13726</v>
      </c>
      <c r="V1707" s="5" t="s">
        <v>13726</v>
      </c>
      <c r="W1707" s="5" t="s">
        <v>3433</v>
      </c>
      <c r="X1707" s="5" t="s">
        <v>3433</v>
      </c>
      <c r="Y1707" s="4">
        <v>535</v>
      </c>
      <c r="Z1707" s="4">
        <v>447</v>
      </c>
      <c r="AA1707" s="4">
        <v>467</v>
      </c>
      <c r="AB1707" s="4">
        <v>2</v>
      </c>
      <c r="AC1707" s="4">
        <v>2</v>
      </c>
      <c r="AD1707" s="4">
        <v>25</v>
      </c>
      <c r="AE1707" s="4">
        <v>25</v>
      </c>
      <c r="AF1707" s="4">
        <v>11</v>
      </c>
      <c r="AG1707" s="4">
        <v>11</v>
      </c>
      <c r="AH1707" s="4">
        <v>8</v>
      </c>
      <c r="AI1707" s="4">
        <v>8</v>
      </c>
      <c r="AJ1707" s="4">
        <v>13</v>
      </c>
      <c r="AK1707" s="4">
        <v>13</v>
      </c>
      <c r="AL1707" s="4">
        <v>1</v>
      </c>
      <c r="AM1707" s="4">
        <v>1</v>
      </c>
      <c r="AN1707" s="4">
        <v>0</v>
      </c>
      <c r="AO1707" s="4">
        <v>0</v>
      </c>
      <c r="AP1707" s="3" t="s">
        <v>58</v>
      </c>
      <c r="AQ1707" s="3" t="s">
        <v>68</v>
      </c>
      <c r="AR1707" s="6" t="str">
        <f>HYPERLINK("http://catalog.hathitrust.org/Record/002534531","HathiTrust Record")</f>
        <v>HathiTrust Record</v>
      </c>
      <c r="AS1707" s="6" t="str">
        <f>HYPERLINK("https://creighton-primo.hosted.exlibrisgroup.com/primo-explore/search?tab=default_tab&amp;search_scope=EVERYTHING&amp;vid=01CRU&amp;lang=en_US&amp;offset=0&amp;query=any,contains,991001980469702656","Catalog Record")</f>
        <v>Catalog Record</v>
      </c>
      <c r="AT1707" s="6" t="str">
        <f>HYPERLINK("http://www.worldcat.org/oclc/25131069","WorldCat Record")</f>
        <v>WorldCat Record</v>
      </c>
      <c r="AU1707" s="3" t="s">
        <v>21385</v>
      </c>
      <c r="AV1707" s="3" t="s">
        <v>21386</v>
      </c>
      <c r="AW1707" s="3" t="s">
        <v>21387</v>
      </c>
      <c r="AX1707" s="3" t="s">
        <v>21387</v>
      </c>
      <c r="AY1707" s="3" t="s">
        <v>21388</v>
      </c>
      <c r="AZ1707" s="3" t="s">
        <v>73</v>
      </c>
      <c r="BB1707" s="3" t="s">
        <v>21389</v>
      </c>
      <c r="BC1707" s="3" t="s">
        <v>21390</v>
      </c>
      <c r="BD1707" s="3" t="s">
        <v>21391</v>
      </c>
    </row>
    <row r="1708" spans="1:56" ht="51" customHeight="1" x14ac:dyDescent="0.25">
      <c r="A1708" s="7" t="s">
        <v>58</v>
      </c>
      <c r="B1708" s="2" t="s">
        <v>21392</v>
      </c>
      <c r="C1708" s="2" t="s">
        <v>21393</v>
      </c>
      <c r="D1708" s="2" t="s">
        <v>21394</v>
      </c>
      <c r="F1708" s="3" t="s">
        <v>58</v>
      </c>
      <c r="G1708" s="3" t="s">
        <v>59</v>
      </c>
      <c r="H1708" s="3" t="s">
        <v>58</v>
      </c>
      <c r="I1708" s="3" t="s">
        <v>58</v>
      </c>
      <c r="J1708" s="3" t="s">
        <v>60</v>
      </c>
      <c r="K1708" s="2" t="s">
        <v>21395</v>
      </c>
      <c r="L1708" s="2" t="s">
        <v>21396</v>
      </c>
      <c r="M1708" s="3" t="s">
        <v>898</v>
      </c>
      <c r="O1708" s="3" t="s">
        <v>63</v>
      </c>
      <c r="P1708" s="3" t="s">
        <v>6817</v>
      </c>
      <c r="R1708" s="3" t="s">
        <v>65</v>
      </c>
      <c r="S1708" s="4">
        <v>2</v>
      </c>
      <c r="T1708" s="4">
        <v>2</v>
      </c>
      <c r="U1708" s="5" t="s">
        <v>21397</v>
      </c>
      <c r="V1708" s="5" t="s">
        <v>21397</v>
      </c>
      <c r="W1708" s="5" t="s">
        <v>21398</v>
      </c>
      <c r="X1708" s="5" t="s">
        <v>21398</v>
      </c>
      <c r="Y1708" s="4">
        <v>238</v>
      </c>
      <c r="Z1708" s="4">
        <v>212</v>
      </c>
      <c r="AA1708" s="4">
        <v>214</v>
      </c>
      <c r="AB1708" s="4">
        <v>2</v>
      </c>
      <c r="AC1708" s="4">
        <v>2</v>
      </c>
      <c r="AD1708" s="4">
        <v>14</v>
      </c>
      <c r="AE1708" s="4">
        <v>14</v>
      </c>
      <c r="AF1708" s="4">
        <v>5</v>
      </c>
      <c r="AG1708" s="4">
        <v>5</v>
      </c>
      <c r="AH1708" s="4">
        <v>5</v>
      </c>
      <c r="AI1708" s="4">
        <v>5</v>
      </c>
      <c r="AJ1708" s="4">
        <v>6</v>
      </c>
      <c r="AK1708" s="4">
        <v>6</v>
      </c>
      <c r="AL1708" s="4">
        <v>1</v>
      </c>
      <c r="AM1708" s="4">
        <v>1</v>
      </c>
      <c r="AN1708" s="4">
        <v>0</v>
      </c>
      <c r="AO1708" s="4">
        <v>0</v>
      </c>
      <c r="AP1708" s="3" t="s">
        <v>58</v>
      </c>
      <c r="AQ1708" s="3" t="s">
        <v>68</v>
      </c>
      <c r="AR1708" s="6" t="str">
        <f>HYPERLINK("http://catalog.hathitrust.org/Record/005103500","HathiTrust Record")</f>
        <v>HathiTrust Record</v>
      </c>
      <c r="AS1708" s="6" t="str">
        <f>HYPERLINK("https://creighton-primo.hosted.exlibrisgroup.com/primo-explore/search?tab=default_tab&amp;search_scope=EVERYTHING&amp;vid=01CRU&amp;lang=en_US&amp;offset=0&amp;query=any,contains,991005017719702656","Catalog Record")</f>
        <v>Catalog Record</v>
      </c>
      <c r="AT1708" s="6" t="str">
        <f>HYPERLINK("http://www.worldcat.org/oclc/63679944","WorldCat Record")</f>
        <v>WorldCat Record</v>
      </c>
      <c r="AU1708" s="3" t="s">
        <v>21399</v>
      </c>
      <c r="AV1708" s="3" t="s">
        <v>21400</v>
      </c>
      <c r="AW1708" s="3" t="s">
        <v>21401</v>
      </c>
      <c r="AX1708" s="3" t="s">
        <v>21401</v>
      </c>
      <c r="AY1708" s="3" t="s">
        <v>21402</v>
      </c>
      <c r="AZ1708" s="3" t="s">
        <v>73</v>
      </c>
      <c r="BB1708" s="3" t="s">
        <v>21403</v>
      </c>
      <c r="BC1708" s="3" t="s">
        <v>21404</v>
      </c>
      <c r="BD1708" s="3" t="s">
        <v>21405</v>
      </c>
    </row>
    <row r="1709" spans="1:56" ht="51" customHeight="1" x14ac:dyDescent="0.25">
      <c r="A1709" s="7" t="s">
        <v>58</v>
      </c>
      <c r="B1709" s="2" t="s">
        <v>21406</v>
      </c>
      <c r="C1709" s="2" t="s">
        <v>21407</v>
      </c>
      <c r="D1709" s="2" t="s">
        <v>21408</v>
      </c>
      <c r="F1709" s="3" t="s">
        <v>58</v>
      </c>
      <c r="G1709" s="3" t="s">
        <v>59</v>
      </c>
      <c r="H1709" s="3" t="s">
        <v>58</v>
      </c>
      <c r="I1709" s="3" t="s">
        <v>58</v>
      </c>
      <c r="J1709" s="3" t="s">
        <v>60</v>
      </c>
      <c r="K1709" s="2" t="s">
        <v>21409</v>
      </c>
      <c r="L1709" s="2" t="s">
        <v>21410</v>
      </c>
      <c r="M1709" s="3" t="s">
        <v>101</v>
      </c>
      <c r="O1709" s="3" t="s">
        <v>63</v>
      </c>
      <c r="P1709" s="3" t="s">
        <v>214</v>
      </c>
      <c r="R1709" s="3" t="s">
        <v>65</v>
      </c>
      <c r="S1709" s="4">
        <v>8</v>
      </c>
      <c r="T1709" s="4">
        <v>8</v>
      </c>
      <c r="U1709" s="5" t="s">
        <v>21411</v>
      </c>
      <c r="V1709" s="5" t="s">
        <v>21411</v>
      </c>
      <c r="W1709" s="5" t="s">
        <v>2282</v>
      </c>
      <c r="X1709" s="5" t="s">
        <v>2282</v>
      </c>
      <c r="Y1709" s="4">
        <v>429</v>
      </c>
      <c r="Z1709" s="4">
        <v>357</v>
      </c>
      <c r="AA1709" s="4">
        <v>359</v>
      </c>
      <c r="AB1709" s="4">
        <v>5</v>
      </c>
      <c r="AC1709" s="4">
        <v>5</v>
      </c>
      <c r="AD1709" s="4">
        <v>14</v>
      </c>
      <c r="AE1709" s="4">
        <v>14</v>
      </c>
      <c r="AF1709" s="4">
        <v>1</v>
      </c>
      <c r="AG1709" s="4">
        <v>1</v>
      </c>
      <c r="AH1709" s="4">
        <v>4</v>
      </c>
      <c r="AI1709" s="4">
        <v>4</v>
      </c>
      <c r="AJ1709" s="4">
        <v>6</v>
      </c>
      <c r="AK1709" s="4">
        <v>6</v>
      </c>
      <c r="AL1709" s="4">
        <v>3</v>
      </c>
      <c r="AM1709" s="4">
        <v>3</v>
      </c>
      <c r="AN1709" s="4">
        <v>1</v>
      </c>
      <c r="AO1709" s="4">
        <v>1</v>
      </c>
      <c r="AP1709" s="3" t="s">
        <v>58</v>
      </c>
      <c r="AQ1709" s="3" t="s">
        <v>68</v>
      </c>
      <c r="AR1709" s="6" t="str">
        <f>HYPERLINK("http://catalog.hathitrust.org/Record/000324743","HathiTrust Record")</f>
        <v>HathiTrust Record</v>
      </c>
      <c r="AS1709" s="6" t="str">
        <f>HYPERLINK("https://creighton-primo.hosted.exlibrisgroup.com/primo-explore/search?tab=default_tab&amp;search_scope=EVERYTHING&amp;vid=01CRU&amp;lang=en_US&amp;offset=0&amp;query=any,contains,991000324649702656","Catalog Record")</f>
        <v>Catalog Record</v>
      </c>
      <c r="AT1709" s="6" t="str">
        <f>HYPERLINK("http://www.worldcat.org/oclc/10163252","WorldCat Record")</f>
        <v>WorldCat Record</v>
      </c>
      <c r="AU1709" s="3" t="s">
        <v>21412</v>
      </c>
      <c r="AV1709" s="3" t="s">
        <v>21413</v>
      </c>
      <c r="AW1709" s="3" t="s">
        <v>21414</v>
      </c>
      <c r="AX1709" s="3" t="s">
        <v>21414</v>
      </c>
      <c r="AY1709" s="3" t="s">
        <v>21415</v>
      </c>
      <c r="AZ1709" s="3" t="s">
        <v>73</v>
      </c>
      <c r="BB1709" s="3" t="s">
        <v>21416</v>
      </c>
      <c r="BC1709" s="3" t="s">
        <v>21417</v>
      </c>
      <c r="BD1709" s="3" t="s">
        <v>21418</v>
      </c>
    </row>
    <row r="1710" spans="1:56" ht="51" customHeight="1" x14ac:dyDescent="0.25">
      <c r="A1710" s="7" t="s">
        <v>58</v>
      </c>
      <c r="B1710" s="2" t="s">
        <v>21419</v>
      </c>
      <c r="C1710" s="2" t="s">
        <v>21420</v>
      </c>
      <c r="D1710" s="2" t="s">
        <v>21421</v>
      </c>
      <c r="F1710" s="3" t="s">
        <v>58</v>
      </c>
      <c r="G1710" s="3" t="s">
        <v>59</v>
      </c>
      <c r="H1710" s="3" t="s">
        <v>58</v>
      </c>
      <c r="I1710" s="3" t="s">
        <v>58</v>
      </c>
      <c r="J1710" s="3" t="s">
        <v>60</v>
      </c>
      <c r="K1710" s="2" t="s">
        <v>21422</v>
      </c>
      <c r="L1710" s="2" t="s">
        <v>17141</v>
      </c>
      <c r="M1710" s="3" t="s">
        <v>2214</v>
      </c>
      <c r="O1710" s="3" t="s">
        <v>63</v>
      </c>
      <c r="P1710" s="3" t="s">
        <v>214</v>
      </c>
      <c r="R1710" s="3" t="s">
        <v>65</v>
      </c>
      <c r="S1710" s="4">
        <v>2</v>
      </c>
      <c r="T1710" s="4">
        <v>2</v>
      </c>
      <c r="U1710" s="5" t="s">
        <v>21423</v>
      </c>
      <c r="V1710" s="5" t="s">
        <v>21423</v>
      </c>
      <c r="W1710" s="5" t="s">
        <v>2216</v>
      </c>
      <c r="X1710" s="5" t="s">
        <v>2216</v>
      </c>
      <c r="Y1710" s="4">
        <v>463</v>
      </c>
      <c r="Z1710" s="4">
        <v>380</v>
      </c>
      <c r="AA1710" s="4">
        <v>423</v>
      </c>
      <c r="AB1710" s="4">
        <v>6</v>
      </c>
      <c r="AC1710" s="4">
        <v>6</v>
      </c>
      <c r="AD1710" s="4">
        <v>17</v>
      </c>
      <c r="AE1710" s="4">
        <v>18</v>
      </c>
      <c r="AF1710" s="4">
        <v>5</v>
      </c>
      <c r="AG1710" s="4">
        <v>6</v>
      </c>
      <c r="AH1710" s="4">
        <v>4</v>
      </c>
      <c r="AI1710" s="4">
        <v>4</v>
      </c>
      <c r="AJ1710" s="4">
        <v>6</v>
      </c>
      <c r="AK1710" s="4">
        <v>6</v>
      </c>
      <c r="AL1710" s="4">
        <v>5</v>
      </c>
      <c r="AM1710" s="4">
        <v>5</v>
      </c>
      <c r="AN1710" s="4">
        <v>0</v>
      </c>
      <c r="AO1710" s="4">
        <v>0</v>
      </c>
      <c r="AP1710" s="3" t="s">
        <v>58</v>
      </c>
      <c r="AQ1710" s="3" t="s">
        <v>58</v>
      </c>
      <c r="AS1710" s="6" t="str">
        <f>HYPERLINK("https://creighton-primo.hosted.exlibrisgroup.com/primo-explore/search?tab=default_tab&amp;search_scope=EVERYTHING&amp;vid=01CRU&amp;lang=en_US&amp;offset=0&amp;query=any,contains,991004911589702656","Catalog Record")</f>
        <v>Catalog Record</v>
      </c>
      <c r="AT1710" s="6" t="str">
        <f>HYPERLINK("http://www.worldcat.org/oclc/56840484","WorldCat Record")</f>
        <v>WorldCat Record</v>
      </c>
      <c r="AU1710" s="3" t="s">
        <v>21424</v>
      </c>
      <c r="AV1710" s="3" t="s">
        <v>21425</v>
      </c>
      <c r="AW1710" s="3" t="s">
        <v>21426</v>
      </c>
      <c r="AX1710" s="3" t="s">
        <v>21426</v>
      </c>
      <c r="AY1710" s="3" t="s">
        <v>21427</v>
      </c>
      <c r="AZ1710" s="3" t="s">
        <v>73</v>
      </c>
      <c r="BB1710" s="3" t="s">
        <v>21428</v>
      </c>
      <c r="BC1710" s="3" t="s">
        <v>21429</v>
      </c>
      <c r="BD1710" s="3" t="s">
        <v>21430</v>
      </c>
    </row>
    <row r="1711" spans="1:56" ht="51" customHeight="1" x14ac:dyDescent="0.25">
      <c r="A1711" s="7" t="s">
        <v>58</v>
      </c>
      <c r="B1711" s="2" t="s">
        <v>21431</v>
      </c>
      <c r="C1711" s="2" t="s">
        <v>21432</v>
      </c>
      <c r="D1711" s="2" t="s">
        <v>21433</v>
      </c>
      <c r="F1711" s="3" t="s">
        <v>58</v>
      </c>
      <c r="G1711" s="3" t="s">
        <v>59</v>
      </c>
      <c r="H1711" s="3" t="s">
        <v>58</v>
      </c>
      <c r="I1711" s="3" t="s">
        <v>58</v>
      </c>
      <c r="J1711" s="3" t="s">
        <v>60</v>
      </c>
      <c r="K1711" s="2" t="s">
        <v>11951</v>
      </c>
      <c r="L1711" s="2" t="s">
        <v>21434</v>
      </c>
      <c r="M1711" s="3" t="s">
        <v>855</v>
      </c>
      <c r="O1711" s="3" t="s">
        <v>63</v>
      </c>
      <c r="P1711" s="3" t="s">
        <v>214</v>
      </c>
      <c r="R1711" s="3" t="s">
        <v>65</v>
      </c>
      <c r="S1711" s="4">
        <v>1</v>
      </c>
      <c r="T1711" s="4">
        <v>1</v>
      </c>
      <c r="U1711" s="5" t="s">
        <v>9055</v>
      </c>
      <c r="V1711" s="5" t="s">
        <v>9055</v>
      </c>
      <c r="W1711" s="5" t="s">
        <v>9055</v>
      </c>
      <c r="X1711" s="5" t="s">
        <v>9055</v>
      </c>
      <c r="Y1711" s="4">
        <v>704</v>
      </c>
      <c r="Z1711" s="4">
        <v>629</v>
      </c>
      <c r="AA1711" s="4">
        <v>744</v>
      </c>
      <c r="AB1711" s="4">
        <v>6</v>
      </c>
      <c r="AC1711" s="4">
        <v>7</v>
      </c>
      <c r="AD1711" s="4">
        <v>25</v>
      </c>
      <c r="AE1711" s="4">
        <v>28</v>
      </c>
      <c r="AF1711" s="4">
        <v>11</v>
      </c>
      <c r="AG1711" s="4">
        <v>11</v>
      </c>
      <c r="AH1711" s="4">
        <v>5</v>
      </c>
      <c r="AI1711" s="4">
        <v>6</v>
      </c>
      <c r="AJ1711" s="4">
        <v>14</v>
      </c>
      <c r="AK1711" s="4">
        <v>15</v>
      </c>
      <c r="AL1711" s="4">
        <v>3</v>
      </c>
      <c r="AM1711" s="4">
        <v>4</v>
      </c>
      <c r="AN1711" s="4">
        <v>0</v>
      </c>
      <c r="AO1711" s="4">
        <v>0</v>
      </c>
      <c r="AP1711" s="3" t="s">
        <v>58</v>
      </c>
      <c r="AQ1711" s="3" t="s">
        <v>68</v>
      </c>
      <c r="AR1711" s="6" t="str">
        <f>HYPERLINK("http://catalog.hathitrust.org/Record/002790018","HathiTrust Record")</f>
        <v>HathiTrust Record</v>
      </c>
      <c r="AS1711" s="6" t="str">
        <f>HYPERLINK("https://creighton-primo.hosted.exlibrisgroup.com/primo-explore/search?tab=default_tab&amp;search_scope=EVERYTHING&amp;vid=01CRU&amp;lang=en_US&amp;offset=0&amp;query=any,contains,991005223419702656","Catalog Record")</f>
        <v>Catalog Record</v>
      </c>
      <c r="AT1711" s="6" t="str">
        <f>HYPERLINK("http://www.worldcat.org/oclc/28182832","WorldCat Record")</f>
        <v>WorldCat Record</v>
      </c>
      <c r="AU1711" s="3" t="s">
        <v>21435</v>
      </c>
      <c r="AV1711" s="3" t="s">
        <v>21436</v>
      </c>
      <c r="AW1711" s="3" t="s">
        <v>21437</v>
      </c>
      <c r="AX1711" s="3" t="s">
        <v>21437</v>
      </c>
      <c r="AY1711" s="3" t="s">
        <v>21438</v>
      </c>
      <c r="AZ1711" s="3" t="s">
        <v>73</v>
      </c>
      <c r="BB1711" s="3" t="s">
        <v>21439</v>
      </c>
      <c r="BC1711" s="3" t="s">
        <v>21440</v>
      </c>
      <c r="BD1711" s="3" t="s">
        <v>21441</v>
      </c>
    </row>
    <row r="1712" spans="1:56" ht="51" customHeight="1" x14ac:dyDescent="0.25">
      <c r="A1712" s="7" t="s">
        <v>58</v>
      </c>
      <c r="B1712" s="2" t="s">
        <v>21442</v>
      </c>
      <c r="C1712" s="2" t="s">
        <v>21443</v>
      </c>
      <c r="D1712" s="2" t="s">
        <v>21444</v>
      </c>
      <c r="F1712" s="3" t="s">
        <v>58</v>
      </c>
      <c r="G1712" s="3" t="s">
        <v>59</v>
      </c>
      <c r="H1712" s="3" t="s">
        <v>58</v>
      </c>
      <c r="I1712" s="3" t="s">
        <v>58</v>
      </c>
      <c r="J1712" s="3" t="s">
        <v>60</v>
      </c>
      <c r="L1712" s="2" t="s">
        <v>21445</v>
      </c>
      <c r="M1712" s="3" t="s">
        <v>2295</v>
      </c>
      <c r="N1712" s="2" t="s">
        <v>3417</v>
      </c>
      <c r="O1712" s="3" t="s">
        <v>63</v>
      </c>
      <c r="P1712" s="3" t="s">
        <v>2630</v>
      </c>
      <c r="R1712" s="3" t="s">
        <v>65</v>
      </c>
      <c r="S1712" s="4">
        <v>15</v>
      </c>
      <c r="T1712" s="4">
        <v>15</v>
      </c>
      <c r="U1712" s="5" t="s">
        <v>10213</v>
      </c>
      <c r="V1712" s="5" t="s">
        <v>10213</v>
      </c>
      <c r="W1712" s="5" t="s">
        <v>9162</v>
      </c>
      <c r="X1712" s="5" t="s">
        <v>9162</v>
      </c>
      <c r="Y1712" s="4">
        <v>287</v>
      </c>
      <c r="Z1712" s="4">
        <v>221</v>
      </c>
      <c r="AA1712" s="4">
        <v>801</v>
      </c>
      <c r="AB1712" s="4">
        <v>1</v>
      </c>
      <c r="AC1712" s="4">
        <v>3</v>
      </c>
      <c r="AD1712" s="4">
        <v>9</v>
      </c>
      <c r="AE1712" s="4">
        <v>33</v>
      </c>
      <c r="AF1712" s="4">
        <v>3</v>
      </c>
      <c r="AG1712" s="4">
        <v>14</v>
      </c>
      <c r="AH1712" s="4">
        <v>4</v>
      </c>
      <c r="AI1712" s="4">
        <v>8</v>
      </c>
      <c r="AJ1712" s="4">
        <v>6</v>
      </c>
      <c r="AK1712" s="4">
        <v>18</v>
      </c>
      <c r="AL1712" s="4">
        <v>0</v>
      </c>
      <c r="AM1712" s="4">
        <v>2</v>
      </c>
      <c r="AN1712" s="4">
        <v>0</v>
      </c>
      <c r="AO1712" s="4">
        <v>0</v>
      </c>
      <c r="AP1712" s="3" t="s">
        <v>58</v>
      </c>
      <c r="AQ1712" s="3" t="s">
        <v>68</v>
      </c>
      <c r="AR1712" s="6" t="str">
        <f>HYPERLINK("http://catalog.hathitrust.org/Record/004306020","HathiTrust Record")</f>
        <v>HathiTrust Record</v>
      </c>
      <c r="AS1712" s="6" t="str">
        <f>HYPERLINK("https://creighton-primo.hosted.exlibrisgroup.com/primo-explore/search?tab=default_tab&amp;search_scope=EVERYTHING&amp;vid=01CRU&amp;lang=en_US&amp;offset=0&amp;query=any,contains,991004016149702656","Catalog Record")</f>
        <v>Catalog Record</v>
      </c>
      <c r="AT1712" s="6" t="str">
        <f>HYPERLINK("http://www.worldcat.org/oclc/51519564","WorldCat Record")</f>
        <v>WorldCat Record</v>
      </c>
      <c r="AU1712" s="3" t="s">
        <v>21446</v>
      </c>
      <c r="AV1712" s="3" t="s">
        <v>21447</v>
      </c>
      <c r="AW1712" s="3" t="s">
        <v>21448</v>
      </c>
      <c r="AX1712" s="3" t="s">
        <v>21448</v>
      </c>
      <c r="AY1712" s="3" t="s">
        <v>21449</v>
      </c>
      <c r="AZ1712" s="3" t="s">
        <v>73</v>
      </c>
      <c r="BB1712" s="3" t="s">
        <v>21450</v>
      </c>
      <c r="BC1712" s="3" t="s">
        <v>21451</v>
      </c>
      <c r="BD1712" s="3" t="s">
        <v>21452</v>
      </c>
    </row>
    <row r="1713" spans="1:56" ht="51" customHeight="1" x14ac:dyDescent="0.25">
      <c r="A1713" s="7" t="s">
        <v>58</v>
      </c>
      <c r="B1713" s="2" t="s">
        <v>21453</v>
      </c>
      <c r="C1713" s="2" t="s">
        <v>21454</v>
      </c>
      <c r="D1713" s="2" t="s">
        <v>21455</v>
      </c>
      <c r="F1713" s="3" t="s">
        <v>58</v>
      </c>
      <c r="G1713" s="3" t="s">
        <v>59</v>
      </c>
      <c r="H1713" s="3" t="s">
        <v>58</v>
      </c>
      <c r="I1713" s="3" t="s">
        <v>58</v>
      </c>
      <c r="J1713" s="3" t="s">
        <v>60</v>
      </c>
      <c r="K1713" s="2" t="s">
        <v>21456</v>
      </c>
      <c r="L1713" s="2" t="s">
        <v>21457</v>
      </c>
      <c r="M1713" s="3" t="s">
        <v>2186</v>
      </c>
      <c r="N1713" s="2" t="s">
        <v>338</v>
      </c>
      <c r="O1713" s="3" t="s">
        <v>63</v>
      </c>
      <c r="P1713" s="3" t="s">
        <v>214</v>
      </c>
      <c r="R1713" s="3" t="s">
        <v>65</v>
      </c>
      <c r="S1713" s="4">
        <v>2</v>
      </c>
      <c r="T1713" s="4">
        <v>2</v>
      </c>
      <c r="U1713" s="5" t="s">
        <v>3068</v>
      </c>
      <c r="V1713" s="5" t="s">
        <v>3068</v>
      </c>
      <c r="W1713" s="5" t="s">
        <v>21458</v>
      </c>
      <c r="X1713" s="5" t="s">
        <v>21458</v>
      </c>
      <c r="Y1713" s="4">
        <v>2321</v>
      </c>
      <c r="Z1713" s="4">
        <v>2128</v>
      </c>
      <c r="AA1713" s="4">
        <v>2286</v>
      </c>
      <c r="AB1713" s="4">
        <v>16</v>
      </c>
      <c r="AC1713" s="4">
        <v>19</v>
      </c>
      <c r="AD1713" s="4">
        <v>45</v>
      </c>
      <c r="AE1713" s="4">
        <v>50</v>
      </c>
      <c r="AF1713" s="4">
        <v>16</v>
      </c>
      <c r="AG1713" s="4">
        <v>17</v>
      </c>
      <c r="AH1713" s="4">
        <v>9</v>
      </c>
      <c r="AI1713" s="4">
        <v>9</v>
      </c>
      <c r="AJ1713" s="4">
        <v>18</v>
      </c>
      <c r="AK1713" s="4">
        <v>21</v>
      </c>
      <c r="AL1713" s="4">
        <v>8</v>
      </c>
      <c r="AM1713" s="4">
        <v>10</v>
      </c>
      <c r="AN1713" s="4">
        <v>1</v>
      </c>
      <c r="AO1713" s="4">
        <v>1</v>
      </c>
      <c r="AP1713" s="3" t="s">
        <v>58</v>
      </c>
      <c r="AQ1713" s="3" t="s">
        <v>58</v>
      </c>
      <c r="AS1713" s="6" t="str">
        <f>HYPERLINK("https://creighton-primo.hosted.exlibrisgroup.com/primo-explore/search?tab=default_tab&amp;search_scope=EVERYTHING&amp;vid=01CRU&amp;lang=en_US&amp;offset=0&amp;query=any,contains,991005082999702656","Catalog Record")</f>
        <v>Catalog Record</v>
      </c>
      <c r="AT1713" s="6" t="str">
        <f>HYPERLINK("http://www.worldcat.org/oclc/74965235","WorldCat Record")</f>
        <v>WorldCat Record</v>
      </c>
      <c r="AU1713" s="3" t="s">
        <v>21459</v>
      </c>
      <c r="AV1713" s="3" t="s">
        <v>21460</v>
      </c>
      <c r="AW1713" s="3" t="s">
        <v>21461</v>
      </c>
      <c r="AX1713" s="3" t="s">
        <v>21461</v>
      </c>
      <c r="AY1713" s="3" t="s">
        <v>21462</v>
      </c>
      <c r="AZ1713" s="3" t="s">
        <v>73</v>
      </c>
      <c r="BB1713" s="3" t="s">
        <v>21463</v>
      </c>
      <c r="BC1713" s="3" t="s">
        <v>21464</v>
      </c>
      <c r="BD1713" s="3" t="s">
        <v>21465</v>
      </c>
    </row>
    <row r="1714" spans="1:56" ht="51" customHeight="1" x14ac:dyDescent="0.25">
      <c r="A1714" s="7" t="s">
        <v>58</v>
      </c>
      <c r="B1714" s="2" t="s">
        <v>21466</v>
      </c>
      <c r="C1714" s="2" t="s">
        <v>21467</v>
      </c>
      <c r="D1714" s="2" t="s">
        <v>21468</v>
      </c>
      <c r="F1714" s="3" t="s">
        <v>58</v>
      </c>
      <c r="G1714" s="3" t="s">
        <v>59</v>
      </c>
      <c r="H1714" s="3" t="s">
        <v>58</v>
      </c>
      <c r="I1714" s="3" t="s">
        <v>58</v>
      </c>
      <c r="J1714" s="3" t="s">
        <v>60</v>
      </c>
      <c r="K1714" s="2" t="s">
        <v>21469</v>
      </c>
      <c r="L1714" s="2" t="s">
        <v>21470</v>
      </c>
      <c r="M1714" s="3" t="s">
        <v>397</v>
      </c>
      <c r="O1714" s="3" t="s">
        <v>63</v>
      </c>
      <c r="P1714" s="3" t="s">
        <v>411</v>
      </c>
      <c r="Q1714" s="2" t="s">
        <v>21471</v>
      </c>
      <c r="R1714" s="3" t="s">
        <v>65</v>
      </c>
      <c r="S1714" s="4">
        <v>3</v>
      </c>
      <c r="T1714" s="4">
        <v>3</v>
      </c>
      <c r="U1714" s="5" t="s">
        <v>21472</v>
      </c>
      <c r="V1714" s="5" t="s">
        <v>21472</v>
      </c>
      <c r="W1714" s="5" t="s">
        <v>3538</v>
      </c>
      <c r="X1714" s="5" t="s">
        <v>3538</v>
      </c>
      <c r="Y1714" s="4">
        <v>1027</v>
      </c>
      <c r="Z1714" s="4">
        <v>880</v>
      </c>
      <c r="AA1714" s="4">
        <v>908</v>
      </c>
      <c r="AB1714" s="4">
        <v>6</v>
      </c>
      <c r="AC1714" s="4">
        <v>6</v>
      </c>
      <c r="AD1714" s="4">
        <v>36</v>
      </c>
      <c r="AE1714" s="4">
        <v>37</v>
      </c>
      <c r="AF1714" s="4">
        <v>14</v>
      </c>
      <c r="AG1714" s="4">
        <v>15</v>
      </c>
      <c r="AH1714" s="4">
        <v>9</v>
      </c>
      <c r="AI1714" s="4">
        <v>10</v>
      </c>
      <c r="AJ1714" s="4">
        <v>18</v>
      </c>
      <c r="AK1714" s="4">
        <v>18</v>
      </c>
      <c r="AL1714" s="4">
        <v>4</v>
      </c>
      <c r="AM1714" s="4">
        <v>4</v>
      </c>
      <c r="AN1714" s="4">
        <v>1</v>
      </c>
      <c r="AO1714" s="4">
        <v>1</v>
      </c>
      <c r="AP1714" s="3" t="s">
        <v>58</v>
      </c>
      <c r="AQ1714" s="3" t="s">
        <v>58</v>
      </c>
      <c r="AS1714" s="6" t="str">
        <f>HYPERLINK("https://creighton-primo.hosted.exlibrisgroup.com/primo-explore/search?tab=default_tab&amp;search_scope=EVERYTHING&amp;vid=01CRU&amp;lang=en_US&amp;offset=0&amp;query=any,contains,991000506259702656","Catalog Record")</f>
        <v>Catalog Record</v>
      </c>
      <c r="AT1714" s="6" t="str">
        <f>HYPERLINK("http://www.worldcat.org/oclc/11211328","WorldCat Record")</f>
        <v>WorldCat Record</v>
      </c>
      <c r="AU1714" s="3" t="s">
        <v>21473</v>
      </c>
      <c r="AV1714" s="3" t="s">
        <v>21474</v>
      </c>
      <c r="AW1714" s="3" t="s">
        <v>21475</v>
      </c>
      <c r="AX1714" s="3" t="s">
        <v>21475</v>
      </c>
      <c r="AY1714" s="3" t="s">
        <v>21476</v>
      </c>
      <c r="AZ1714" s="3" t="s">
        <v>73</v>
      </c>
      <c r="BB1714" s="3" t="s">
        <v>21477</v>
      </c>
      <c r="BC1714" s="3" t="s">
        <v>21478</v>
      </c>
      <c r="BD1714" s="3" t="s">
        <v>21479</v>
      </c>
    </row>
    <row r="1715" spans="1:56" ht="51" customHeight="1" x14ac:dyDescent="0.25">
      <c r="A1715" s="7" t="s">
        <v>58</v>
      </c>
      <c r="B1715" s="2" t="s">
        <v>21480</v>
      </c>
      <c r="C1715" s="2" t="s">
        <v>21481</v>
      </c>
      <c r="D1715" s="2" t="s">
        <v>21482</v>
      </c>
      <c r="F1715" s="3" t="s">
        <v>58</v>
      </c>
      <c r="G1715" s="3" t="s">
        <v>59</v>
      </c>
      <c r="H1715" s="3" t="s">
        <v>58</v>
      </c>
      <c r="I1715" s="3" t="s">
        <v>58</v>
      </c>
      <c r="J1715" s="3" t="s">
        <v>60</v>
      </c>
      <c r="L1715" s="2" t="s">
        <v>21483</v>
      </c>
      <c r="M1715" s="3" t="s">
        <v>626</v>
      </c>
      <c r="N1715" s="2" t="s">
        <v>21484</v>
      </c>
      <c r="O1715" s="3" t="s">
        <v>63</v>
      </c>
      <c r="P1715" s="3" t="s">
        <v>1837</v>
      </c>
      <c r="R1715" s="3" t="s">
        <v>65</v>
      </c>
      <c r="S1715" s="4">
        <v>2</v>
      </c>
      <c r="T1715" s="4">
        <v>2</v>
      </c>
      <c r="U1715" s="5" t="s">
        <v>12774</v>
      </c>
      <c r="V1715" s="5" t="s">
        <v>12774</v>
      </c>
      <c r="W1715" s="5" t="s">
        <v>11569</v>
      </c>
      <c r="X1715" s="5" t="s">
        <v>11569</v>
      </c>
      <c r="Y1715" s="4">
        <v>1033</v>
      </c>
      <c r="Z1715" s="4">
        <v>978</v>
      </c>
      <c r="AA1715" s="4">
        <v>1033</v>
      </c>
      <c r="AB1715" s="4">
        <v>8</v>
      </c>
      <c r="AC1715" s="4">
        <v>9</v>
      </c>
      <c r="AD1715" s="4">
        <v>45</v>
      </c>
      <c r="AE1715" s="4">
        <v>47</v>
      </c>
      <c r="AF1715" s="4">
        <v>18</v>
      </c>
      <c r="AG1715" s="4">
        <v>19</v>
      </c>
      <c r="AH1715" s="4">
        <v>10</v>
      </c>
      <c r="AI1715" s="4">
        <v>10</v>
      </c>
      <c r="AJ1715" s="4">
        <v>20</v>
      </c>
      <c r="AK1715" s="4">
        <v>21</v>
      </c>
      <c r="AL1715" s="4">
        <v>6</v>
      </c>
      <c r="AM1715" s="4">
        <v>7</v>
      </c>
      <c r="AN1715" s="4">
        <v>1</v>
      </c>
      <c r="AO1715" s="4">
        <v>1</v>
      </c>
      <c r="AP1715" s="3" t="s">
        <v>58</v>
      </c>
      <c r="AQ1715" s="3" t="s">
        <v>68</v>
      </c>
      <c r="AR1715" s="6" t="str">
        <f>HYPERLINK("http://catalog.hathitrust.org/Record/000772907","HathiTrust Record")</f>
        <v>HathiTrust Record</v>
      </c>
      <c r="AS1715" s="6" t="str">
        <f>HYPERLINK("https://creighton-primo.hosted.exlibrisgroup.com/primo-explore/search?tab=default_tab&amp;search_scope=EVERYTHING&amp;vid=01CRU&amp;lang=en_US&amp;offset=0&amp;query=any,contains,991000246649702656","Catalog Record")</f>
        <v>Catalog Record</v>
      </c>
      <c r="AT1715" s="6" t="str">
        <f>HYPERLINK("http://www.worldcat.org/oclc/9715095","WorldCat Record")</f>
        <v>WorldCat Record</v>
      </c>
      <c r="AU1715" s="3" t="s">
        <v>21485</v>
      </c>
      <c r="AV1715" s="3" t="s">
        <v>21486</v>
      </c>
      <c r="AW1715" s="3" t="s">
        <v>21487</v>
      </c>
      <c r="AX1715" s="3" t="s">
        <v>21487</v>
      </c>
      <c r="AY1715" s="3" t="s">
        <v>21488</v>
      </c>
      <c r="AZ1715" s="3" t="s">
        <v>73</v>
      </c>
      <c r="BB1715" s="3" t="s">
        <v>21489</v>
      </c>
      <c r="BC1715" s="3" t="s">
        <v>21490</v>
      </c>
      <c r="BD1715" s="3" t="s">
        <v>21491</v>
      </c>
    </row>
    <row r="1716" spans="1:56" ht="51" customHeight="1" x14ac:dyDescent="0.25">
      <c r="A1716" s="7" t="s">
        <v>58</v>
      </c>
      <c r="B1716" s="2" t="s">
        <v>21492</v>
      </c>
      <c r="C1716" s="2" t="s">
        <v>21493</v>
      </c>
      <c r="D1716" s="2" t="s">
        <v>21494</v>
      </c>
      <c r="F1716" s="3" t="s">
        <v>58</v>
      </c>
      <c r="G1716" s="3" t="s">
        <v>59</v>
      </c>
      <c r="H1716" s="3" t="s">
        <v>58</v>
      </c>
      <c r="I1716" s="3" t="s">
        <v>58</v>
      </c>
      <c r="J1716" s="3" t="s">
        <v>60</v>
      </c>
      <c r="K1716" s="2" t="s">
        <v>21495</v>
      </c>
      <c r="L1716" s="2" t="s">
        <v>21496</v>
      </c>
      <c r="M1716" s="3" t="s">
        <v>2295</v>
      </c>
      <c r="O1716" s="3" t="s">
        <v>63</v>
      </c>
      <c r="P1716" s="3" t="s">
        <v>214</v>
      </c>
      <c r="R1716" s="3" t="s">
        <v>65</v>
      </c>
      <c r="S1716" s="4">
        <v>2</v>
      </c>
      <c r="T1716" s="4">
        <v>2</v>
      </c>
      <c r="U1716" s="5" t="s">
        <v>20685</v>
      </c>
      <c r="V1716" s="5" t="s">
        <v>20685</v>
      </c>
      <c r="W1716" s="5" t="s">
        <v>6673</v>
      </c>
      <c r="X1716" s="5" t="s">
        <v>6673</v>
      </c>
      <c r="Y1716" s="4">
        <v>151</v>
      </c>
      <c r="Z1716" s="4">
        <v>119</v>
      </c>
      <c r="AA1716" s="4">
        <v>122</v>
      </c>
      <c r="AB1716" s="4">
        <v>2</v>
      </c>
      <c r="AC1716" s="4">
        <v>2</v>
      </c>
      <c r="AD1716" s="4">
        <v>7</v>
      </c>
      <c r="AE1716" s="4">
        <v>7</v>
      </c>
      <c r="AF1716" s="4">
        <v>2</v>
      </c>
      <c r="AG1716" s="4">
        <v>2</v>
      </c>
      <c r="AH1716" s="4">
        <v>2</v>
      </c>
      <c r="AI1716" s="4">
        <v>2</v>
      </c>
      <c r="AJ1716" s="4">
        <v>5</v>
      </c>
      <c r="AK1716" s="4">
        <v>5</v>
      </c>
      <c r="AL1716" s="4">
        <v>1</v>
      </c>
      <c r="AM1716" s="4">
        <v>1</v>
      </c>
      <c r="AN1716" s="4">
        <v>0</v>
      </c>
      <c r="AO1716" s="4">
        <v>0</v>
      </c>
      <c r="AP1716" s="3" t="s">
        <v>58</v>
      </c>
      <c r="AQ1716" s="3" t="s">
        <v>58</v>
      </c>
      <c r="AS1716" s="6" t="str">
        <f>HYPERLINK("https://creighton-primo.hosted.exlibrisgroup.com/primo-explore/search?tab=default_tab&amp;search_scope=EVERYTHING&amp;vid=01CRU&amp;lang=en_US&amp;offset=0&amp;query=any,contains,991004141629702656","Catalog Record")</f>
        <v>Catalog Record</v>
      </c>
      <c r="AT1716" s="6" t="str">
        <f>HYPERLINK("http://www.worldcat.org/oclc/50645583","WorldCat Record")</f>
        <v>WorldCat Record</v>
      </c>
      <c r="AU1716" s="3" t="s">
        <v>21497</v>
      </c>
      <c r="AV1716" s="3" t="s">
        <v>21498</v>
      </c>
      <c r="AW1716" s="3" t="s">
        <v>21499</v>
      </c>
      <c r="AX1716" s="3" t="s">
        <v>21499</v>
      </c>
      <c r="AY1716" s="3" t="s">
        <v>21500</v>
      </c>
      <c r="AZ1716" s="3" t="s">
        <v>73</v>
      </c>
      <c r="BB1716" s="3" t="s">
        <v>21501</v>
      </c>
      <c r="BC1716" s="3" t="s">
        <v>21502</v>
      </c>
      <c r="BD1716" s="3" t="s">
        <v>21503</v>
      </c>
    </row>
    <row r="1717" spans="1:56" ht="51" customHeight="1" x14ac:dyDescent="0.25">
      <c r="A1717" s="7" t="s">
        <v>58</v>
      </c>
      <c r="B1717" s="2" t="s">
        <v>21504</v>
      </c>
      <c r="C1717" s="2" t="s">
        <v>21505</v>
      </c>
      <c r="D1717" s="2" t="s">
        <v>21506</v>
      </c>
      <c r="F1717" s="3" t="s">
        <v>58</v>
      </c>
      <c r="G1717" s="3" t="s">
        <v>59</v>
      </c>
      <c r="H1717" s="3" t="s">
        <v>58</v>
      </c>
      <c r="I1717" s="3" t="s">
        <v>58</v>
      </c>
      <c r="J1717" s="3" t="s">
        <v>60</v>
      </c>
      <c r="K1717" s="2" t="s">
        <v>21507</v>
      </c>
      <c r="L1717" s="2" t="s">
        <v>21508</v>
      </c>
      <c r="M1717" s="3" t="s">
        <v>1399</v>
      </c>
      <c r="O1717" s="3" t="s">
        <v>63</v>
      </c>
      <c r="P1717" s="3" t="s">
        <v>981</v>
      </c>
      <c r="R1717" s="3" t="s">
        <v>65</v>
      </c>
      <c r="S1717" s="4">
        <v>1</v>
      </c>
      <c r="T1717" s="4">
        <v>1</v>
      </c>
      <c r="U1717" s="5" t="s">
        <v>21509</v>
      </c>
      <c r="V1717" s="5" t="s">
        <v>21509</v>
      </c>
      <c r="W1717" s="5" t="s">
        <v>585</v>
      </c>
      <c r="X1717" s="5" t="s">
        <v>585</v>
      </c>
      <c r="Y1717" s="4">
        <v>248</v>
      </c>
      <c r="Z1717" s="4">
        <v>229</v>
      </c>
      <c r="AA1717" s="4">
        <v>231</v>
      </c>
      <c r="AB1717" s="4">
        <v>3</v>
      </c>
      <c r="AC1717" s="4">
        <v>3</v>
      </c>
      <c r="AD1717" s="4">
        <v>14</v>
      </c>
      <c r="AE1717" s="4">
        <v>14</v>
      </c>
      <c r="AF1717" s="4">
        <v>4</v>
      </c>
      <c r="AG1717" s="4">
        <v>4</v>
      </c>
      <c r="AH1717" s="4">
        <v>4</v>
      </c>
      <c r="AI1717" s="4">
        <v>4</v>
      </c>
      <c r="AJ1717" s="4">
        <v>8</v>
      </c>
      <c r="AK1717" s="4">
        <v>8</v>
      </c>
      <c r="AL1717" s="4">
        <v>2</v>
      </c>
      <c r="AM1717" s="4">
        <v>2</v>
      </c>
      <c r="AN1717" s="4">
        <v>0</v>
      </c>
      <c r="AO1717" s="4">
        <v>0</v>
      </c>
      <c r="AP1717" s="3" t="s">
        <v>58</v>
      </c>
      <c r="AQ1717" s="3" t="s">
        <v>68</v>
      </c>
      <c r="AR1717" s="6" t="str">
        <f>HYPERLINK("http://catalog.hathitrust.org/Record/000947884","HathiTrust Record")</f>
        <v>HathiTrust Record</v>
      </c>
      <c r="AS1717" s="6" t="str">
        <f>HYPERLINK("https://creighton-primo.hosted.exlibrisgroup.com/primo-explore/search?tab=default_tab&amp;search_scope=EVERYTHING&amp;vid=01CRU&amp;lang=en_US&amp;offset=0&amp;query=any,contains,991001355609702656","Catalog Record")</f>
        <v>Catalog Record</v>
      </c>
      <c r="AT1717" s="6" t="str">
        <f>HYPERLINK("http://www.worldcat.org/oclc/18467164","WorldCat Record")</f>
        <v>WorldCat Record</v>
      </c>
      <c r="AU1717" s="3" t="s">
        <v>21510</v>
      </c>
      <c r="AV1717" s="3" t="s">
        <v>21511</v>
      </c>
      <c r="AW1717" s="3" t="s">
        <v>21512</v>
      </c>
      <c r="AX1717" s="3" t="s">
        <v>21512</v>
      </c>
      <c r="AY1717" s="3" t="s">
        <v>21513</v>
      </c>
      <c r="AZ1717" s="3" t="s">
        <v>73</v>
      </c>
      <c r="BB1717" s="3" t="s">
        <v>21514</v>
      </c>
      <c r="BC1717" s="3" t="s">
        <v>21515</v>
      </c>
      <c r="BD1717" s="3" t="s">
        <v>21516</v>
      </c>
    </row>
    <row r="1718" spans="1:56" ht="51" customHeight="1" x14ac:dyDescent="0.25">
      <c r="A1718" s="7" t="s">
        <v>58</v>
      </c>
      <c r="B1718" s="2" t="s">
        <v>21517</v>
      </c>
      <c r="C1718" s="2" t="s">
        <v>21518</v>
      </c>
      <c r="D1718" s="2" t="s">
        <v>21519</v>
      </c>
      <c r="F1718" s="3" t="s">
        <v>58</v>
      </c>
      <c r="G1718" s="3" t="s">
        <v>59</v>
      </c>
      <c r="H1718" s="3" t="s">
        <v>58</v>
      </c>
      <c r="I1718" s="3" t="s">
        <v>58</v>
      </c>
      <c r="J1718" s="3" t="s">
        <v>60</v>
      </c>
      <c r="K1718" s="2" t="s">
        <v>21520</v>
      </c>
      <c r="L1718" s="2" t="s">
        <v>21521</v>
      </c>
      <c r="M1718" s="3" t="s">
        <v>855</v>
      </c>
      <c r="N1718" s="2" t="s">
        <v>338</v>
      </c>
      <c r="O1718" s="3" t="s">
        <v>63</v>
      </c>
      <c r="P1718" s="3" t="s">
        <v>214</v>
      </c>
      <c r="R1718" s="3" t="s">
        <v>65</v>
      </c>
      <c r="S1718" s="4">
        <v>6</v>
      </c>
      <c r="T1718" s="4">
        <v>6</v>
      </c>
      <c r="U1718" s="5" t="s">
        <v>21324</v>
      </c>
      <c r="V1718" s="5" t="s">
        <v>21324</v>
      </c>
      <c r="W1718" s="5" t="s">
        <v>16577</v>
      </c>
      <c r="X1718" s="5" t="s">
        <v>16577</v>
      </c>
      <c r="Y1718" s="4">
        <v>549</v>
      </c>
      <c r="Z1718" s="4">
        <v>497</v>
      </c>
      <c r="AA1718" s="4">
        <v>503</v>
      </c>
      <c r="AB1718" s="4">
        <v>5</v>
      </c>
      <c r="AC1718" s="4">
        <v>5</v>
      </c>
      <c r="AD1718" s="4">
        <v>21</v>
      </c>
      <c r="AE1718" s="4">
        <v>21</v>
      </c>
      <c r="AF1718" s="4">
        <v>5</v>
      </c>
      <c r="AG1718" s="4">
        <v>5</v>
      </c>
      <c r="AH1718" s="4">
        <v>7</v>
      </c>
      <c r="AI1718" s="4">
        <v>7</v>
      </c>
      <c r="AJ1718" s="4">
        <v>11</v>
      </c>
      <c r="AK1718" s="4">
        <v>11</v>
      </c>
      <c r="AL1718" s="4">
        <v>4</v>
      </c>
      <c r="AM1718" s="4">
        <v>4</v>
      </c>
      <c r="AN1718" s="4">
        <v>0</v>
      </c>
      <c r="AO1718" s="4">
        <v>0</v>
      </c>
      <c r="AP1718" s="3" t="s">
        <v>58</v>
      </c>
      <c r="AQ1718" s="3" t="s">
        <v>68</v>
      </c>
      <c r="AR1718" s="6" t="str">
        <f>HYPERLINK("http://catalog.hathitrust.org/Record/004530034","HathiTrust Record")</f>
        <v>HathiTrust Record</v>
      </c>
      <c r="AS1718" s="6" t="str">
        <f>HYPERLINK("https://creighton-primo.hosted.exlibrisgroup.com/primo-explore/search?tab=default_tab&amp;search_scope=EVERYTHING&amp;vid=01CRU&amp;lang=en_US&amp;offset=0&amp;query=any,contains,991002091529702656","Catalog Record")</f>
        <v>Catalog Record</v>
      </c>
      <c r="AT1718" s="6" t="str">
        <f>HYPERLINK("http://www.worldcat.org/oclc/26850955","WorldCat Record")</f>
        <v>WorldCat Record</v>
      </c>
      <c r="AU1718" s="3" t="s">
        <v>21522</v>
      </c>
      <c r="AV1718" s="3" t="s">
        <v>21523</v>
      </c>
      <c r="AW1718" s="3" t="s">
        <v>21524</v>
      </c>
      <c r="AX1718" s="3" t="s">
        <v>21524</v>
      </c>
      <c r="AY1718" s="3" t="s">
        <v>21525</v>
      </c>
      <c r="AZ1718" s="3" t="s">
        <v>73</v>
      </c>
      <c r="BB1718" s="3" t="s">
        <v>21526</v>
      </c>
      <c r="BC1718" s="3" t="s">
        <v>21527</v>
      </c>
      <c r="BD1718" s="3" t="s">
        <v>21528</v>
      </c>
    </row>
    <row r="1719" spans="1:56" ht="51" customHeight="1" x14ac:dyDescent="0.25">
      <c r="A1719" s="7" t="s">
        <v>58</v>
      </c>
      <c r="B1719" s="2" t="s">
        <v>21529</v>
      </c>
      <c r="C1719" s="2" t="s">
        <v>21530</v>
      </c>
      <c r="D1719" s="2" t="s">
        <v>21531</v>
      </c>
      <c r="F1719" s="3" t="s">
        <v>58</v>
      </c>
      <c r="G1719" s="3" t="s">
        <v>59</v>
      </c>
      <c r="H1719" s="3" t="s">
        <v>58</v>
      </c>
      <c r="I1719" s="3" t="s">
        <v>58</v>
      </c>
      <c r="J1719" s="3" t="s">
        <v>60</v>
      </c>
      <c r="K1719" s="2" t="s">
        <v>21532</v>
      </c>
      <c r="L1719" s="2" t="s">
        <v>21533</v>
      </c>
      <c r="M1719" s="3" t="s">
        <v>337</v>
      </c>
      <c r="O1719" s="3" t="s">
        <v>63</v>
      </c>
      <c r="P1719" s="3" t="s">
        <v>2630</v>
      </c>
      <c r="R1719" s="3" t="s">
        <v>65</v>
      </c>
      <c r="S1719" s="4">
        <v>3</v>
      </c>
      <c r="T1719" s="4">
        <v>3</v>
      </c>
      <c r="U1719" s="5" t="s">
        <v>21534</v>
      </c>
      <c r="V1719" s="5" t="s">
        <v>21534</v>
      </c>
      <c r="W1719" s="5" t="s">
        <v>21535</v>
      </c>
      <c r="X1719" s="5" t="s">
        <v>21535</v>
      </c>
      <c r="Y1719" s="4">
        <v>683</v>
      </c>
      <c r="Z1719" s="4">
        <v>611</v>
      </c>
      <c r="AA1719" s="4">
        <v>620</v>
      </c>
      <c r="AB1719" s="4">
        <v>5</v>
      </c>
      <c r="AC1719" s="4">
        <v>5</v>
      </c>
      <c r="AD1719" s="4">
        <v>29</v>
      </c>
      <c r="AE1719" s="4">
        <v>29</v>
      </c>
      <c r="AF1719" s="4">
        <v>9</v>
      </c>
      <c r="AG1719" s="4">
        <v>9</v>
      </c>
      <c r="AH1719" s="4">
        <v>8</v>
      </c>
      <c r="AI1719" s="4">
        <v>8</v>
      </c>
      <c r="AJ1719" s="4">
        <v>13</v>
      </c>
      <c r="AK1719" s="4">
        <v>13</v>
      </c>
      <c r="AL1719" s="4">
        <v>4</v>
      </c>
      <c r="AM1719" s="4">
        <v>4</v>
      </c>
      <c r="AN1719" s="4">
        <v>1</v>
      </c>
      <c r="AO1719" s="4">
        <v>1</v>
      </c>
      <c r="AP1719" s="3" t="s">
        <v>58</v>
      </c>
      <c r="AQ1719" s="3" t="s">
        <v>68</v>
      </c>
      <c r="AR1719" s="6" t="str">
        <f>HYPERLINK("http://catalog.hathitrust.org/Record/004297176","HathiTrust Record")</f>
        <v>HathiTrust Record</v>
      </c>
      <c r="AS1719" s="6" t="str">
        <f>HYPERLINK("https://creighton-primo.hosted.exlibrisgroup.com/primo-explore/search?tab=default_tab&amp;search_scope=EVERYTHING&amp;vid=01CRU&amp;lang=en_US&amp;offset=0&amp;query=any,contains,991003968289702656","Catalog Record")</f>
        <v>Catalog Record</v>
      </c>
      <c r="AT1719" s="6" t="str">
        <f>HYPERLINK("http://www.worldcat.org/oclc/51115357","WorldCat Record")</f>
        <v>WorldCat Record</v>
      </c>
      <c r="AU1719" s="3" t="s">
        <v>21536</v>
      </c>
      <c r="AV1719" s="3" t="s">
        <v>21537</v>
      </c>
      <c r="AW1719" s="3" t="s">
        <v>21538</v>
      </c>
      <c r="AX1719" s="3" t="s">
        <v>21538</v>
      </c>
      <c r="AY1719" s="3" t="s">
        <v>21539</v>
      </c>
      <c r="AZ1719" s="3" t="s">
        <v>73</v>
      </c>
      <c r="BB1719" s="3" t="s">
        <v>21540</v>
      </c>
      <c r="BC1719" s="3" t="s">
        <v>21541</v>
      </c>
      <c r="BD1719" s="3" t="s">
        <v>21542</v>
      </c>
    </row>
    <row r="1720" spans="1:56" ht="51" customHeight="1" x14ac:dyDescent="0.25">
      <c r="A1720" s="7" t="s">
        <v>58</v>
      </c>
      <c r="B1720" s="2" t="s">
        <v>21543</v>
      </c>
      <c r="C1720" s="2" t="s">
        <v>21544</v>
      </c>
      <c r="D1720" s="2" t="s">
        <v>21545</v>
      </c>
      <c r="F1720" s="3" t="s">
        <v>58</v>
      </c>
      <c r="G1720" s="3" t="s">
        <v>59</v>
      </c>
      <c r="H1720" s="3" t="s">
        <v>58</v>
      </c>
      <c r="I1720" s="3" t="s">
        <v>58</v>
      </c>
      <c r="J1720" s="3" t="s">
        <v>60</v>
      </c>
      <c r="K1720" s="2" t="s">
        <v>10834</v>
      </c>
      <c r="L1720" s="2" t="s">
        <v>21546</v>
      </c>
      <c r="M1720" s="3" t="s">
        <v>4023</v>
      </c>
      <c r="O1720" s="3" t="s">
        <v>63</v>
      </c>
      <c r="P1720" s="3" t="s">
        <v>214</v>
      </c>
      <c r="R1720" s="3" t="s">
        <v>65</v>
      </c>
      <c r="S1720" s="4">
        <v>4</v>
      </c>
      <c r="T1720" s="4">
        <v>4</v>
      </c>
      <c r="U1720" s="5" t="s">
        <v>4409</v>
      </c>
      <c r="V1720" s="5" t="s">
        <v>4409</v>
      </c>
      <c r="W1720" s="5" t="s">
        <v>9955</v>
      </c>
      <c r="X1720" s="5" t="s">
        <v>9955</v>
      </c>
      <c r="Y1720" s="4">
        <v>671</v>
      </c>
      <c r="Z1720" s="4">
        <v>564</v>
      </c>
      <c r="AA1720" s="4">
        <v>950</v>
      </c>
      <c r="AB1720" s="4">
        <v>5</v>
      </c>
      <c r="AC1720" s="4">
        <v>8</v>
      </c>
      <c r="AD1720" s="4">
        <v>32</v>
      </c>
      <c r="AE1720" s="4">
        <v>47</v>
      </c>
      <c r="AF1720" s="4">
        <v>13</v>
      </c>
      <c r="AG1720" s="4">
        <v>19</v>
      </c>
      <c r="AH1720" s="4">
        <v>8</v>
      </c>
      <c r="AI1720" s="4">
        <v>10</v>
      </c>
      <c r="AJ1720" s="4">
        <v>14</v>
      </c>
      <c r="AK1720" s="4">
        <v>19</v>
      </c>
      <c r="AL1720" s="4">
        <v>4</v>
      </c>
      <c r="AM1720" s="4">
        <v>7</v>
      </c>
      <c r="AN1720" s="4">
        <v>1</v>
      </c>
      <c r="AO1720" s="4">
        <v>2</v>
      </c>
      <c r="AP1720" s="3" t="s">
        <v>58</v>
      </c>
      <c r="AQ1720" s="3" t="s">
        <v>68</v>
      </c>
      <c r="AR1720" s="6" t="str">
        <f>HYPERLINK("http://catalog.hathitrust.org/Record/004763477","HathiTrust Record")</f>
        <v>HathiTrust Record</v>
      </c>
      <c r="AS1720" s="6" t="str">
        <f>HYPERLINK("https://creighton-primo.hosted.exlibrisgroup.com/primo-explore/search?tab=default_tab&amp;search_scope=EVERYTHING&amp;vid=01CRU&amp;lang=en_US&amp;offset=0&amp;query=any,contains,991004406699702656","Catalog Record")</f>
        <v>Catalog Record</v>
      </c>
      <c r="AT1720" s="6" t="str">
        <f>HYPERLINK("http://www.worldcat.org/oclc/54529089","WorldCat Record")</f>
        <v>WorldCat Record</v>
      </c>
      <c r="AU1720" s="3" t="s">
        <v>21547</v>
      </c>
      <c r="AV1720" s="3" t="s">
        <v>21548</v>
      </c>
      <c r="AW1720" s="3" t="s">
        <v>21549</v>
      </c>
      <c r="AX1720" s="3" t="s">
        <v>21549</v>
      </c>
      <c r="AY1720" s="3" t="s">
        <v>21550</v>
      </c>
      <c r="AZ1720" s="3" t="s">
        <v>73</v>
      </c>
      <c r="BB1720" s="3" t="s">
        <v>21551</v>
      </c>
      <c r="BC1720" s="3" t="s">
        <v>21552</v>
      </c>
      <c r="BD1720" s="3" t="s">
        <v>21553</v>
      </c>
    </row>
    <row r="1721" spans="1:56" ht="51" customHeight="1" x14ac:dyDescent="0.25">
      <c r="A1721" s="7" t="s">
        <v>58</v>
      </c>
      <c r="B1721" s="2" t="s">
        <v>21554</v>
      </c>
      <c r="C1721" s="2" t="s">
        <v>21555</v>
      </c>
      <c r="D1721" s="2" t="s">
        <v>21556</v>
      </c>
      <c r="F1721" s="3" t="s">
        <v>58</v>
      </c>
      <c r="G1721" s="3" t="s">
        <v>59</v>
      </c>
      <c r="H1721" s="3" t="s">
        <v>58</v>
      </c>
      <c r="I1721" s="3" t="s">
        <v>58</v>
      </c>
      <c r="J1721" s="3" t="s">
        <v>60</v>
      </c>
      <c r="K1721" s="2" t="s">
        <v>10834</v>
      </c>
      <c r="L1721" s="2" t="s">
        <v>21557</v>
      </c>
      <c r="M1721" s="3" t="s">
        <v>815</v>
      </c>
      <c r="O1721" s="3" t="s">
        <v>63</v>
      </c>
      <c r="P1721" s="3" t="s">
        <v>3109</v>
      </c>
      <c r="R1721" s="3" t="s">
        <v>65</v>
      </c>
      <c r="S1721" s="4">
        <v>4</v>
      </c>
      <c r="T1721" s="4">
        <v>4</v>
      </c>
      <c r="U1721" s="5" t="s">
        <v>21558</v>
      </c>
      <c r="V1721" s="5" t="s">
        <v>21558</v>
      </c>
      <c r="W1721" s="5" t="s">
        <v>21559</v>
      </c>
      <c r="X1721" s="5" t="s">
        <v>21559</v>
      </c>
      <c r="Y1721" s="4">
        <v>447</v>
      </c>
      <c r="Z1721" s="4">
        <v>359</v>
      </c>
      <c r="AA1721" s="4">
        <v>703</v>
      </c>
      <c r="AB1721" s="4">
        <v>3</v>
      </c>
      <c r="AC1721" s="4">
        <v>6</v>
      </c>
      <c r="AD1721" s="4">
        <v>26</v>
      </c>
      <c r="AE1721" s="4">
        <v>37</v>
      </c>
      <c r="AF1721" s="4">
        <v>15</v>
      </c>
      <c r="AG1721" s="4">
        <v>17</v>
      </c>
      <c r="AH1721" s="4">
        <v>5</v>
      </c>
      <c r="AI1721" s="4">
        <v>8</v>
      </c>
      <c r="AJ1721" s="4">
        <v>11</v>
      </c>
      <c r="AK1721" s="4">
        <v>14</v>
      </c>
      <c r="AL1721" s="4">
        <v>2</v>
      </c>
      <c r="AM1721" s="4">
        <v>5</v>
      </c>
      <c r="AN1721" s="4">
        <v>0</v>
      </c>
      <c r="AO1721" s="4">
        <v>1</v>
      </c>
      <c r="AP1721" s="3" t="s">
        <v>58</v>
      </c>
      <c r="AQ1721" s="3" t="s">
        <v>68</v>
      </c>
      <c r="AR1721" s="6" t="str">
        <f>HYPERLINK("http://catalog.hathitrust.org/Record/005912505","HathiTrust Record")</f>
        <v>HathiTrust Record</v>
      </c>
      <c r="AS1721" s="6" t="str">
        <f>HYPERLINK("https://creighton-primo.hosted.exlibrisgroup.com/primo-explore/search?tab=default_tab&amp;search_scope=EVERYTHING&amp;vid=01CRU&amp;lang=en_US&amp;offset=0&amp;query=any,contains,991005294619702656","Catalog Record")</f>
        <v>Catalog Record</v>
      </c>
      <c r="AT1721" s="6" t="str">
        <f>HYPERLINK("http://www.worldcat.org/oclc/162502014","WorldCat Record")</f>
        <v>WorldCat Record</v>
      </c>
      <c r="AU1721" s="3" t="s">
        <v>21560</v>
      </c>
      <c r="AV1721" s="3" t="s">
        <v>21561</v>
      </c>
      <c r="AW1721" s="3" t="s">
        <v>21562</v>
      </c>
      <c r="AX1721" s="3" t="s">
        <v>21562</v>
      </c>
      <c r="AY1721" s="3" t="s">
        <v>21563</v>
      </c>
      <c r="AZ1721" s="3" t="s">
        <v>73</v>
      </c>
      <c r="BB1721" s="3" t="s">
        <v>21564</v>
      </c>
      <c r="BC1721" s="3" t="s">
        <v>21565</v>
      </c>
      <c r="BD1721" s="3" t="s">
        <v>21566</v>
      </c>
    </row>
    <row r="1722" spans="1:56" ht="51" customHeight="1" x14ac:dyDescent="0.25">
      <c r="A1722" s="7" t="s">
        <v>58</v>
      </c>
      <c r="B1722" s="2" t="s">
        <v>21567</v>
      </c>
      <c r="C1722" s="2" t="s">
        <v>21568</v>
      </c>
      <c r="D1722" s="2" t="s">
        <v>21569</v>
      </c>
      <c r="F1722" s="3" t="s">
        <v>58</v>
      </c>
      <c r="G1722" s="3" t="s">
        <v>59</v>
      </c>
      <c r="H1722" s="3" t="s">
        <v>58</v>
      </c>
      <c r="I1722" s="3" t="s">
        <v>58</v>
      </c>
      <c r="J1722" s="3" t="s">
        <v>60</v>
      </c>
      <c r="K1722" s="2" t="s">
        <v>21570</v>
      </c>
      <c r="L1722" s="2" t="s">
        <v>21571</v>
      </c>
      <c r="M1722" s="3" t="s">
        <v>800</v>
      </c>
      <c r="O1722" s="3" t="s">
        <v>63</v>
      </c>
      <c r="P1722" s="3" t="s">
        <v>584</v>
      </c>
      <c r="R1722" s="3" t="s">
        <v>65</v>
      </c>
      <c r="S1722" s="4">
        <v>6</v>
      </c>
      <c r="T1722" s="4">
        <v>6</v>
      </c>
      <c r="U1722" s="5" t="s">
        <v>21002</v>
      </c>
      <c r="V1722" s="5" t="s">
        <v>21002</v>
      </c>
      <c r="W1722" s="5" t="s">
        <v>12917</v>
      </c>
      <c r="X1722" s="5" t="s">
        <v>12917</v>
      </c>
      <c r="Y1722" s="4">
        <v>370</v>
      </c>
      <c r="Z1722" s="4">
        <v>270</v>
      </c>
      <c r="AA1722" s="4">
        <v>291</v>
      </c>
      <c r="AB1722" s="4">
        <v>2</v>
      </c>
      <c r="AC1722" s="4">
        <v>2</v>
      </c>
      <c r="AD1722" s="4">
        <v>14</v>
      </c>
      <c r="AE1722" s="4">
        <v>14</v>
      </c>
      <c r="AF1722" s="4">
        <v>6</v>
      </c>
      <c r="AG1722" s="4">
        <v>6</v>
      </c>
      <c r="AH1722" s="4">
        <v>4</v>
      </c>
      <c r="AI1722" s="4">
        <v>4</v>
      </c>
      <c r="AJ1722" s="4">
        <v>8</v>
      </c>
      <c r="AK1722" s="4">
        <v>8</v>
      </c>
      <c r="AL1722" s="4">
        <v>1</v>
      </c>
      <c r="AM1722" s="4">
        <v>1</v>
      </c>
      <c r="AN1722" s="4">
        <v>0</v>
      </c>
      <c r="AO1722" s="4">
        <v>0</v>
      </c>
      <c r="AP1722" s="3" t="s">
        <v>58</v>
      </c>
      <c r="AQ1722" s="3" t="s">
        <v>58</v>
      </c>
      <c r="AS1722" s="6" t="str">
        <f>HYPERLINK("https://creighton-primo.hosted.exlibrisgroup.com/primo-explore/search?tab=default_tab&amp;search_scope=EVERYTHING&amp;vid=01CRU&amp;lang=en_US&amp;offset=0&amp;query=any,contains,991002357589702656","Catalog Record")</f>
        <v>Catalog Record</v>
      </c>
      <c r="AT1722" s="6" t="str">
        <f>HYPERLINK("http://www.worldcat.org/oclc/30667943","WorldCat Record")</f>
        <v>WorldCat Record</v>
      </c>
      <c r="AU1722" s="3" t="s">
        <v>21572</v>
      </c>
      <c r="AV1722" s="3" t="s">
        <v>21573</v>
      </c>
      <c r="AW1722" s="3" t="s">
        <v>21574</v>
      </c>
      <c r="AX1722" s="3" t="s">
        <v>21574</v>
      </c>
      <c r="AY1722" s="3" t="s">
        <v>21575</v>
      </c>
      <c r="AZ1722" s="3" t="s">
        <v>73</v>
      </c>
      <c r="BB1722" s="3" t="s">
        <v>21576</v>
      </c>
      <c r="BC1722" s="3" t="s">
        <v>21577</v>
      </c>
      <c r="BD1722" s="3" t="s">
        <v>21578</v>
      </c>
    </row>
    <row r="1723" spans="1:56" ht="51" customHeight="1" x14ac:dyDescent="0.25">
      <c r="A1723" s="7" t="s">
        <v>58</v>
      </c>
      <c r="B1723" s="2" t="s">
        <v>21579</v>
      </c>
      <c r="C1723" s="2" t="s">
        <v>21580</v>
      </c>
      <c r="D1723" s="2" t="s">
        <v>21581</v>
      </c>
      <c r="F1723" s="3" t="s">
        <v>58</v>
      </c>
      <c r="G1723" s="3" t="s">
        <v>59</v>
      </c>
      <c r="H1723" s="3" t="s">
        <v>58</v>
      </c>
      <c r="I1723" s="3" t="s">
        <v>58</v>
      </c>
      <c r="J1723" s="3" t="s">
        <v>60</v>
      </c>
      <c r="K1723" s="2" t="s">
        <v>21582</v>
      </c>
      <c r="L1723" s="2" t="s">
        <v>21583</v>
      </c>
      <c r="M1723" s="3" t="s">
        <v>4023</v>
      </c>
      <c r="O1723" s="3" t="s">
        <v>63</v>
      </c>
      <c r="P1723" s="3" t="s">
        <v>3109</v>
      </c>
      <c r="R1723" s="3" t="s">
        <v>65</v>
      </c>
      <c r="S1723" s="4">
        <v>3</v>
      </c>
      <c r="T1723" s="4">
        <v>3</v>
      </c>
      <c r="U1723" s="5" t="s">
        <v>3656</v>
      </c>
      <c r="V1723" s="5" t="s">
        <v>3656</v>
      </c>
      <c r="W1723" s="5" t="s">
        <v>21584</v>
      </c>
      <c r="X1723" s="5" t="s">
        <v>21584</v>
      </c>
      <c r="Y1723" s="4">
        <v>73</v>
      </c>
      <c r="Z1723" s="4">
        <v>62</v>
      </c>
      <c r="AA1723" s="4">
        <v>87</v>
      </c>
      <c r="AB1723" s="4">
        <v>1</v>
      </c>
      <c r="AC1723" s="4">
        <v>1</v>
      </c>
      <c r="AD1723" s="4">
        <v>3</v>
      </c>
      <c r="AE1723" s="4">
        <v>3</v>
      </c>
      <c r="AF1723" s="4">
        <v>0</v>
      </c>
      <c r="AG1723" s="4">
        <v>0</v>
      </c>
      <c r="AH1723" s="4">
        <v>2</v>
      </c>
      <c r="AI1723" s="4">
        <v>2</v>
      </c>
      <c r="AJ1723" s="4">
        <v>2</v>
      </c>
      <c r="AK1723" s="4">
        <v>2</v>
      </c>
      <c r="AL1723" s="4">
        <v>0</v>
      </c>
      <c r="AM1723" s="4">
        <v>0</v>
      </c>
      <c r="AN1723" s="4">
        <v>0</v>
      </c>
      <c r="AO1723" s="4">
        <v>0</v>
      </c>
      <c r="AP1723" s="3" t="s">
        <v>58</v>
      </c>
      <c r="AQ1723" s="3" t="s">
        <v>58</v>
      </c>
      <c r="AS1723" s="6" t="str">
        <f>HYPERLINK("https://creighton-primo.hosted.exlibrisgroup.com/primo-explore/search?tab=default_tab&amp;search_scope=EVERYTHING&amp;vid=01CRU&amp;lang=en_US&amp;offset=0&amp;query=any,contains,991004328949702656","Catalog Record")</f>
        <v>Catalog Record</v>
      </c>
      <c r="AT1723" s="6" t="str">
        <f>HYPERLINK("http://www.worldcat.org/oclc/55672822","WorldCat Record")</f>
        <v>WorldCat Record</v>
      </c>
      <c r="AU1723" s="3" t="s">
        <v>21585</v>
      </c>
      <c r="AV1723" s="3" t="s">
        <v>21586</v>
      </c>
      <c r="AW1723" s="3" t="s">
        <v>21587</v>
      </c>
      <c r="AX1723" s="3" t="s">
        <v>21587</v>
      </c>
      <c r="AY1723" s="3" t="s">
        <v>21588</v>
      </c>
      <c r="AZ1723" s="3" t="s">
        <v>73</v>
      </c>
      <c r="BB1723" s="3" t="s">
        <v>21589</v>
      </c>
      <c r="BC1723" s="3" t="s">
        <v>21590</v>
      </c>
      <c r="BD1723" s="3" t="s">
        <v>21591</v>
      </c>
    </row>
    <row r="1724" spans="1:56" ht="51" customHeight="1" x14ac:dyDescent="0.25">
      <c r="A1724" s="7" t="s">
        <v>58</v>
      </c>
      <c r="B1724" s="2" t="s">
        <v>21592</v>
      </c>
      <c r="C1724" s="2" t="s">
        <v>21593</v>
      </c>
      <c r="D1724" s="2" t="s">
        <v>21594</v>
      </c>
      <c r="F1724" s="3" t="s">
        <v>58</v>
      </c>
      <c r="G1724" s="3" t="s">
        <v>59</v>
      </c>
      <c r="H1724" s="3" t="s">
        <v>58</v>
      </c>
      <c r="I1724" s="3" t="s">
        <v>58</v>
      </c>
      <c r="J1724" s="3" t="s">
        <v>60</v>
      </c>
      <c r="K1724" s="2" t="s">
        <v>21595</v>
      </c>
      <c r="L1724" s="2" t="s">
        <v>21596</v>
      </c>
      <c r="M1724" s="3" t="s">
        <v>196</v>
      </c>
      <c r="O1724" s="3" t="s">
        <v>63</v>
      </c>
      <c r="P1724" s="3" t="s">
        <v>354</v>
      </c>
      <c r="R1724" s="3" t="s">
        <v>65</v>
      </c>
      <c r="S1724" s="4">
        <v>4</v>
      </c>
      <c r="T1724" s="4">
        <v>4</v>
      </c>
      <c r="U1724" s="5" t="s">
        <v>21597</v>
      </c>
      <c r="V1724" s="5" t="s">
        <v>21597</v>
      </c>
      <c r="W1724" s="5" t="s">
        <v>21598</v>
      </c>
      <c r="X1724" s="5" t="s">
        <v>21598</v>
      </c>
      <c r="Y1724" s="4">
        <v>347</v>
      </c>
      <c r="Z1724" s="4">
        <v>261</v>
      </c>
      <c r="AA1724" s="4">
        <v>304</v>
      </c>
      <c r="AB1724" s="4">
        <v>3</v>
      </c>
      <c r="AC1724" s="4">
        <v>3</v>
      </c>
      <c r="AD1724" s="4">
        <v>15</v>
      </c>
      <c r="AE1724" s="4">
        <v>15</v>
      </c>
      <c r="AF1724" s="4">
        <v>3</v>
      </c>
      <c r="AG1724" s="4">
        <v>3</v>
      </c>
      <c r="AH1724" s="4">
        <v>7</v>
      </c>
      <c r="AI1724" s="4">
        <v>7</v>
      </c>
      <c r="AJ1724" s="4">
        <v>8</v>
      </c>
      <c r="AK1724" s="4">
        <v>8</v>
      </c>
      <c r="AL1724" s="4">
        <v>2</v>
      </c>
      <c r="AM1724" s="4">
        <v>2</v>
      </c>
      <c r="AN1724" s="4">
        <v>0</v>
      </c>
      <c r="AO1724" s="4">
        <v>0</v>
      </c>
      <c r="AP1724" s="3" t="s">
        <v>58</v>
      </c>
      <c r="AQ1724" s="3" t="s">
        <v>58</v>
      </c>
      <c r="AS1724" s="6" t="str">
        <f>HYPERLINK("https://creighton-primo.hosted.exlibrisgroup.com/primo-explore/search?tab=default_tab&amp;search_scope=EVERYTHING&amp;vid=01CRU&amp;lang=en_US&amp;offset=0&amp;query=any,contains,991002643609702656","Catalog Record")</f>
        <v>Catalog Record</v>
      </c>
      <c r="AT1724" s="6" t="str">
        <f>HYPERLINK("http://www.worldcat.org/oclc/34598181","WorldCat Record")</f>
        <v>WorldCat Record</v>
      </c>
      <c r="AU1724" s="3" t="s">
        <v>21599</v>
      </c>
      <c r="AV1724" s="3" t="s">
        <v>21600</v>
      </c>
      <c r="AW1724" s="3" t="s">
        <v>21601</v>
      </c>
      <c r="AX1724" s="3" t="s">
        <v>21601</v>
      </c>
      <c r="AY1724" s="3" t="s">
        <v>21602</v>
      </c>
      <c r="AZ1724" s="3" t="s">
        <v>73</v>
      </c>
      <c r="BB1724" s="3" t="s">
        <v>21603</v>
      </c>
      <c r="BC1724" s="3" t="s">
        <v>21604</v>
      </c>
      <c r="BD1724" s="3" t="s">
        <v>21605</v>
      </c>
    </row>
    <row r="1725" spans="1:56" ht="51" customHeight="1" x14ac:dyDescent="0.25">
      <c r="A1725" s="7" t="s">
        <v>58</v>
      </c>
      <c r="B1725" s="2" t="s">
        <v>21606</v>
      </c>
      <c r="C1725" s="2" t="s">
        <v>21607</v>
      </c>
      <c r="D1725" s="2" t="s">
        <v>21608</v>
      </c>
      <c r="F1725" s="3" t="s">
        <v>58</v>
      </c>
      <c r="G1725" s="3" t="s">
        <v>59</v>
      </c>
      <c r="H1725" s="3" t="s">
        <v>58</v>
      </c>
      <c r="I1725" s="3" t="s">
        <v>58</v>
      </c>
      <c r="J1725" s="3" t="s">
        <v>60</v>
      </c>
      <c r="L1725" s="2" t="s">
        <v>21609</v>
      </c>
      <c r="M1725" s="3" t="s">
        <v>653</v>
      </c>
      <c r="O1725" s="3" t="s">
        <v>63</v>
      </c>
      <c r="P1725" s="3" t="s">
        <v>214</v>
      </c>
      <c r="R1725" s="3" t="s">
        <v>65</v>
      </c>
      <c r="S1725" s="4">
        <v>6</v>
      </c>
      <c r="T1725" s="4">
        <v>6</v>
      </c>
      <c r="U1725" s="5" t="s">
        <v>20658</v>
      </c>
      <c r="V1725" s="5" t="s">
        <v>20658</v>
      </c>
      <c r="W1725" s="5" t="s">
        <v>12787</v>
      </c>
      <c r="X1725" s="5" t="s">
        <v>12787</v>
      </c>
      <c r="Y1725" s="4">
        <v>653</v>
      </c>
      <c r="Z1725" s="4">
        <v>480</v>
      </c>
      <c r="AA1725" s="4">
        <v>486</v>
      </c>
      <c r="AB1725" s="4">
        <v>6</v>
      </c>
      <c r="AC1725" s="4">
        <v>6</v>
      </c>
      <c r="AD1725" s="4">
        <v>27</v>
      </c>
      <c r="AE1725" s="4">
        <v>27</v>
      </c>
      <c r="AF1725" s="4">
        <v>10</v>
      </c>
      <c r="AG1725" s="4">
        <v>10</v>
      </c>
      <c r="AH1725" s="4">
        <v>6</v>
      </c>
      <c r="AI1725" s="4">
        <v>6</v>
      </c>
      <c r="AJ1725" s="4">
        <v>12</v>
      </c>
      <c r="AK1725" s="4">
        <v>12</v>
      </c>
      <c r="AL1725" s="4">
        <v>5</v>
      </c>
      <c r="AM1725" s="4">
        <v>5</v>
      </c>
      <c r="AN1725" s="4">
        <v>0</v>
      </c>
      <c r="AO1725" s="4">
        <v>0</v>
      </c>
      <c r="AP1725" s="3" t="s">
        <v>58</v>
      </c>
      <c r="AQ1725" s="3" t="s">
        <v>58</v>
      </c>
      <c r="AS1725" s="6" t="str">
        <f>HYPERLINK("https://creighton-primo.hosted.exlibrisgroup.com/primo-explore/search?tab=default_tab&amp;search_scope=EVERYTHING&amp;vid=01CRU&amp;lang=en_US&amp;offset=0&amp;query=any,contains,991001882019702656","Catalog Record")</f>
        <v>Catalog Record</v>
      </c>
      <c r="AT1725" s="6" t="str">
        <f>HYPERLINK("http://www.worldcat.org/oclc/23732543","WorldCat Record")</f>
        <v>WorldCat Record</v>
      </c>
      <c r="AU1725" s="3" t="s">
        <v>21610</v>
      </c>
      <c r="AV1725" s="3" t="s">
        <v>21611</v>
      </c>
      <c r="AW1725" s="3" t="s">
        <v>21612</v>
      </c>
      <c r="AX1725" s="3" t="s">
        <v>21612</v>
      </c>
      <c r="AY1725" s="3" t="s">
        <v>21613</v>
      </c>
      <c r="AZ1725" s="3" t="s">
        <v>73</v>
      </c>
      <c r="BB1725" s="3" t="s">
        <v>21614</v>
      </c>
      <c r="BC1725" s="3" t="s">
        <v>21615</v>
      </c>
      <c r="BD1725" s="3" t="s">
        <v>21616</v>
      </c>
    </row>
    <row r="1726" spans="1:56" ht="51" customHeight="1" x14ac:dyDescent="0.25">
      <c r="A1726" s="7" t="s">
        <v>58</v>
      </c>
      <c r="B1726" s="2" t="s">
        <v>21617</v>
      </c>
      <c r="C1726" s="2" t="s">
        <v>21618</v>
      </c>
      <c r="D1726" s="2" t="s">
        <v>21619</v>
      </c>
      <c r="F1726" s="3" t="s">
        <v>58</v>
      </c>
      <c r="G1726" s="3" t="s">
        <v>59</v>
      </c>
      <c r="H1726" s="3" t="s">
        <v>58</v>
      </c>
      <c r="I1726" s="3" t="s">
        <v>58</v>
      </c>
      <c r="J1726" s="3" t="s">
        <v>60</v>
      </c>
      <c r="L1726" s="2" t="s">
        <v>3373</v>
      </c>
      <c r="M1726" s="3" t="s">
        <v>1061</v>
      </c>
      <c r="O1726" s="3" t="s">
        <v>63</v>
      </c>
      <c r="P1726" s="3" t="s">
        <v>214</v>
      </c>
      <c r="R1726" s="3" t="s">
        <v>65</v>
      </c>
      <c r="S1726" s="4">
        <v>7</v>
      </c>
      <c r="T1726" s="4">
        <v>7</v>
      </c>
      <c r="U1726" s="5" t="s">
        <v>4958</v>
      </c>
      <c r="V1726" s="5" t="s">
        <v>4958</v>
      </c>
      <c r="W1726" s="5" t="s">
        <v>2632</v>
      </c>
      <c r="X1726" s="5" t="s">
        <v>2632</v>
      </c>
      <c r="Y1726" s="4">
        <v>435</v>
      </c>
      <c r="Z1726" s="4">
        <v>306</v>
      </c>
      <c r="AA1726" s="4">
        <v>308</v>
      </c>
      <c r="AB1726" s="4">
        <v>3</v>
      </c>
      <c r="AC1726" s="4">
        <v>3</v>
      </c>
      <c r="AD1726" s="4">
        <v>19</v>
      </c>
      <c r="AE1726" s="4">
        <v>19</v>
      </c>
      <c r="AF1726" s="4">
        <v>6</v>
      </c>
      <c r="AG1726" s="4">
        <v>6</v>
      </c>
      <c r="AH1726" s="4">
        <v>4</v>
      </c>
      <c r="AI1726" s="4">
        <v>4</v>
      </c>
      <c r="AJ1726" s="4">
        <v>12</v>
      </c>
      <c r="AK1726" s="4">
        <v>12</v>
      </c>
      <c r="AL1726" s="4">
        <v>2</v>
      </c>
      <c r="AM1726" s="4">
        <v>2</v>
      </c>
      <c r="AN1726" s="4">
        <v>0</v>
      </c>
      <c r="AO1726" s="4">
        <v>0</v>
      </c>
      <c r="AP1726" s="3" t="s">
        <v>58</v>
      </c>
      <c r="AQ1726" s="3" t="s">
        <v>58</v>
      </c>
      <c r="AS1726" s="6" t="str">
        <f>HYPERLINK("https://creighton-primo.hosted.exlibrisgroup.com/primo-explore/search?tab=default_tab&amp;search_scope=EVERYTHING&amp;vid=01CRU&amp;lang=en_US&amp;offset=0&amp;query=any,contains,991002788299702656","Catalog Record")</f>
        <v>Catalog Record</v>
      </c>
      <c r="AT1726" s="6" t="str">
        <f>HYPERLINK("http://www.worldcat.org/oclc/36621944","WorldCat Record")</f>
        <v>WorldCat Record</v>
      </c>
      <c r="AU1726" s="3" t="s">
        <v>21620</v>
      </c>
      <c r="AV1726" s="3" t="s">
        <v>21621</v>
      </c>
      <c r="AW1726" s="3" t="s">
        <v>21622</v>
      </c>
      <c r="AX1726" s="3" t="s">
        <v>21622</v>
      </c>
      <c r="AY1726" s="3" t="s">
        <v>21623</v>
      </c>
      <c r="AZ1726" s="3" t="s">
        <v>73</v>
      </c>
      <c r="BB1726" s="3" t="s">
        <v>21624</v>
      </c>
      <c r="BC1726" s="3" t="s">
        <v>21625</v>
      </c>
      <c r="BD1726" s="3" t="s">
        <v>21626</v>
      </c>
    </row>
    <row r="1727" spans="1:56" ht="51" customHeight="1" x14ac:dyDescent="0.25">
      <c r="A1727" s="7" t="s">
        <v>58</v>
      </c>
      <c r="B1727" s="2" t="s">
        <v>21627</v>
      </c>
      <c r="C1727" s="2" t="s">
        <v>21628</v>
      </c>
      <c r="D1727" s="2" t="s">
        <v>21629</v>
      </c>
      <c r="F1727" s="3" t="s">
        <v>58</v>
      </c>
      <c r="G1727" s="3" t="s">
        <v>59</v>
      </c>
      <c r="H1727" s="3" t="s">
        <v>58</v>
      </c>
      <c r="I1727" s="3" t="s">
        <v>58</v>
      </c>
      <c r="J1727" s="3" t="s">
        <v>60</v>
      </c>
      <c r="K1727" s="2" t="s">
        <v>21630</v>
      </c>
      <c r="L1727" s="2" t="s">
        <v>21631</v>
      </c>
      <c r="M1727" s="3" t="s">
        <v>898</v>
      </c>
      <c r="O1727" s="3" t="s">
        <v>63</v>
      </c>
      <c r="P1727" s="3" t="s">
        <v>354</v>
      </c>
      <c r="R1727" s="3" t="s">
        <v>65</v>
      </c>
      <c r="S1727" s="4">
        <v>4</v>
      </c>
      <c r="T1727" s="4">
        <v>4</v>
      </c>
      <c r="U1727" s="5" t="s">
        <v>10503</v>
      </c>
      <c r="V1727" s="5" t="s">
        <v>10503</v>
      </c>
      <c r="W1727" s="5" t="s">
        <v>21632</v>
      </c>
      <c r="X1727" s="5" t="s">
        <v>21632</v>
      </c>
      <c r="Y1727" s="4">
        <v>399</v>
      </c>
      <c r="Z1727" s="4">
        <v>288</v>
      </c>
      <c r="AA1727" s="4">
        <v>734</v>
      </c>
      <c r="AB1727" s="4">
        <v>3</v>
      </c>
      <c r="AC1727" s="4">
        <v>6</v>
      </c>
      <c r="AD1727" s="4">
        <v>17</v>
      </c>
      <c r="AE1727" s="4">
        <v>37</v>
      </c>
      <c r="AF1727" s="4">
        <v>5</v>
      </c>
      <c r="AG1727" s="4">
        <v>15</v>
      </c>
      <c r="AH1727" s="4">
        <v>5</v>
      </c>
      <c r="AI1727" s="4">
        <v>10</v>
      </c>
      <c r="AJ1727" s="4">
        <v>9</v>
      </c>
      <c r="AK1727" s="4">
        <v>18</v>
      </c>
      <c r="AL1727" s="4">
        <v>2</v>
      </c>
      <c r="AM1727" s="4">
        <v>4</v>
      </c>
      <c r="AN1727" s="4">
        <v>0</v>
      </c>
      <c r="AO1727" s="4">
        <v>0</v>
      </c>
      <c r="AP1727" s="3" t="s">
        <v>58</v>
      </c>
      <c r="AQ1727" s="3" t="s">
        <v>58</v>
      </c>
      <c r="AS1727" s="6" t="str">
        <f>HYPERLINK("https://creighton-primo.hosted.exlibrisgroup.com/primo-explore/search?tab=default_tab&amp;search_scope=EVERYTHING&amp;vid=01CRU&amp;lang=en_US&amp;offset=0&amp;query=any,contains,991005066189702656","Catalog Record")</f>
        <v>Catalog Record</v>
      </c>
      <c r="AT1727" s="6" t="str">
        <f>HYPERLINK("http://www.worldcat.org/oclc/61162277","WorldCat Record")</f>
        <v>WorldCat Record</v>
      </c>
      <c r="AU1727" s="3" t="s">
        <v>21633</v>
      </c>
      <c r="AV1727" s="3" t="s">
        <v>21634</v>
      </c>
      <c r="AW1727" s="3" t="s">
        <v>21635</v>
      </c>
      <c r="AX1727" s="3" t="s">
        <v>21635</v>
      </c>
      <c r="AY1727" s="3" t="s">
        <v>21636</v>
      </c>
      <c r="AZ1727" s="3" t="s">
        <v>73</v>
      </c>
      <c r="BB1727" s="3" t="s">
        <v>21637</v>
      </c>
      <c r="BC1727" s="3" t="s">
        <v>21638</v>
      </c>
      <c r="BD1727" s="3" t="s">
        <v>21639</v>
      </c>
    </row>
    <row r="1728" spans="1:56" ht="51" customHeight="1" x14ac:dyDescent="0.25">
      <c r="A1728" s="7" t="s">
        <v>58</v>
      </c>
      <c r="B1728" s="2" t="s">
        <v>21640</v>
      </c>
      <c r="C1728" s="2" t="s">
        <v>21641</v>
      </c>
      <c r="D1728" s="2" t="s">
        <v>21642</v>
      </c>
      <c r="F1728" s="3" t="s">
        <v>58</v>
      </c>
      <c r="G1728" s="3" t="s">
        <v>59</v>
      </c>
      <c r="H1728" s="3" t="s">
        <v>58</v>
      </c>
      <c r="I1728" s="3" t="s">
        <v>58</v>
      </c>
      <c r="J1728" s="3" t="s">
        <v>60</v>
      </c>
      <c r="K1728" s="2" t="s">
        <v>21643</v>
      </c>
      <c r="L1728" s="2" t="s">
        <v>21644</v>
      </c>
      <c r="M1728" s="3" t="s">
        <v>382</v>
      </c>
      <c r="O1728" s="3" t="s">
        <v>63</v>
      </c>
      <c r="P1728" s="3" t="s">
        <v>584</v>
      </c>
      <c r="R1728" s="3" t="s">
        <v>65</v>
      </c>
      <c r="S1728" s="4">
        <v>3</v>
      </c>
      <c r="T1728" s="4">
        <v>3</v>
      </c>
      <c r="U1728" s="5" t="s">
        <v>21645</v>
      </c>
      <c r="V1728" s="5" t="s">
        <v>21645</v>
      </c>
      <c r="W1728" s="5" t="s">
        <v>10916</v>
      </c>
      <c r="X1728" s="5" t="s">
        <v>10916</v>
      </c>
      <c r="Y1728" s="4">
        <v>1014</v>
      </c>
      <c r="Z1728" s="4">
        <v>788</v>
      </c>
      <c r="AA1728" s="4">
        <v>798</v>
      </c>
      <c r="AB1728" s="4">
        <v>5</v>
      </c>
      <c r="AC1728" s="4">
        <v>5</v>
      </c>
      <c r="AD1728" s="4">
        <v>46</v>
      </c>
      <c r="AE1728" s="4">
        <v>46</v>
      </c>
      <c r="AF1728" s="4">
        <v>22</v>
      </c>
      <c r="AG1728" s="4">
        <v>22</v>
      </c>
      <c r="AH1728" s="4">
        <v>9</v>
      </c>
      <c r="AI1728" s="4">
        <v>9</v>
      </c>
      <c r="AJ1728" s="4">
        <v>23</v>
      </c>
      <c r="AK1728" s="4">
        <v>23</v>
      </c>
      <c r="AL1728" s="4">
        <v>4</v>
      </c>
      <c r="AM1728" s="4">
        <v>4</v>
      </c>
      <c r="AN1728" s="4">
        <v>0</v>
      </c>
      <c r="AO1728" s="4">
        <v>0</v>
      </c>
      <c r="AP1728" s="3" t="s">
        <v>58</v>
      </c>
      <c r="AQ1728" s="3" t="s">
        <v>58</v>
      </c>
      <c r="AS1728" s="6" t="str">
        <f>HYPERLINK("https://creighton-primo.hosted.exlibrisgroup.com/primo-explore/search?tab=default_tab&amp;search_scope=EVERYTHING&amp;vid=01CRU&amp;lang=en_US&amp;offset=0&amp;query=any,contains,991003884299702656","Catalog Record")</f>
        <v>Catalog Record</v>
      </c>
      <c r="AT1728" s="6" t="str">
        <f>HYPERLINK("http://www.worldcat.org/oclc/39654883","WorldCat Record")</f>
        <v>WorldCat Record</v>
      </c>
      <c r="AU1728" s="3" t="s">
        <v>21646</v>
      </c>
      <c r="AV1728" s="3" t="s">
        <v>21647</v>
      </c>
      <c r="AW1728" s="3" t="s">
        <v>21648</v>
      </c>
      <c r="AX1728" s="3" t="s">
        <v>21648</v>
      </c>
      <c r="AY1728" s="3" t="s">
        <v>21649</v>
      </c>
      <c r="AZ1728" s="3" t="s">
        <v>73</v>
      </c>
      <c r="BB1728" s="3" t="s">
        <v>21650</v>
      </c>
      <c r="BC1728" s="3" t="s">
        <v>21651</v>
      </c>
      <c r="BD1728" s="3" t="s">
        <v>21652</v>
      </c>
    </row>
    <row r="1729" spans="1:56" ht="51" customHeight="1" x14ac:dyDescent="0.25">
      <c r="A1729" s="7" t="s">
        <v>58</v>
      </c>
      <c r="B1729" s="2" t="s">
        <v>21653</v>
      </c>
      <c r="C1729" s="2" t="s">
        <v>21654</v>
      </c>
      <c r="D1729" s="2" t="s">
        <v>21655</v>
      </c>
      <c r="F1729" s="3" t="s">
        <v>58</v>
      </c>
      <c r="G1729" s="3" t="s">
        <v>59</v>
      </c>
      <c r="H1729" s="3" t="s">
        <v>58</v>
      </c>
      <c r="I1729" s="3" t="s">
        <v>58</v>
      </c>
      <c r="J1729" s="3" t="s">
        <v>60</v>
      </c>
      <c r="K1729" s="2" t="s">
        <v>21656</v>
      </c>
      <c r="L1729" s="2" t="s">
        <v>21657</v>
      </c>
      <c r="M1729" s="3" t="s">
        <v>552</v>
      </c>
      <c r="O1729" s="3" t="s">
        <v>63</v>
      </c>
      <c r="P1729" s="3" t="s">
        <v>411</v>
      </c>
      <c r="R1729" s="3" t="s">
        <v>65</v>
      </c>
      <c r="S1729" s="4">
        <v>4</v>
      </c>
      <c r="T1729" s="4">
        <v>4</v>
      </c>
      <c r="U1729" s="5" t="s">
        <v>16217</v>
      </c>
      <c r="V1729" s="5" t="s">
        <v>16217</v>
      </c>
      <c r="W1729" s="5" t="s">
        <v>21658</v>
      </c>
      <c r="X1729" s="5" t="s">
        <v>21658</v>
      </c>
      <c r="Y1729" s="4">
        <v>401</v>
      </c>
      <c r="Z1729" s="4">
        <v>302</v>
      </c>
      <c r="AA1729" s="4">
        <v>307</v>
      </c>
      <c r="AB1729" s="4">
        <v>2</v>
      </c>
      <c r="AC1729" s="4">
        <v>2</v>
      </c>
      <c r="AD1729" s="4">
        <v>18</v>
      </c>
      <c r="AE1729" s="4">
        <v>18</v>
      </c>
      <c r="AF1729" s="4">
        <v>5</v>
      </c>
      <c r="AG1729" s="4">
        <v>5</v>
      </c>
      <c r="AH1729" s="4">
        <v>4</v>
      </c>
      <c r="AI1729" s="4">
        <v>4</v>
      </c>
      <c r="AJ1729" s="4">
        <v>12</v>
      </c>
      <c r="AK1729" s="4">
        <v>12</v>
      </c>
      <c r="AL1729" s="4">
        <v>1</v>
      </c>
      <c r="AM1729" s="4">
        <v>1</v>
      </c>
      <c r="AN1729" s="4">
        <v>0</v>
      </c>
      <c r="AO1729" s="4">
        <v>0</v>
      </c>
      <c r="AP1729" s="3" t="s">
        <v>58</v>
      </c>
      <c r="AQ1729" s="3" t="s">
        <v>58</v>
      </c>
      <c r="AS1729" s="6" t="str">
        <f>HYPERLINK("https://creighton-primo.hosted.exlibrisgroup.com/primo-explore/search?tab=default_tab&amp;search_scope=EVERYTHING&amp;vid=01CRU&amp;lang=en_US&amp;offset=0&amp;query=any,contains,991001732429702656","Catalog Record")</f>
        <v>Catalog Record</v>
      </c>
      <c r="AT1729" s="6" t="str">
        <f>HYPERLINK("http://www.worldcat.org/oclc/21948938","WorldCat Record")</f>
        <v>WorldCat Record</v>
      </c>
      <c r="AU1729" s="3" t="s">
        <v>21659</v>
      </c>
      <c r="AV1729" s="3" t="s">
        <v>21660</v>
      </c>
      <c r="AW1729" s="3" t="s">
        <v>21661</v>
      </c>
      <c r="AX1729" s="3" t="s">
        <v>21661</v>
      </c>
      <c r="AY1729" s="3" t="s">
        <v>21662</v>
      </c>
      <c r="AZ1729" s="3" t="s">
        <v>73</v>
      </c>
      <c r="BB1729" s="3" t="s">
        <v>21663</v>
      </c>
      <c r="BC1729" s="3" t="s">
        <v>21664</v>
      </c>
      <c r="BD1729" s="3" t="s">
        <v>21665</v>
      </c>
    </row>
    <row r="1730" spans="1:56" ht="51" customHeight="1" x14ac:dyDescent="0.25">
      <c r="A1730" s="7" t="s">
        <v>58</v>
      </c>
      <c r="B1730" s="2" t="s">
        <v>21666</v>
      </c>
      <c r="C1730" s="2" t="s">
        <v>21667</v>
      </c>
      <c r="D1730" s="2" t="s">
        <v>21668</v>
      </c>
      <c r="F1730" s="3" t="s">
        <v>58</v>
      </c>
      <c r="G1730" s="3" t="s">
        <v>59</v>
      </c>
      <c r="H1730" s="3" t="s">
        <v>58</v>
      </c>
      <c r="I1730" s="3" t="s">
        <v>58</v>
      </c>
      <c r="J1730" s="3" t="s">
        <v>60</v>
      </c>
      <c r="K1730" s="2" t="s">
        <v>21669</v>
      </c>
      <c r="L1730" s="2" t="s">
        <v>21670</v>
      </c>
      <c r="M1730" s="3" t="s">
        <v>196</v>
      </c>
      <c r="O1730" s="3" t="s">
        <v>63</v>
      </c>
      <c r="P1730" s="3" t="s">
        <v>584</v>
      </c>
      <c r="Q1730" s="2" t="s">
        <v>21671</v>
      </c>
      <c r="R1730" s="3" t="s">
        <v>65</v>
      </c>
      <c r="S1730" s="4">
        <v>5</v>
      </c>
      <c r="T1730" s="4">
        <v>5</v>
      </c>
      <c r="U1730" s="5" t="s">
        <v>21672</v>
      </c>
      <c r="V1730" s="5" t="s">
        <v>21672</v>
      </c>
      <c r="W1730" s="5" t="s">
        <v>21673</v>
      </c>
      <c r="X1730" s="5" t="s">
        <v>21673</v>
      </c>
      <c r="Y1730" s="4">
        <v>214</v>
      </c>
      <c r="Z1730" s="4">
        <v>143</v>
      </c>
      <c r="AA1730" s="4">
        <v>143</v>
      </c>
      <c r="AB1730" s="4">
        <v>2</v>
      </c>
      <c r="AC1730" s="4">
        <v>2</v>
      </c>
      <c r="AD1730" s="4">
        <v>8</v>
      </c>
      <c r="AE1730" s="4">
        <v>8</v>
      </c>
      <c r="AF1730" s="4">
        <v>1</v>
      </c>
      <c r="AG1730" s="4">
        <v>1</v>
      </c>
      <c r="AH1730" s="4">
        <v>2</v>
      </c>
      <c r="AI1730" s="4">
        <v>2</v>
      </c>
      <c r="AJ1730" s="4">
        <v>7</v>
      </c>
      <c r="AK1730" s="4">
        <v>7</v>
      </c>
      <c r="AL1730" s="4">
        <v>1</v>
      </c>
      <c r="AM1730" s="4">
        <v>1</v>
      </c>
      <c r="AN1730" s="4">
        <v>0</v>
      </c>
      <c r="AO1730" s="4">
        <v>0</v>
      </c>
      <c r="AP1730" s="3" t="s">
        <v>58</v>
      </c>
      <c r="AQ1730" s="3" t="s">
        <v>58</v>
      </c>
      <c r="AS1730" s="6" t="str">
        <f>HYPERLINK("https://creighton-primo.hosted.exlibrisgroup.com/primo-explore/search?tab=default_tab&amp;search_scope=EVERYTHING&amp;vid=01CRU&amp;lang=en_US&amp;offset=0&amp;query=any,contains,991002654749702656","Catalog Record")</f>
        <v>Catalog Record</v>
      </c>
      <c r="AT1730" s="6" t="str">
        <f>HYPERLINK("http://www.worldcat.org/oclc/34705093","WorldCat Record")</f>
        <v>WorldCat Record</v>
      </c>
      <c r="AU1730" s="3" t="s">
        <v>21674</v>
      </c>
      <c r="AV1730" s="3" t="s">
        <v>21675</v>
      </c>
      <c r="AW1730" s="3" t="s">
        <v>21676</v>
      </c>
      <c r="AX1730" s="3" t="s">
        <v>21676</v>
      </c>
      <c r="AY1730" s="3" t="s">
        <v>21677</v>
      </c>
      <c r="AZ1730" s="3" t="s">
        <v>73</v>
      </c>
      <c r="BB1730" s="3" t="s">
        <v>21678</v>
      </c>
      <c r="BC1730" s="3" t="s">
        <v>21679</v>
      </c>
      <c r="BD1730" s="3" t="s">
        <v>21680</v>
      </c>
    </row>
    <row r="1731" spans="1:56" ht="51" customHeight="1" x14ac:dyDescent="0.25">
      <c r="A1731" s="7" t="s">
        <v>58</v>
      </c>
      <c r="B1731" s="2" t="s">
        <v>21681</v>
      </c>
      <c r="C1731" s="2" t="s">
        <v>21682</v>
      </c>
      <c r="D1731" s="2" t="s">
        <v>21683</v>
      </c>
      <c r="F1731" s="3" t="s">
        <v>58</v>
      </c>
      <c r="G1731" s="3" t="s">
        <v>59</v>
      </c>
      <c r="H1731" s="3" t="s">
        <v>58</v>
      </c>
      <c r="I1731" s="3" t="s">
        <v>58</v>
      </c>
      <c r="J1731" s="3" t="s">
        <v>60</v>
      </c>
      <c r="K1731" s="2" t="s">
        <v>21684</v>
      </c>
      <c r="L1731" s="2" t="s">
        <v>21685</v>
      </c>
      <c r="M1731" s="3" t="s">
        <v>951</v>
      </c>
      <c r="O1731" s="3" t="s">
        <v>63</v>
      </c>
      <c r="P1731" s="3" t="s">
        <v>3109</v>
      </c>
      <c r="R1731" s="3" t="s">
        <v>65</v>
      </c>
      <c r="S1731" s="4">
        <v>1</v>
      </c>
      <c r="T1731" s="4">
        <v>1</v>
      </c>
      <c r="U1731" s="5" t="s">
        <v>4011</v>
      </c>
      <c r="V1731" s="5" t="s">
        <v>4011</v>
      </c>
      <c r="W1731" s="5" t="s">
        <v>4011</v>
      </c>
      <c r="X1731" s="5" t="s">
        <v>4011</v>
      </c>
      <c r="Y1731" s="4">
        <v>317</v>
      </c>
      <c r="Z1731" s="4">
        <v>244</v>
      </c>
      <c r="AA1731" s="4">
        <v>262</v>
      </c>
      <c r="AB1731" s="4">
        <v>2</v>
      </c>
      <c r="AC1731" s="4">
        <v>2</v>
      </c>
      <c r="AD1731" s="4">
        <v>16</v>
      </c>
      <c r="AE1731" s="4">
        <v>16</v>
      </c>
      <c r="AF1731" s="4">
        <v>4</v>
      </c>
      <c r="AG1731" s="4">
        <v>4</v>
      </c>
      <c r="AH1731" s="4">
        <v>5</v>
      </c>
      <c r="AI1731" s="4">
        <v>5</v>
      </c>
      <c r="AJ1731" s="4">
        <v>10</v>
      </c>
      <c r="AK1731" s="4">
        <v>10</v>
      </c>
      <c r="AL1731" s="4">
        <v>1</v>
      </c>
      <c r="AM1731" s="4">
        <v>1</v>
      </c>
      <c r="AN1731" s="4">
        <v>0</v>
      </c>
      <c r="AO1731" s="4">
        <v>0</v>
      </c>
      <c r="AP1731" s="3" t="s">
        <v>58</v>
      </c>
      <c r="AQ1731" s="3" t="s">
        <v>68</v>
      </c>
      <c r="AR1731" s="6" t="str">
        <f>HYPERLINK("http://catalog.hathitrust.org/Record/004079722","HathiTrust Record")</f>
        <v>HathiTrust Record</v>
      </c>
      <c r="AS1731" s="6" t="str">
        <f>HYPERLINK("https://creighton-primo.hosted.exlibrisgroup.com/primo-explore/search?tab=default_tab&amp;search_scope=EVERYTHING&amp;vid=01CRU&amp;lang=en_US&amp;offset=0&amp;query=any,contains,991003321829702656","Catalog Record")</f>
        <v>Catalog Record</v>
      </c>
      <c r="AT1731" s="6" t="str">
        <f>HYPERLINK("http://www.worldcat.org/oclc/42296701","WorldCat Record")</f>
        <v>WorldCat Record</v>
      </c>
      <c r="AU1731" s="3" t="s">
        <v>21686</v>
      </c>
      <c r="AV1731" s="3" t="s">
        <v>21687</v>
      </c>
      <c r="AW1731" s="3" t="s">
        <v>21688</v>
      </c>
      <c r="AX1731" s="3" t="s">
        <v>21688</v>
      </c>
      <c r="AY1731" s="3" t="s">
        <v>21689</v>
      </c>
      <c r="AZ1731" s="3" t="s">
        <v>73</v>
      </c>
      <c r="BB1731" s="3" t="s">
        <v>21690</v>
      </c>
      <c r="BC1731" s="3" t="s">
        <v>21691</v>
      </c>
      <c r="BD1731" s="3" t="s">
        <v>21692</v>
      </c>
    </row>
    <row r="1732" spans="1:56" ht="51" customHeight="1" x14ac:dyDescent="0.25">
      <c r="A1732" s="7" t="s">
        <v>58</v>
      </c>
      <c r="B1732" s="2" t="s">
        <v>21693</v>
      </c>
      <c r="C1732" s="2" t="s">
        <v>21694</v>
      </c>
      <c r="D1732" s="2" t="s">
        <v>21695</v>
      </c>
      <c r="F1732" s="3" t="s">
        <v>58</v>
      </c>
      <c r="G1732" s="3" t="s">
        <v>59</v>
      </c>
      <c r="H1732" s="3" t="s">
        <v>58</v>
      </c>
      <c r="I1732" s="3" t="s">
        <v>58</v>
      </c>
      <c r="J1732" s="3" t="s">
        <v>60</v>
      </c>
      <c r="K1732" s="2" t="s">
        <v>21696</v>
      </c>
      <c r="L1732" s="2" t="s">
        <v>21697</v>
      </c>
      <c r="M1732" s="3" t="s">
        <v>815</v>
      </c>
      <c r="O1732" s="3" t="s">
        <v>63</v>
      </c>
      <c r="P1732" s="3" t="s">
        <v>214</v>
      </c>
      <c r="R1732" s="3" t="s">
        <v>65</v>
      </c>
      <c r="S1732" s="4">
        <v>1</v>
      </c>
      <c r="T1732" s="4">
        <v>1</v>
      </c>
      <c r="U1732" s="5" t="s">
        <v>21698</v>
      </c>
      <c r="V1732" s="5" t="s">
        <v>21698</v>
      </c>
      <c r="W1732" s="5" t="s">
        <v>21698</v>
      </c>
      <c r="X1732" s="5" t="s">
        <v>21698</v>
      </c>
      <c r="Y1732" s="4">
        <v>278</v>
      </c>
      <c r="Z1732" s="4">
        <v>200</v>
      </c>
      <c r="AA1732" s="4">
        <v>824</v>
      </c>
      <c r="AB1732" s="4">
        <v>2</v>
      </c>
      <c r="AC1732" s="4">
        <v>8</v>
      </c>
      <c r="AD1732" s="4">
        <v>15</v>
      </c>
      <c r="AE1732" s="4">
        <v>38</v>
      </c>
      <c r="AF1732" s="4">
        <v>3</v>
      </c>
      <c r="AG1732" s="4">
        <v>13</v>
      </c>
      <c r="AH1732" s="4">
        <v>6</v>
      </c>
      <c r="AI1732" s="4">
        <v>11</v>
      </c>
      <c r="AJ1732" s="4">
        <v>9</v>
      </c>
      <c r="AK1732" s="4">
        <v>16</v>
      </c>
      <c r="AL1732" s="4">
        <v>1</v>
      </c>
      <c r="AM1732" s="4">
        <v>6</v>
      </c>
      <c r="AN1732" s="4">
        <v>0</v>
      </c>
      <c r="AO1732" s="4">
        <v>1</v>
      </c>
      <c r="AP1732" s="3" t="s">
        <v>58</v>
      </c>
      <c r="AQ1732" s="3" t="s">
        <v>68</v>
      </c>
      <c r="AR1732" s="6" t="str">
        <f>HYPERLINK("http://catalog.hathitrust.org/Record/005824387","HathiTrust Record")</f>
        <v>HathiTrust Record</v>
      </c>
      <c r="AS1732" s="6" t="str">
        <f>HYPERLINK("https://creighton-primo.hosted.exlibrisgroup.com/primo-explore/search?tab=default_tab&amp;search_scope=EVERYTHING&amp;vid=01CRU&amp;lang=en_US&amp;offset=0&amp;query=any,contains,991000179639702656","Catalog Record")</f>
        <v>Catalog Record</v>
      </c>
      <c r="AT1732" s="6" t="str">
        <f>HYPERLINK("http://www.worldcat.org/oclc/225852390","WorldCat Record")</f>
        <v>WorldCat Record</v>
      </c>
      <c r="AU1732" s="3" t="s">
        <v>21699</v>
      </c>
      <c r="AV1732" s="3" t="s">
        <v>21700</v>
      </c>
      <c r="AW1732" s="3" t="s">
        <v>21701</v>
      </c>
      <c r="AX1732" s="3" t="s">
        <v>21701</v>
      </c>
      <c r="AY1732" s="3" t="s">
        <v>21702</v>
      </c>
      <c r="AZ1732" s="3" t="s">
        <v>73</v>
      </c>
      <c r="BB1732" s="3" t="s">
        <v>21703</v>
      </c>
      <c r="BC1732" s="3" t="s">
        <v>21704</v>
      </c>
      <c r="BD1732" s="3" t="s">
        <v>21705</v>
      </c>
    </row>
    <row r="1733" spans="1:56" ht="51" customHeight="1" x14ac:dyDescent="0.25">
      <c r="A1733" s="7" t="s">
        <v>58</v>
      </c>
      <c r="B1733" s="2" t="s">
        <v>21706</v>
      </c>
      <c r="C1733" s="2" t="s">
        <v>21707</v>
      </c>
      <c r="D1733" s="2" t="s">
        <v>21708</v>
      </c>
      <c r="F1733" s="3" t="s">
        <v>58</v>
      </c>
      <c r="G1733" s="3" t="s">
        <v>59</v>
      </c>
      <c r="H1733" s="3" t="s">
        <v>58</v>
      </c>
      <c r="I1733" s="3" t="s">
        <v>58</v>
      </c>
      <c r="J1733" s="3" t="s">
        <v>60</v>
      </c>
      <c r="K1733" s="2" t="s">
        <v>21709</v>
      </c>
      <c r="L1733" s="2" t="s">
        <v>21710</v>
      </c>
      <c r="M1733" s="3" t="s">
        <v>1091</v>
      </c>
      <c r="O1733" s="3" t="s">
        <v>63</v>
      </c>
      <c r="P1733" s="3" t="s">
        <v>10160</v>
      </c>
      <c r="R1733" s="3" t="s">
        <v>65</v>
      </c>
      <c r="S1733" s="4">
        <v>2</v>
      </c>
      <c r="T1733" s="4">
        <v>2</v>
      </c>
      <c r="U1733" s="5" t="s">
        <v>11454</v>
      </c>
      <c r="V1733" s="5" t="s">
        <v>11454</v>
      </c>
      <c r="W1733" s="5" t="s">
        <v>21711</v>
      </c>
      <c r="X1733" s="5" t="s">
        <v>21711</v>
      </c>
      <c r="Y1733" s="4">
        <v>268</v>
      </c>
      <c r="Z1733" s="4">
        <v>200</v>
      </c>
      <c r="AA1733" s="4">
        <v>758</v>
      </c>
      <c r="AB1733" s="4">
        <v>2</v>
      </c>
      <c r="AC1733" s="4">
        <v>3</v>
      </c>
      <c r="AD1733" s="4">
        <v>7</v>
      </c>
      <c r="AE1733" s="4">
        <v>20</v>
      </c>
      <c r="AF1733" s="4">
        <v>1</v>
      </c>
      <c r="AG1733" s="4">
        <v>8</v>
      </c>
      <c r="AH1733" s="4">
        <v>3</v>
      </c>
      <c r="AI1733" s="4">
        <v>6</v>
      </c>
      <c r="AJ1733" s="4">
        <v>5</v>
      </c>
      <c r="AK1733" s="4">
        <v>12</v>
      </c>
      <c r="AL1733" s="4">
        <v>1</v>
      </c>
      <c r="AM1733" s="4">
        <v>2</v>
      </c>
      <c r="AN1733" s="4">
        <v>0</v>
      </c>
      <c r="AO1733" s="4">
        <v>0</v>
      </c>
      <c r="AP1733" s="3" t="s">
        <v>58</v>
      </c>
      <c r="AQ1733" s="3" t="s">
        <v>68</v>
      </c>
      <c r="AR1733" s="6" t="str">
        <f>HYPERLINK("http://catalog.hathitrust.org/Record/004078586","HathiTrust Record")</f>
        <v>HathiTrust Record</v>
      </c>
      <c r="AS1733" s="6" t="str">
        <f>HYPERLINK("https://creighton-primo.hosted.exlibrisgroup.com/primo-explore/search?tab=default_tab&amp;search_scope=EVERYTHING&amp;vid=01CRU&amp;lang=en_US&amp;offset=0&amp;query=any,contains,991003641589702656","Catalog Record")</f>
        <v>Catalog Record</v>
      </c>
      <c r="AT1733" s="6" t="str">
        <f>HYPERLINK("http://www.worldcat.org/oclc/44019162","WorldCat Record")</f>
        <v>WorldCat Record</v>
      </c>
      <c r="AU1733" s="3" t="s">
        <v>21712</v>
      </c>
      <c r="AV1733" s="3" t="s">
        <v>21713</v>
      </c>
      <c r="AW1733" s="3" t="s">
        <v>21714</v>
      </c>
      <c r="AX1733" s="3" t="s">
        <v>21714</v>
      </c>
      <c r="AY1733" s="3" t="s">
        <v>21715</v>
      </c>
      <c r="AZ1733" s="3" t="s">
        <v>73</v>
      </c>
      <c r="BB1733" s="3" t="s">
        <v>21716</v>
      </c>
      <c r="BC1733" s="3" t="s">
        <v>21717</v>
      </c>
      <c r="BD1733" s="3" t="s">
        <v>21718</v>
      </c>
    </row>
    <row r="1734" spans="1:56" ht="51" customHeight="1" x14ac:dyDescent="0.25">
      <c r="A1734" s="7" t="s">
        <v>58</v>
      </c>
      <c r="B1734" s="2" t="s">
        <v>21719</v>
      </c>
      <c r="C1734" s="2" t="s">
        <v>21720</v>
      </c>
      <c r="D1734" s="2" t="s">
        <v>21721</v>
      </c>
      <c r="F1734" s="3" t="s">
        <v>58</v>
      </c>
      <c r="G1734" s="3" t="s">
        <v>59</v>
      </c>
      <c r="H1734" s="3" t="s">
        <v>58</v>
      </c>
      <c r="I1734" s="3" t="s">
        <v>58</v>
      </c>
      <c r="J1734" s="3" t="s">
        <v>60</v>
      </c>
      <c r="K1734" s="2" t="s">
        <v>21722</v>
      </c>
      <c r="L1734" s="2" t="s">
        <v>21723</v>
      </c>
      <c r="M1734" s="3" t="s">
        <v>759</v>
      </c>
      <c r="O1734" s="3" t="s">
        <v>63</v>
      </c>
      <c r="P1734" s="3" t="s">
        <v>2061</v>
      </c>
      <c r="R1734" s="3" t="s">
        <v>65</v>
      </c>
      <c r="S1734" s="4">
        <v>4</v>
      </c>
      <c r="T1734" s="4">
        <v>4</v>
      </c>
      <c r="U1734" s="5" t="s">
        <v>4410</v>
      </c>
      <c r="V1734" s="5" t="s">
        <v>4410</v>
      </c>
      <c r="W1734" s="5" t="s">
        <v>20121</v>
      </c>
      <c r="X1734" s="5" t="s">
        <v>20121</v>
      </c>
      <c r="Y1734" s="4">
        <v>389</v>
      </c>
      <c r="Z1734" s="4">
        <v>281</v>
      </c>
      <c r="AA1734" s="4">
        <v>294</v>
      </c>
      <c r="AB1734" s="4">
        <v>2</v>
      </c>
      <c r="AC1734" s="4">
        <v>2</v>
      </c>
      <c r="AD1734" s="4">
        <v>11</v>
      </c>
      <c r="AE1734" s="4">
        <v>11</v>
      </c>
      <c r="AF1734" s="4">
        <v>0</v>
      </c>
      <c r="AG1734" s="4">
        <v>0</v>
      </c>
      <c r="AH1734" s="4">
        <v>4</v>
      </c>
      <c r="AI1734" s="4">
        <v>4</v>
      </c>
      <c r="AJ1734" s="4">
        <v>8</v>
      </c>
      <c r="AK1734" s="4">
        <v>8</v>
      </c>
      <c r="AL1734" s="4">
        <v>1</v>
      </c>
      <c r="AM1734" s="4">
        <v>1</v>
      </c>
      <c r="AN1734" s="4">
        <v>0</v>
      </c>
      <c r="AO1734" s="4">
        <v>0</v>
      </c>
      <c r="AP1734" s="3" t="s">
        <v>58</v>
      </c>
      <c r="AQ1734" s="3" t="s">
        <v>58</v>
      </c>
      <c r="AS1734" s="6" t="str">
        <f>HYPERLINK("https://creighton-primo.hosted.exlibrisgroup.com/primo-explore/search?tab=default_tab&amp;search_scope=EVERYTHING&amp;vid=01CRU&amp;lang=en_US&amp;offset=0&amp;query=any,contains,991004940059702656","Catalog Record")</f>
        <v>Catalog Record</v>
      </c>
      <c r="AT1734" s="6" t="str">
        <f>HYPERLINK("http://www.worldcat.org/oclc/6176114","WorldCat Record")</f>
        <v>WorldCat Record</v>
      </c>
      <c r="AU1734" s="3" t="s">
        <v>21724</v>
      </c>
      <c r="AV1734" s="3" t="s">
        <v>21725</v>
      </c>
      <c r="AW1734" s="3" t="s">
        <v>21726</v>
      </c>
      <c r="AX1734" s="3" t="s">
        <v>21726</v>
      </c>
      <c r="AY1734" s="3" t="s">
        <v>21727</v>
      </c>
      <c r="AZ1734" s="3" t="s">
        <v>73</v>
      </c>
      <c r="BB1734" s="3" t="s">
        <v>21728</v>
      </c>
      <c r="BC1734" s="3" t="s">
        <v>21729</v>
      </c>
      <c r="BD1734" s="3" t="s">
        <v>21730</v>
      </c>
    </row>
    <row r="1735" spans="1:56" ht="51" customHeight="1" x14ac:dyDescent="0.25">
      <c r="A1735" s="7" t="s">
        <v>58</v>
      </c>
      <c r="B1735" s="2" t="s">
        <v>21731</v>
      </c>
      <c r="C1735" s="2" t="s">
        <v>21732</v>
      </c>
      <c r="D1735" s="2" t="s">
        <v>21733</v>
      </c>
      <c r="F1735" s="3" t="s">
        <v>58</v>
      </c>
      <c r="G1735" s="3" t="s">
        <v>59</v>
      </c>
      <c r="H1735" s="3" t="s">
        <v>58</v>
      </c>
      <c r="I1735" s="3" t="s">
        <v>58</v>
      </c>
      <c r="J1735" s="3" t="s">
        <v>60</v>
      </c>
      <c r="K1735" s="2" t="s">
        <v>21734</v>
      </c>
      <c r="L1735" s="2" t="s">
        <v>21735</v>
      </c>
      <c r="M1735" s="3" t="s">
        <v>1061</v>
      </c>
      <c r="O1735" s="3" t="s">
        <v>63</v>
      </c>
      <c r="P1735" s="3" t="s">
        <v>786</v>
      </c>
      <c r="Q1735" s="2" t="s">
        <v>21736</v>
      </c>
      <c r="R1735" s="3" t="s">
        <v>65</v>
      </c>
      <c r="S1735" s="4">
        <v>1</v>
      </c>
      <c r="T1735" s="4">
        <v>1</v>
      </c>
      <c r="U1735" s="5" t="s">
        <v>9162</v>
      </c>
      <c r="V1735" s="5" t="s">
        <v>9162</v>
      </c>
      <c r="W1735" s="5" t="s">
        <v>21737</v>
      </c>
      <c r="X1735" s="5" t="s">
        <v>21737</v>
      </c>
      <c r="Y1735" s="4">
        <v>146</v>
      </c>
      <c r="Z1735" s="4">
        <v>93</v>
      </c>
      <c r="AA1735" s="4">
        <v>95</v>
      </c>
      <c r="AB1735" s="4">
        <v>1</v>
      </c>
      <c r="AC1735" s="4">
        <v>1</v>
      </c>
      <c r="AD1735" s="4">
        <v>5</v>
      </c>
      <c r="AE1735" s="4">
        <v>5</v>
      </c>
      <c r="AF1735" s="4">
        <v>1</v>
      </c>
      <c r="AG1735" s="4">
        <v>1</v>
      </c>
      <c r="AH1735" s="4">
        <v>2</v>
      </c>
      <c r="AI1735" s="4">
        <v>2</v>
      </c>
      <c r="AJ1735" s="4">
        <v>4</v>
      </c>
      <c r="AK1735" s="4">
        <v>4</v>
      </c>
      <c r="AL1735" s="4">
        <v>0</v>
      </c>
      <c r="AM1735" s="4">
        <v>0</v>
      </c>
      <c r="AN1735" s="4">
        <v>0</v>
      </c>
      <c r="AO1735" s="4">
        <v>0</v>
      </c>
      <c r="AP1735" s="3" t="s">
        <v>58</v>
      </c>
      <c r="AQ1735" s="3" t="s">
        <v>68</v>
      </c>
      <c r="AR1735" s="6" t="str">
        <f>HYPERLINK("http://catalog.hathitrust.org/Record/003197821","HathiTrust Record")</f>
        <v>HathiTrust Record</v>
      </c>
      <c r="AS1735" s="6" t="str">
        <f>HYPERLINK("https://creighton-primo.hosted.exlibrisgroup.com/primo-explore/search?tab=default_tab&amp;search_scope=EVERYTHING&amp;vid=01CRU&amp;lang=en_US&amp;offset=0&amp;query=any,contains,991002880799702656","Catalog Record")</f>
        <v>Catalog Record</v>
      </c>
      <c r="AT1735" s="6" t="str">
        <f>HYPERLINK("http://www.worldcat.org/oclc/37971841","WorldCat Record")</f>
        <v>WorldCat Record</v>
      </c>
      <c r="AU1735" s="3" t="s">
        <v>21738</v>
      </c>
      <c r="AV1735" s="3" t="s">
        <v>21739</v>
      </c>
      <c r="AW1735" s="3" t="s">
        <v>21740</v>
      </c>
      <c r="AX1735" s="3" t="s">
        <v>21740</v>
      </c>
      <c r="AY1735" s="3" t="s">
        <v>21741</v>
      </c>
      <c r="AZ1735" s="3" t="s">
        <v>73</v>
      </c>
      <c r="BB1735" s="3" t="s">
        <v>21742</v>
      </c>
      <c r="BC1735" s="3" t="s">
        <v>21743</v>
      </c>
      <c r="BD1735" s="3" t="s">
        <v>21744</v>
      </c>
    </row>
    <row r="1736" spans="1:56" ht="51" customHeight="1" x14ac:dyDescent="0.25">
      <c r="A1736" s="7" t="s">
        <v>58</v>
      </c>
      <c r="B1736" s="2" t="s">
        <v>21745</v>
      </c>
      <c r="C1736" s="2" t="s">
        <v>21746</v>
      </c>
      <c r="D1736" s="2" t="s">
        <v>21747</v>
      </c>
      <c r="F1736" s="3" t="s">
        <v>58</v>
      </c>
      <c r="G1736" s="3" t="s">
        <v>59</v>
      </c>
      <c r="H1736" s="3" t="s">
        <v>58</v>
      </c>
      <c r="I1736" s="3" t="s">
        <v>58</v>
      </c>
      <c r="J1736" s="3" t="s">
        <v>60</v>
      </c>
      <c r="K1736" s="2" t="s">
        <v>21748</v>
      </c>
      <c r="L1736" s="2" t="s">
        <v>21749</v>
      </c>
      <c r="M1736" s="3" t="s">
        <v>1357</v>
      </c>
      <c r="O1736" s="3" t="s">
        <v>63</v>
      </c>
      <c r="P1736" s="3" t="s">
        <v>214</v>
      </c>
      <c r="R1736" s="3" t="s">
        <v>65</v>
      </c>
      <c r="S1736" s="4">
        <v>4</v>
      </c>
      <c r="T1736" s="4">
        <v>4</v>
      </c>
      <c r="U1736" s="5" t="s">
        <v>21750</v>
      </c>
      <c r="V1736" s="5" t="s">
        <v>21750</v>
      </c>
      <c r="W1736" s="5" t="s">
        <v>21751</v>
      </c>
      <c r="X1736" s="5" t="s">
        <v>21751</v>
      </c>
      <c r="Y1736" s="4">
        <v>423</v>
      </c>
      <c r="Z1736" s="4">
        <v>396</v>
      </c>
      <c r="AA1736" s="4">
        <v>481</v>
      </c>
      <c r="AB1736" s="4">
        <v>2</v>
      </c>
      <c r="AC1736" s="4">
        <v>3</v>
      </c>
      <c r="AD1736" s="4">
        <v>10</v>
      </c>
      <c r="AE1736" s="4">
        <v>12</v>
      </c>
      <c r="AF1736" s="4">
        <v>3</v>
      </c>
      <c r="AG1736" s="4">
        <v>4</v>
      </c>
      <c r="AH1736" s="4">
        <v>2</v>
      </c>
      <c r="AI1736" s="4">
        <v>2</v>
      </c>
      <c r="AJ1736" s="4">
        <v>5</v>
      </c>
      <c r="AK1736" s="4">
        <v>5</v>
      </c>
      <c r="AL1736" s="4">
        <v>1</v>
      </c>
      <c r="AM1736" s="4">
        <v>2</v>
      </c>
      <c r="AN1736" s="4">
        <v>0</v>
      </c>
      <c r="AO1736" s="4">
        <v>0</v>
      </c>
      <c r="AP1736" s="3" t="s">
        <v>58</v>
      </c>
      <c r="AQ1736" s="3" t="s">
        <v>58</v>
      </c>
      <c r="AS1736" s="6" t="str">
        <f>HYPERLINK("https://creighton-primo.hosted.exlibrisgroup.com/primo-explore/search?tab=default_tab&amp;search_scope=EVERYTHING&amp;vid=01CRU&amp;lang=en_US&amp;offset=0&amp;query=any,contains,991000499699702656","Catalog Record")</f>
        <v>Catalog Record</v>
      </c>
      <c r="AT1736" s="6" t="str">
        <f>HYPERLINK("http://www.worldcat.org/oclc/81178","WorldCat Record")</f>
        <v>WorldCat Record</v>
      </c>
      <c r="AU1736" s="3" t="s">
        <v>21752</v>
      </c>
      <c r="AV1736" s="3" t="s">
        <v>21753</v>
      </c>
      <c r="AW1736" s="3" t="s">
        <v>21754</v>
      </c>
      <c r="AX1736" s="3" t="s">
        <v>21754</v>
      </c>
      <c r="AY1736" s="3" t="s">
        <v>21755</v>
      </c>
      <c r="AZ1736" s="3" t="s">
        <v>73</v>
      </c>
      <c r="BC1736" s="3" t="s">
        <v>21756</v>
      </c>
      <c r="BD1736" s="3" t="s">
        <v>21757</v>
      </c>
    </row>
    <row r="1737" spans="1:56" ht="51" customHeight="1" x14ac:dyDescent="0.25">
      <c r="A1737" s="7" t="s">
        <v>58</v>
      </c>
      <c r="B1737" s="2" t="s">
        <v>21758</v>
      </c>
      <c r="C1737" s="2" t="s">
        <v>21759</v>
      </c>
      <c r="D1737" s="2" t="s">
        <v>21760</v>
      </c>
      <c r="F1737" s="3" t="s">
        <v>58</v>
      </c>
      <c r="G1737" s="3" t="s">
        <v>59</v>
      </c>
      <c r="H1737" s="3" t="s">
        <v>58</v>
      </c>
      <c r="I1737" s="3" t="s">
        <v>58</v>
      </c>
      <c r="J1737" s="3" t="s">
        <v>60</v>
      </c>
      <c r="K1737" s="2" t="s">
        <v>21761</v>
      </c>
      <c r="L1737" s="2" t="s">
        <v>21762</v>
      </c>
      <c r="M1737" s="3" t="s">
        <v>1385</v>
      </c>
      <c r="O1737" s="3" t="s">
        <v>63</v>
      </c>
      <c r="P1737" s="3" t="s">
        <v>16098</v>
      </c>
      <c r="R1737" s="3" t="s">
        <v>65</v>
      </c>
      <c r="S1737" s="4">
        <v>3</v>
      </c>
      <c r="T1737" s="4">
        <v>3</v>
      </c>
      <c r="U1737" s="5" t="s">
        <v>14655</v>
      </c>
      <c r="V1737" s="5" t="s">
        <v>14655</v>
      </c>
      <c r="W1737" s="5" t="s">
        <v>17547</v>
      </c>
      <c r="X1737" s="5" t="s">
        <v>17547</v>
      </c>
      <c r="Y1737" s="4">
        <v>304</v>
      </c>
      <c r="Z1737" s="4">
        <v>207</v>
      </c>
      <c r="AA1737" s="4">
        <v>211</v>
      </c>
      <c r="AB1737" s="4">
        <v>2</v>
      </c>
      <c r="AC1737" s="4">
        <v>2</v>
      </c>
      <c r="AD1737" s="4">
        <v>12</v>
      </c>
      <c r="AE1737" s="4">
        <v>12</v>
      </c>
      <c r="AF1737" s="4">
        <v>2</v>
      </c>
      <c r="AG1737" s="4">
        <v>2</v>
      </c>
      <c r="AH1737" s="4">
        <v>4</v>
      </c>
      <c r="AI1737" s="4">
        <v>4</v>
      </c>
      <c r="AJ1737" s="4">
        <v>8</v>
      </c>
      <c r="AK1737" s="4">
        <v>8</v>
      </c>
      <c r="AL1737" s="4">
        <v>1</v>
      </c>
      <c r="AM1737" s="4">
        <v>1</v>
      </c>
      <c r="AN1737" s="4">
        <v>0</v>
      </c>
      <c r="AO1737" s="4">
        <v>0</v>
      </c>
      <c r="AP1737" s="3" t="s">
        <v>58</v>
      </c>
      <c r="AQ1737" s="3" t="s">
        <v>68</v>
      </c>
      <c r="AR1737" s="6" t="str">
        <f>HYPERLINK("http://catalog.hathitrust.org/Record/001256191","HathiTrust Record")</f>
        <v>HathiTrust Record</v>
      </c>
      <c r="AS1737" s="6" t="str">
        <f>HYPERLINK("https://creighton-primo.hosted.exlibrisgroup.com/primo-explore/search?tab=default_tab&amp;search_scope=EVERYTHING&amp;vid=01CRU&amp;lang=en_US&amp;offset=0&amp;query=any,contains,991003721879702656","Catalog Record")</f>
        <v>Catalog Record</v>
      </c>
      <c r="AT1737" s="6" t="str">
        <f>HYPERLINK("http://www.worldcat.org/oclc/1366675","WorldCat Record")</f>
        <v>WorldCat Record</v>
      </c>
      <c r="AU1737" s="3" t="s">
        <v>21763</v>
      </c>
      <c r="AV1737" s="3" t="s">
        <v>21764</v>
      </c>
      <c r="AW1737" s="3" t="s">
        <v>21765</v>
      </c>
      <c r="AX1737" s="3" t="s">
        <v>21765</v>
      </c>
      <c r="AY1737" s="3" t="s">
        <v>21766</v>
      </c>
      <c r="AZ1737" s="3" t="s">
        <v>73</v>
      </c>
      <c r="BB1737" s="3" t="s">
        <v>21767</v>
      </c>
      <c r="BC1737" s="3" t="s">
        <v>21768</v>
      </c>
      <c r="BD1737" s="3" t="s">
        <v>21769</v>
      </c>
    </row>
    <row r="1738" spans="1:56" ht="51" customHeight="1" x14ac:dyDescent="0.25">
      <c r="A1738" s="7" t="s">
        <v>58</v>
      </c>
      <c r="B1738" s="2" t="s">
        <v>21770</v>
      </c>
      <c r="C1738" s="2" t="s">
        <v>21771</v>
      </c>
      <c r="D1738" s="2" t="s">
        <v>21772</v>
      </c>
      <c r="F1738" s="3" t="s">
        <v>58</v>
      </c>
      <c r="G1738" s="3" t="s">
        <v>59</v>
      </c>
      <c r="H1738" s="3" t="s">
        <v>58</v>
      </c>
      <c r="I1738" s="3" t="s">
        <v>58</v>
      </c>
      <c r="J1738" s="3" t="s">
        <v>60</v>
      </c>
      <c r="K1738" s="2" t="s">
        <v>21773</v>
      </c>
      <c r="L1738" s="2" t="s">
        <v>21774</v>
      </c>
      <c r="M1738" s="3" t="s">
        <v>626</v>
      </c>
      <c r="O1738" s="3" t="s">
        <v>63</v>
      </c>
      <c r="P1738" s="3" t="s">
        <v>584</v>
      </c>
      <c r="R1738" s="3" t="s">
        <v>65</v>
      </c>
      <c r="S1738" s="4">
        <v>1</v>
      </c>
      <c r="T1738" s="4">
        <v>1</v>
      </c>
      <c r="U1738" s="5" t="s">
        <v>21775</v>
      </c>
      <c r="V1738" s="5" t="s">
        <v>21775</v>
      </c>
      <c r="W1738" s="5" t="s">
        <v>2799</v>
      </c>
      <c r="X1738" s="5" t="s">
        <v>2799</v>
      </c>
      <c r="Y1738" s="4">
        <v>358</v>
      </c>
      <c r="Z1738" s="4">
        <v>233</v>
      </c>
      <c r="AA1738" s="4">
        <v>236</v>
      </c>
      <c r="AB1738" s="4">
        <v>3</v>
      </c>
      <c r="AC1738" s="4">
        <v>3</v>
      </c>
      <c r="AD1738" s="4">
        <v>7</v>
      </c>
      <c r="AE1738" s="4">
        <v>7</v>
      </c>
      <c r="AF1738" s="4">
        <v>1</v>
      </c>
      <c r="AG1738" s="4">
        <v>1</v>
      </c>
      <c r="AH1738" s="4">
        <v>3</v>
      </c>
      <c r="AI1738" s="4">
        <v>3</v>
      </c>
      <c r="AJ1738" s="4">
        <v>2</v>
      </c>
      <c r="AK1738" s="4">
        <v>2</v>
      </c>
      <c r="AL1738" s="4">
        <v>2</v>
      </c>
      <c r="AM1738" s="4">
        <v>2</v>
      </c>
      <c r="AN1738" s="4">
        <v>0</v>
      </c>
      <c r="AO1738" s="4">
        <v>0</v>
      </c>
      <c r="AP1738" s="3" t="s">
        <v>58</v>
      </c>
      <c r="AQ1738" s="3" t="s">
        <v>58</v>
      </c>
      <c r="AS1738" s="6" t="str">
        <f>HYPERLINK("https://creighton-primo.hosted.exlibrisgroup.com/primo-explore/search?tab=default_tab&amp;search_scope=EVERYTHING&amp;vid=01CRU&amp;lang=en_US&amp;offset=0&amp;query=any,contains,991000135929702656","Catalog Record")</f>
        <v>Catalog Record</v>
      </c>
      <c r="AT1738" s="6" t="str">
        <f>HYPERLINK("http://www.worldcat.org/oclc/9133040","WorldCat Record")</f>
        <v>WorldCat Record</v>
      </c>
      <c r="AU1738" s="3" t="s">
        <v>21776</v>
      </c>
      <c r="AV1738" s="3" t="s">
        <v>21777</v>
      </c>
      <c r="AW1738" s="3" t="s">
        <v>21778</v>
      </c>
      <c r="AX1738" s="3" t="s">
        <v>21778</v>
      </c>
      <c r="AY1738" s="3" t="s">
        <v>21779</v>
      </c>
      <c r="AZ1738" s="3" t="s">
        <v>73</v>
      </c>
      <c r="BB1738" s="3" t="s">
        <v>21780</v>
      </c>
      <c r="BC1738" s="3" t="s">
        <v>21781</v>
      </c>
      <c r="BD1738" s="3" t="s">
        <v>21782</v>
      </c>
    </row>
    <row r="1739" spans="1:56" ht="51" customHeight="1" x14ac:dyDescent="0.25">
      <c r="A1739" s="7" t="s">
        <v>58</v>
      </c>
      <c r="B1739" s="2" t="s">
        <v>21783</v>
      </c>
      <c r="C1739" s="2" t="s">
        <v>21784</v>
      </c>
      <c r="D1739" s="2" t="s">
        <v>21785</v>
      </c>
      <c r="F1739" s="3" t="s">
        <v>58</v>
      </c>
      <c r="G1739" s="3" t="s">
        <v>59</v>
      </c>
      <c r="H1739" s="3" t="s">
        <v>58</v>
      </c>
      <c r="I1739" s="3" t="s">
        <v>58</v>
      </c>
      <c r="J1739" s="3" t="s">
        <v>60</v>
      </c>
      <c r="K1739" s="2" t="s">
        <v>21786</v>
      </c>
      <c r="L1739" s="2" t="s">
        <v>21787</v>
      </c>
      <c r="M1739" s="3" t="s">
        <v>337</v>
      </c>
      <c r="O1739" s="3" t="s">
        <v>63</v>
      </c>
      <c r="P1739" s="3" t="s">
        <v>786</v>
      </c>
      <c r="Q1739" s="2" t="s">
        <v>21788</v>
      </c>
      <c r="R1739" s="3" t="s">
        <v>65</v>
      </c>
      <c r="S1739" s="4">
        <v>1</v>
      </c>
      <c r="T1739" s="4">
        <v>1</v>
      </c>
      <c r="U1739" s="5" t="s">
        <v>21789</v>
      </c>
      <c r="V1739" s="5" t="s">
        <v>21789</v>
      </c>
      <c r="W1739" s="5" t="s">
        <v>21789</v>
      </c>
      <c r="X1739" s="5" t="s">
        <v>21789</v>
      </c>
      <c r="Y1739" s="4">
        <v>355</v>
      </c>
      <c r="Z1739" s="4">
        <v>277</v>
      </c>
      <c r="AA1739" s="4">
        <v>279</v>
      </c>
      <c r="AB1739" s="4">
        <v>3</v>
      </c>
      <c r="AC1739" s="4">
        <v>3</v>
      </c>
      <c r="AD1739" s="4">
        <v>23</v>
      </c>
      <c r="AE1739" s="4">
        <v>23</v>
      </c>
      <c r="AF1739" s="4">
        <v>10</v>
      </c>
      <c r="AG1739" s="4">
        <v>10</v>
      </c>
      <c r="AH1739" s="4">
        <v>6</v>
      </c>
      <c r="AI1739" s="4">
        <v>6</v>
      </c>
      <c r="AJ1739" s="4">
        <v>12</v>
      </c>
      <c r="AK1739" s="4">
        <v>12</v>
      </c>
      <c r="AL1739" s="4">
        <v>2</v>
      </c>
      <c r="AM1739" s="4">
        <v>2</v>
      </c>
      <c r="AN1739" s="4">
        <v>0</v>
      </c>
      <c r="AO1739" s="4">
        <v>0</v>
      </c>
      <c r="AP1739" s="3" t="s">
        <v>58</v>
      </c>
      <c r="AQ1739" s="3" t="s">
        <v>68</v>
      </c>
      <c r="AR1739" s="6" t="str">
        <f>HYPERLINK("http://catalog.hathitrust.org/Record/003840583","HathiTrust Record")</f>
        <v>HathiTrust Record</v>
      </c>
      <c r="AS1739" s="6" t="str">
        <f>HYPERLINK("https://creighton-primo.hosted.exlibrisgroup.com/primo-explore/search?tab=default_tab&amp;search_scope=EVERYTHING&amp;vid=01CRU&amp;lang=en_US&amp;offset=0&amp;query=any,contains,991004359439702656","Catalog Record")</f>
        <v>Catalog Record</v>
      </c>
      <c r="AT1739" s="6" t="str">
        <f>HYPERLINK("http://www.worldcat.org/oclc/51245342","WorldCat Record")</f>
        <v>WorldCat Record</v>
      </c>
      <c r="AU1739" s="3" t="s">
        <v>21790</v>
      </c>
      <c r="AV1739" s="3" t="s">
        <v>21791</v>
      </c>
      <c r="AW1739" s="3" t="s">
        <v>21792</v>
      </c>
      <c r="AX1739" s="3" t="s">
        <v>21792</v>
      </c>
      <c r="AY1739" s="3" t="s">
        <v>21793</v>
      </c>
      <c r="AZ1739" s="3" t="s">
        <v>73</v>
      </c>
      <c r="BB1739" s="3" t="s">
        <v>21794</v>
      </c>
      <c r="BC1739" s="3" t="s">
        <v>21795</v>
      </c>
      <c r="BD1739" s="3" t="s">
        <v>21796</v>
      </c>
    </row>
    <row r="1740" spans="1:56" ht="51" customHeight="1" x14ac:dyDescent="0.25">
      <c r="A1740" s="7" t="s">
        <v>58</v>
      </c>
      <c r="B1740" s="2" t="s">
        <v>21797</v>
      </c>
      <c r="C1740" s="2" t="s">
        <v>21798</v>
      </c>
      <c r="D1740" s="2" t="s">
        <v>21799</v>
      </c>
      <c r="F1740" s="3" t="s">
        <v>58</v>
      </c>
      <c r="G1740" s="3" t="s">
        <v>59</v>
      </c>
      <c r="H1740" s="3" t="s">
        <v>58</v>
      </c>
      <c r="I1740" s="3" t="s">
        <v>58</v>
      </c>
      <c r="J1740" s="3" t="s">
        <v>60</v>
      </c>
      <c r="L1740" s="2" t="s">
        <v>21800</v>
      </c>
      <c r="M1740" s="3" t="s">
        <v>1091</v>
      </c>
      <c r="O1740" s="3" t="s">
        <v>63</v>
      </c>
      <c r="P1740" s="3" t="s">
        <v>816</v>
      </c>
      <c r="Q1740" s="2" t="s">
        <v>21801</v>
      </c>
      <c r="R1740" s="3" t="s">
        <v>65</v>
      </c>
      <c r="S1740" s="4">
        <v>6</v>
      </c>
      <c r="T1740" s="4">
        <v>6</v>
      </c>
      <c r="U1740" s="5" t="s">
        <v>18284</v>
      </c>
      <c r="V1740" s="5" t="s">
        <v>18284</v>
      </c>
      <c r="W1740" s="5" t="s">
        <v>20581</v>
      </c>
      <c r="X1740" s="5" t="s">
        <v>20581</v>
      </c>
      <c r="Y1740" s="4">
        <v>109</v>
      </c>
      <c r="Z1740" s="4">
        <v>89</v>
      </c>
      <c r="AA1740" s="4">
        <v>200</v>
      </c>
      <c r="AB1740" s="4">
        <v>2</v>
      </c>
      <c r="AC1740" s="4">
        <v>3</v>
      </c>
      <c r="AD1740" s="4">
        <v>3</v>
      </c>
      <c r="AE1740" s="4">
        <v>7</v>
      </c>
      <c r="AF1740" s="4">
        <v>0</v>
      </c>
      <c r="AG1740" s="4">
        <v>1</v>
      </c>
      <c r="AH1740" s="4">
        <v>1</v>
      </c>
      <c r="AI1740" s="4">
        <v>4</v>
      </c>
      <c r="AJ1740" s="4">
        <v>1</v>
      </c>
      <c r="AK1740" s="4">
        <v>3</v>
      </c>
      <c r="AL1740" s="4">
        <v>1</v>
      </c>
      <c r="AM1740" s="4">
        <v>2</v>
      </c>
      <c r="AN1740" s="4">
        <v>0</v>
      </c>
      <c r="AO1740" s="4">
        <v>0</v>
      </c>
      <c r="AP1740" s="3" t="s">
        <v>58</v>
      </c>
      <c r="AQ1740" s="3" t="s">
        <v>68</v>
      </c>
      <c r="AR1740" s="6" t="str">
        <f>HYPERLINK("http://catalog.hathitrust.org/Record/008362236","HathiTrust Record")</f>
        <v>HathiTrust Record</v>
      </c>
      <c r="AS1740" s="6" t="str">
        <f>HYPERLINK("https://creighton-primo.hosted.exlibrisgroup.com/primo-explore/search?tab=default_tab&amp;search_scope=EVERYTHING&amp;vid=01CRU&amp;lang=en_US&amp;offset=0&amp;query=any,contains,991003715909702656","Catalog Record")</f>
        <v>Catalog Record</v>
      </c>
      <c r="AT1740" s="6" t="str">
        <f>HYPERLINK("http://www.worldcat.org/oclc/50662498","WorldCat Record")</f>
        <v>WorldCat Record</v>
      </c>
      <c r="AU1740" s="3" t="s">
        <v>21802</v>
      </c>
      <c r="AV1740" s="3" t="s">
        <v>21803</v>
      </c>
      <c r="AW1740" s="3" t="s">
        <v>21804</v>
      </c>
      <c r="AX1740" s="3" t="s">
        <v>21804</v>
      </c>
      <c r="AY1740" s="3" t="s">
        <v>21805</v>
      </c>
      <c r="AZ1740" s="3" t="s">
        <v>73</v>
      </c>
      <c r="BB1740" s="3" t="s">
        <v>21806</v>
      </c>
      <c r="BC1740" s="3" t="s">
        <v>21807</v>
      </c>
      <c r="BD1740" s="3" t="s">
        <v>21808</v>
      </c>
    </row>
    <row r="1741" spans="1:56" ht="51" customHeight="1" x14ac:dyDescent="0.25">
      <c r="A1741" s="7" t="s">
        <v>58</v>
      </c>
      <c r="B1741" s="2" t="s">
        <v>21809</v>
      </c>
      <c r="C1741" s="2" t="s">
        <v>21810</v>
      </c>
      <c r="D1741" s="2" t="s">
        <v>21811</v>
      </c>
      <c r="F1741" s="3" t="s">
        <v>58</v>
      </c>
      <c r="G1741" s="3" t="s">
        <v>59</v>
      </c>
      <c r="H1741" s="3" t="s">
        <v>58</v>
      </c>
      <c r="I1741" s="3" t="s">
        <v>58</v>
      </c>
      <c r="J1741" s="3" t="s">
        <v>60</v>
      </c>
      <c r="K1741" s="2" t="s">
        <v>21812</v>
      </c>
      <c r="L1741" s="2" t="s">
        <v>6311</v>
      </c>
      <c r="M1741" s="3" t="s">
        <v>800</v>
      </c>
      <c r="O1741" s="3" t="s">
        <v>63</v>
      </c>
      <c r="P1741" s="3" t="s">
        <v>214</v>
      </c>
      <c r="Q1741" s="2" t="s">
        <v>21813</v>
      </c>
      <c r="R1741" s="3" t="s">
        <v>65</v>
      </c>
      <c r="S1741" s="4">
        <v>17</v>
      </c>
      <c r="T1741" s="4">
        <v>17</v>
      </c>
      <c r="U1741" s="5" t="s">
        <v>18284</v>
      </c>
      <c r="V1741" s="5" t="s">
        <v>18284</v>
      </c>
      <c r="W1741" s="5" t="s">
        <v>3029</v>
      </c>
      <c r="X1741" s="5" t="s">
        <v>3029</v>
      </c>
      <c r="Y1741" s="4">
        <v>351</v>
      </c>
      <c r="Z1741" s="4">
        <v>228</v>
      </c>
      <c r="AA1741" s="4">
        <v>292</v>
      </c>
      <c r="AB1741" s="4">
        <v>1</v>
      </c>
      <c r="AC1741" s="4">
        <v>1</v>
      </c>
      <c r="AD1741" s="4">
        <v>8</v>
      </c>
      <c r="AE1741" s="4">
        <v>11</v>
      </c>
      <c r="AF1741" s="4">
        <v>4</v>
      </c>
      <c r="AG1741" s="4">
        <v>5</v>
      </c>
      <c r="AH1741" s="4">
        <v>2</v>
      </c>
      <c r="AI1741" s="4">
        <v>2</v>
      </c>
      <c r="AJ1741" s="4">
        <v>5</v>
      </c>
      <c r="AK1741" s="4">
        <v>8</v>
      </c>
      <c r="AL1741" s="4">
        <v>0</v>
      </c>
      <c r="AM1741" s="4">
        <v>0</v>
      </c>
      <c r="AN1741" s="4">
        <v>0</v>
      </c>
      <c r="AO1741" s="4">
        <v>0</v>
      </c>
      <c r="AP1741" s="3" t="s">
        <v>58</v>
      </c>
      <c r="AQ1741" s="3" t="s">
        <v>58</v>
      </c>
      <c r="AS1741" s="6" t="str">
        <f>HYPERLINK("https://creighton-primo.hosted.exlibrisgroup.com/primo-explore/search?tab=default_tab&amp;search_scope=EVERYTHING&amp;vid=01CRU&amp;lang=en_US&amp;offset=0&amp;query=any,contains,991002509049702656","Catalog Record")</f>
        <v>Catalog Record</v>
      </c>
      <c r="AT1741" s="6" t="str">
        <f>HYPERLINK("http://www.worldcat.org/oclc/32626197","WorldCat Record")</f>
        <v>WorldCat Record</v>
      </c>
      <c r="AU1741" s="3" t="s">
        <v>21814</v>
      </c>
      <c r="AV1741" s="3" t="s">
        <v>21815</v>
      </c>
      <c r="AW1741" s="3" t="s">
        <v>21816</v>
      </c>
      <c r="AX1741" s="3" t="s">
        <v>21816</v>
      </c>
      <c r="AY1741" s="3" t="s">
        <v>21817</v>
      </c>
      <c r="AZ1741" s="3" t="s">
        <v>73</v>
      </c>
      <c r="BB1741" s="3" t="s">
        <v>21818</v>
      </c>
      <c r="BC1741" s="3" t="s">
        <v>21819</v>
      </c>
      <c r="BD1741" s="3" t="s">
        <v>21820</v>
      </c>
    </row>
    <row r="1742" spans="1:56" ht="51" customHeight="1" x14ac:dyDescent="0.25">
      <c r="A1742" s="7" t="s">
        <v>58</v>
      </c>
      <c r="B1742" s="2" t="s">
        <v>21821</v>
      </c>
      <c r="C1742" s="2" t="s">
        <v>21822</v>
      </c>
      <c r="D1742" s="2" t="s">
        <v>21823</v>
      </c>
      <c r="F1742" s="3" t="s">
        <v>58</v>
      </c>
      <c r="G1742" s="3" t="s">
        <v>59</v>
      </c>
      <c r="H1742" s="3" t="s">
        <v>58</v>
      </c>
      <c r="I1742" s="3" t="s">
        <v>58</v>
      </c>
      <c r="J1742" s="3" t="s">
        <v>60</v>
      </c>
      <c r="K1742" s="2" t="s">
        <v>21824</v>
      </c>
      <c r="L1742" s="2" t="s">
        <v>3174</v>
      </c>
      <c r="M1742" s="3" t="s">
        <v>479</v>
      </c>
      <c r="O1742" s="3" t="s">
        <v>63</v>
      </c>
      <c r="P1742" s="3" t="s">
        <v>2630</v>
      </c>
      <c r="R1742" s="3" t="s">
        <v>65</v>
      </c>
      <c r="S1742" s="4">
        <v>24</v>
      </c>
      <c r="T1742" s="4">
        <v>24</v>
      </c>
      <c r="U1742" s="5" t="s">
        <v>18284</v>
      </c>
      <c r="V1742" s="5" t="s">
        <v>18284</v>
      </c>
      <c r="W1742" s="5" t="s">
        <v>19477</v>
      </c>
      <c r="X1742" s="5" t="s">
        <v>19477</v>
      </c>
      <c r="Y1742" s="4">
        <v>425</v>
      </c>
      <c r="Z1742" s="4">
        <v>360</v>
      </c>
      <c r="AA1742" s="4">
        <v>378</v>
      </c>
      <c r="AB1742" s="4">
        <v>4</v>
      </c>
      <c r="AC1742" s="4">
        <v>4</v>
      </c>
      <c r="AD1742" s="4">
        <v>20</v>
      </c>
      <c r="AE1742" s="4">
        <v>20</v>
      </c>
      <c r="AF1742" s="4">
        <v>6</v>
      </c>
      <c r="AG1742" s="4">
        <v>6</v>
      </c>
      <c r="AH1742" s="4">
        <v>5</v>
      </c>
      <c r="AI1742" s="4">
        <v>5</v>
      </c>
      <c r="AJ1742" s="4">
        <v>13</v>
      </c>
      <c r="AK1742" s="4">
        <v>13</v>
      </c>
      <c r="AL1742" s="4">
        <v>3</v>
      </c>
      <c r="AM1742" s="4">
        <v>3</v>
      </c>
      <c r="AN1742" s="4">
        <v>0</v>
      </c>
      <c r="AO1742" s="4">
        <v>0</v>
      </c>
      <c r="AP1742" s="3" t="s">
        <v>58</v>
      </c>
      <c r="AQ1742" s="3" t="s">
        <v>68</v>
      </c>
      <c r="AR1742" s="6" t="str">
        <f>HYPERLINK("http://catalog.hathitrust.org/Record/002903856","HathiTrust Record")</f>
        <v>HathiTrust Record</v>
      </c>
      <c r="AS1742" s="6" t="str">
        <f>HYPERLINK("https://creighton-primo.hosted.exlibrisgroup.com/primo-explore/search?tab=default_tab&amp;search_scope=EVERYTHING&amp;vid=01CRU&amp;lang=en_US&amp;offset=0&amp;query=any,contains,991002332499702656","Catalog Record")</f>
        <v>Catalog Record</v>
      </c>
      <c r="AT1742" s="6" t="str">
        <f>HYPERLINK("http://www.worldcat.org/oclc/30356852","WorldCat Record")</f>
        <v>WorldCat Record</v>
      </c>
      <c r="AU1742" s="3" t="s">
        <v>21825</v>
      </c>
      <c r="AV1742" s="3" t="s">
        <v>21826</v>
      </c>
      <c r="AW1742" s="3" t="s">
        <v>21827</v>
      </c>
      <c r="AX1742" s="3" t="s">
        <v>21827</v>
      </c>
      <c r="AY1742" s="3" t="s">
        <v>21828</v>
      </c>
      <c r="AZ1742" s="3" t="s">
        <v>73</v>
      </c>
      <c r="BB1742" s="3" t="s">
        <v>21829</v>
      </c>
      <c r="BC1742" s="3" t="s">
        <v>21830</v>
      </c>
      <c r="BD1742" s="3" t="s">
        <v>21831</v>
      </c>
    </row>
    <row r="1743" spans="1:56" ht="51" customHeight="1" x14ac:dyDescent="0.25">
      <c r="A1743" s="7" t="s">
        <v>58</v>
      </c>
      <c r="B1743" s="2" t="s">
        <v>21832</v>
      </c>
      <c r="C1743" s="2" t="s">
        <v>21833</v>
      </c>
      <c r="D1743" s="2" t="s">
        <v>21834</v>
      </c>
      <c r="F1743" s="3" t="s">
        <v>58</v>
      </c>
      <c r="G1743" s="3" t="s">
        <v>59</v>
      </c>
      <c r="H1743" s="3" t="s">
        <v>58</v>
      </c>
      <c r="I1743" s="3" t="s">
        <v>58</v>
      </c>
      <c r="J1743" s="3" t="s">
        <v>60</v>
      </c>
      <c r="K1743" s="2" t="s">
        <v>21835</v>
      </c>
      <c r="L1743" s="2" t="s">
        <v>21836</v>
      </c>
      <c r="M1743" s="3" t="s">
        <v>479</v>
      </c>
      <c r="N1743" s="2" t="s">
        <v>21837</v>
      </c>
      <c r="O1743" s="3" t="s">
        <v>63</v>
      </c>
      <c r="P1743" s="3" t="s">
        <v>584</v>
      </c>
      <c r="Q1743" s="2" t="s">
        <v>21813</v>
      </c>
      <c r="R1743" s="3" t="s">
        <v>65</v>
      </c>
      <c r="S1743" s="4">
        <v>22</v>
      </c>
      <c r="T1743" s="4">
        <v>22</v>
      </c>
      <c r="U1743" s="5" t="s">
        <v>21838</v>
      </c>
      <c r="V1743" s="5" t="s">
        <v>21838</v>
      </c>
      <c r="W1743" s="5" t="s">
        <v>1625</v>
      </c>
      <c r="X1743" s="5" t="s">
        <v>1625</v>
      </c>
      <c r="Y1743" s="4">
        <v>183</v>
      </c>
      <c r="Z1743" s="4">
        <v>83</v>
      </c>
      <c r="AA1743" s="4">
        <v>229</v>
      </c>
      <c r="AB1743" s="4">
        <v>1</v>
      </c>
      <c r="AC1743" s="4">
        <v>1</v>
      </c>
      <c r="AD1743" s="4">
        <v>5</v>
      </c>
      <c r="AE1743" s="4">
        <v>13</v>
      </c>
      <c r="AF1743" s="4">
        <v>3</v>
      </c>
      <c r="AG1743" s="4">
        <v>5</v>
      </c>
      <c r="AH1743" s="4">
        <v>1</v>
      </c>
      <c r="AI1743" s="4">
        <v>4</v>
      </c>
      <c r="AJ1743" s="4">
        <v>3</v>
      </c>
      <c r="AK1743" s="4">
        <v>10</v>
      </c>
      <c r="AL1743" s="4">
        <v>0</v>
      </c>
      <c r="AM1743" s="4">
        <v>0</v>
      </c>
      <c r="AN1743" s="4">
        <v>0</v>
      </c>
      <c r="AO1743" s="4">
        <v>0</v>
      </c>
      <c r="AP1743" s="3" t="s">
        <v>58</v>
      </c>
      <c r="AQ1743" s="3" t="s">
        <v>58</v>
      </c>
      <c r="AS1743" s="6" t="str">
        <f>HYPERLINK("https://creighton-primo.hosted.exlibrisgroup.com/primo-explore/search?tab=default_tab&amp;search_scope=EVERYTHING&amp;vid=01CRU&amp;lang=en_US&amp;offset=0&amp;query=any,contains,991002284879702656","Catalog Record")</f>
        <v>Catalog Record</v>
      </c>
      <c r="AT1743" s="6" t="str">
        <f>HYPERLINK("http://www.worldcat.org/oclc/29634275","WorldCat Record")</f>
        <v>WorldCat Record</v>
      </c>
      <c r="AU1743" s="3" t="s">
        <v>21839</v>
      </c>
      <c r="AV1743" s="3" t="s">
        <v>21840</v>
      </c>
      <c r="AW1743" s="3" t="s">
        <v>21841</v>
      </c>
      <c r="AX1743" s="3" t="s">
        <v>21841</v>
      </c>
      <c r="AY1743" s="3" t="s">
        <v>21842</v>
      </c>
      <c r="AZ1743" s="3" t="s">
        <v>73</v>
      </c>
      <c r="BB1743" s="3" t="s">
        <v>21843</v>
      </c>
      <c r="BC1743" s="3" t="s">
        <v>21844</v>
      </c>
      <c r="BD1743" s="3" t="s">
        <v>21845</v>
      </c>
    </row>
    <row r="1744" spans="1:56" ht="51" customHeight="1" x14ac:dyDescent="0.25">
      <c r="A1744" s="7" t="s">
        <v>58</v>
      </c>
      <c r="B1744" s="2" t="s">
        <v>21846</v>
      </c>
      <c r="C1744" s="2" t="s">
        <v>21847</v>
      </c>
      <c r="D1744" s="2" t="s">
        <v>21848</v>
      </c>
      <c r="F1744" s="3" t="s">
        <v>58</v>
      </c>
      <c r="G1744" s="3" t="s">
        <v>59</v>
      </c>
      <c r="H1744" s="3" t="s">
        <v>58</v>
      </c>
      <c r="I1744" s="3" t="s">
        <v>58</v>
      </c>
      <c r="J1744" s="3" t="s">
        <v>60</v>
      </c>
      <c r="K1744" s="2" t="s">
        <v>21849</v>
      </c>
      <c r="L1744" s="2" t="s">
        <v>21850</v>
      </c>
      <c r="M1744" s="3" t="s">
        <v>815</v>
      </c>
      <c r="O1744" s="3" t="s">
        <v>63</v>
      </c>
      <c r="P1744" s="3" t="s">
        <v>495</v>
      </c>
      <c r="Q1744" s="2" t="s">
        <v>21851</v>
      </c>
      <c r="R1744" s="3" t="s">
        <v>65</v>
      </c>
      <c r="S1744" s="4">
        <v>1</v>
      </c>
      <c r="T1744" s="4">
        <v>1</v>
      </c>
      <c r="U1744" s="5" t="s">
        <v>21852</v>
      </c>
      <c r="V1744" s="5" t="s">
        <v>21852</v>
      </c>
      <c r="W1744" s="5" t="s">
        <v>21852</v>
      </c>
      <c r="X1744" s="5" t="s">
        <v>21852</v>
      </c>
      <c r="Y1744" s="4">
        <v>257</v>
      </c>
      <c r="Z1744" s="4">
        <v>181</v>
      </c>
      <c r="AA1744" s="4">
        <v>187</v>
      </c>
      <c r="AB1744" s="4">
        <v>1</v>
      </c>
      <c r="AC1744" s="4">
        <v>1</v>
      </c>
      <c r="AD1744" s="4">
        <v>10</v>
      </c>
      <c r="AE1744" s="4">
        <v>10</v>
      </c>
      <c r="AF1744" s="4">
        <v>4</v>
      </c>
      <c r="AG1744" s="4">
        <v>4</v>
      </c>
      <c r="AH1744" s="4">
        <v>2</v>
      </c>
      <c r="AI1744" s="4">
        <v>2</v>
      </c>
      <c r="AJ1744" s="4">
        <v>6</v>
      </c>
      <c r="AK1744" s="4">
        <v>6</v>
      </c>
      <c r="AL1744" s="4">
        <v>0</v>
      </c>
      <c r="AM1744" s="4">
        <v>0</v>
      </c>
      <c r="AN1744" s="4">
        <v>0</v>
      </c>
      <c r="AO1744" s="4">
        <v>0</v>
      </c>
      <c r="AP1744" s="3" t="s">
        <v>58</v>
      </c>
      <c r="AQ1744" s="3" t="s">
        <v>58</v>
      </c>
      <c r="AS1744" s="6" t="str">
        <f>HYPERLINK("https://creighton-primo.hosted.exlibrisgroup.com/primo-explore/search?tab=default_tab&amp;search_scope=EVERYTHING&amp;vid=01CRU&amp;lang=en_US&amp;offset=0&amp;query=any,contains,991005304999702656","Catalog Record")</f>
        <v>Catalog Record</v>
      </c>
      <c r="AT1744" s="6" t="str">
        <f>HYPERLINK("http://www.worldcat.org/oclc/213447358","WorldCat Record")</f>
        <v>WorldCat Record</v>
      </c>
      <c r="AU1744" s="3" t="s">
        <v>21853</v>
      </c>
      <c r="AV1744" s="3" t="s">
        <v>21854</v>
      </c>
      <c r="AW1744" s="3" t="s">
        <v>21855</v>
      </c>
      <c r="AX1744" s="3" t="s">
        <v>21855</v>
      </c>
      <c r="AY1744" s="3" t="s">
        <v>21856</v>
      </c>
      <c r="AZ1744" s="3" t="s">
        <v>73</v>
      </c>
      <c r="BB1744" s="3" t="s">
        <v>21857</v>
      </c>
      <c r="BC1744" s="3" t="s">
        <v>21858</v>
      </c>
      <c r="BD1744" s="3" t="s">
        <v>21859</v>
      </c>
    </row>
    <row r="1745" spans="1:56" ht="51" customHeight="1" x14ac:dyDescent="0.25">
      <c r="A1745" s="7" t="s">
        <v>58</v>
      </c>
      <c r="B1745" s="2" t="s">
        <v>21860</v>
      </c>
      <c r="C1745" s="2" t="s">
        <v>21861</v>
      </c>
      <c r="D1745" s="2" t="s">
        <v>21862</v>
      </c>
      <c r="F1745" s="3" t="s">
        <v>58</v>
      </c>
      <c r="G1745" s="3" t="s">
        <v>59</v>
      </c>
      <c r="H1745" s="3" t="s">
        <v>58</v>
      </c>
      <c r="I1745" s="3" t="s">
        <v>58</v>
      </c>
      <c r="J1745" s="3" t="s">
        <v>60</v>
      </c>
      <c r="K1745" s="2" t="s">
        <v>21863</v>
      </c>
      <c r="L1745" s="2" t="s">
        <v>21864</v>
      </c>
      <c r="M1745" s="3" t="s">
        <v>21865</v>
      </c>
      <c r="O1745" s="3" t="s">
        <v>63</v>
      </c>
      <c r="P1745" s="3" t="s">
        <v>495</v>
      </c>
      <c r="R1745" s="3" t="s">
        <v>65</v>
      </c>
      <c r="S1745" s="4">
        <v>1</v>
      </c>
      <c r="T1745" s="4">
        <v>1</v>
      </c>
      <c r="U1745" s="5" t="s">
        <v>21866</v>
      </c>
      <c r="V1745" s="5" t="s">
        <v>21866</v>
      </c>
      <c r="W1745" s="5" t="s">
        <v>2034</v>
      </c>
      <c r="X1745" s="5" t="s">
        <v>2034</v>
      </c>
      <c r="Y1745" s="4">
        <v>55</v>
      </c>
      <c r="Z1745" s="4">
        <v>51</v>
      </c>
      <c r="AA1745" s="4">
        <v>210</v>
      </c>
      <c r="AB1745" s="4">
        <v>1</v>
      </c>
      <c r="AC1745" s="4">
        <v>2</v>
      </c>
      <c r="AD1745" s="4">
        <v>0</v>
      </c>
      <c r="AE1745" s="4">
        <v>7</v>
      </c>
      <c r="AF1745" s="4">
        <v>0</v>
      </c>
      <c r="AG1745" s="4">
        <v>1</v>
      </c>
      <c r="AH1745" s="4">
        <v>0</v>
      </c>
      <c r="AI1745" s="4">
        <v>3</v>
      </c>
      <c r="AJ1745" s="4">
        <v>0</v>
      </c>
      <c r="AK1745" s="4">
        <v>3</v>
      </c>
      <c r="AL1745" s="4">
        <v>0</v>
      </c>
      <c r="AM1745" s="4">
        <v>1</v>
      </c>
      <c r="AN1745" s="4">
        <v>0</v>
      </c>
      <c r="AO1745" s="4">
        <v>0</v>
      </c>
      <c r="AP1745" s="3" t="s">
        <v>68</v>
      </c>
      <c r="AQ1745" s="3" t="s">
        <v>58</v>
      </c>
      <c r="AR1745" s="6" t="str">
        <f>HYPERLINK("http://catalog.hathitrust.org/Record/008641811","HathiTrust Record")</f>
        <v>HathiTrust Record</v>
      </c>
      <c r="AS1745" s="6" t="str">
        <f>HYPERLINK("https://creighton-primo.hosted.exlibrisgroup.com/primo-explore/search?tab=default_tab&amp;search_scope=EVERYTHING&amp;vid=01CRU&amp;lang=en_US&amp;offset=0&amp;query=any,contains,991004997309702656","Catalog Record")</f>
        <v>Catalog Record</v>
      </c>
      <c r="AT1745" s="6" t="str">
        <f>HYPERLINK("http://www.worldcat.org/oclc/6529681","WorldCat Record")</f>
        <v>WorldCat Record</v>
      </c>
      <c r="AU1745" s="3" t="s">
        <v>21867</v>
      </c>
      <c r="AV1745" s="3" t="s">
        <v>21868</v>
      </c>
      <c r="AW1745" s="3" t="s">
        <v>21869</v>
      </c>
      <c r="AX1745" s="3" t="s">
        <v>21869</v>
      </c>
      <c r="AY1745" s="3" t="s">
        <v>21870</v>
      </c>
      <c r="AZ1745" s="3" t="s">
        <v>73</v>
      </c>
      <c r="BC1745" s="3" t="s">
        <v>21871</v>
      </c>
      <c r="BD1745" s="3" t="s">
        <v>21872</v>
      </c>
    </row>
    <row r="1746" spans="1:56" ht="51" customHeight="1" x14ac:dyDescent="0.25">
      <c r="A1746" s="7" t="s">
        <v>58</v>
      </c>
      <c r="B1746" s="2" t="s">
        <v>21873</v>
      </c>
      <c r="C1746" s="2" t="s">
        <v>21874</v>
      </c>
      <c r="D1746" s="2" t="s">
        <v>21875</v>
      </c>
      <c r="F1746" s="3" t="s">
        <v>58</v>
      </c>
      <c r="G1746" s="3" t="s">
        <v>59</v>
      </c>
      <c r="H1746" s="3" t="s">
        <v>58</v>
      </c>
      <c r="I1746" s="3" t="s">
        <v>58</v>
      </c>
      <c r="J1746" s="3" t="s">
        <v>60</v>
      </c>
      <c r="K1746" s="2" t="s">
        <v>21876</v>
      </c>
      <c r="L1746" s="2" t="s">
        <v>21877</v>
      </c>
      <c r="M1746" s="3" t="s">
        <v>552</v>
      </c>
      <c r="O1746" s="3" t="s">
        <v>63</v>
      </c>
      <c r="P1746" s="3" t="s">
        <v>20170</v>
      </c>
      <c r="Q1746" s="2" t="s">
        <v>21878</v>
      </c>
      <c r="R1746" s="3" t="s">
        <v>65</v>
      </c>
      <c r="S1746" s="4">
        <v>4</v>
      </c>
      <c r="T1746" s="4">
        <v>4</v>
      </c>
      <c r="U1746" s="5" t="s">
        <v>21866</v>
      </c>
      <c r="V1746" s="5" t="s">
        <v>21866</v>
      </c>
      <c r="W1746" s="5" t="s">
        <v>21879</v>
      </c>
      <c r="X1746" s="5" t="s">
        <v>21879</v>
      </c>
      <c r="Y1746" s="4">
        <v>101</v>
      </c>
      <c r="Z1746" s="4">
        <v>36</v>
      </c>
      <c r="AA1746" s="4">
        <v>37</v>
      </c>
      <c r="AB1746" s="4">
        <v>2</v>
      </c>
      <c r="AC1746" s="4">
        <v>2</v>
      </c>
      <c r="AD1746" s="4">
        <v>1</v>
      </c>
      <c r="AE1746" s="4">
        <v>1</v>
      </c>
      <c r="AF1746" s="4">
        <v>0</v>
      </c>
      <c r="AG1746" s="4">
        <v>0</v>
      </c>
      <c r="AH1746" s="4">
        <v>0</v>
      </c>
      <c r="AI1746" s="4">
        <v>0</v>
      </c>
      <c r="AJ1746" s="4">
        <v>0</v>
      </c>
      <c r="AK1746" s="4">
        <v>0</v>
      </c>
      <c r="AL1746" s="4">
        <v>1</v>
      </c>
      <c r="AM1746" s="4">
        <v>1</v>
      </c>
      <c r="AN1746" s="4">
        <v>0</v>
      </c>
      <c r="AO1746" s="4">
        <v>0</v>
      </c>
      <c r="AP1746" s="3" t="s">
        <v>58</v>
      </c>
      <c r="AQ1746" s="3" t="s">
        <v>68</v>
      </c>
      <c r="AR1746" s="6" t="str">
        <f>HYPERLINK("http://catalog.hathitrust.org/Record/010128742","HathiTrust Record")</f>
        <v>HathiTrust Record</v>
      </c>
      <c r="AS1746" s="6" t="str">
        <f>HYPERLINK("https://creighton-primo.hosted.exlibrisgroup.com/primo-explore/search?tab=default_tab&amp;search_scope=EVERYTHING&amp;vid=01CRU&amp;lang=en_US&amp;offset=0&amp;query=any,contains,991001730439702656","Catalog Record")</f>
        <v>Catalog Record</v>
      </c>
      <c r="AT1746" s="6" t="str">
        <f>HYPERLINK("http://www.worldcat.org/oclc/21910498","WorldCat Record")</f>
        <v>WorldCat Record</v>
      </c>
      <c r="AU1746" s="3" t="s">
        <v>21880</v>
      </c>
      <c r="AV1746" s="3" t="s">
        <v>21881</v>
      </c>
      <c r="AW1746" s="3" t="s">
        <v>21882</v>
      </c>
      <c r="AX1746" s="3" t="s">
        <v>21882</v>
      </c>
      <c r="AY1746" s="3" t="s">
        <v>21883</v>
      </c>
      <c r="AZ1746" s="3" t="s">
        <v>73</v>
      </c>
      <c r="BB1746" s="3" t="s">
        <v>21884</v>
      </c>
      <c r="BC1746" s="3" t="s">
        <v>21885</v>
      </c>
      <c r="BD1746" s="3" t="s">
        <v>21886</v>
      </c>
    </row>
    <row r="1747" spans="1:56" ht="51" customHeight="1" x14ac:dyDescent="0.25">
      <c r="A1747" s="7" t="s">
        <v>58</v>
      </c>
      <c r="B1747" s="2" t="s">
        <v>21887</v>
      </c>
      <c r="C1747" s="2" t="s">
        <v>21888</v>
      </c>
      <c r="D1747" s="2" t="s">
        <v>21889</v>
      </c>
      <c r="F1747" s="3" t="s">
        <v>58</v>
      </c>
      <c r="G1747" s="3" t="s">
        <v>59</v>
      </c>
      <c r="H1747" s="3" t="s">
        <v>58</v>
      </c>
      <c r="I1747" s="3" t="s">
        <v>58</v>
      </c>
      <c r="J1747" s="3" t="s">
        <v>60</v>
      </c>
      <c r="K1747" s="2" t="s">
        <v>21890</v>
      </c>
      <c r="L1747" s="2" t="s">
        <v>21891</v>
      </c>
      <c r="M1747" s="3" t="s">
        <v>397</v>
      </c>
      <c r="N1747" s="2" t="s">
        <v>1009</v>
      </c>
      <c r="O1747" s="3" t="s">
        <v>63</v>
      </c>
      <c r="P1747" s="3" t="s">
        <v>214</v>
      </c>
      <c r="R1747" s="3" t="s">
        <v>65</v>
      </c>
      <c r="S1747" s="4">
        <v>3</v>
      </c>
      <c r="T1747" s="4">
        <v>3</v>
      </c>
      <c r="U1747" s="5" t="s">
        <v>11757</v>
      </c>
      <c r="V1747" s="5" t="s">
        <v>11757</v>
      </c>
      <c r="W1747" s="5" t="s">
        <v>20121</v>
      </c>
      <c r="X1747" s="5" t="s">
        <v>20121</v>
      </c>
      <c r="Y1747" s="4">
        <v>479</v>
      </c>
      <c r="Z1747" s="4">
        <v>462</v>
      </c>
      <c r="AA1747" s="4">
        <v>697</v>
      </c>
      <c r="AB1747" s="4">
        <v>2</v>
      </c>
      <c r="AC1747" s="4">
        <v>3</v>
      </c>
      <c r="AD1747" s="4">
        <v>7</v>
      </c>
      <c r="AE1747" s="4">
        <v>11</v>
      </c>
      <c r="AF1747" s="4">
        <v>4</v>
      </c>
      <c r="AG1747" s="4">
        <v>4</v>
      </c>
      <c r="AH1747" s="4">
        <v>2</v>
      </c>
      <c r="AI1747" s="4">
        <v>4</v>
      </c>
      <c r="AJ1747" s="4">
        <v>3</v>
      </c>
      <c r="AK1747" s="4">
        <v>5</v>
      </c>
      <c r="AL1747" s="4">
        <v>0</v>
      </c>
      <c r="AM1747" s="4">
        <v>1</v>
      </c>
      <c r="AN1747" s="4">
        <v>0</v>
      </c>
      <c r="AO1747" s="4">
        <v>0</v>
      </c>
      <c r="AP1747" s="3" t="s">
        <v>58</v>
      </c>
      <c r="AQ1747" s="3" t="s">
        <v>58</v>
      </c>
      <c r="AS1747" s="6" t="str">
        <f>HYPERLINK("https://creighton-primo.hosted.exlibrisgroup.com/primo-explore/search?tab=default_tab&amp;search_scope=EVERYTHING&amp;vid=01CRU&amp;lang=en_US&amp;offset=0&amp;query=any,contains,991000526079702656","Catalog Record")</f>
        <v>Catalog Record</v>
      </c>
      <c r="AT1747" s="6" t="str">
        <f>HYPERLINK("http://www.worldcat.org/oclc/11370658","WorldCat Record")</f>
        <v>WorldCat Record</v>
      </c>
      <c r="AU1747" s="3" t="s">
        <v>21892</v>
      </c>
      <c r="AV1747" s="3" t="s">
        <v>21893</v>
      </c>
      <c r="AW1747" s="3" t="s">
        <v>21894</v>
      </c>
      <c r="AX1747" s="3" t="s">
        <v>21894</v>
      </c>
      <c r="AY1747" s="3" t="s">
        <v>21895</v>
      </c>
      <c r="AZ1747" s="3" t="s">
        <v>73</v>
      </c>
      <c r="BB1747" s="3" t="s">
        <v>21896</v>
      </c>
      <c r="BC1747" s="3" t="s">
        <v>21897</v>
      </c>
      <c r="BD1747" s="3" t="s">
        <v>21898</v>
      </c>
    </row>
    <row r="1748" spans="1:56" ht="51" customHeight="1" x14ac:dyDescent="0.25">
      <c r="A1748" s="7" t="s">
        <v>58</v>
      </c>
      <c r="B1748" s="2" t="s">
        <v>21899</v>
      </c>
      <c r="C1748" s="2" t="s">
        <v>21900</v>
      </c>
      <c r="D1748" s="2" t="s">
        <v>21901</v>
      </c>
      <c r="F1748" s="3" t="s">
        <v>58</v>
      </c>
      <c r="G1748" s="3" t="s">
        <v>59</v>
      </c>
      <c r="H1748" s="3" t="s">
        <v>58</v>
      </c>
      <c r="I1748" s="3" t="s">
        <v>58</v>
      </c>
      <c r="J1748" s="3" t="s">
        <v>60</v>
      </c>
      <c r="K1748" s="2" t="s">
        <v>21902</v>
      </c>
      <c r="L1748" s="2" t="s">
        <v>21903</v>
      </c>
      <c r="M1748" s="3" t="s">
        <v>598</v>
      </c>
      <c r="N1748" s="2" t="s">
        <v>1470</v>
      </c>
      <c r="O1748" s="3" t="s">
        <v>63</v>
      </c>
      <c r="P1748" s="3" t="s">
        <v>816</v>
      </c>
      <c r="R1748" s="3" t="s">
        <v>65</v>
      </c>
      <c r="S1748" s="4">
        <v>1</v>
      </c>
      <c r="T1748" s="4">
        <v>1</v>
      </c>
      <c r="U1748" s="5" t="s">
        <v>11757</v>
      </c>
      <c r="V1748" s="5" t="s">
        <v>11757</v>
      </c>
      <c r="W1748" s="5" t="s">
        <v>17547</v>
      </c>
      <c r="X1748" s="5" t="s">
        <v>17547</v>
      </c>
      <c r="Y1748" s="4">
        <v>620</v>
      </c>
      <c r="Z1748" s="4">
        <v>585</v>
      </c>
      <c r="AA1748" s="4">
        <v>635</v>
      </c>
      <c r="AB1748" s="4">
        <v>6</v>
      </c>
      <c r="AC1748" s="4">
        <v>7</v>
      </c>
      <c r="AD1748" s="4">
        <v>13</v>
      </c>
      <c r="AE1748" s="4">
        <v>14</v>
      </c>
      <c r="AF1748" s="4">
        <v>4</v>
      </c>
      <c r="AG1748" s="4">
        <v>5</v>
      </c>
      <c r="AH1748" s="4">
        <v>2</v>
      </c>
      <c r="AI1748" s="4">
        <v>2</v>
      </c>
      <c r="AJ1748" s="4">
        <v>4</v>
      </c>
      <c r="AK1748" s="4">
        <v>4</v>
      </c>
      <c r="AL1748" s="4">
        <v>4</v>
      </c>
      <c r="AM1748" s="4">
        <v>4</v>
      </c>
      <c r="AN1748" s="4">
        <v>0</v>
      </c>
      <c r="AO1748" s="4">
        <v>0</v>
      </c>
      <c r="AP1748" s="3" t="s">
        <v>58</v>
      </c>
      <c r="AQ1748" s="3" t="s">
        <v>68</v>
      </c>
      <c r="AR1748" s="6" t="str">
        <f>HYPERLINK("http://catalog.hathitrust.org/Record/001256666","HathiTrust Record")</f>
        <v>HathiTrust Record</v>
      </c>
      <c r="AS1748" s="6" t="str">
        <f>HYPERLINK("https://creighton-primo.hosted.exlibrisgroup.com/primo-explore/search?tab=default_tab&amp;search_scope=EVERYTHING&amp;vid=01CRU&amp;lang=en_US&amp;offset=0&amp;query=any,contains,991003344779702656","Catalog Record")</f>
        <v>Catalog Record</v>
      </c>
      <c r="AT1748" s="6" t="str">
        <f>HYPERLINK("http://www.worldcat.org/oclc/876502","WorldCat Record")</f>
        <v>WorldCat Record</v>
      </c>
      <c r="AU1748" s="3" t="s">
        <v>21904</v>
      </c>
      <c r="AV1748" s="3" t="s">
        <v>21905</v>
      </c>
      <c r="AW1748" s="3" t="s">
        <v>21906</v>
      </c>
      <c r="AX1748" s="3" t="s">
        <v>21906</v>
      </c>
      <c r="AY1748" s="3" t="s">
        <v>21907</v>
      </c>
      <c r="AZ1748" s="3" t="s">
        <v>73</v>
      </c>
      <c r="BC1748" s="3" t="s">
        <v>21908</v>
      </c>
      <c r="BD1748" s="3" t="s">
        <v>21909</v>
      </c>
    </row>
    <row r="1749" spans="1:56" ht="51" customHeight="1" x14ac:dyDescent="0.25">
      <c r="A1749" s="7" t="s">
        <v>58</v>
      </c>
      <c r="B1749" s="2" t="s">
        <v>21910</v>
      </c>
      <c r="C1749" s="2" t="s">
        <v>21911</v>
      </c>
      <c r="D1749" s="2" t="s">
        <v>21912</v>
      </c>
      <c r="F1749" s="3" t="s">
        <v>58</v>
      </c>
      <c r="G1749" s="3" t="s">
        <v>59</v>
      </c>
      <c r="H1749" s="3" t="s">
        <v>58</v>
      </c>
      <c r="I1749" s="3" t="s">
        <v>58</v>
      </c>
      <c r="J1749" s="3" t="s">
        <v>60</v>
      </c>
      <c r="K1749" s="2" t="s">
        <v>21913</v>
      </c>
      <c r="L1749" s="2" t="s">
        <v>16242</v>
      </c>
      <c r="M1749" s="3" t="s">
        <v>1357</v>
      </c>
      <c r="O1749" s="3" t="s">
        <v>63</v>
      </c>
      <c r="P1749" s="3" t="s">
        <v>214</v>
      </c>
      <c r="R1749" s="3" t="s">
        <v>65</v>
      </c>
      <c r="S1749" s="4">
        <v>14</v>
      </c>
      <c r="T1749" s="4">
        <v>14</v>
      </c>
      <c r="U1749" s="5" t="s">
        <v>16217</v>
      </c>
      <c r="V1749" s="5" t="s">
        <v>16217</v>
      </c>
      <c r="W1749" s="5" t="s">
        <v>2617</v>
      </c>
      <c r="X1749" s="5" t="s">
        <v>2617</v>
      </c>
      <c r="Y1749" s="4">
        <v>611</v>
      </c>
      <c r="Z1749" s="4">
        <v>489</v>
      </c>
      <c r="AA1749" s="4">
        <v>492</v>
      </c>
      <c r="AB1749" s="4">
        <v>4</v>
      </c>
      <c r="AC1749" s="4">
        <v>4</v>
      </c>
      <c r="AD1749" s="4">
        <v>20</v>
      </c>
      <c r="AE1749" s="4">
        <v>20</v>
      </c>
      <c r="AF1749" s="4">
        <v>7</v>
      </c>
      <c r="AG1749" s="4">
        <v>7</v>
      </c>
      <c r="AH1749" s="4">
        <v>4</v>
      </c>
      <c r="AI1749" s="4">
        <v>4</v>
      </c>
      <c r="AJ1749" s="4">
        <v>8</v>
      </c>
      <c r="AK1749" s="4">
        <v>8</v>
      </c>
      <c r="AL1749" s="4">
        <v>3</v>
      </c>
      <c r="AM1749" s="4">
        <v>3</v>
      </c>
      <c r="AN1749" s="4">
        <v>0</v>
      </c>
      <c r="AO1749" s="4">
        <v>0</v>
      </c>
      <c r="AP1749" s="3" t="s">
        <v>58</v>
      </c>
      <c r="AQ1749" s="3" t="s">
        <v>58</v>
      </c>
      <c r="AS1749" s="6" t="str">
        <f>HYPERLINK("https://creighton-primo.hosted.exlibrisgroup.com/primo-explore/search?tab=default_tab&amp;search_scope=EVERYTHING&amp;vid=01CRU&amp;lang=en_US&amp;offset=0&amp;query=any,contains,991000545679702656","Catalog Record")</f>
        <v>Catalog Record</v>
      </c>
      <c r="AT1749" s="6" t="str">
        <f>HYPERLINK("http://www.worldcat.org/oclc/91322","WorldCat Record")</f>
        <v>WorldCat Record</v>
      </c>
      <c r="AU1749" s="3" t="s">
        <v>21914</v>
      </c>
      <c r="AV1749" s="3" t="s">
        <v>21915</v>
      </c>
      <c r="AW1749" s="3" t="s">
        <v>21916</v>
      </c>
      <c r="AX1749" s="3" t="s">
        <v>21916</v>
      </c>
      <c r="AY1749" s="3" t="s">
        <v>21917</v>
      </c>
      <c r="AZ1749" s="3" t="s">
        <v>73</v>
      </c>
      <c r="BB1749" s="3" t="s">
        <v>21918</v>
      </c>
      <c r="BC1749" s="3" t="s">
        <v>21919</v>
      </c>
      <c r="BD1749" s="3" t="s">
        <v>21920</v>
      </c>
    </row>
    <row r="1750" spans="1:56" ht="51" customHeight="1" x14ac:dyDescent="0.25">
      <c r="A1750" s="7" t="s">
        <v>58</v>
      </c>
      <c r="B1750" s="2" t="s">
        <v>21921</v>
      </c>
      <c r="C1750" s="2" t="s">
        <v>21922</v>
      </c>
      <c r="D1750" s="2" t="s">
        <v>21923</v>
      </c>
      <c r="F1750" s="3" t="s">
        <v>58</v>
      </c>
      <c r="G1750" s="3" t="s">
        <v>59</v>
      </c>
      <c r="H1750" s="3" t="s">
        <v>58</v>
      </c>
      <c r="I1750" s="3" t="s">
        <v>58</v>
      </c>
      <c r="J1750" s="3" t="s">
        <v>60</v>
      </c>
      <c r="K1750" s="2" t="s">
        <v>21924</v>
      </c>
      <c r="L1750" s="2" t="s">
        <v>21925</v>
      </c>
      <c r="M1750" s="3" t="s">
        <v>524</v>
      </c>
      <c r="O1750" s="3" t="s">
        <v>63</v>
      </c>
      <c r="P1750" s="3" t="s">
        <v>584</v>
      </c>
      <c r="Q1750" s="2" t="s">
        <v>21926</v>
      </c>
      <c r="R1750" s="3" t="s">
        <v>65</v>
      </c>
      <c r="S1750" s="4">
        <v>4</v>
      </c>
      <c r="T1750" s="4">
        <v>4</v>
      </c>
      <c r="U1750" s="5" t="s">
        <v>16217</v>
      </c>
      <c r="V1750" s="5" t="s">
        <v>16217</v>
      </c>
      <c r="W1750" s="5" t="s">
        <v>21927</v>
      </c>
      <c r="X1750" s="5" t="s">
        <v>21927</v>
      </c>
      <c r="Y1750" s="4">
        <v>120</v>
      </c>
      <c r="Z1750" s="4">
        <v>68</v>
      </c>
      <c r="AA1750" s="4">
        <v>876</v>
      </c>
      <c r="AB1750" s="4">
        <v>1</v>
      </c>
      <c r="AC1750" s="4">
        <v>6</v>
      </c>
      <c r="AD1750" s="4">
        <v>1</v>
      </c>
      <c r="AE1750" s="4">
        <v>24</v>
      </c>
      <c r="AF1750" s="4">
        <v>1</v>
      </c>
      <c r="AG1750" s="4">
        <v>10</v>
      </c>
      <c r="AH1750" s="4">
        <v>1</v>
      </c>
      <c r="AI1750" s="4">
        <v>5</v>
      </c>
      <c r="AJ1750" s="4">
        <v>0</v>
      </c>
      <c r="AK1750" s="4">
        <v>13</v>
      </c>
      <c r="AL1750" s="4">
        <v>0</v>
      </c>
      <c r="AM1750" s="4">
        <v>4</v>
      </c>
      <c r="AN1750" s="4">
        <v>0</v>
      </c>
      <c r="AO1750" s="4">
        <v>0</v>
      </c>
      <c r="AP1750" s="3" t="s">
        <v>58</v>
      </c>
      <c r="AQ1750" s="3" t="s">
        <v>58</v>
      </c>
      <c r="AS1750" s="6" t="str">
        <f>HYPERLINK("https://creighton-primo.hosted.exlibrisgroup.com/primo-explore/search?tab=default_tab&amp;search_scope=EVERYTHING&amp;vid=01CRU&amp;lang=en_US&amp;offset=0&amp;query=any,contains,991001075999702656","Catalog Record")</f>
        <v>Catalog Record</v>
      </c>
      <c r="AT1750" s="6" t="str">
        <f>HYPERLINK("http://www.worldcat.org/oclc/16013560","WorldCat Record")</f>
        <v>WorldCat Record</v>
      </c>
      <c r="AU1750" s="3" t="s">
        <v>21928</v>
      </c>
      <c r="AV1750" s="3" t="s">
        <v>21929</v>
      </c>
      <c r="AW1750" s="3" t="s">
        <v>21930</v>
      </c>
      <c r="AX1750" s="3" t="s">
        <v>21930</v>
      </c>
      <c r="AY1750" s="3" t="s">
        <v>21931</v>
      </c>
      <c r="AZ1750" s="3" t="s">
        <v>73</v>
      </c>
      <c r="BB1750" s="3" t="s">
        <v>21932</v>
      </c>
      <c r="BC1750" s="3" t="s">
        <v>21933</v>
      </c>
      <c r="BD1750" s="3" t="s">
        <v>21934</v>
      </c>
    </row>
    <row r="1751" spans="1:56" ht="51" customHeight="1" x14ac:dyDescent="0.25">
      <c r="A1751" s="7" t="s">
        <v>58</v>
      </c>
      <c r="B1751" s="2" t="s">
        <v>21935</v>
      </c>
      <c r="C1751" s="2" t="s">
        <v>21936</v>
      </c>
      <c r="D1751" s="2" t="s">
        <v>21937</v>
      </c>
      <c r="E1751" s="3" t="s">
        <v>223</v>
      </c>
      <c r="F1751" s="3" t="s">
        <v>68</v>
      </c>
      <c r="G1751" s="3" t="s">
        <v>59</v>
      </c>
      <c r="H1751" s="3" t="s">
        <v>58</v>
      </c>
      <c r="I1751" s="3" t="s">
        <v>58</v>
      </c>
      <c r="J1751" s="3" t="s">
        <v>60</v>
      </c>
      <c r="K1751" s="2" t="s">
        <v>21938</v>
      </c>
      <c r="L1751" s="2" t="s">
        <v>21939</v>
      </c>
      <c r="M1751" s="3" t="s">
        <v>552</v>
      </c>
      <c r="O1751" s="3" t="s">
        <v>63</v>
      </c>
      <c r="P1751" s="3" t="s">
        <v>2061</v>
      </c>
      <c r="R1751" s="3" t="s">
        <v>65</v>
      </c>
      <c r="S1751" s="4">
        <v>4</v>
      </c>
      <c r="T1751" s="4">
        <v>5</v>
      </c>
      <c r="U1751" s="5" t="s">
        <v>16217</v>
      </c>
      <c r="V1751" s="5" t="s">
        <v>16217</v>
      </c>
      <c r="W1751" s="5" t="s">
        <v>14750</v>
      </c>
      <c r="X1751" s="5" t="s">
        <v>14750</v>
      </c>
      <c r="Y1751" s="4">
        <v>185</v>
      </c>
      <c r="Z1751" s="4">
        <v>111</v>
      </c>
      <c r="AA1751" s="4">
        <v>116</v>
      </c>
      <c r="AB1751" s="4">
        <v>1</v>
      </c>
      <c r="AC1751" s="4">
        <v>1</v>
      </c>
      <c r="AD1751" s="4">
        <v>1</v>
      </c>
      <c r="AE1751" s="4">
        <v>1</v>
      </c>
      <c r="AF1751" s="4">
        <v>0</v>
      </c>
      <c r="AG1751" s="4">
        <v>0</v>
      </c>
      <c r="AH1751" s="4">
        <v>0</v>
      </c>
      <c r="AI1751" s="4">
        <v>0</v>
      </c>
      <c r="AJ1751" s="4">
        <v>1</v>
      </c>
      <c r="AK1751" s="4">
        <v>1</v>
      </c>
      <c r="AL1751" s="4">
        <v>0</v>
      </c>
      <c r="AM1751" s="4">
        <v>0</v>
      </c>
      <c r="AN1751" s="4">
        <v>0</v>
      </c>
      <c r="AO1751" s="4">
        <v>0</v>
      </c>
      <c r="AP1751" s="3" t="s">
        <v>58</v>
      </c>
      <c r="AQ1751" s="3" t="s">
        <v>68</v>
      </c>
      <c r="AR1751" s="6" t="str">
        <f>HYPERLINK("http://catalog.hathitrust.org/Record/001841908","HathiTrust Record")</f>
        <v>HathiTrust Record</v>
      </c>
      <c r="AS1751" s="6" t="str">
        <f>HYPERLINK("https://creighton-primo.hosted.exlibrisgroup.com/primo-explore/search?tab=default_tab&amp;search_scope=EVERYTHING&amp;vid=01CRU&amp;lang=en_US&amp;offset=0&amp;query=any,contains,991001619669702656","Catalog Record")</f>
        <v>Catalog Record</v>
      </c>
      <c r="AT1751" s="6" t="str">
        <f>HYPERLINK("http://www.worldcat.org/oclc/20801506","WorldCat Record")</f>
        <v>WorldCat Record</v>
      </c>
      <c r="AU1751" s="3" t="s">
        <v>21940</v>
      </c>
      <c r="AV1751" s="3" t="s">
        <v>21941</v>
      </c>
      <c r="AW1751" s="3" t="s">
        <v>21942</v>
      </c>
      <c r="AX1751" s="3" t="s">
        <v>21942</v>
      </c>
      <c r="AY1751" s="3" t="s">
        <v>21943</v>
      </c>
      <c r="AZ1751" s="3" t="s">
        <v>73</v>
      </c>
      <c r="BB1751" s="3" t="s">
        <v>21944</v>
      </c>
      <c r="BC1751" s="3" t="s">
        <v>21945</v>
      </c>
      <c r="BD1751" s="3" t="s">
        <v>21946</v>
      </c>
    </row>
    <row r="1752" spans="1:56" ht="51" customHeight="1" x14ac:dyDescent="0.25">
      <c r="A1752" s="7" t="s">
        <v>58</v>
      </c>
      <c r="B1752" s="2" t="s">
        <v>21935</v>
      </c>
      <c r="C1752" s="2" t="s">
        <v>21936</v>
      </c>
      <c r="D1752" s="2" t="s">
        <v>21937</v>
      </c>
      <c r="E1752" s="3" t="s">
        <v>210</v>
      </c>
      <c r="F1752" s="3" t="s">
        <v>68</v>
      </c>
      <c r="G1752" s="3" t="s">
        <v>59</v>
      </c>
      <c r="H1752" s="3" t="s">
        <v>58</v>
      </c>
      <c r="I1752" s="3" t="s">
        <v>58</v>
      </c>
      <c r="J1752" s="3" t="s">
        <v>60</v>
      </c>
      <c r="K1752" s="2" t="s">
        <v>21938</v>
      </c>
      <c r="L1752" s="2" t="s">
        <v>21939</v>
      </c>
      <c r="M1752" s="3" t="s">
        <v>552</v>
      </c>
      <c r="O1752" s="3" t="s">
        <v>63</v>
      </c>
      <c r="P1752" s="3" t="s">
        <v>2061</v>
      </c>
      <c r="R1752" s="3" t="s">
        <v>65</v>
      </c>
      <c r="S1752" s="4">
        <v>1</v>
      </c>
      <c r="T1752" s="4">
        <v>5</v>
      </c>
      <c r="U1752" s="5" t="s">
        <v>21947</v>
      </c>
      <c r="V1752" s="5" t="s">
        <v>16217</v>
      </c>
      <c r="W1752" s="5" t="s">
        <v>14750</v>
      </c>
      <c r="X1752" s="5" t="s">
        <v>14750</v>
      </c>
      <c r="Y1752" s="4">
        <v>185</v>
      </c>
      <c r="Z1752" s="4">
        <v>111</v>
      </c>
      <c r="AA1752" s="4">
        <v>116</v>
      </c>
      <c r="AB1752" s="4">
        <v>1</v>
      </c>
      <c r="AC1752" s="4">
        <v>1</v>
      </c>
      <c r="AD1752" s="4">
        <v>1</v>
      </c>
      <c r="AE1752" s="4">
        <v>1</v>
      </c>
      <c r="AF1752" s="4">
        <v>0</v>
      </c>
      <c r="AG1752" s="4">
        <v>0</v>
      </c>
      <c r="AH1752" s="4">
        <v>0</v>
      </c>
      <c r="AI1752" s="4">
        <v>0</v>
      </c>
      <c r="AJ1752" s="4">
        <v>1</v>
      </c>
      <c r="AK1752" s="4">
        <v>1</v>
      </c>
      <c r="AL1752" s="4">
        <v>0</v>
      </c>
      <c r="AM1752" s="4">
        <v>0</v>
      </c>
      <c r="AN1752" s="4">
        <v>0</v>
      </c>
      <c r="AO1752" s="4">
        <v>0</v>
      </c>
      <c r="AP1752" s="3" t="s">
        <v>58</v>
      </c>
      <c r="AQ1752" s="3" t="s">
        <v>68</v>
      </c>
      <c r="AR1752" s="6" t="str">
        <f>HYPERLINK("http://catalog.hathitrust.org/Record/001841908","HathiTrust Record")</f>
        <v>HathiTrust Record</v>
      </c>
      <c r="AS1752" s="6" t="str">
        <f>HYPERLINK("https://creighton-primo.hosted.exlibrisgroup.com/primo-explore/search?tab=default_tab&amp;search_scope=EVERYTHING&amp;vid=01CRU&amp;lang=en_US&amp;offset=0&amp;query=any,contains,991001619669702656","Catalog Record")</f>
        <v>Catalog Record</v>
      </c>
      <c r="AT1752" s="6" t="str">
        <f>HYPERLINK("http://www.worldcat.org/oclc/20801506","WorldCat Record")</f>
        <v>WorldCat Record</v>
      </c>
      <c r="AU1752" s="3" t="s">
        <v>21940</v>
      </c>
      <c r="AV1752" s="3" t="s">
        <v>21941</v>
      </c>
      <c r="AW1752" s="3" t="s">
        <v>21942</v>
      </c>
      <c r="AX1752" s="3" t="s">
        <v>21942</v>
      </c>
      <c r="AY1752" s="3" t="s">
        <v>21943</v>
      </c>
      <c r="AZ1752" s="3" t="s">
        <v>73</v>
      </c>
      <c r="BB1752" s="3" t="s">
        <v>21944</v>
      </c>
      <c r="BC1752" s="3" t="s">
        <v>21948</v>
      </c>
      <c r="BD1752" s="3" t="s">
        <v>21949</v>
      </c>
    </row>
    <row r="1753" spans="1:56" ht="51" customHeight="1" x14ac:dyDescent="0.25">
      <c r="A1753" s="7" t="s">
        <v>58</v>
      </c>
      <c r="B1753" s="2" t="s">
        <v>21950</v>
      </c>
      <c r="C1753" s="2" t="s">
        <v>21951</v>
      </c>
      <c r="D1753" s="2" t="s">
        <v>21952</v>
      </c>
      <c r="F1753" s="3" t="s">
        <v>58</v>
      </c>
      <c r="G1753" s="3" t="s">
        <v>59</v>
      </c>
      <c r="H1753" s="3" t="s">
        <v>58</v>
      </c>
      <c r="I1753" s="3" t="s">
        <v>58</v>
      </c>
      <c r="J1753" s="3" t="s">
        <v>60</v>
      </c>
      <c r="K1753" s="2" t="s">
        <v>21953</v>
      </c>
      <c r="L1753" s="2" t="s">
        <v>21954</v>
      </c>
      <c r="M1753" s="3" t="s">
        <v>196</v>
      </c>
      <c r="O1753" s="3" t="s">
        <v>63</v>
      </c>
      <c r="P1753" s="3" t="s">
        <v>584</v>
      </c>
      <c r="Q1753" s="2" t="s">
        <v>21955</v>
      </c>
      <c r="R1753" s="3" t="s">
        <v>65</v>
      </c>
      <c r="S1753" s="4">
        <v>3</v>
      </c>
      <c r="T1753" s="4">
        <v>3</v>
      </c>
      <c r="U1753" s="5" t="s">
        <v>16217</v>
      </c>
      <c r="V1753" s="5" t="s">
        <v>16217</v>
      </c>
      <c r="W1753" s="5" t="s">
        <v>21673</v>
      </c>
      <c r="X1753" s="5" t="s">
        <v>21673</v>
      </c>
      <c r="Y1753" s="4">
        <v>447</v>
      </c>
      <c r="Z1753" s="4">
        <v>333</v>
      </c>
      <c r="AA1753" s="4">
        <v>362</v>
      </c>
      <c r="AB1753" s="4">
        <v>1</v>
      </c>
      <c r="AC1753" s="4">
        <v>1</v>
      </c>
      <c r="AD1753" s="4">
        <v>12</v>
      </c>
      <c r="AE1753" s="4">
        <v>12</v>
      </c>
      <c r="AF1753" s="4">
        <v>4</v>
      </c>
      <c r="AG1753" s="4">
        <v>4</v>
      </c>
      <c r="AH1753" s="4">
        <v>4</v>
      </c>
      <c r="AI1753" s="4">
        <v>4</v>
      </c>
      <c r="AJ1753" s="4">
        <v>9</v>
      </c>
      <c r="AK1753" s="4">
        <v>9</v>
      </c>
      <c r="AL1753" s="4">
        <v>0</v>
      </c>
      <c r="AM1753" s="4">
        <v>0</v>
      </c>
      <c r="AN1753" s="4">
        <v>0</v>
      </c>
      <c r="AO1753" s="4">
        <v>0</v>
      </c>
      <c r="AP1753" s="3" t="s">
        <v>58</v>
      </c>
      <c r="AQ1753" s="3" t="s">
        <v>58</v>
      </c>
      <c r="AS1753" s="6" t="str">
        <f>HYPERLINK("https://creighton-primo.hosted.exlibrisgroup.com/primo-explore/search?tab=default_tab&amp;search_scope=EVERYTHING&amp;vid=01CRU&amp;lang=en_US&amp;offset=0&amp;query=any,contains,991002585829702656","Catalog Record")</f>
        <v>Catalog Record</v>
      </c>
      <c r="AT1753" s="6" t="str">
        <f>HYPERLINK("http://www.worldcat.org/oclc/33897434","WorldCat Record")</f>
        <v>WorldCat Record</v>
      </c>
      <c r="AU1753" s="3" t="s">
        <v>21956</v>
      </c>
      <c r="AV1753" s="3" t="s">
        <v>21957</v>
      </c>
      <c r="AW1753" s="3" t="s">
        <v>21958</v>
      </c>
      <c r="AX1753" s="3" t="s">
        <v>21958</v>
      </c>
      <c r="AY1753" s="3" t="s">
        <v>21959</v>
      </c>
      <c r="AZ1753" s="3" t="s">
        <v>73</v>
      </c>
      <c r="BB1753" s="3" t="s">
        <v>21960</v>
      </c>
      <c r="BC1753" s="3" t="s">
        <v>21961</v>
      </c>
      <c r="BD1753" s="3" t="s">
        <v>21962</v>
      </c>
    </row>
    <row r="1754" spans="1:56" ht="51" customHeight="1" x14ac:dyDescent="0.25">
      <c r="A1754" s="7" t="s">
        <v>58</v>
      </c>
      <c r="B1754" s="2" t="s">
        <v>21963</v>
      </c>
      <c r="C1754" s="2" t="s">
        <v>21964</v>
      </c>
      <c r="D1754" s="2" t="s">
        <v>21965</v>
      </c>
      <c r="F1754" s="3" t="s">
        <v>58</v>
      </c>
      <c r="G1754" s="3" t="s">
        <v>59</v>
      </c>
      <c r="H1754" s="3" t="s">
        <v>58</v>
      </c>
      <c r="I1754" s="3" t="s">
        <v>58</v>
      </c>
      <c r="J1754" s="3" t="s">
        <v>60</v>
      </c>
      <c r="K1754" s="2" t="s">
        <v>21966</v>
      </c>
      <c r="L1754" s="2" t="s">
        <v>21967</v>
      </c>
      <c r="M1754" s="3" t="s">
        <v>1153</v>
      </c>
      <c r="O1754" s="3" t="s">
        <v>63</v>
      </c>
      <c r="P1754" s="3" t="s">
        <v>571</v>
      </c>
      <c r="R1754" s="3" t="s">
        <v>65</v>
      </c>
      <c r="S1754" s="4">
        <v>0</v>
      </c>
      <c r="T1754" s="4">
        <v>0</v>
      </c>
      <c r="U1754" s="5" t="s">
        <v>5601</v>
      </c>
      <c r="V1754" s="5" t="s">
        <v>5601</v>
      </c>
      <c r="W1754" s="5" t="s">
        <v>20416</v>
      </c>
      <c r="X1754" s="5" t="s">
        <v>20416</v>
      </c>
      <c r="Y1754" s="4">
        <v>464</v>
      </c>
      <c r="Z1754" s="4">
        <v>435</v>
      </c>
      <c r="AA1754" s="4">
        <v>582</v>
      </c>
      <c r="AB1754" s="4">
        <v>3</v>
      </c>
      <c r="AC1754" s="4">
        <v>3</v>
      </c>
      <c r="AD1754" s="4">
        <v>13</v>
      </c>
      <c r="AE1754" s="4">
        <v>16</v>
      </c>
      <c r="AF1754" s="4">
        <v>4</v>
      </c>
      <c r="AG1754" s="4">
        <v>4</v>
      </c>
      <c r="AH1754" s="4">
        <v>3</v>
      </c>
      <c r="AI1754" s="4">
        <v>4</v>
      </c>
      <c r="AJ1754" s="4">
        <v>7</v>
      </c>
      <c r="AK1754" s="4">
        <v>9</v>
      </c>
      <c r="AL1754" s="4">
        <v>2</v>
      </c>
      <c r="AM1754" s="4">
        <v>2</v>
      </c>
      <c r="AN1754" s="4">
        <v>0</v>
      </c>
      <c r="AO1754" s="4">
        <v>0</v>
      </c>
      <c r="AP1754" s="3" t="s">
        <v>58</v>
      </c>
      <c r="AQ1754" s="3" t="s">
        <v>58</v>
      </c>
      <c r="AS1754" s="6" t="str">
        <f>HYPERLINK("https://creighton-primo.hosted.exlibrisgroup.com/primo-explore/search?tab=default_tab&amp;search_scope=EVERYTHING&amp;vid=01CRU&amp;lang=en_US&amp;offset=0&amp;query=any,contains,991003081839702656","Catalog Record")</f>
        <v>Catalog Record</v>
      </c>
      <c r="AT1754" s="6" t="str">
        <f>HYPERLINK("http://www.worldcat.org/oclc/633902","WorldCat Record")</f>
        <v>WorldCat Record</v>
      </c>
      <c r="AU1754" s="3" t="s">
        <v>21968</v>
      </c>
      <c r="AV1754" s="3" t="s">
        <v>21969</v>
      </c>
      <c r="AW1754" s="3" t="s">
        <v>21970</v>
      </c>
      <c r="AX1754" s="3" t="s">
        <v>21970</v>
      </c>
      <c r="AY1754" s="3" t="s">
        <v>21971</v>
      </c>
      <c r="AZ1754" s="3" t="s">
        <v>73</v>
      </c>
      <c r="BB1754" s="3" t="s">
        <v>21972</v>
      </c>
      <c r="BC1754" s="3" t="s">
        <v>21973</v>
      </c>
      <c r="BD1754" s="3" t="s">
        <v>21974</v>
      </c>
    </row>
    <row r="1755" spans="1:56" ht="51" customHeight="1" x14ac:dyDescent="0.25">
      <c r="A1755" s="7" t="s">
        <v>58</v>
      </c>
      <c r="B1755" s="2" t="s">
        <v>21975</v>
      </c>
      <c r="C1755" s="2" t="s">
        <v>21976</v>
      </c>
      <c r="D1755" s="2" t="s">
        <v>21977</v>
      </c>
      <c r="E1755" s="3" t="s">
        <v>21978</v>
      </c>
      <c r="F1755" s="3" t="s">
        <v>68</v>
      </c>
      <c r="G1755" s="3" t="s">
        <v>59</v>
      </c>
      <c r="H1755" s="3" t="s">
        <v>58</v>
      </c>
      <c r="I1755" s="3" t="s">
        <v>58</v>
      </c>
      <c r="J1755" s="3" t="s">
        <v>60</v>
      </c>
      <c r="K1755" s="2" t="s">
        <v>21979</v>
      </c>
      <c r="L1755" s="2" t="s">
        <v>21980</v>
      </c>
      <c r="M1755" s="3" t="s">
        <v>21981</v>
      </c>
      <c r="O1755" s="3" t="s">
        <v>63</v>
      </c>
      <c r="P1755" s="3" t="s">
        <v>571</v>
      </c>
      <c r="R1755" s="3" t="s">
        <v>65</v>
      </c>
      <c r="S1755" s="4">
        <v>2</v>
      </c>
      <c r="T1755" s="4">
        <v>84</v>
      </c>
      <c r="U1755" s="5" t="s">
        <v>21982</v>
      </c>
      <c r="V1755" s="5" t="s">
        <v>21982</v>
      </c>
      <c r="W1755" s="5" t="s">
        <v>21983</v>
      </c>
      <c r="X1755" s="5" t="s">
        <v>21984</v>
      </c>
      <c r="Y1755" s="4">
        <v>198</v>
      </c>
      <c r="Z1755" s="4">
        <v>171</v>
      </c>
      <c r="AA1755" s="4">
        <v>207</v>
      </c>
      <c r="AB1755" s="4">
        <v>2</v>
      </c>
      <c r="AC1755" s="4">
        <v>2</v>
      </c>
      <c r="AD1755" s="4">
        <v>16</v>
      </c>
      <c r="AE1755" s="4">
        <v>16</v>
      </c>
      <c r="AF1755" s="4">
        <v>4</v>
      </c>
      <c r="AG1755" s="4">
        <v>4</v>
      </c>
      <c r="AH1755" s="4">
        <v>4</v>
      </c>
      <c r="AI1755" s="4">
        <v>4</v>
      </c>
      <c r="AJ1755" s="4">
        <v>10</v>
      </c>
      <c r="AK1755" s="4">
        <v>10</v>
      </c>
      <c r="AL1755" s="4">
        <v>1</v>
      </c>
      <c r="AM1755" s="4">
        <v>1</v>
      </c>
      <c r="AN1755" s="4">
        <v>0</v>
      </c>
      <c r="AO1755" s="4">
        <v>0</v>
      </c>
      <c r="AP1755" s="3" t="s">
        <v>68</v>
      </c>
      <c r="AQ1755" s="3" t="s">
        <v>58</v>
      </c>
      <c r="AR1755" s="6" t="str">
        <f t="shared" ref="AR1755:AR1809" si="9">HYPERLINK("http://catalog.hathitrust.org/Record/001267282","HathiTrust Record")</f>
        <v>HathiTrust Record</v>
      </c>
      <c r="AS1755" s="6" t="str">
        <f t="shared" ref="AS1755:AS1809" si="10">HYPERLINK("https://creighton-primo.hosted.exlibrisgroup.com/primo-explore/search?tab=default_tab&amp;search_scope=EVERYTHING&amp;vid=01CRU&amp;lang=en_US&amp;offset=0&amp;query=any,contains,991002797719702656","Catalog Record")</f>
        <v>Catalog Record</v>
      </c>
      <c r="AT1755" s="6" t="str">
        <f t="shared" ref="AT1755:AT1809" si="11">HYPERLINK("http://www.worldcat.org/oclc/445792","WorldCat Record")</f>
        <v>WorldCat Record</v>
      </c>
      <c r="AU1755" s="3" t="s">
        <v>21985</v>
      </c>
      <c r="AV1755" s="3" t="s">
        <v>21986</v>
      </c>
      <c r="AW1755" s="3" t="s">
        <v>21987</v>
      </c>
      <c r="AX1755" s="3" t="s">
        <v>21987</v>
      </c>
      <c r="AY1755" s="3" t="s">
        <v>21988</v>
      </c>
      <c r="AZ1755" s="3" t="s">
        <v>73</v>
      </c>
      <c r="BC1755" s="3" t="s">
        <v>21989</v>
      </c>
      <c r="BD1755" s="3" t="s">
        <v>21990</v>
      </c>
    </row>
    <row r="1756" spans="1:56" ht="51" customHeight="1" x14ac:dyDescent="0.25">
      <c r="A1756" s="7" t="s">
        <v>58</v>
      </c>
      <c r="B1756" s="2" t="s">
        <v>21975</v>
      </c>
      <c r="C1756" s="2" t="s">
        <v>21976</v>
      </c>
      <c r="D1756" s="2" t="s">
        <v>21977</v>
      </c>
      <c r="E1756" s="3" t="s">
        <v>21991</v>
      </c>
      <c r="F1756" s="3" t="s">
        <v>68</v>
      </c>
      <c r="G1756" s="3" t="s">
        <v>59</v>
      </c>
      <c r="H1756" s="3" t="s">
        <v>58</v>
      </c>
      <c r="I1756" s="3" t="s">
        <v>58</v>
      </c>
      <c r="J1756" s="3" t="s">
        <v>60</v>
      </c>
      <c r="K1756" s="2" t="s">
        <v>21979</v>
      </c>
      <c r="L1756" s="2" t="s">
        <v>21980</v>
      </c>
      <c r="M1756" s="3" t="s">
        <v>21981</v>
      </c>
      <c r="O1756" s="3" t="s">
        <v>63</v>
      </c>
      <c r="P1756" s="3" t="s">
        <v>571</v>
      </c>
      <c r="R1756" s="3" t="s">
        <v>65</v>
      </c>
      <c r="S1756" s="4">
        <v>2</v>
      </c>
      <c r="T1756" s="4">
        <v>84</v>
      </c>
      <c r="U1756" s="5" t="s">
        <v>16875</v>
      </c>
      <c r="V1756" s="5" t="s">
        <v>21982</v>
      </c>
      <c r="W1756" s="5" t="s">
        <v>21983</v>
      </c>
      <c r="X1756" s="5" t="s">
        <v>21984</v>
      </c>
      <c r="Y1756" s="4">
        <v>198</v>
      </c>
      <c r="Z1756" s="4">
        <v>171</v>
      </c>
      <c r="AA1756" s="4">
        <v>207</v>
      </c>
      <c r="AB1756" s="4">
        <v>2</v>
      </c>
      <c r="AC1756" s="4">
        <v>2</v>
      </c>
      <c r="AD1756" s="4">
        <v>16</v>
      </c>
      <c r="AE1756" s="4">
        <v>16</v>
      </c>
      <c r="AF1756" s="4">
        <v>4</v>
      </c>
      <c r="AG1756" s="4">
        <v>4</v>
      </c>
      <c r="AH1756" s="4">
        <v>4</v>
      </c>
      <c r="AI1756" s="4">
        <v>4</v>
      </c>
      <c r="AJ1756" s="4">
        <v>10</v>
      </c>
      <c r="AK1756" s="4">
        <v>10</v>
      </c>
      <c r="AL1756" s="4">
        <v>1</v>
      </c>
      <c r="AM1756" s="4">
        <v>1</v>
      </c>
      <c r="AN1756" s="4">
        <v>0</v>
      </c>
      <c r="AO1756" s="4">
        <v>0</v>
      </c>
      <c r="AP1756" s="3" t="s">
        <v>68</v>
      </c>
      <c r="AQ1756" s="3" t="s">
        <v>58</v>
      </c>
      <c r="AR1756" s="6" t="str">
        <f t="shared" si="9"/>
        <v>HathiTrust Record</v>
      </c>
      <c r="AS1756" s="6" t="str">
        <f t="shared" si="10"/>
        <v>Catalog Record</v>
      </c>
      <c r="AT1756" s="6" t="str">
        <f t="shared" si="11"/>
        <v>WorldCat Record</v>
      </c>
      <c r="AU1756" s="3" t="s">
        <v>21985</v>
      </c>
      <c r="AV1756" s="3" t="s">
        <v>21986</v>
      </c>
      <c r="AW1756" s="3" t="s">
        <v>21987</v>
      </c>
      <c r="AX1756" s="3" t="s">
        <v>21987</v>
      </c>
      <c r="AY1756" s="3" t="s">
        <v>21988</v>
      </c>
      <c r="AZ1756" s="3" t="s">
        <v>73</v>
      </c>
      <c r="BC1756" s="3" t="s">
        <v>21992</v>
      </c>
      <c r="BD1756" s="3" t="s">
        <v>21993</v>
      </c>
    </row>
    <row r="1757" spans="1:56" ht="51" customHeight="1" x14ac:dyDescent="0.25">
      <c r="A1757" s="7" t="s">
        <v>58</v>
      </c>
      <c r="B1757" s="2" t="s">
        <v>21975</v>
      </c>
      <c r="C1757" s="2" t="s">
        <v>21976</v>
      </c>
      <c r="D1757" s="2" t="s">
        <v>21977</v>
      </c>
      <c r="E1757" s="3" t="s">
        <v>210</v>
      </c>
      <c r="F1757" s="3" t="s">
        <v>68</v>
      </c>
      <c r="G1757" s="3" t="s">
        <v>59</v>
      </c>
      <c r="H1757" s="3" t="s">
        <v>58</v>
      </c>
      <c r="I1757" s="3" t="s">
        <v>58</v>
      </c>
      <c r="J1757" s="3" t="s">
        <v>60</v>
      </c>
      <c r="K1757" s="2" t="s">
        <v>21979</v>
      </c>
      <c r="L1757" s="2" t="s">
        <v>21980</v>
      </c>
      <c r="M1757" s="3" t="s">
        <v>21981</v>
      </c>
      <c r="O1757" s="3" t="s">
        <v>63</v>
      </c>
      <c r="P1757" s="3" t="s">
        <v>571</v>
      </c>
      <c r="R1757" s="3" t="s">
        <v>65</v>
      </c>
      <c r="S1757" s="4">
        <v>0</v>
      </c>
      <c r="T1757" s="4">
        <v>84</v>
      </c>
      <c r="U1757" s="5" t="s">
        <v>21994</v>
      </c>
      <c r="V1757" s="5" t="s">
        <v>21982</v>
      </c>
      <c r="W1757" s="5" t="s">
        <v>21983</v>
      </c>
      <c r="X1757" s="5" t="s">
        <v>21984</v>
      </c>
      <c r="Y1757" s="4">
        <v>198</v>
      </c>
      <c r="Z1757" s="4">
        <v>171</v>
      </c>
      <c r="AA1757" s="4">
        <v>207</v>
      </c>
      <c r="AB1757" s="4">
        <v>2</v>
      </c>
      <c r="AC1757" s="4">
        <v>2</v>
      </c>
      <c r="AD1757" s="4">
        <v>16</v>
      </c>
      <c r="AE1757" s="4">
        <v>16</v>
      </c>
      <c r="AF1757" s="4">
        <v>4</v>
      </c>
      <c r="AG1757" s="4">
        <v>4</v>
      </c>
      <c r="AH1757" s="4">
        <v>4</v>
      </c>
      <c r="AI1757" s="4">
        <v>4</v>
      </c>
      <c r="AJ1757" s="4">
        <v>10</v>
      </c>
      <c r="AK1757" s="4">
        <v>10</v>
      </c>
      <c r="AL1757" s="4">
        <v>1</v>
      </c>
      <c r="AM1757" s="4">
        <v>1</v>
      </c>
      <c r="AN1757" s="4">
        <v>0</v>
      </c>
      <c r="AO1757" s="4">
        <v>0</v>
      </c>
      <c r="AP1757" s="3" t="s">
        <v>68</v>
      </c>
      <c r="AQ1757" s="3" t="s">
        <v>58</v>
      </c>
      <c r="AR1757" s="6" t="str">
        <f t="shared" si="9"/>
        <v>HathiTrust Record</v>
      </c>
      <c r="AS1757" s="6" t="str">
        <f t="shared" si="10"/>
        <v>Catalog Record</v>
      </c>
      <c r="AT1757" s="6" t="str">
        <f t="shared" si="11"/>
        <v>WorldCat Record</v>
      </c>
      <c r="AU1757" s="3" t="s">
        <v>21985</v>
      </c>
      <c r="AV1757" s="3" t="s">
        <v>21986</v>
      </c>
      <c r="AW1757" s="3" t="s">
        <v>21987</v>
      </c>
      <c r="AX1757" s="3" t="s">
        <v>21987</v>
      </c>
      <c r="AY1757" s="3" t="s">
        <v>21988</v>
      </c>
      <c r="AZ1757" s="3" t="s">
        <v>73</v>
      </c>
      <c r="BC1757" s="3" t="s">
        <v>21995</v>
      </c>
      <c r="BD1757" s="3" t="s">
        <v>21996</v>
      </c>
    </row>
    <row r="1758" spans="1:56" ht="51" customHeight="1" x14ac:dyDescent="0.25">
      <c r="A1758" s="7" t="s">
        <v>58</v>
      </c>
      <c r="B1758" s="2" t="s">
        <v>21975</v>
      </c>
      <c r="C1758" s="2" t="s">
        <v>21976</v>
      </c>
      <c r="D1758" s="2" t="s">
        <v>21977</v>
      </c>
      <c r="E1758" s="3" t="s">
        <v>21997</v>
      </c>
      <c r="F1758" s="3" t="s">
        <v>68</v>
      </c>
      <c r="G1758" s="3" t="s">
        <v>59</v>
      </c>
      <c r="H1758" s="3" t="s">
        <v>58</v>
      </c>
      <c r="I1758" s="3" t="s">
        <v>58</v>
      </c>
      <c r="J1758" s="3" t="s">
        <v>60</v>
      </c>
      <c r="K1758" s="2" t="s">
        <v>21979</v>
      </c>
      <c r="L1758" s="2" t="s">
        <v>21980</v>
      </c>
      <c r="M1758" s="3" t="s">
        <v>21981</v>
      </c>
      <c r="O1758" s="3" t="s">
        <v>63</v>
      </c>
      <c r="P1758" s="3" t="s">
        <v>571</v>
      </c>
      <c r="R1758" s="3" t="s">
        <v>65</v>
      </c>
      <c r="S1758" s="4">
        <v>2</v>
      </c>
      <c r="T1758" s="4">
        <v>84</v>
      </c>
      <c r="U1758" s="5" t="s">
        <v>355</v>
      </c>
      <c r="V1758" s="5" t="s">
        <v>21982</v>
      </c>
      <c r="W1758" s="5" t="s">
        <v>21983</v>
      </c>
      <c r="X1758" s="5" t="s">
        <v>21984</v>
      </c>
      <c r="Y1758" s="4">
        <v>198</v>
      </c>
      <c r="Z1758" s="4">
        <v>171</v>
      </c>
      <c r="AA1758" s="4">
        <v>207</v>
      </c>
      <c r="AB1758" s="4">
        <v>2</v>
      </c>
      <c r="AC1758" s="4">
        <v>2</v>
      </c>
      <c r="AD1758" s="4">
        <v>16</v>
      </c>
      <c r="AE1758" s="4">
        <v>16</v>
      </c>
      <c r="AF1758" s="4">
        <v>4</v>
      </c>
      <c r="AG1758" s="4">
        <v>4</v>
      </c>
      <c r="AH1758" s="4">
        <v>4</v>
      </c>
      <c r="AI1758" s="4">
        <v>4</v>
      </c>
      <c r="AJ1758" s="4">
        <v>10</v>
      </c>
      <c r="AK1758" s="4">
        <v>10</v>
      </c>
      <c r="AL1758" s="4">
        <v>1</v>
      </c>
      <c r="AM1758" s="4">
        <v>1</v>
      </c>
      <c r="AN1758" s="4">
        <v>0</v>
      </c>
      <c r="AO1758" s="4">
        <v>0</v>
      </c>
      <c r="AP1758" s="3" t="s">
        <v>68</v>
      </c>
      <c r="AQ1758" s="3" t="s">
        <v>58</v>
      </c>
      <c r="AR1758" s="6" t="str">
        <f t="shared" si="9"/>
        <v>HathiTrust Record</v>
      </c>
      <c r="AS1758" s="6" t="str">
        <f t="shared" si="10"/>
        <v>Catalog Record</v>
      </c>
      <c r="AT1758" s="6" t="str">
        <f t="shared" si="11"/>
        <v>WorldCat Record</v>
      </c>
      <c r="AU1758" s="3" t="s">
        <v>21985</v>
      </c>
      <c r="AV1758" s="3" t="s">
        <v>21986</v>
      </c>
      <c r="AW1758" s="3" t="s">
        <v>21987</v>
      </c>
      <c r="AX1758" s="3" t="s">
        <v>21987</v>
      </c>
      <c r="AY1758" s="3" t="s">
        <v>21988</v>
      </c>
      <c r="AZ1758" s="3" t="s">
        <v>73</v>
      </c>
      <c r="BC1758" s="3" t="s">
        <v>21998</v>
      </c>
      <c r="BD1758" s="3" t="s">
        <v>21999</v>
      </c>
    </row>
    <row r="1759" spans="1:56" ht="51" customHeight="1" x14ac:dyDescent="0.25">
      <c r="A1759" s="7" t="s">
        <v>58</v>
      </c>
      <c r="B1759" s="2" t="s">
        <v>21975</v>
      </c>
      <c r="C1759" s="2" t="s">
        <v>21976</v>
      </c>
      <c r="D1759" s="2" t="s">
        <v>21977</v>
      </c>
      <c r="E1759" s="3" t="s">
        <v>22000</v>
      </c>
      <c r="F1759" s="3" t="s">
        <v>68</v>
      </c>
      <c r="G1759" s="3" t="s">
        <v>59</v>
      </c>
      <c r="H1759" s="3" t="s">
        <v>58</v>
      </c>
      <c r="I1759" s="3" t="s">
        <v>58</v>
      </c>
      <c r="J1759" s="3" t="s">
        <v>60</v>
      </c>
      <c r="K1759" s="2" t="s">
        <v>21979</v>
      </c>
      <c r="L1759" s="2" t="s">
        <v>21980</v>
      </c>
      <c r="M1759" s="3" t="s">
        <v>21981</v>
      </c>
      <c r="O1759" s="3" t="s">
        <v>63</v>
      </c>
      <c r="P1759" s="3" t="s">
        <v>571</v>
      </c>
      <c r="R1759" s="3" t="s">
        <v>65</v>
      </c>
      <c r="S1759" s="4">
        <v>2</v>
      </c>
      <c r="T1759" s="4">
        <v>84</v>
      </c>
      <c r="U1759" s="5" t="s">
        <v>22001</v>
      </c>
      <c r="V1759" s="5" t="s">
        <v>21982</v>
      </c>
      <c r="W1759" s="5" t="s">
        <v>21983</v>
      </c>
      <c r="X1759" s="5" t="s">
        <v>21984</v>
      </c>
      <c r="Y1759" s="4">
        <v>198</v>
      </c>
      <c r="Z1759" s="4">
        <v>171</v>
      </c>
      <c r="AA1759" s="4">
        <v>207</v>
      </c>
      <c r="AB1759" s="4">
        <v>2</v>
      </c>
      <c r="AC1759" s="4">
        <v>2</v>
      </c>
      <c r="AD1759" s="4">
        <v>16</v>
      </c>
      <c r="AE1759" s="4">
        <v>16</v>
      </c>
      <c r="AF1759" s="4">
        <v>4</v>
      </c>
      <c r="AG1759" s="4">
        <v>4</v>
      </c>
      <c r="AH1759" s="4">
        <v>4</v>
      </c>
      <c r="AI1759" s="4">
        <v>4</v>
      </c>
      <c r="AJ1759" s="4">
        <v>10</v>
      </c>
      <c r="AK1759" s="4">
        <v>10</v>
      </c>
      <c r="AL1759" s="4">
        <v>1</v>
      </c>
      <c r="AM1759" s="4">
        <v>1</v>
      </c>
      <c r="AN1759" s="4">
        <v>0</v>
      </c>
      <c r="AO1759" s="4">
        <v>0</v>
      </c>
      <c r="AP1759" s="3" t="s">
        <v>68</v>
      </c>
      <c r="AQ1759" s="3" t="s">
        <v>58</v>
      </c>
      <c r="AR1759" s="6" t="str">
        <f t="shared" si="9"/>
        <v>HathiTrust Record</v>
      </c>
      <c r="AS1759" s="6" t="str">
        <f t="shared" si="10"/>
        <v>Catalog Record</v>
      </c>
      <c r="AT1759" s="6" t="str">
        <f t="shared" si="11"/>
        <v>WorldCat Record</v>
      </c>
      <c r="AU1759" s="3" t="s">
        <v>21985</v>
      </c>
      <c r="AV1759" s="3" t="s">
        <v>21986</v>
      </c>
      <c r="AW1759" s="3" t="s">
        <v>21987</v>
      </c>
      <c r="AX1759" s="3" t="s">
        <v>21987</v>
      </c>
      <c r="AY1759" s="3" t="s">
        <v>21988</v>
      </c>
      <c r="AZ1759" s="3" t="s">
        <v>73</v>
      </c>
      <c r="BC1759" s="3" t="s">
        <v>22002</v>
      </c>
      <c r="BD1759" s="3" t="s">
        <v>22003</v>
      </c>
    </row>
    <row r="1760" spans="1:56" ht="51" customHeight="1" x14ac:dyDescent="0.25">
      <c r="A1760" s="7" t="s">
        <v>58</v>
      </c>
      <c r="B1760" s="2" t="s">
        <v>21975</v>
      </c>
      <c r="C1760" s="2" t="s">
        <v>21976</v>
      </c>
      <c r="D1760" s="2" t="s">
        <v>21977</v>
      </c>
      <c r="E1760" s="3" t="s">
        <v>297</v>
      </c>
      <c r="F1760" s="3" t="s">
        <v>68</v>
      </c>
      <c r="G1760" s="3" t="s">
        <v>59</v>
      </c>
      <c r="H1760" s="3" t="s">
        <v>58</v>
      </c>
      <c r="I1760" s="3" t="s">
        <v>58</v>
      </c>
      <c r="J1760" s="3" t="s">
        <v>60</v>
      </c>
      <c r="K1760" s="2" t="s">
        <v>21979</v>
      </c>
      <c r="L1760" s="2" t="s">
        <v>21980</v>
      </c>
      <c r="M1760" s="3" t="s">
        <v>21981</v>
      </c>
      <c r="O1760" s="3" t="s">
        <v>63</v>
      </c>
      <c r="P1760" s="3" t="s">
        <v>571</v>
      </c>
      <c r="R1760" s="3" t="s">
        <v>65</v>
      </c>
      <c r="S1760" s="4">
        <v>0</v>
      </c>
      <c r="T1760" s="4">
        <v>84</v>
      </c>
      <c r="U1760" s="5" t="s">
        <v>22004</v>
      </c>
      <c r="V1760" s="5" t="s">
        <v>21982</v>
      </c>
      <c r="W1760" s="5" t="s">
        <v>21983</v>
      </c>
      <c r="X1760" s="5" t="s">
        <v>21984</v>
      </c>
      <c r="Y1760" s="4">
        <v>198</v>
      </c>
      <c r="Z1760" s="4">
        <v>171</v>
      </c>
      <c r="AA1760" s="4">
        <v>207</v>
      </c>
      <c r="AB1760" s="4">
        <v>2</v>
      </c>
      <c r="AC1760" s="4">
        <v>2</v>
      </c>
      <c r="AD1760" s="4">
        <v>16</v>
      </c>
      <c r="AE1760" s="4">
        <v>16</v>
      </c>
      <c r="AF1760" s="4">
        <v>4</v>
      </c>
      <c r="AG1760" s="4">
        <v>4</v>
      </c>
      <c r="AH1760" s="4">
        <v>4</v>
      </c>
      <c r="AI1760" s="4">
        <v>4</v>
      </c>
      <c r="AJ1760" s="4">
        <v>10</v>
      </c>
      <c r="AK1760" s="4">
        <v>10</v>
      </c>
      <c r="AL1760" s="4">
        <v>1</v>
      </c>
      <c r="AM1760" s="4">
        <v>1</v>
      </c>
      <c r="AN1760" s="4">
        <v>0</v>
      </c>
      <c r="AO1760" s="4">
        <v>0</v>
      </c>
      <c r="AP1760" s="3" t="s">
        <v>68</v>
      </c>
      <c r="AQ1760" s="3" t="s">
        <v>58</v>
      </c>
      <c r="AR1760" s="6" t="str">
        <f t="shared" si="9"/>
        <v>HathiTrust Record</v>
      </c>
      <c r="AS1760" s="6" t="str">
        <f t="shared" si="10"/>
        <v>Catalog Record</v>
      </c>
      <c r="AT1760" s="6" t="str">
        <f t="shared" si="11"/>
        <v>WorldCat Record</v>
      </c>
      <c r="AU1760" s="3" t="s">
        <v>21985</v>
      </c>
      <c r="AV1760" s="3" t="s">
        <v>21986</v>
      </c>
      <c r="AW1760" s="3" t="s">
        <v>21987</v>
      </c>
      <c r="AX1760" s="3" t="s">
        <v>21987</v>
      </c>
      <c r="AY1760" s="3" t="s">
        <v>21988</v>
      </c>
      <c r="AZ1760" s="3" t="s">
        <v>73</v>
      </c>
      <c r="BC1760" s="3" t="s">
        <v>22005</v>
      </c>
      <c r="BD1760" s="3" t="s">
        <v>22006</v>
      </c>
    </row>
    <row r="1761" spans="1:56" ht="51" customHeight="1" x14ac:dyDescent="0.25">
      <c r="A1761" s="7" t="s">
        <v>58</v>
      </c>
      <c r="B1761" s="2" t="s">
        <v>21975</v>
      </c>
      <c r="C1761" s="2" t="s">
        <v>21976</v>
      </c>
      <c r="D1761" s="2" t="s">
        <v>21977</v>
      </c>
      <c r="E1761" s="3" t="s">
        <v>289</v>
      </c>
      <c r="F1761" s="3" t="s">
        <v>68</v>
      </c>
      <c r="G1761" s="3" t="s">
        <v>59</v>
      </c>
      <c r="H1761" s="3" t="s">
        <v>58</v>
      </c>
      <c r="I1761" s="3" t="s">
        <v>58</v>
      </c>
      <c r="J1761" s="3" t="s">
        <v>60</v>
      </c>
      <c r="K1761" s="2" t="s">
        <v>21979</v>
      </c>
      <c r="L1761" s="2" t="s">
        <v>21980</v>
      </c>
      <c r="M1761" s="3" t="s">
        <v>21981</v>
      </c>
      <c r="O1761" s="3" t="s">
        <v>63</v>
      </c>
      <c r="P1761" s="3" t="s">
        <v>571</v>
      </c>
      <c r="R1761" s="3" t="s">
        <v>65</v>
      </c>
      <c r="S1761" s="4">
        <v>1</v>
      </c>
      <c r="T1761" s="4">
        <v>84</v>
      </c>
      <c r="U1761" s="5" t="s">
        <v>22007</v>
      </c>
      <c r="V1761" s="5" t="s">
        <v>21982</v>
      </c>
      <c r="W1761" s="5" t="s">
        <v>21983</v>
      </c>
      <c r="X1761" s="5" t="s">
        <v>21984</v>
      </c>
      <c r="Y1761" s="4">
        <v>198</v>
      </c>
      <c r="Z1761" s="4">
        <v>171</v>
      </c>
      <c r="AA1761" s="4">
        <v>207</v>
      </c>
      <c r="AB1761" s="4">
        <v>2</v>
      </c>
      <c r="AC1761" s="4">
        <v>2</v>
      </c>
      <c r="AD1761" s="4">
        <v>16</v>
      </c>
      <c r="AE1761" s="4">
        <v>16</v>
      </c>
      <c r="AF1761" s="4">
        <v>4</v>
      </c>
      <c r="AG1761" s="4">
        <v>4</v>
      </c>
      <c r="AH1761" s="4">
        <v>4</v>
      </c>
      <c r="AI1761" s="4">
        <v>4</v>
      </c>
      <c r="AJ1761" s="4">
        <v>10</v>
      </c>
      <c r="AK1761" s="4">
        <v>10</v>
      </c>
      <c r="AL1761" s="4">
        <v>1</v>
      </c>
      <c r="AM1761" s="4">
        <v>1</v>
      </c>
      <c r="AN1761" s="4">
        <v>0</v>
      </c>
      <c r="AO1761" s="4">
        <v>0</v>
      </c>
      <c r="AP1761" s="3" t="s">
        <v>68</v>
      </c>
      <c r="AQ1761" s="3" t="s">
        <v>58</v>
      </c>
      <c r="AR1761" s="6" t="str">
        <f t="shared" si="9"/>
        <v>HathiTrust Record</v>
      </c>
      <c r="AS1761" s="6" t="str">
        <f t="shared" si="10"/>
        <v>Catalog Record</v>
      </c>
      <c r="AT1761" s="6" t="str">
        <f t="shared" si="11"/>
        <v>WorldCat Record</v>
      </c>
      <c r="AU1761" s="3" t="s">
        <v>21985</v>
      </c>
      <c r="AV1761" s="3" t="s">
        <v>21986</v>
      </c>
      <c r="AW1761" s="3" t="s">
        <v>21987</v>
      </c>
      <c r="AX1761" s="3" t="s">
        <v>21987</v>
      </c>
      <c r="AY1761" s="3" t="s">
        <v>21988</v>
      </c>
      <c r="AZ1761" s="3" t="s">
        <v>73</v>
      </c>
      <c r="BC1761" s="3" t="s">
        <v>22008</v>
      </c>
      <c r="BD1761" s="3" t="s">
        <v>22009</v>
      </c>
    </row>
    <row r="1762" spans="1:56" ht="51" customHeight="1" x14ac:dyDescent="0.25">
      <c r="A1762" s="7" t="s">
        <v>58</v>
      </c>
      <c r="B1762" s="2" t="s">
        <v>21975</v>
      </c>
      <c r="C1762" s="2" t="s">
        <v>21976</v>
      </c>
      <c r="D1762" s="2" t="s">
        <v>21977</v>
      </c>
      <c r="E1762" s="3" t="s">
        <v>22010</v>
      </c>
      <c r="F1762" s="3" t="s">
        <v>68</v>
      </c>
      <c r="G1762" s="3" t="s">
        <v>59</v>
      </c>
      <c r="H1762" s="3" t="s">
        <v>58</v>
      </c>
      <c r="I1762" s="3" t="s">
        <v>58</v>
      </c>
      <c r="J1762" s="3" t="s">
        <v>60</v>
      </c>
      <c r="K1762" s="2" t="s">
        <v>21979</v>
      </c>
      <c r="L1762" s="2" t="s">
        <v>21980</v>
      </c>
      <c r="M1762" s="3" t="s">
        <v>21981</v>
      </c>
      <c r="O1762" s="3" t="s">
        <v>63</v>
      </c>
      <c r="P1762" s="3" t="s">
        <v>571</v>
      </c>
      <c r="R1762" s="3" t="s">
        <v>65</v>
      </c>
      <c r="S1762" s="4">
        <v>3</v>
      </c>
      <c r="T1762" s="4">
        <v>84</v>
      </c>
      <c r="U1762" s="5" t="s">
        <v>22011</v>
      </c>
      <c r="V1762" s="5" t="s">
        <v>21982</v>
      </c>
      <c r="W1762" s="5" t="s">
        <v>21983</v>
      </c>
      <c r="X1762" s="5" t="s">
        <v>21984</v>
      </c>
      <c r="Y1762" s="4">
        <v>198</v>
      </c>
      <c r="Z1762" s="4">
        <v>171</v>
      </c>
      <c r="AA1762" s="4">
        <v>207</v>
      </c>
      <c r="AB1762" s="4">
        <v>2</v>
      </c>
      <c r="AC1762" s="4">
        <v>2</v>
      </c>
      <c r="AD1762" s="4">
        <v>16</v>
      </c>
      <c r="AE1762" s="4">
        <v>16</v>
      </c>
      <c r="AF1762" s="4">
        <v>4</v>
      </c>
      <c r="AG1762" s="4">
        <v>4</v>
      </c>
      <c r="AH1762" s="4">
        <v>4</v>
      </c>
      <c r="AI1762" s="4">
        <v>4</v>
      </c>
      <c r="AJ1762" s="4">
        <v>10</v>
      </c>
      <c r="AK1762" s="4">
        <v>10</v>
      </c>
      <c r="AL1762" s="4">
        <v>1</v>
      </c>
      <c r="AM1762" s="4">
        <v>1</v>
      </c>
      <c r="AN1762" s="4">
        <v>0</v>
      </c>
      <c r="AO1762" s="4">
        <v>0</v>
      </c>
      <c r="AP1762" s="3" t="s">
        <v>68</v>
      </c>
      <c r="AQ1762" s="3" t="s">
        <v>58</v>
      </c>
      <c r="AR1762" s="6" t="str">
        <f t="shared" si="9"/>
        <v>HathiTrust Record</v>
      </c>
      <c r="AS1762" s="6" t="str">
        <f t="shared" si="10"/>
        <v>Catalog Record</v>
      </c>
      <c r="AT1762" s="6" t="str">
        <f t="shared" si="11"/>
        <v>WorldCat Record</v>
      </c>
      <c r="AU1762" s="3" t="s">
        <v>21985</v>
      </c>
      <c r="AV1762" s="3" t="s">
        <v>21986</v>
      </c>
      <c r="AW1762" s="3" t="s">
        <v>21987</v>
      </c>
      <c r="AX1762" s="3" t="s">
        <v>21987</v>
      </c>
      <c r="AY1762" s="3" t="s">
        <v>21988</v>
      </c>
      <c r="AZ1762" s="3" t="s">
        <v>73</v>
      </c>
      <c r="BC1762" s="3" t="s">
        <v>22012</v>
      </c>
      <c r="BD1762" s="3" t="s">
        <v>22013</v>
      </c>
    </row>
    <row r="1763" spans="1:56" ht="51" customHeight="1" x14ac:dyDescent="0.25">
      <c r="A1763" s="7" t="s">
        <v>58</v>
      </c>
      <c r="B1763" s="2" t="s">
        <v>21975</v>
      </c>
      <c r="C1763" s="2" t="s">
        <v>21976</v>
      </c>
      <c r="D1763" s="2" t="s">
        <v>21977</v>
      </c>
      <c r="E1763" s="3" t="s">
        <v>22014</v>
      </c>
      <c r="F1763" s="3" t="s">
        <v>68</v>
      </c>
      <c r="G1763" s="3" t="s">
        <v>59</v>
      </c>
      <c r="H1763" s="3" t="s">
        <v>58</v>
      </c>
      <c r="I1763" s="3" t="s">
        <v>58</v>
      </c>
      <c r="J1763" s="3" t="s">
        <v>60</v>
      </c>
      <c r="K1763" s="2" t="s">
        <v>21979</v>
      </c>
      <c r="L1763" s="2" t="s">
        <v>21980</v>
      </c>
      <c r="M1763" s="3" t="s">
        <v>21981</v>
      </c>
      <c r="O1763" s="3" t="s">
        <v>63</v>
      </c>
      <c r="P1763" s="3" t="s">
        <v>571</v>
      </c>
      <c r="R1763" s="3" t="s">
        <v>65</v>
      </c>
      <c r="S1763" s="4">
        <v>1</v>
      </c>
      <c r="T1763" s="4">
        <v>84</v>
      </c>
      <c r="U1763" s="5" t="s">
        <v>22015</v>
      </c>
      <c r="V1763" s="5" t="s">
        <v>21982</v>
      </c>
      <c r="W1763" s="5" t="s">
        <v>21983</v>
      </c>
      <c r="X1763" s="5" t="s">
        <v>21984</v>
      </c>
      <c r="Y1763" s="4">
        <v>198</v>
      </c>
      <c r="Z1763" s="4">
        <v>171</v>
      </c>
      <c r="AA1763" s="4">
        <v>207</v>
      </c>
      <c r="AB1763" s="4">
        <v>2</v>
      </c>
      <c r="AC1763" s="4">
        <v>2</v>
      </c>
      <c r="AD1763" s="4">
        <v>16</v>
      </c>
      <c r="AE1763" s="4">
        <v>16</v>
      </c>
      <c r="AF1763" s="4">
        <v>4</v>
      </c>
      <c r="AG1763" s="4">
        <v>4</v>
      </c>
      <c r="AH1763" s="4">
        <v>4</v>
      </c>
      <c r="AI1763" s="4">
        <v>4</v>
      </c>
      <c r="AJ1763" s="4">
        <v>10</v>
      </c>
      <c r="AK1763" s="4">
        <v>10</v>
      </c>
      <c r="AL1763" s="4">
        <v>1</v>
      </c>
      <c r="AM1763" s="4">
        <v>1</v>
      </c>
      <c r="AN1763" s="4">
        <v>0</v>
      </c>
      <c r="AO1763" s="4">
        <v>0</v>
      </c>
      <c r="AP1763" s="3" t="s">
        <v>68</v>
      </c>
      <c r="AQ1763" s="3" t="s">
        <v>58</v>
      </c>
      <c r="AR1763" s="6" t="str">
        <f t="shared" si="9"/>
        <v>HathiTrust Record</v>
      </c>
      <c r="AS1763" s="6" t="str">
        <f t="shared" si="10"/>
        <v>Catalog Record</v>
      </c>
      <c r="AT1763" s="6" t="str">
        <f t="shared" si="11"/>
        <v>WorldCat Record</v>
      </c>
      <c r="AU1763" s="3" t="s">
        <v>21985</v>
      </c>
      <c r="AV1763" s="3" t="s">
        <v>21986</v>
      </c>
      <c r="AW1763" s="3" t="s">
        <v>21987</v>
      </c>
      <c r="AX1763" s="3" t="s">
        <v>21987</v>
      </c>
      <c r="AY1763" s="3" t="s">
        <v>21988</v>
      </c>
      <c r="AZ1763" s="3" t="s">
        <v>73</v>
      </c>
      <c r="BC1763" s="3" t="s">
        <v>22016</v>
      </c>
      <c r="BD1763" s="3" t="s">
        <v>22017</v>
      </c>
    </row>
    <row r="1764" spans="1:56" ht="51" customHeight="1" x14ac:dyDescent="0.25">
      <c r="A1764" s="7" t="s">
        <v>58</v>
      </c>
      <c r="B1764" s="2" t="s">
        <v>21975</v>
      </c>
      <c r="C1764" s="2" t="s">
        <v>21976</v>
      </c>
      <c r="D1764" s="2" t="s">
        <v>21977</v>
      </c>
      <c r="E1764" s="3" t="s">
        <v>22018</v>
      </c>
      <c r="F1764" s="3" t="s">
        <v>68</v>
      </c>
      <c r="G1764" s="3" t="s">
        <v>59</v>
      </c>
      <c r="H1764" s="3" t="s">
        <v>58</v>
      </c>
      <c r="I1764" s="3" t="s">
        <v>58</v>
      </c>
      <c r="J1764" s="3" t="s">
        <v>60</v>
      </c>
      <c r="K1764" s="2" t="s">
        <v>21979</v>
      </c>
      <c r="L1764" s="2" t="s">
        <v>21980</v>
      </c>
      <c r="M1764" s="3" t="s">
        <v>21981</v>
      </c>
      <c r="O1764" s="3" t="s">
        <v>63</v>
      </c>
      <c r="P1764" s="3" t="s">
        <v>571</v>
      </c>
      <c r="R1764" s="3" t="s">
        <v>65</v>
      </c>
      <c r="S1764" s="4">
        <v>1</v>
      </c>
      <c r="T1764" s="4">
        <v>84</v>
      </c>
      <c r="U1764" s="5" t="s">
        <v>22019</v>
      </c>
      <c r="V1764" s="5" t="s">
        <v>21982</v>
      </c>
      <c r="W1764" s="5" t="s">
        <v>21983</v>
      </c>
      <c r="X1764" s="5" t="s">
        <v>21984</v>
      </c>
      <c r="Y1764" s="4">
        <v>198</v>
      </c>
      <c r="Z1764" s="4">
        <v>171</v>
      </c>
      <c r="AA1764" s="4">
        <v>207</v>
      </c>
      <c r="AB1764" s="4">
        <v>2</v>
      </c>
      <c r="AC1764" s="4">
        <v>2</v>
      </c>
      <c r="AD1764" s="4">
        <v>16</v>
      </c>
      <c r="AE1764" s="4">
        <v>16</v>
      </c>
      <c r="AF1764" s="4">
        <v>4</v>
      </c>
      <c r="AG1764" s="4">
        <v>4</v>
      </c>
      <c r="AH1764" s="4">
        <v>4</v>
      </c>
      <c r="AI1764" s="4">
        <v>4</v>
      </c>
      <c r="AJ1764" s="4">
        <v>10</v>
      </c>
      <c r="AK1764" s="4">
        <v>10</v>
      </c>
      <c r="AL1764" s="4">
        <v>1</v>
      </c>
      <c r="AM1764" s="4">
        <v>1</v>
      </c>
      <c r="AN1764" s="4">
        <v>0</v>
      </c>
      <c r="AO1764" s="4">
        <v>0</v>
      </c>
      <c r="AP1764" s="3" t="s">
        <v>68</v>
      </c>
      <c r="AQ1764" s="3" t="s">
        <v>58</v>
      </c>
      <c r="AR1764" s="6" t="str">
        <f t="shared" si="9"/>
        <v>HathiTrust Record</v>
      </c>
      <c r="AS1764" s="6" t="str">
        <f t="shared" si="10"/>
        <v>Catalog Record</v>
      </c>
      <c r="AT1764" s="6" t="str">
        <f t="shared" si="11"/>
        <v>WorldCat Record</v>
      </c>
      <c r="AU1764" s="3" t="s">
        <v>21985</v>
      </c>
      <c r="AV1764" s="3" t="s">
        <v>21986</v>
      </c>
      <c r="AW1764" s="3" t="s">
        <v>21987</v>
      </c>
      <c r="AX1764" s="3" t="s">
        <v>21987</v>
      </c>
      <c r="AY1764" s="3" t="s">
        <v>21988</v>
      </c>
      <c r="AZ1764" s="3" t="s">
        <v>73</v>
      </c>
      <c r="BC1764" s="3" t="s">
        <v>22020</v>
      </c>
      <c r="BD1764" s="3" t="s">
        <v>22021</v>
      </c>
    </row>
    <row r="1765" spans="1:56" ht="51" customHeight="1" x14ac:dyDescent="0.25">
      <c r="A1765" s="7" t="s">
        <v>58</v>
      </c>
      <c r="B1765" s="2" t="s">
        <v>21975</v>
      </c>
      <c r="C1765" s="2" t="s">
        <v>21976</v>
      </c>
      <c r="D1765" s="2" t="s">
        <v>21977</v>
      </c>
      <c r="E1765" s="3" t="s">
        <v>22022</v>
      </c>
      <c r="F1765" s="3" t="s">
        <v>68</v>
      </c>
      <c r="G1765" s="3" t="s">
        <v>59</v>
      </c>
      <c r="H1765" s="3" t="s">
        <v>58</v>
      </c>
      <c r="I1765" s="3" t="s">
        <v>58</v>
      </c>
      <c r="J1765" s="3" t="s">
        <v>60</v>
      </c>
      <c r="K1765" s="2" t="s">
        <v>21979</v>
      </c>
      <c r="L1765" s="2" t="s">
        <v>21980</v>
      </c>
      <c r="M1765" s="3" t="s">
        <v>21981</v>
      </c>
      <c r="O1765" s="3" t="s">
        <v>63</v>
      </c>
      <c r="P1765" s="3" t="s">
        <v>571</v>
      </c>
      <c r="R1765" s="3" t="s">
        <v>65</v>
      </c>
      <c r="S1765" s="4">
        <v>3</v>
      </c>
      <c r="T1765" s="4">
        <v>84</v>
      </c>
      <c r="U1765" s="5" t="s">
        <v>22023</v>
      </c>
      <c r="V1765" s="5" t="s">
        <v>21982</v>
      </c>
      <c r="W1765" s="5" t="s">
        <v>21983</v>
      </c>
      <c r="X1765" s="5" t="s">
        <v>21984</v>
      </c>
      <c r="Y1765" s="4">
        <v>198</v>
      </c>
      <c r="Z1765" s="4">
        <v>171</v>
      </c>
      <c r="AA1765" s="4">
        <v>207</v>
      </c>
      <c r="AB1765" s="4">
        <v>2</v>
      </c>
      <c r="AC1765" s="4">
        <v>2</v>
      </c>
      <c r="AD1765" s="4">
        <v>16</v>
      </c>
      <c r="AE1765" s="4">
        <v>16</v>
      </c>
      <c r="AF1765" s="4">
        <v>4</v>
      </c>
      <c r="AG1765" s="4">
        <v>4</v>
      </c>
      <c r="AH1765" s="4">
        <v>4</v>
      </c>
      <c r="AI1765" s="4">
        <v>4</v>
      </c>
      <c r="AJ1765" s="4">
        <v>10</v>
      </c>
      <c r="AK1765" s="4">
        <v>10</v>
      </c>
      <c r="AL1765" s="4">
        <v>1</v>
      </c>
      <c r="AM1765" s="4">
        <v>1</v>
      </c>
      <c r="AN1765" s="4">
        <v>0</v>
      </c>
      <c r="AO1765" s="4">
        <v>0</v>
      </c>
      <c r="AP1765" s="3" t="s">
        <v>68</v>
      </c>
      <c r="AQ1765" s="3" t="s">
        <v>58</v>
      </c>
      <c r="AR1765" s="6" t="str">
        <f t="shared" si="9"/>
        <v>HathiTrust Record</v>
      </c>
      <c r="AS1765" s="6" t="str">
        <f t="shared" si="10"/>
        <v>Catalog Record</v>
      </c>
      <c r="AT1765" s="6" t="str">
        <f t="shared" si="11"/>
        <v>WorldCat Record</v>
      </c>
      <c r="AU1765" s="3" t="s">
        <v>21985</v>
      </c>
      <c r="AV1765" s="3" t="s">
        <v>21986</v>
      </c>
      <c r="AW1765" s="3" t="s">
        <v>21987</v>
      </c>
      <c r="AX1765" s="3" t="s">
        <v>21987</v>
      </c>
      <c r="AY1765" s="3" t="s">
        <v>21988</v>
      </c>
      <c r="AZ1765" s="3" t="s">
        <v>73</v>
      </c>
      <c r="BC1765" s="3" t="s">
        <v>22024</v>
      </c>
      <c r="BD1765" s="3" t="s">
        <v>22025</v>
      </c>
    </row>
    <row r="1766" spans="1:56" ht="51" customHeight="1" x14ac:dyDescent="0.25">
      <c r="A1766" s="7" t="s">
        <v>58</v>
      </c>
      <c r="B1766" s="2" t="s">
        <v>21975</v>
      </c>
      <c r="C1766" s="2" t="s">
        <v>21976</v>
      </c>
      <c r="D1766" s="2" t="s">
        <v>21977</v>
      </c>
      <c r="E1766" s="3" t="s">
        <v>279</v>
      </c>
      <c r="F1766" s="3" t="s">
        <v>68</v>
      </c>
      <c r="G1766" s="3" t="s">
        <v>59</v>
      </c>
      <c r="H1766" s="3" t="s">
        <v>58</v>
      </c>
      <c r="I1766" s="3" t="s">
        <v>58</v>
      </c>
      <c r="J1766" s="3" t="s">
        <v>60</v>
      </c>
      <c r="K1766" s="2" t="s">
        <v>21979</v>
      </c>
      <c r="L1766" s="2" t="s">
        <v>21980</v>
      </c>
      <c r="M1766" s="3" t="s">
        <v>21981</v>
      </c>
      <c r="O1766" s="3" t="s">
        <v>63</v>
      </c>
      <c r="P1766" s="3" t="s">
        <v>571</v>
      </c>
      <c r="R1766" s="3" t="s">
        <v>65</v>
      </c>
      <c r="S1766" s="4">
        <v>0</v>
      </c>
      <c r="T1766" s="4">
        <v>84</v>
      </c>
      <c r="U1766" s="5" t="s">
        <v>22004</v>
      </c>
      <c r="V1766" s="5" t="s">
        <v>21982</v>
      </c>
      <c r="W1766" s="5" t="s">
        <v>21983</v>
      </c>
      <c r="X1766" s="5" t="s">
        <v>21984</v>
      </c>
      <c r="Y1766" s="4">
        <v>198</v>
      </c>
      <c r="Z1766" s="4">
        <v>171</v>
      </c>
      <c r="AA1766" s="4">
        <v>207</v>
      </c>
      <c r="AB1766" s="4">
        <v>2</v>
      </c>
      <c r="AC1766" s="4">
        <v>2</v>
      </c>
      <c r="AD1766" s="4">
        <v>16</v>
      </c>
      <c r="AE1766" s="4">
        <v>16</v>
      </c>
      <c r="AF1766" s="4">
        <v>4</v>
      </c>
      <c r="AG1766" s="4">
        <v>4</v>
      </c>
      <c r="AH1766" s="4">
        <v>4</v>
      </c>
      <c r="AI1766" s="4">
        <v>4</v>
      </c>
      <c r="AJ1766" s="4">
        <v>10</v>
      </c>
      <c r="AK1766" s="4">
        <v>10</v>
      </c>
      <c r="AL1766" s="4">
        <v>1</v>
      </c>
      <c r="AM1766" s="4">
        <v>1</v>
      </c>
      <c r="AN1766" s="4">
        <v>0</v>
      </c>
      <c r="AO1766" s="4">
        <v>0</v>
      </c>
      <c r="AP1766" s="3" t="s">
        <v>68</v>
      </c>
      <c r="AQ1766" s="3" t="s">
        <v>58</v>
      </c>
      <c r="AR1766" s="6" t="str">
        <f t="shared" si="9"/>
        <v>HathiTrust Record</v>
      </c>
      <c r="AS1766" s="6" t="str">
        <f t="shared" si="10"/>
        <v>Catalog Record</v>
      </c>
      <c r="AT1766" s="6" t="str">
        <f t="shared" si="11"/>
        <v>WorldCat Record</v>
      </c>
      <c r="AU1766" s="3" t="s">
        <v>21985</v>
      </c>
      <c r="AV1766" s="3" t="s">
        <v>21986</v>
      </c>
      <c r="AW1766" s="3" t="s">
        <v>21987</v>
      </c>
      <c r="AX1766" s="3" t="s">
        <v>21987</v>
      </c>
      <c r="AY1766" s="3" t="s">
        <v>21988</v>
      </c>
      <c r="AZ1766" s="3" t="s">
        <v>73</v>
      </c>
      <c r="BC1766" s="3" t="s">
        <v>22026</v>
      </c>
      <c r="BD1766" s="3" t="s">
        <v>22027</v>
      </c>
    </row>
    <row r="1767" spans="1:56" ht="51" customHeight="1" x14ac:dyDescent="0.25">
      <c r="A1767" s="7" t="s">
        <v>58</v>
      </c>
      <c r="B1767" s="2" t="s">
        <v>21975</v>
      </c>
      <c r="C1767" s="2" t="s">
        <v>21976</v>
      </c>
      <c r="D1767" s="2" t="s">
        <v>21977</v>
      </c>
      <c r="E1767" s="3" t="s">
        <v>22028</v>
      </c>
      <c r="F1767" s="3" t="s">
        <v>68</v>
      </c>
      <c r="G1767" s="3" t="s">
        <v>59</v>
      </c>
      <c r="H1767" s="3" t="s">
        <v>58</v>
      </c>
      <c r="I1767" s="3" t="s">
        <v>58</v>
      </c>
      <c r="J1767" s="3" t="s">
        <v>60</v>
      </c>
      <c r="K1767" s="2" t="s">
        <v>21979</v>
      </c>
      <c r="L1767" s="2" t="s">
        <v>21980</v>
      </c>
      <c r="M1767" s="3" t="s">
        <v>21981</v>
      </c>
      <c r="O1767" s="3" t="s">
        <v>63</v>
      </c>
      <c r="P1767" s="3" t="s">
        <v>571</v>
      </c>
      <c r="R1767" s="3" t="s">
        <v>65</v>
      </c>
      <c r="S1767" s="4">
        <v>2</v>
      </c>
      <c r="T1767" s="4">
        <v>84</v>
      </c>
      <c r="U1767" s="5" t="s">
        <v>22029</v>
      </c>
      <c r="V1767" s="5" t="s">
        <v>21982</v>
      </c>
      <c r="W1767" s="5" t="s">
        <v>21983</v>
      </c>
      <c r="X1767" s="5" t="s">
        <v>21984</v>
      </c>
      <c r="Y1767" s="4">
        <v>198</v>
      </c>
      <c r="Z1767" s="4">
        <v>171</v>
      </c>
      <c r="AA1767" s="4">
        <v>207</v>
      </c>
      <c r="AB1767" s="4">
        <v>2</v>
      </c>
      <c r="AC1767" s="4">
        <v>2</v>
      </c>
      <c r="AD1767" s="4">
        <v>16</v>
      </c>
      <c r="AE1767" s="4">
        <v>16</v>
      </c>
      <c r="AF1767" s="4">
        <v>4</v>
      </c>
      <c r="AG1767" s="4">
        <v>4</v>
      </c>
      <c r="AH1767" s="4">
        <v>4</v>
      </c>
      <c r="AI1767" s="4">
        <v>4</v>
      </c>
      <c r="AJ1767" s="4">
        <v>10</v>
      </c>
      <c r="AK1767" s="4">
        <v>10</v>
      </c>
      <c r="AL1767" s="4">
        <v>1</v>
      </c>
      <c r="AM1767" s="4">
        <v>1</v>
      </c>
      <c r="AN1767" s="4">
        <v>0</v>
      </c>
      <c r="AO1767" s="4">
        <v>0</v>
      </c>
      <c r="AP1767" s="3" t="s">
        <v>68</v>
      </c>
      <c r="AQ1767" s="3" t="s">
        <v>58</v>
      </c>
      <c r="AR1767" s="6" t="str">
        <f t="shared" si="9"/>
        <v>HathiTrust Record</v>
      </c>
      <c r="AS1767" s="6" t="str">
        <f t="shared" si="10"/>
        <v>Catalog Record</v>
      </c>
      <c r="AT1767" s="6" t="str">
        <f t="shared" si="11"/>
        <v>WorldCat Record</v>
      </c>
      <c r="AU1767" s="3" t="s">
        <v>21985</v>
      </c>
      <c r="AV1767" s="3" t="s">
        <v>21986</v>
      </c>
      <c r="AW1767" s="3" t="s">
        <v>21987</v>
      </c>
      <c r="AX1767" s="3" t="s">
        <v>21987</v>
      </c>
      <c r="AY1767" s="3" t="s">
        <v>21988</v>
      </c>
      <c r="AZ1767" s="3" t="s">
        <v>73</v>
      </c>
      <c r="BC1767" s="3" t="s">
        <v>22030</v>
      </c>
      <c r="BD1767" s="3" t="s">
        <v>22031</v>
      </c>
    </row>
    <row r="1768" spans="1:56" ht="51" customHeight="1" x14ac:dyDescent="0.25">
      <c r="A1768" s="7" t="s">
        <v>58</v>
      </c>
      <c r="B1768" s="2" t="s">
        <v>21975</v>
      </c>
      <c r="C1768" s="2" t="s">
        <v>21976</v>
      </c>
      <c r="D1768" s="2" t="s">
        <v>21977</v>
      </c>
      <c r="E1768" s="3" t="s">
        <v>22032</v>
      </c>
      <c r="F1768" s="3" t="s">
        <v>68</v>
      </c>
      <c r="G1768" s="3" t="s">
        <v>59</v>
      </c>
      <c r="H1768" s="3" t="s">
        <v>58</v>
      </c>
      <c r="I1768" s="3" t="s">
        <v>58</v>
      </c>
      <c r="J1768" s="3" t="s">
        <v>60</v>
      </c>
      <c r="K1768" s="2" t="s">
        <v>21979</v>
      </c>
      <c r="L1768" s="2" t="s">
        <v>21980</v>
      </c>
      <c r="M1768" s="3" t="s">
        <v>21981</v>
      </c>
      <c r="O1768" s="3" t="s">
        <v>63</v>
      </c>
      <c r="P1768" s="3" t="s">
        <v>571</v>
      </c>
      <c r="R1768" s="3" t="s">
        <v>65</v>
      </c>
      <c r="S1768" s="4">
        <v>2</v>
      </c>
      <c r="T1768" s="4">
        <v>84</v>
      </c>
      <c r="U1768" s="5" t="s">
        <v>22033</v>
      </c>
      <c r="V1768" s="5" t="s">
        <v>21982</v>
      </c>
      <c r="W1768" s="5" t="s">
        <v>21983</v>
      </c>
      <c r="X1768" s="5" t="s">
        <v>21984</v>
      </c>
      <c r="Y1768" s="4">
        <v>198</v>
      </c>
      <c r="Z1768" s="4">
        <v>171</v>
      </c>
      <c r="AA1768" s="4">
        <v>207</v>
      </c>
      <c r="AB1768" s="4">
        <v>2</v>
      </c>
      <c r="AC1768" s="4">
        <v>2</v>
      </c>
      <c r="AD1768" s="4">
        <v>16</v>
      </c>
      <c r="AE1768" s="4">
        <v>16</v>
      </c>
      <c r="AF1768" s="4">
        <v>4</v>
      </c>
      <c r="AG1768" s="4">
        <v>4</v>
      </c>
      <c r="AH1768" s="4">
        <v>4</v>
      </c>
      <c r="AI1768" s="4">
        <v>4</v>
      </c>
      <c r="AJ1768" s="4">
        <v>10</v>
      </c>
      <c r="AK1768" s="4">
        <v>10</v>
      </c>
      <c r="AL1768" s="4">
        <v>1</v>
      </c>
      <c r="AM1768" s="4">
        <v>1</v>
      </c>
      <c r="AN1768" s="4">
        <v>0</v>
      </c>
      <c r="AO1768" s="4">
        <v>0</v>
      </c>
      <c r="AP1768" s="3" t="s">
        <v>68</v>
      </c>
      <c r="AQ1768" s="3" t="s">
        <v>58</v>
      </c>
      <c r="AR1768" s="6" t="str">
        <f t="shared" si="9"/>
        <v>HathiTrust Record</v>
      </c>
      <c r="AS1768" s="6" t="str">
        <f t="shared" si="10"/>
        <v>Catalog Record</v>
      </c>
      <c r="AT1768" s="6" t="str">
        <f t="shared" si="11"/>
        <v>WorldCat Record</v>
      </c>
      <c r="AU1768" s="3" t="s">
        <v>21985</v>
      </c>
      <c r="AV1768" s="3" t="s">
        <v>21986</v>
      </c>
      <c r="AW1768" s="3" t="s">
        <v>21987</v>
      </c>
      <c r="AX1768" s="3" t="s">
        <v>21987</v>
      </c>
      <c r="AY1768" s="3" t="s">
        <v>21988</v>
      </c>
      <c r="AZ1768" s="3" t="s">
        <v>73</v>
      </c>
      <c r="BC1768" s="3" t="s">
        <v>22034</v>
      </c>
      <c r="BD1768" s="3" t="s">
        <v>22035</v>
      </c>
    </row>
    <row r="1769" spans="1:56" ht="51" customHeight="1" x14ac:dyDescent="0.25">
      <c r="A1769" s="7" t="s">
        <v>58</v>
      </c>
      <c r="B1769" s="2" t="s">
        <v>21975</v>
      </c>
      <c r="C1769" s="2" t="s">
        <v>21976</v>
      </c>
      <c r="D1769" s="2" t="s">
        <v>21977</v>
      </c>
      <c r="E1769" s="3" t="s">
        <v>22036</v>
      </c>
      <c r="F1769" s="3" t="s">
        <v>68</v>
      </c>
      <c r="G1769" s="3" t="s">
        <v>59</v>
      </c>
      <c r="H1769" s="3" t="s">
        <v>58</v>
      </c>
      <c r="I1769" s="3" t="s">
        <v>58</v>
      </c>
      <c r="J1769" s="3" t="s">
        <v>60</v>
      </c>
      <c r="K1769" s="2" t="s">
        <v>21979</v>
      </c>
      <c r="L1769" s="2" t="s">
        <v>21980</v>
      </c>
      <c r="M1769" s="3" t="s">
        <v>21981</v>
      </c>
      <c r="O1769" s="3" t="s">
        <v>63</v>
      </c>
      <c r="P1769" s="3" t="s">
        <v>571</v>
      </c>
      <c r="R1769" s="3" t="s">
        <v>65</v>
      </c>
      <c r="S1769" s="4">
        <v>1</v>
      </c>
      <c r="T1769" s="4">
        <v>84</v>
      </c>
      <c r="U1769" s="5" t="s">
        <v>10000</v>
      </c>
      <c r="V1769" s="5" t="s">
        <v>21982</v>
      </c>
      <c r="W1769" s="5" t="s">
        <v>21983</v>
      </c>
      <c r="X1769" s="5" t="s">
        <v>21984</v>
      </c>
      <c r="Y1769" s="4">
        <v>198</v>
      </c>
      <c r="Z1769" s="4">
        <v>171</v>
      </c>
      <c r="AA1769" s="4">
        <v>207</v>
      </c>
      <c r="AB1769" s="4">
        <v>2</v>
      </c>
      <c r="AC1769" s="4">
        <v>2</v>
      </c>
      <c r="AD1769" s="4">
        <v>16</v>
      </c>
      <c r="AE1769" s="4">
        <v>16</v>
      </c>
      <c r="AF1769" s="4">
        <v>4</v>
      </c>
      <c r="AG1769" s="4">
        <v>4</v>
      </c>
      <c r="AH1769" s="4">
        <v>4</v>
      </c>
      <c r="AI1769" s="4">
        <v>4</v>
      </c>
      <c r="AJ1769" s="4">
        <v>10</v>
      </c>
      <c r="AK1769" s="4">
        <v>10</v>
      </c>
      <c r="AL1769" s="4">
        <v>1</v>
      </c>
      <c r="AM1769" s="4">
        <v>1</v>
      </c>
      <c r="AN1769" s="4">
        <v>0</v>
      </c>
      <c r="AO1769" s="4">
        <v>0</v>
      </c>
      <c r="AP1769" s="3" t="s">
        <v>68</v>
      </c>
      <c r="AQ1769" s="3" t="s">
        <v>58</v>
      </c>
      <c r="AR1769" s="6" t="str">
        <f t="shared" si="9"/>
        <v>HathiTrust Record</v>
      </c>
      <c r="AS1769" s="6" t="str">
        <f t="shared" si="10"/>
        <v>Catalog Record</v>
      </c>
      <c r="AT1769" s="6" t="str">
        <f t="shared" si="11"/>
        <v>WorldCat Record</v>
      </c>
      <c r="AU1769" s="3" t="s">
        <v>21985</v>
      </c>
      <c r="AV1769" s="3" t="s">
        <v>21986</v>
      </c>
      <c r="AW1769" s="3" t="s">
        <v>21987</v>
      </c>
      <c r="AX1769" s="3" t="s">
        <v>21987</v>
      </c>
      <c r="AY1769" s="3" t="s">
        <v>21988</v>
      </c>
      <c r="AZ1769" s="3" t="s">
        <v>73</v>
      </c>
      <c r="BC1769" s="3" t="s">
        <v>22037</v>
      </c>
      <c r="BD1769" s="3" t="s">
        <v>22038</v>
      </c>
    </row>
    <row r="1770" spans="1:56" ht="51" customHeight="1" x14ac:dyDescent="0.25">
      <c r="A1770" s="7" t="s">
        <v>58</v>
      </c>
      <c r="B1770" s="2" t="s">
        <v>21975</v>
      </c>
      <c r="C1770" s="2" t="s">
        <v>21976</v>
      </c>
      <c r="D1770" s="2" t="s">
        <v>21977</v>
      </c>
      <c r="E1770" s="3" t="s">
        <v>22039</v>
      </c>
      <c r="F1770" s="3" t="s">
        <v>68</v>
      </c>
      <c r="G1770" s="3" t="s">
        <v>59</v>
      </c>
      <c r="H1770" s="3" t="s">
        <v>58</v>
      </c>
      <c r="I1770" s="3" t="s">
        <v>58</v>
      </c>
      <c r="J1770" s="3" t="s">
        <v>60</v>
      </c>
      <c r="K1770" s="2" t="s">
        <v>21979</v>
      </c>
      <c r="L1770" s="2" t="s">
        <v>21980</v>
      </c>
      <c r="M1770" s="3" t="s">
        <v>21981</v>
      </c>
      <c r="O1770" s="3" t="s">
        <v>63</v>
      </c>
      <c r="P1770" s="3" t="s">
        <v>571</v>
      </c>
      <c r="R1770" s="3" t="s">
        <v>65</v>
      </c>
      <c r="S1770" s="4">
        <v>2</v>
      </c>
      <c r="T1770" s="4">
        <v>84</v>
      </c>
      <c r="U1770" s="5" t="s">
        <v>22040</v>
      </c>
      <c r="V1770" s="5" t="s">
        <v>21982</v>
      </c>
      <c r="W1770" s="5" t="s">
        <v>21983</v>
      </c>
      <c r="X1770" s="5" t="s">
        <v>21984</v>
      </c>
      <c r="Y1770" s="4">
        <v>198</v>
      </c>
      <c r="Z1770" s="4">
        <v>171</v>
      </c>
      <c r="AA1770" s="4">
        <v>207</v>
      </c>
      <c r="AB1770" s="4">
        <v>2</v>
      </c>
      <c r="AC1770" s="4">
        <v>2</v>
      </c>
      <c r="AD1770" s="4">
        <v>16</v>
      </c>
      <c r="AE1770" s="4">
        <v>16</v>
      </c>
      <c r="AF1770" s="4">
        <v>4</v>
      </c>
      <c r="AG1770" s="4">
        <v>4</v>
      </c>
      <c r="AH1770" s="4">
        <v>4</v>
      </c>
      <c r="AI1770" s="4">
        <v>4</v>
      </c>
      <c r="AJ1770" s="4">
        <v>10</v>
      </c>
      <c r="AK1770" s="4">
        <v>10</v>
      </c>
      <c r="AL1770" s="4">
        <v>1</v>
      </c>
      <c r="AM1770" s="4">
        <v>1</v>
      </c>
      <c r="AN1770" s="4">
        <v>0</v>
      </c>
      <c r="AO1770" s="4">
        <v>0</v>
      </c>
      <c r="AP1770" s="3" t="s">
        <v>68</v>
      </c>
      <c r="AQ1770" s="3" t="s">
        <v>58</v>
      </c>
      <c r="AR1770" s="6" t="str">
        <f t="shared" si="9"/>
        <v>HathiTrust Record</v>
      </c>
      <c r="AS1770" s="6" t="str">
        <f t="shared" si="10"/>
        <v>Catalog Record</v>
      </c>
      <c r="AT1770" s="6" t="str">
        <f t="shared" si="11"/>
        <v>WorldCat Record</v>
      </c>
      <c r="AU1770" s="3" t="s">
        <v>21985</v>
      </c>
      <c r="AV1770" s="3" t="s">
        <v>21986</v>
      </c>
      <c r="AW1770" s="3" t="s">
        <v>21987</v>
      </c>
      <c r="AX1770" s="3" t="s">
        <v>21987</v>
      </c>
      <c r="AY1770" s="3" t="s">
        <v>21988</v>
      </c>
      <c r="AZ1770" s="3" t="s">
        <v>73</v>
      </c>
      <c r="BC1770" s="3" t="s">
        <v>22041</v>
      </c>
      <c r="BD1770" s="3" t="s">
        <v>22042</v>
      </c>
    </row>
    <row r="1771" spans="1:56" ht="51" customHeight="1" x14ac:dyDescent="0.25">
      <c r="A1771" s="7" t="s">
        <v>58</v>
      </c>
      <c r="B1771" s="2" t="s">
        <v>21975</v>
      </c>
      <c r="C1771" s="2" t="s">
        <v>21976</v>
      </c>
      <c r="D1771" s="2" t="s">
        <v>21977</v>
      </c>
      <c r="E1771" s="3" t="s">
        <v>22043</v>
      </c>
      <c r="F1771" s="3" t="s">
        <v>68</v>
      </c>
      <c r="G1771" s="3" t="s">
        <v>59</v>
      </c>
      <c r="H1771" s="3" t="s">
        <v>58</v>
      </c>
      <c r="I1771" s="3" t="s">
        <v>58</v>
      </c>
      <c r="J1771" s="3" t="s">
        <v>60</v>
      </c>
      <c r="K1771" s="2" t="s">
        <v>21979</v>
      </c>
      <c r="L1771" s="2" t="s">
        <v>21980</v>
      </c>
      <c r="M1771" s="3" t="s">
        <v>21981</v>
      </c>
      <c r="O1771" s="3" t="s">
        <v>63</v>
      </c>
      <c r="P1771" s="3" t="s">
        <v>571</v>
      </c>
      <c r="R1771" s="3" t="s">
        <v>65</v>
      </c>
      <c r="S1771" s="4">
        <v>2</v>
      </c>
      <c r="T1771" s="4">
        <v>84</v>
      </c>
      <c r="U1771" s="5" t="s">
        <v>22029</v>
      </c>
      <c r="V1771" s="5" t="s">
        <v>21982</v>
      </c>
      <c r="W1771" s="5" t="s">
        <v>21983</v>
      </c>
      <c r="X1771" s="5" t="s">
        <v>21984</v>
      </c>
      <c r="Y1771" s="4">
        <v>198</v>
      </c>
      <c r="Z1771" s="4">
        <v>171</v>
      </c>
      <c r="AA1771" s="4">
        <v>207</v>
      </c>
      <c r="AB1771" s="4">
        <v>2</v>
      </c>
      <c r="AC1771" s="4">
        <v>2</v>
      </c>
      <c r="AD1771" s="4">
        <v>16</v>
      </c>
      <c r="AE1771" s="4">
        <v>16</v>
      </c>
      <c r="AF1771" s="4">
        <v>4</v>
      </c>
      <c r="AG1771" s="4">
        <v>4</v>
      </c>
      <c r="AH1771" s="4">
        <v>4</v>
      </c>
      <c r="AI1771" s="4">
        <v>4</v>
      </c>
      <c r="AJ1771" s="4">
        <v>10</v>
      </c>
      <c r="AK1771" s="4">
        <v>10</v>
      </c>
      <c r="AL1771" s="4">
        <v>1</v>
      </c>
      <c r="AM1771" s="4">
        <v>1</v>
      </c>
      <c r="AN1771" s="4">
        <v>0</v>
      </c>
      <c r="AO1771" s="4">
        <v>0</v>
      </c>
      <c r="AP1771" s="3" t="s">
        <v>68</v>
      </c>
      <c r="AQ1771" s="3" t="s">
        <v>58</v>
      </c>
      <c r="AR1771" s="6" t="str">
        <f t="shared" si="9"/>
        <v>HathiTrust Record</v>
      </c>
      <c r="AS1771" s="6" t="str">
        <f t="shared" si="10"/>
        <v>Catalog Record</v>
      </c>
      <c r="AT1771" s="6" t="str">
        <f t="shared" si="11"/>
        <v>WorldCat Record</v>
      </c>
      <c r="AU1771" s="3" t="s">
        <v>21985</v>
      </c>
      <c r="AV1771" s="3" t="s">
        <v>21986</v>
      </c>
      <c r="AW1771" s="3" t="s">
        <v>21987</v>
      </c>
      <c r="AX1771" s="3" t="s">
        <v>21987</v>
      </c>
      <c r="AY1771" s="3" t="s">
        <v>21988</v>
      </c>
      <c r="AZ1771" s="3" t="s">
        <v>73</v>
      </c>
      <c r="BC1771" s="3" t="s">
        <v>22044</v>
      </c>
      <c r="BD1771" s="3" t="s">
        <v>22045</v>
      </c>
    </row>
    <row r="1772" spans="1:56" ht="51" customHeight="1" x14ac:dyDescent="0.25">
      <c r="A1772" s="7" t="s">
        <v>58</v>
      </c>
      <c r="B1772" s="2" t="s">
        <v>21975</v>
      </c>
      <c r="C1772" s="2" t="s">
        <v>21976</v>
      </c>
      <c r="D1772" s="2" t="s">
        <v>21977</v>
      </c>
      <c r="E1772" s="3" t="s">
        <v>305</v>
      </c>
      <c r="F1772" s="3" t="s">
        <v>68</v>
      </c>
      <c r="G1772" s="3" t="s">
        <v>59</v>
      </c>
      <c r="H1772" s="3" t="s">
        <v>58</v>
      </c>
      <c r="I1772" s="3" t="s">
        <v>58</v>
      </c>
      <c r="J1772" s="3" t="s">
        <v>60</v>
      </c>
      <c r="K1772" s="2" t="s">
        <v>21979</v>
      </c>
      <c r="L1772" s="2" t="s">
        <v>21980</v>
      </c>
      <c r="M1772" s="3" t="s">
        <v>21981</v>
      </c>
      <c r="O1772" s="3" t="s">
        <v>63</v>
      </c>
      <c r="P1772" s="3" t="s">
        <v>571</v>
      </c>
      <c r="R1772" s="3" t="s">
        <v>65</v>
      </c>
      <c r="S1772" s="4">
        <v>2</v>
      </c>
      <c r="T1772" s="4">
        <v>84</v>
      </c>
      <c r="U1772" s="5" t="s">
        <v>21983</v>
      </c>
      <c r="V1772" s="5" t="s">
        <v>21982</v>
      </c>
      <c r="W1772" s="5" t="s">
        <v>21983</v>
      </c>
      <c r="X1772" s="5" t="s">
        <v>21984</v>
      </c>
      <c r="Y1772" s="4">
        <v>198</v>
      </c>
      <c r="Z1772" s="4">
        <v>171</v>
      </c>
      <c r="AA1772" s="4">
        <v>207</v>
      </c>
      <c r="AB1772" s="4">
        <v>2</v>
      </c>
      <c r="AC1772" s="4">
        <v>2</v>
      </c>
      <c r="AD1772" s="4">
        <v>16</v>
      </c>
      <c r="AE1772" s="4">
        <v>16</v>
      </c>
      <c r="AF1772" s="4">
        <v>4</v>
      </c>
      <c r="AG1772" s="4">
        <v>4</v>
      </c>
      <c r="AH1772" s="4">
        <v>4</v>
      </c>
      <c r="AI1772" s="4">
        <v>4</v>
      </c>
      <c r="AJ1772" s="4">
        <v>10</v>
      </c>
      <c r="AK1772" s="4">
        <v>10</v>
      </c>
      <c r="AL1772" s="4">
        <v>1</v>
      </c>
      <c r="AM1772" s="4">
        <v>1</v>
      </c>
      <c r="AN1772" s="4">
        <v>0</v>
      </c>
      <c r="AO1772" s="4">
        <v>0</v>
      </c>
      <c r="AP1772" s="3" t="s">
        <v>68</v>
      </c>
      <c r="AQ1772" s="3" t="s">
        <v>58</v>
      </c>
      <c r="AR1772" s="6" t="str">
        <f t="shared" si="9"/>
        <v>HathiTrust Record</v>
      </c>
      <c r="AS1772" s="6" t="str">
        <f t="shared" si="10"/>
        <v>Catalog Record</v>
      </c>
      <c r="AT1772" s="6" t="str">
        <f t="shared" si="11"/>
        <v>WorldCat Record</v>
      </c>
      <c r="AU1772" s="3" t="s">
        <v>21985</v>
      </c>
      <c r="AV1772" s="3" t="s">
        <v>21986</v>
      </c>
      <c r="AW1772" s="3" t="s">
        <v>21987</v>
      </c>
      <c r="AX1772" s="3" t="s">
        <v>21987</v>
      </c>
      <c r="AY1772" s="3" t="s">
        <v>21988</v>
      </c>
      <c r="AZ1772" s="3" t="s">
        <v>73</v>
      </c>
      <c r="BC1772" s="3" t="s">
        <v>22046</v>
      </c>
      <c r="BD1772" s="3" t="s">
        <v>22047</v>
      </c>
    </row>
    <row r="1773" spans="1:56" ht="51" customHeight="1" x14ac:dyDescent="0.25">
      <c r="A1773" s="7" t="s">
        <v>58</v>
      </c>
      <c r="B1773" s="2" t="s">
        <v>21975</v>
      </c>
      <c r="C1773" s="2" t="s">
        <v>21976</v>
      </c>
      <c r="D1773" s="2" t="s">
        <v>21977</v>
      </c>
      <c r="E1773" s="3" t="s">
        <v>22048</v>
      </c>
      <c r="F1773" s="3" t="s">
        <v>68</v>
      </c>
      <c r="G1773" s="3" t="s">
        <v>59</v>
      </c>
      <c r="H1773" s="3" t="s">
        <v>58</v>
      </c>
      <c r="I1773" s="3" t="s">
        <v>58</v>
      </c>
      <c r="J1773" s="3" t="s">
        <v>60</v>
      </c>
      <c r="K1773" s="2" t="s">
        <v>21979</v>
      </c>
      <c r="L1773" s="2" t="s">
        <v>21980</v>
      </c>
      <c r="M1773" s="3" t="s">
        <v>21981</v>
      </c>
      <c r="O1773" s="3" t="s">
        <v>63</v>
      </c>
      <c r="P1773" s="3" t="s">
        <v>571</v>
      </c>
      <c r="R1773" s="3" t="s">
        <v>65</v>
      </c>
      <c r="S1773" s="4">
        <v>1</v>
      </c>
      <c r="T1773" s="4">
        <v>84</v>
      </c>
      <c r="U1773" s="5" t="s">
        <v>22015</v>
      </c>
      <c r="V1773" s="5" t="s">
        <v>21982</v>
      </c>
      <c r="W1773" s="5" t="s">
        <v>21983</v>
      </c>
      <c r="X1773" s="5" t="s">
        <v>21984</v>
      </c>
      <c r="Y1773" s="4">
        <v>198</v>
      </c>
      <c r="Z1773" s="4">
        <v>171</v>
      </c>
      <c r="AA1773" s="4">
        <v>207</v>
      </c>
      <c r="AB1773" s="4">
        <v>2</v>
      </c>
      <c r="AC1773" s="4">
        <v>2</v>
      </c>
      <c r="AD1773" s="4">
        <v>16</v>
      </c>
      <c r="AE1773" s="4">
        <v>16</v>
      </c>
      <c r="AF1773" s="4">
        <v>4</v>
      </c>
      <c r="AG1773" s="4">
        <v>4</v>
      </c>
      <c r="AH1773" s="4">
        <v>4</v>
      </c>
      <c r="AI1773" s="4">
        <v>4</v>
      </c>
      <c r="AJ1773" s="4">
        <v>10</v>
      </c>
      <c r="AK1773" s="4">
        <v>10</v>
      </c>
      <c r="AL1773" s="4">
        <v>1</v>
      </c>
      <c r="AM1773" s="4">
        <v>1</v>
      </c>
      <c r="AN1773" s="4">
        <v>0</v>
      </c>
      <c r="AO1773" s="4">
        <v>0</v>
      </c>
      <c r="AP1773" s="3" t="s">
        <v>68</v>
      </c>
      <c r="AQ1773" s="3" t="s">
        <v>58</v>
      </c>
      <c r="AR1773" s="6" t="str">
        <f t="shared" si="9"/>
        <v>HathiTrust Record</v>
      </c>
      <c r="AS1773" s="6" t="str">
        <f t="shared" si="10"/>
        <v>Catalog Record</v>
      </c>
      <c r="AT1773" s="6" t="str">
        <f t="shared" si="11"/>
        <v>WorldCat Record</v>
      </c>
      <c r="AU1773" s="3" t="s">
        <v>21985</v>
      </c>
      <c r="AV1773" s="3" t="s">
        <v>21986</v>
      </c>
      <c r="AW1773" s="3" t="s">
        <v>21987</v>
      </c>
      <c r="AX1773" s="3" t="s">
        <v>21987</v>
      </c>
      <c r="AY1773" s="3" t="s">
        <v>21988</v>
      </c>
      <c r="AZ1773" s="3" t="s">
        <v>73</v>
      </c>
      <c r="BC1773" s="3" t="s">
        <v>22049</v>
      </c>
      <c r="BD1773" s="3" t="s">
        <v>22050</v>
      </c>
    </row>
    <row r="1774" spans="1:56" ht="51" customHeight="1" x14ac:dyDescent="0.25">
      <c r="A1774" s="7" t="s">
        <v>58</v>
      </c>
      <c r="B1774" s="2" t="s">
        <v>21975</v>
      </c>
      <c r="C1774" s="2" t="s">
        <v>21976</v>
      </c>
      <c r="D1774" s="2" t="s">
        <v>21977</v>
      </c>
      <c r="E1774" s="3" t="s">
        <v>22051</v>
      </c>
      <c r="F1774" s="3" t="s">
        <v>68</v>
      </c>
      <c r="G1774" s="3" t="s">
        <v>59</v>
      </c>
      <c r="H1774" s="3" t="s">
        <v>58</v>
      </c>
      <c r="I1774" s="3" t="s">
        <v>58</v>
      </c>
      <c r="J1774" s="3" t="s">
        <v>60</v>
      </c>
      <c r="K1774" s="2" t="s">
        <v>21979</v>
      </c>
      <c r="L1774" s="2" t="s">
        <v>21980</v>
      </c>
      <c r="M1774" s="3" t="s">
        <v>21981</v>
      </c>
      <c r="O1774" s="3" t="s">
        <v>63</v>
      </c>
      <c r="P1774" s="3" t="s">
        <v>571</v>
      </c>
      <c r="R1774" s="3" t="s">
        <v>65</v>
      </c>
      <c r="S1774" s="4">
        <v>2</v>
      </c>
      <c r="T1774" s="4">
        <v>84</v>
      </c>
      <c r="U1774" s="5" t="s">
        <v>21982</v>
      </c>
      <c r="V1774" s="5" t="s">
        <v>21982</v>
      </c>
      <c r="W1774" s="5" t="s">
        <v>21983</v>
      </c>
      <c r="X1774" s="5" t="s">
        <v>21984</v>
      </c>
      <c r="Y1774" s="4">
        <v>198</v>
      </c>
      <c r="Z1774" s="4">
        <v>171</v>
      </c>
      <c r="AA1774" s="4">
        <v>207</v>
      </c>
      <c r="AB1774" s="4">
        <v>2</v>
      </c>
      <c r="AC1774" s="4">
        <v>2</v>
      </c>
      <c r="AD1774" s="4">
        <v>16</v>
      </c>
      <c r="AE1774" s="4">
        <v>16</v>
      </c>
      <c r="AF1774" s="4">
        <v>4</v>
      </c>
      <c r="AG1774" s="4">
        <v>4</v>
      </c>
      <c r="AH1774" s="4">
        <v>4</v>
      </c>
      <c r="AI1774" s="4">
        <v>4</v>
      </c>
      <c r="AJ1774" s="4">
        <v>10</v>
      </c>
      <c r="AK1774" s="4">
        <v>10</v>
      </c>
      <c r="AL1774" s="4">
        <v>1</v>
      </c>
      <c r="AM1774" s="4">
        <v>1</v>
      </c>
      <c r="AN1774" s="4">
        <v>0</v>
      </c>
      <c r="AO1774" s="4">
        <v>0</v>
      </c>
      <c r="AP1774" s="3" t="s">
        <v>68</v>
      </c>
      <c r="AQ1774" s="3" t="s">
        <v>58</v>
      </c>
      <c r="AR1774" s="6" t="str">
        <f t="shared" si="9"/>
        <v>HathiTrust Record</v>
      </c>
      <c r="AS1774" s="6" t="str">
        <f t="shared" si="10"/>
        <v>Catalog Record</v>
      </c>
      <c r="AT1774" s="6" t="str">
        <f t="shared" si="11"/>
        <v>WorldCat Record</v>
      </c>
      <c r="AU1774" s="3" t="s">
        <v>21985</v>
      </c>
      <c r="AV1774" s="3" t="s">
        <v>21986</v>
      </c>
      <c r="AW1774" s="3" t="s">
        <v>21987</v>
      </c>
      <c r="AX1774" s="3" t="s">
        <v>21987</v>
      </c>
      <c r="AY1774" s="3" t="s">
        <v>21988</v>
      </c>
      <c r="AZ1774" s="3" t="s">
        <v>73</v>
      </c>
      <c r="BC1774" s="3" t="s">
        <v>22052</v>
      </c>
      <c r="BD1774" s="3" t="s">
        <v>22053</v>
      </c>
    </row>
    <row r="1775" spans="1:56" ht="51" customHeight="1" x14ac:dyDescent="0.25">
      <c r="A1775" s="7" t="s">
        <v>58</v>
      </c>
      <c r="B1775" s="2" t="s">
        <v>21975</v>
      </c>
      <c r="C1775" s="2" t="s">
        <v>21976</v>
      </c>
      <c r="D1775" s="2" t="s">
        <v>21977</v>
      </c>
      <c r="E1775" s="3" t="s">
        <v>22054</v>
      </c>
      <c r="F1775" s="3" t="s">
        <v>68</v>
      </c>
      <c r="G1775" s="3" t="s">
        <v>59</v>
      </c>
      <c r="H1775" s="3" t="s">
        <v>58</v>
      </c>
      <c r="I1775" s="3" t="s">
        <v>58</v>
      </c>
      <c r="J1775" s="3" t="s">
        <v>60</v>
      </c>
      <c r="K1775" s="2" t="s">
        <v>21979</v>
      </c>
      <c r="L1775" s="2" t="s">
        <v>21980</v>
      </c>
      <c r="M1775" s="3" t="s">
        <v>21981</v>
      </c>
      <c r="O1775" s="3" t="s">
        <v>63</v>
      </c>
      <c r="P1775" s="3" t="s">
        <v>571</v>
      </c>
      <c r="R1775" s="3" t="s">
        <v>65</v>
      </c>
      <c r="S1775" s="4">
        <v>1</v>
      </c>
      <c r="T1775" s="4">
        <v>84</v>
      </c>
      <c r="U1775" s="5" t="s">
        <v>22015</v>
      </c>
      <c r="V1775" s="5" t="s">
        <v>21982</v>
      </c>
      <c r="W1775" s="5" t="s">
        <v>21983</v>
      </c>
      <c r="X1775" s="5" t="s">
        <v>21984</v>
      </c>
      <c r="Y1775" s="4">
        <v>198</v>
      </c>
      <c r="Z1775" s="4">
        <v>171</v>
      </c>
      <c r="AA1775" s="4">
        <v>207</v>
      </c>
      <c r="AB1775" s="4">
        <v>2</v>
      </c>
      <c r="AC1775" s="4">
        <v>2</v>
      </c>
      <c r="AD1775" s="4">
        <v>16</v>
      </c>
      <c r="AE1775" s="4">
        <v>16</v>
      </c>
      <c r="AF1775" s="4">
        <v>4</v>
      </c>
      <c r="AG1775" s="4">
        <v>4</v>
      </c>
      <c r="AH1775" s="4">
        <v>4</v>
      </c>
      <c r="AI1775" s="4">
        <v>4</v>
      </c>
      <c r="AJ1775" s="4">
        <v>10</v>
      </c>
      <c r="AK1775" s="4">
        <v>10</v>
      </c>
      <c r="AL1775" s="4">
        <v>1</v>
      </c>
      <c r="AM1775" s="4">
        <v>1</v>
      </c>
      <c r="AN1775" s="4">
        <v>0</v>
      </c>
      <c r="AO1775" s="4">
        <v>0</v>
      </c>
      <c r="AP1775" s="3" t="s">
        <v>68</v>
      </c>
      <c r="AQ1775" s="3" t="s">
        <v>58</v>
      </c>
      <c r="AR1775" s="6" t="str">
        <f t="shared" si="9"/>
        <v>HathiTrust Record</v>
      </c>
      <c r="AS1775" s="6" t="str">
        <f t="shared" si="10"/>
        <v>Catalog Record</v>
      </c>
      <c r="AT1775" s="6" t="str">
        <f t="shared" si="11"/>
        <v>WorldCat Record</v>
      </c>
      <c r="AU1775" s="3" t="s">
        <v>21985</v>
      </c>
      <c r="AV1775" s="3" t="s">
        <v>21986</v>
      </c>
      <c r="AW1775" s="3" t="s">
        <v>21987</v>
      </c>
      <c r="AX1775" s="3" t="s">
        <v>21987</v>
      </c>
      <c r="AY1775" s="3" t="s">
        <v>21988</v>
      </c>
      <c r="AZ1775" s="3" t="s">
        <v>73</v>
      </c>
      <c r="BC1775" s="3" t="s">
        <v>22055</v>
      </c>
      <c r="BD1775" s="3" t="s">
        <v>22056</v>
      </c>
    </row>
    <row r="1776" spans="1:56" ht="51" customHeight="1" x14ac:dyDescent="0.25">
      <c r="A1776" s="7" t="s">
        <v>58</v>
      </c>
      <c r="B1776" s="2" t="s">
        <v>21975</v>
      </c>
      <c r="C1776" s="2" t="s">
        <v>21976</v>
      </c>
      <c r="D1776" s="2" t="s">
        <v>21977</v>
      </c>
      <c r="E1776" s="3" t="s">
        <v>22057</v>
      </c>
      <c r="F1776" s="3" t="s">
        <v>68</v>
      </c>
      <c r="G1776" s="3" t="s">
        <v>59</v>
      </c>
      <c r="H1776" s="3" t="s">
        <v>58</v>
      </c>
      <c r="I1776" s="3" t="s">
        <v>58</v>
      </c>
      <c r="J1776" s="3" t="s">
        <v>60</v>
      </c>
      <c r="K1776" s="2" t="s">
        <v>21979</v>
      </c>
      <c r="L1776" s="2" t="s">
        <v>21980</v>
      </c>
      <c r="M1776" s="3" t="s">
        <v>21981</v>
      </c>
      <c r="O1776" s="3" t="s">
        <v>63</v>
      </c>
      <c r="P1776" s="3" t="s">
        <v>571</v>
      </c>
      <c r="R1776" s="3" t="s">
        <v>65</v>
      </c>
      <c r="S1776" s="4">
        <v>1</v>
      </c>
      <c r="T1776" s="4">
        <v>84</v>
      </c>
      <c r="U1776" s="5" t="s">
        <v>22058</v>
      </c>
      <c r="V1776" s="5" t="s">
        <v>21982</v>
      </c>
      <c r="W1776" s="5" t="s">
        <v>21983</v>
      </c>
      <c r="X1776" s="5" t="s">
        <v>21984</v>
      </c>
      <c r="Y1776" s="4">
        <v>198</v>
      </c>
      <c r="Z1776" s="4">
        <v>171</v>
      </c>
      <c r="AA1776" s="4">
        <v>207</v>
      </c>
      <c r="AB1776" s="4">
        <v>2</v>
      </c>
      <c r="AC1776" s="4">
        <v>2</v>
      </c>
      <c r="AD1776" s="4">
        <v>16</v>
      </c>
      <c r="AE1776" s="4">
        <v>16</v>
      </c>
      <c r="AF1776" s="4">
        <v>4</v>
      </c>
      <c r="AG1776" s="4">
        <v>4</v>
      </c>
      <c r="AH1776" s="4">
        <v>4</v>
      </c>
      <c r="AI1776" s="4">
        <v>4</v>
      </c>
      <c r="AJ1776" s="4">
        <v>10</v>
      </c>
      <c r="AK1776" s="4">
        <v>10</v>
      </c>
      <c r="AL1776" s="4">
        <v>1</v>
      </c>
      <c r="AM1776" s="4">
        <v>1</v>
      </c>
      <c r="AN1776" s="4">
        <v>0</v>
      </c>
      <c r="AO1776" s="4">
        <v>0</v>
      </c>
      <c r="AP1776" s="3" t="s">
        <v>68</v>
      </c>
      <c r="AQ1776" s="3" t="s">
        <v>58</v>
      </c>
      <c r="AR1776" s="6" t="str">
        <f t="shared" si="9"/>
        <v>HathiTrust Record</v>
      </c>
      <c r="AS1776" s="6" t="str">
        <f t="shared" si="10"/>
        <v>Catalog Record</v>
      </c>
      <c r="AT1776" s="6" t="str">
        <f t="shared" si="11"/>
        <v>WorldCat Record</v>
      </c>
      <c r="AU1776" s="3" t="s">
        <v>21985</v>
      </c>
      <c r="AV1776" s="3" t="s">
        <v>21986</v>
      </c>
      <c r="AW1776" s="3" t="s">
        <v>21987</v>
      </c>
      <c r="AX1776" s="3" t="s">
        <v>21987</v>
      </c>
      <c r="AY1776" s="3" t="s">
        <v>21988</v>
      </c>
      <c r="AZ1776" s="3" t="s">
        <v>73</v>
      </c>
      <c r="BC1776" s="3" t="s">
        <v>22059</v>
      </c>
      <c r="BD1776" s="3" t="s">
        <v>22060</v>
      </c>
    </row>
    <row r="1777" spans="1:56" ht="51" customHeight="1" x14ac:dyDescent="0.25">
      <c r="A1777" s="7" t="s">
        <v>58</v>
      </c>
      <c r="B1777" s="2" t="s">
        <v>21975</v>
      </c>
      <c r="C1777" s="2" t="s">
        <v>21976</v>
      </c>
      <c r="D1777" s="2" t="s">
        <v>21977</v>
      </c>
      <c r="E1777" s="3" t="s">
        <v>22061</v>
      </c>
      <c r="F1777" s="3" t="s">
        <v>68</v>
      </c>
      <c r="G1777" s="3" t="s">
        <v>59</v>
      </c>
      <c r="H1777" s="3" t="s">
        <v>58</v>
      </c>
      <c r="I1777" s="3" t="s">
        <v>58</v>
      </c>
      <c r="J1777" s="3" t="s">
        <v>60</v>
      </c>
      <c r="K1777" s="2" t="s">
        <v>21979</v>
      </c>
      <c r="L1777" s="2" t="s">
        <v>21980</v>
      </c>
      <c r="M1777" s="3" t="s">
        <v>21981</v>
      </c>
      <c r="O1777" s="3" t="s">
        <v>63</v>
      </c>
      <c r="P1777" s="3" t="s">
        <v>571</v>
      </c>
      <c r="R1777" s="3" t="s">
        <v>65</v>
      </c>
      <c r="S1777" s="4">
        <v>2</v>
      </c>
      <c r="T1777" s="4">
        <v>84</v>
      </c>
      <c r="U1777" s="5" t="s">
        <v>22062</v>
      </c>
      <c r="V1777" s="5" t="s">
        <v>21982</v>
      </c>
      <c r="W1777" s="5" t="s">
        <v>21983</v>
      </c>
      <c r="X1777" s="5" t="s">
        <v>21984</v>
      </c>
      <c r="Y1777" s="4">
        <v>198</v>
      </c>
      <c r="Z1777" s="4">
        <v>171</v>
      </c>
      <c r="AA1777" s="4">
        <v>207</v>
      </c>
      <c r="AB1777" s="4">
        <v>2</v>
      </c>
      <c r="AC1777" s="4">
        <v>2</v>
      </c>
      <c r="AD1777" s="4">
        <v>16</v>
      </c>
      <c r="AE1777" s="4">
        <v>16</v>
      </c>
      <c r="AF1777" s="4">
        <v>4</v>
      </c>
      <c r="AG1777" s="4">
        <v>4</v>
      </c>
      <c r="AH1777" s="4">
        <v>4</v>
      </c>
      <c r="AI1777" s="4">
        <v>4</v>
      </c>
      <c r="AJ1777" s="4">
        <v>10</v>
      </c>
      <c r="AK1777" s="4">
        <v>10</v>
      </c>
      <c r="AL1777" s="4">
        <v>1</v>
      </c>
      <c r="AM1777" s="4">
        <v>1</v>
      </c>
      <c r="AN1777" s="4">
        <v>0</v>
      </c>
      <c r="AO1777" s="4">
        <v>0</v>
      </c>
      <c r="AP1777" s="3" t="s">
        <v>68</v>
      </c>
      <c r="AQ1777" s="3" t="s">
        <v>58</v>
      </c>
      <c r="AR1777" s="6" t="str">
        <f t="shared" si="9"/>
        <v>HathiTrust Record</v>
      </c>
      <c r="AS1777" s="6" t="str">
        <f t="shared" si="10"/>
        <v>Catalog Record</v>
      </c>
      <c r="AT1777" s="6" t="str">
        <f t="shared" si="11"/>
        <v>WorldCat Record</v>
      </c>
      <c r="AU1777" s="3" t="s">
        <v>21985</v>
      </c>
      <c r="AV1777" s="3" t="s">
        <v>21986</v>
      </c>
      <c r="AW1777" s="3" t="s">
        <v>21987</v>
      </c>
      <c r="AX1777" s="3" t="s">
        <v>21987</v>
      </c>
      <c r="AY1777" s="3" t="s">
        <v>21988</v>
      </c>
      <c r="AZ1777" s="3" t="s">
        <v>73</v>
      </c>
      <c r="BC1777" s="3" t="s">
        <v>22063</v>
      </c>
      <c r="BD1777" s="3" t="s">
        <v>22064</v>
      </c>
    </row>
    <row r="1778" spans="1:56" ht="51" customHeight="1" x14ac:dyDescent="0.25">
      <c r="A1778" s="7" t="s">
        <v>58</v>
      </c>
      <c r="B1778" s="2" t="s">
        <v>21975</v>
      </c>
      <c r="C1778" s="2" t="s">
        <v>21976</v>
      </c>
      <c r="D1778" s="2" t="s">
        <v>21977</v>
      </c>
      <c r="E1778" s="3" t="s">
        <v>22065</v>
      </c>
      <c r="F1778" s="3" t="s">
        <v>68</v>
      </c>
      <c r="G1778" s="3" t="s">
        <v>59</v>
      </c>
      <c r="H1778" s="3" t="s">
        <v>58</v>
      </c>
      <c r="I1778" s="3" t="s">
        <v>58</v>
      </c>
      <c r="J1778" s="3" t="s">
        <v>60</v>
      </c>
      <c r="K1778" s="2" t="s">
        <v>21979</v>
      </c>
      <c r="L1778" s="2" t="s">
        <v>21980</v>
      </c>
      <c r="M1778" s="3" t="s">
        <v>21981</v>
      </c>
      <c r="O1778" s="3" t="s">
        <v>63</v>
      </c>
      <c r="P1778" s="3" t="s">
        <v>571</v>
      </c>
      <c r="R1778" s="3" t="s">
        <v>65</v>
      </c>
      <c r="S1778" s="4">
        <v>1</v>
      </c>
      <c r="T1778" s="4">
        <v>84</v>
      </c>
      <c r="U1778" s="5" t="s">
        <v>22066</v>
      </c>
      <c r="V1778" s="5" t="s">
        <v>21982</v>
      </c>
      <c r="W1778" s="5" t="s">
        <v>21983</v>
      </c>
      <c r="X1778" s="5" t="s">
        <v>21984</v>
      </c>
      <c r="Y1778" s="4">
        <v>198</v>
      </c>
      <c r="Z1778" s="4">
        <v>171</v>
      </c>
      <c r="AA1778" s="4">
        <v>207</v>
      </c>
      <c r="AB1778" s="4">
        <v>2</v>
      </c>
      <c r="AC1778" s="4">
        <v>2</v>
      </c>
      <c r="AD1778" s="4">
        <v>16</v>
      </c>
      <c r="AE1778" s="4">
        <v>16</v>
      </c>
      <c r="AF1778" s="4">
        <v>4</v>
      </c>
      <c r="AG1778" s="4">
        <v>4</v>
      </c>
      <c r="AH1778" s="4">
        <v>4</v>
      </c>
      <c r="AI1778" s="4">
        <v>4</v>
      </c>
      <c r="AJ1778" s="4">
        <v>10</v>
      </c>
      <c r="AK1778" s="4">
        <v>10</v>
      </c>
      <c r="AL1778" s="4">
        <v>1</v>
      </c>
      <c r="AM1778" s="4">
        <v>1</v>
      </c>
      <c r="AN1778" s="4">
        <v>0</v>
      </c>
      <c r="AO1778" s="4">
        <v>0</v>
      </c>
      <c r="AP1778" s="3" t="s">
        <v>68</v>
      </c>
      <c r="AQ1778" s="3" t="s">
        <v>58</v>
      </c>
      <c r="AR1778" s="6" t="str">
        <f t="shared" si="9"/>
        <v>HathiTrust Record</v>
      </c>
      <c r="AS1778" s="6" t="str">
        <f t="shared" si="10"/>
        <v>Catalog Record</v>
      </c>
      <c r="AT1778" s="6" t="str">
        <f t="shared" si="11"/>
        <v>WorldCat Record</v>
      </c>
      <c r="AU1778" s="3" t="s">
        <v>21985</v>
      </c>
      <c r="AV1778" s="3" t="s">
        <v>21986</v>
      </c>
      <c r="AW1778" s="3" t="s">
        <v>21987</v>
      </c>
      <c r="AX1778" s="3" t="s">
        <v>21987</v>
      </c>
      <c r="AY1778" s="3" t="s">
        <v>21988</v>
      </c>
      <c r="AZ1778" s="3" t="s">
        <v>73</v>
      </c>
      <c r="BC1778" s="3" t="s">
        <v>22067</v>
      </c>
      <c r="BD1778" s="3" t="s">
        <v>22068</v>
      </c>
    </row>
    <row r="1779" spans="1:56" ht="51" customHeight="1" x14ac:dyDescent="0.25">
      <c r="A1779" s="7" t="s">
        <v>58</v>
      </c>
      <c r="B1779" s="2" t="s">
        <v>21975</v>
      </c>
      <c r="C1779" s="2" t="s">
        <v>21976</v>
      </c>
      <c r="D1779" s="2" t="s">
        <v>21977</v>
      </c>
      <c r="E1779" s="3" t="s">
        <v>22069</v>
      </c>
      <c r="F1779" s="3" t="s">
        <v>68</v>
      </c>
      <c r="G1779" s="3" t="s">
        <v>59</v>
      </c>
      <c r="H1779" s="3" t="s">
        <v>58</v>
      </c>
      <c r="I1779" s="3" t="s">
        <v>58</v>
      </c>
      <c r="J1779" s="3" t="s">
        <v>60</v>
      </c>
      <c r="K1779" s="2" t="s">
        <v>21979</v>
      </c>
      <c r="L1779" s="2" t="s">
        <v>21980</v>
      </c>
      <c r="M1779" s="3" t="s">
        <v>21981</v>
      </c>
      <c r="O1779" s="3" t="s">
        <v>63</v>
      </c>
      <c r="P1779" s="3" t="s">
        <v>571</v>
      </c>
      <c r="R1779" s="3" t="s">
        <v>65</v>
      </c>
      <c r="S1779" s="4">
        <v>2</v>
      </c>
      <c r="T1779" s="4">
        <v>84</v>
      </c>
      <c r="U1779" s="5" t="s">
        <v>16875</v>
      </c>
      <c r="V1779" s="5" t="s">
        <v>21982</v>
      </c>
      <c r="W1779" s="5" t="s">
        <v>21983</v>
      </c>
      <c r="X1779" s="5" t="s">
        <v>21984</v>
      </c>
      <c r="Y1779" s="4">
        <v>198</v>
      </c>
      <c r="Z1779" s="4">
        <v>171</v>
      </c>
      <c r="AA1779" s="4">
        <v>207</v>
      </c>
      <c r="AB1779" s="4">
        <v>2</v>
      </c>
      <c r="AC1779" s="4">
        <v>2</v>
      </c>
      <c r="AD1779" s="4">
        <v>16</v>
      </c>
      <c r="AE1779" s="4">
        <v>16</v>
      </c>
      <c r="AF1779" s="4">
        <v>4</v>
      </c>
      <c r="AG1779" s="4">
        <v>4</v>
      </c>
      <c r="AH1779" s="4">
        <v>4</v>
      </c>
      <c r="AI1779" s="4">
        <v>4</v>
      </c>
      <c r="AJ1779" s="4">
        <v>10</v>
      </c>
      <c r="AK1779" s="4">
        <v>10</v>
      </c>
      <c r="AL1779" s="4">
        <v>1</v>
      </c>
      <c r="AM1779" s="4">
        <v>1</v>
      </c>
      <c r="AN1779" s="4">
        <v>0</v>
      </c>
      <c r="AO1779" s="4">
        <v>0</v>
      </c>
      <c r="AP1779" s="3" t="s">
        <v>68</v>
      </c>
      <c r="AQ1779" s="3" t="s">
        <v>58</v>
      </c>
      <c r="AR1779" s="6" t="str">
        <f t="shared" si="9"/>
        <v>HathiTrust Record</v>
      </c>
      <c r="AS1779" s="6" t="str">
        <f t="shared" si="10"/>
        <v>Catalog Record</v>
      </c>
      <c r="AT1779" s="6" t="str">
        <f t="shared" si="11"/>
        <v>WorldCat Record</v>
      </c>
      <c r="AU1779" s="3" t="s">
        <v>21985</v>
      </c>
      <c r="AV1779" s="3" t="s">
        <v>21986</v>
      </c>
      <c r="AW1779" s="3" t="s">
        <v>21987</v>
      </c>
      <c r="AX1779" s="3" t="s">
        <v>21987</v>
      </c>
      <c r="AY1779" s="3" t="s">
        <v>21988</v>
      </c>
      <c r="AZ1779" s="3" t="s">
        <v>73</v>
      </c>
      <c r="BC1779" s="3" t="s">
        <v>22070</v>
      </c>
      <c r="BD1779" s="3" t="s">
        <v>22071</v>
      </c>
    </row>
    <row r="1780" spans="1:56" ht="51" customHeight="1" x14ac:dyDescent="0.25">
      <c r="A1780" s="7" t="s">
        <v>58</v>
      </c>
      <c r="B1780" s="2" t="s">
        <v>21975</v>
      </c>
      <c r="C1780" s="2" t="s">
        <v>21976</v>
      </c>
      <c r="D1780" s="2" t="s">
        <v>21977</v>
      </c>
      <c r="E1780" s="3" t="s">
        <v>80</v>
      </c>
      <c r="F1780" s="3" t="s">
        <v>68</v>
      </c>
      <c r="G1780" s="3" t="s">
        <v>59</v>
      </c>
      <c r="H1780" s="3" t="s">
        <v>58</v>
      </c>
      <c r="I1780" s="3" t="s">
        <v>58</v>
      </c>
      <c r="J1780" s="3" t="s">
        <v>60</v>
      </c>
      <c r="K1780" s="2" t="s">
        <v>21979</v>
      </c>
      <c r="L1780" s="2" t="s">
        <v>21980</v>
      </c>
      <c r="M1780" s="3" t="s">
        <v>21981</v>
      </c>
      <c r="O1780" s="3" t="s">
        <v>63</v>
      </c>
      <c r="P1780" s="3" t="s">
        <v>571</v>
      </c>
      <c r="R1780" s="3" t="s">
        <v>65</v>
      </c>
      <c r="S1780" s="4">
        <v>2</v>
      </c>
      <c r="T1780" s="4">
        <v>84</v>
      </c>
      <c r="U1780" s="5" t="s">
        <v>21983</v>
      </c>
      <c r="V1780" s="5" t="s">
        <v>21982</v>
      </c>
      <c r="W1780" s="5" t="s">
        <v>21983</v>
      </c>
      <c r="X1780" s="5" t="s">
        <v>21984</v>
      </c>
      <c r="Y1780" s="4">
        <v>198</v>
      </c>
      <c r="Z1780" s="4">
        <v>171</v>
      </c>
      <c r="AA1780" s="4">
        <v>207</v>
      </c>
      <c r="AB1780" s="4">
        <v>2</v>
      </c>
      <c r="AC1780" s="4">
        <v>2</v>
      </c>
      <c r="AD1780" s="4">
        <v>16</v>
      </c>
      <c r="AE1780" s="4">
        <v>16</v>
      </c>
      <c r="AF1780" s="4">
        <v>4</v>
      </c>
      <c r="AG1780" s="4">
        <v>4</v>
      </c>
      <c r="AH1780" s="4">
        <v>4</v>
      </c>
      <c r="AI1780" s="4">
        <v>4</v>
      </c>
      <c r="AJ1780" s="4">
        <v>10</v>
      </c>
      <c r="AK1780" s="4">
        <v>10</v>
      </c>
      <c r="AL1780" s="4">
        <v>1</v>
      </c>
      <c r="AM1780" s="4">
        <v>1</v>
      </c>
      <c r="AN1780" s="4">
        <v>0</v>
      </c>
      <c r="AO1780" s="4">
        <v>0</v>
      </c>
      <c r="AP1780" s="3" t="s">
        <v>68</v>
      </c>
      <c r="AQ1780" s="3" t="s">
        <v>58</v>
      </c>
      <c r="AR1780" s="6" t="str">
        <f t="shared" si="9"/>
        <v>HathiTrust Record</v>
      </c>
      <c r="AS1780" s="6" t="str">
        <f t="shared" si="10"/>
        <v>Catalog Record</v>
      </c>
      <c r="AT1780" s="6" t="str">
        <f t="shared" si="11"/>
        <v>WorldCat Record</v>
      </c>
      <c r="AU1780" s="3" t="s">
        <v>21985</v>
      </c>
      <c r="AV1780" s="3" t="s">
        <v>21986</v>
      </c>
      <c r="AW1780" s="3" t="s">
        <v>21987</v>
      </c>
      <c r="AX1780" s="3" t="s">
        <v>21987</v>
      </c>
      <c r="AY1780" s="3" t="s">
        <v>21988</v>
      </c>
      <c r="AZ1780" s="3" t="s">
        <v>73</v>
      </c>
      <c r="BC1780" s="3" t="s">
        <v>22072</v>
      </c>
      <c r="BD1780" s="3" t="s">
        <v>22073</v>
      </c>
    </row>
    <row r="1781" spans="1:56" ht="51" customHeight="1" x14ac:dyDescent="0.25">
      <c r="A1781" s="7" t="s">
        <v>58</v>
      </c>
      <c r="B1781" s="2" t="s">
        <v>21975</v>
      </c>
      <c r="C1781" s="2" t="s">
        <v>21976</v>
      </c>
      <c r="D1781" s="2" t="s">
        <v>21977</v>
      </c>
      <c r="E1781" s="3" t="s">
        <v>22074</v>
      </c>
      <c r="F1781" s="3" t="s">
        <v>68</v>
      </c>
      <c r="G1781" s="3" t="s">
        <v>59</v>
      </c>
      <c r="H1781" s="3" t="s">
        <v>58</v>
      </c>
      <c r="I1781" s="3" t="s">
        <v>58</v>
      </c>
      <c r="J1781" s="3" t="s">
        <v>60</v>
      </c>
      <c r="K1781" s="2" t="s">
        <v>21979</v>
      </c>
      <c r="L1781" s="2" t="s">
        <v>21980</v>
      </c>
      <c r="M1781" s="3" t="s">
        <v>21981</v>
      </c>
      <c r="O1781" s="3" t="s">
        <v>63</v>
      </c>
      <c r="P1781" s="3" t="s">
        <v>571</v>
      </c>
      <c r="R1781" s="3" t="s">
        <v>65</v>
      </c>
      <c r="S1781" s="4">
        <v>2</v>
      </c>
      <c r="T1781" s="4">
        <v>84</v>
      </c>
      <c r="U1781" s="5" t="s">
        <v>22075</v>
      </c>
      <c r="V1781" s="5" t="s">
        <v>21982</v>
      </c>
      <c r="W1781" s="5" t="s">
        <v>21983</v>
      </c>
      <c r="X1781" s="5" t="s">
        <v>21984</v>
      </c>
      <c r="Y1781" s="4">
        <v>198</v>
      </c>
      <c r="Z1781" s="4">
        <v>171</v>
      </c>
      <c r="AA1781" s="4">
        <v>207</v>
      </c>
      <c r="AB1781" s="4">
        <v>2</v>
      </c>
      <c r="AC1781" s="4">
        <v>2</v>
      </c>
      <c r="AD1781" s="4">
        <v>16</v>
      </c>
      <c r="AE1781" s="4">
        <v>16</v>
      </c>
      <c r="AF1781" s="4">
        <v>4</v>
      </c>
      <c r="AG1781" s="4">
        <v>4</v>
      </c>
      <c r="AH1781" s="4">
        <v>4</v>
      </c>
      <c r="AI1781" s="4">
        <v>4</v>
      </c>
      <c r="AJ1781" s="4">
        <v>10</v>
      </c>
      <c r="AK1781" s="4">
        <v>10</v>
      </c>
      <c r="AL1781" s="4">
        <v>1</v>
      </c>
      <c r="AM1781" s="4">
        <v>1</v>
      </c>
      <c r="AN1781" s="4">
        <v>0</v>
      </c>
      <c r="AO1781" s="4">
        <v>0</v>
      </c>
      <c r="AP1781" s="3" t="s">
        <v>68</v>
      </c>
      <c r="AQ1781" s="3" t="s">
        <v>58</v>
      </c>
      <c r="AR1781" s="6" t="str">
        <f t="shared" si="9"/>
        <v>HathiTrust Record</v>
      </c>
      <c r="AS1781" s="6" t="str">
        <f t="shared" si="10"/>
        <v>Catalog Record</v>
      </c>
      <c r="AT1781" s="6" t="str">
        <f t="shared" si="11"/>
        <v>WorldCat Record</v>
      </c>
      <c r="AU1781" s="3" t="s">
        <v>21985</v>
      </c>
      <c r="AV1781" s="3" t="s">
        <v>21986</v>
      </c>
      <c r="AW1781" s="3" t="s">
        <v>21987</v>
      </c>
      <c r="AX1781" s="3" t="s">
        <v>21987</v>
      </c>
      <c r="AY1781" s="3" t="s">
        <v>21988</v>
      </c>
      <c r="AZ1781" s="3" t="s">
        <v>73</v>
      </c>
      <c r="BC1781" s="3" t="s">
        <v>22076</v>
      </c>
      <c r="BD1781" s="3" t="s">
        <v>22077</v>
      </c>
    </row>
    <row r="1782" spans="1:56" ht="51" customHeight="1" x14ac:dyDescent="0.25">
      <c r="A1782" s="7" t="s">
        <v>58</v>
      </c>
      <c r="B1782" s="2" t="s">
        <v>21975</v>
      </c>
      <c r="C1782" s="2" t="s">
        <v>21976</v>
      </c>
      <c r="D1782" s="2" t="s">
        <v>21977</v>
      </c>
      <c r="E1782" s="3" t="s">
        <v>22078</v>
      </c>
      <c r="F1782" s="3" t="s">
        <v>68</v>
      </c>
      <c r="G1782" s="3" t="s">
        <v>59</v>
      </c>
      <c r="H1782" s="3" t="s">
        <v>58</v>
      </c>
      <c r="I1782" s="3" t="s">
        <v>58</v>
      </c>
      <c r="J1782" s="3" t="s">
        <v>60</v>
      </c>
      <c r="K1782" s="2" t="s">
        <v>21979</v>
      </c>
      <c r="L1782" s="2" t="s">
        <v>21980</v>
      </c>
      <c r="M1782" s="3" t="s">
        <v>21981</v>
      </c>
      <c r="O1782" s="3" t="s">
        <v>63</v>
      </c>
      <c r="P1782" s="3" t="s">
        <v>571</v>
      </c>
      <c r="R1782" s="3" t="s">
        <v>65</v>
      </c>
      <c r="S1782" s="4">
        <v>2</v>
      </c>
      <c r="T1782" s="4">
        <v>84</v>
      </c>
      <c r="U1782" s="5" t="s">
        <v>22079</v>
      </c>
      <c r="V1782" s="5" t="s">
        <v>21982</v>
      </c>
      <c r="W1782" s="5" t="s">
        <v>21983</v>
      </c>
      <c r="X1782" s="5" t="s">
        <v>21984</v>
      </c>
      <c r="Y1782" s="4">
        <v>198</v>
      </c>
      <c r="Z1782" s="4">
        <v>171</v>
      </c>
      <c r="AA1782" s="4">
        <v>207</v>
      </c>
      <c r="AB1782" s="4">
        <v>2</v>
      </c>
      <c r="AC1782" s="4">
        <v>2</v>
      </c>
      <c r="AD1782" s="4">
        <v>16</v>
      </c>
      <c r="AE1782" s="4">
        <v>16</v>
      </c>
      <c r="AF1782" s="4">
        <v>4</v>
      </c>
      <c r="AG1782" s="4">
        <v>4</v>
      </c>
      <c r="AH1782" s="4">
        <v>4</v>
      </c>
      <c r="AI1782" s="4">
        <v>4</v>
      </c>
      <c r="AJ1782" s="4">
        <v>10</v>
      </c>
      <c r="AK1782" s="4">
        <v>10</v>
      </c>
      <c r="AL1782" s="4">
        <v>1</v>
      </c>
      <c r="AM1782" s="4">
        <v>1</v>
      </c>
      <c r="AN1782" s="4">
        <v>0</v>
      </c>
      <c r="AO1782" s="4">
        <v>0</v>
      </c>
      <c r="AP1782" s="3" t="s">
        <v>68</v>
      </c>
      <c r="AQ1782" s="3" t="s">
        <v>58</v>
      </c>
      <c r="AR1782" s="6" t="str">
        <f t="shared" si="9"/>
        <v>HathiTrust Record</v>
      </c>
      <c r="AS1782" s="6" t="str">
        <f t="shared" si="10"/>
        <v>Catalog Record</v>
      </c>
      <c r="AT1782" s="6" t="str">
        <f t="shared" si="11"/>
        <v>WorldCat Record</v>
      </c>
      <c r="AU1782" s="3" t="s">
        <v>21985</v>
      </c>
      <c r="AV1782" s="3" t="s">
        <v>21986</v>
      </c>
      <c r="AW1782" s="3" t="s">
        <v>21987</v>
      </c>
      <c r="AX1782" s="3" t="s">
        <v>21987</v>
      </c>
      <c r="AY1782" s="3" t="s">
        <v>21988</v>
      </c>
      <c r="AZ1782" s="3" t="s">
        <v>73</v>
      </c>
      <c r="BC1782" s="3" t="s">
        <v>22080</v>
      </c>
      <c r="BD1782" s="3" t="s">
        <v>22081</v>
      </c>
    </row>
    <row r="1783" spans="1:56" ht="51" customHeight="1" x14ac:dyDescent="0.25">
      <c r="A1783" s="7" t="s">
        <v>58</v>
      </c>
      <c r="B1783" s="2" t="s">
        <v>21975</v>
      </c>
      <c r="C1783" s="2" t="s">
        <v>21976</v>
      </c>
      <c r="D1783" s="2" t="s">
        <v>21977</v>
      </c>
      <c r="E1783" s="3" t="s">
        <v>22082</v>
      </c>
      <c r="F1783" s="3" t="s">
        <v>68</v>
      </c>
      <c r="G1783" s="3" t="s">
        <v>59</v>
      </c>
      <c r="H1783" s="3" t="s">
        <v>58</v>
      </c>
      <c r="I1783" s="3" t="s">
        <v>58</v>
      </c>
      <c r="J1783" s="3" t="s">
        <v>60</v>
      </c>
      <c r="K1783" s="2" t="s">
        <v>21979</v>
      </c>
      <c r="L1783" s="2" t="s">
        <v>21980</v>
      </c>
      <c r="M1783" s="3" t="s">
        <v>21981</v>
      </c>
      <c r="O1783" s="3" t="s">
        <v>63</v>
      </c>
      <c r="P1783" s="3" t="s">
        <v>571</v>
      </c>
      <c r="R1783" s="3" t="s">
        <v>65</v>
      </c>
      <c r="S1783" s="4">
        <v>2</v>
      </c>
      <c r="T1783" s="4">
        <v>84</v>
      </c>
      <c r="U1783" s="5" t="s">
        <v>22011</v>
      </c>
      <c r="V1783" s="5" t="s">
        <v>21982</v>
      </c>
      <c r="W1783" s="5" t="s">
        <v>21983</v>
      </c>
      <c r="X1783" s="5" t="s">
        <v>21984</v>
      </c>
      <c r="Y1783" s="4">
        <v>198</v>
      </c>
      <c r="Z1783" s="4">
        <v>171</v>
      </c>
      <c r="AA1783" s="4">
        <v>207</v>
      </c>
      <c r="AB1783" s="4">
        <v>2</v>
      </c>
      <c r="AC1783" s="4">
        <v>2</v>
      </c>
      <c r="AD1783" s="4">
        <v>16</v>
      </c>
      <c r="AE1783" s="4">
        <v>16</v>
      </c>
      <c r="AF1783" s="4">
        <v>4</v>
      </c>
      <c r="AG1783" s="4">
        <v>4</v>
      </c>
      <c r="AH1783" s="4">
        <v>4</v>
      </c>
      <c r="AI1783" s="4">
        <v>4</v>
      </c>
      <c r="AJ1783" s="4">
        <v>10</v>
      </c>
      <c r="AK1783" s="4">
        <v>10</v>
      </c>
      <c r="AL1783" s="4">
        <v>1</v>
      </c>
      <c r="AM1783" s="4">
        <v>1</v>
      </c>
      <c r="AN1783" s="4">
        <v>0</v>
      </c>
      <c r="AO1783" s="4">
        <v>0</v>
      </c>
      <c r="AP1783" s="3" t="s">
        <v>68</v>
      </c>
      <c r="AQ1783" s="3" t="s">
        <v>58</v>
      </c>
      <c r="AR1783" s="6" t="str">
        <f t="shared" si="9"/>
        <v>HathiTrust Record</v>
      </c>
      <c r="AS1783" s="6" t="str">
        <f t="shared" si="10"/>
        <v>Catalog Record</v>
      </c>
      <c r="AT1783" s="6" t="str">
        <f t="shared" si="11"/>
        <v>WorldCat Record</v>
      </c>
      <c r="AU1783" s="3" t="s">
        <v>21985</v>
      </c>
      <c r="AV1783" s="3" t="s">
        <v>21986</v>
      </c>
      <c r="AW1783" s="3" t="s">
        <v>21987</v>
      </c>
      <c r="AX1783" s="3" t="s">
        <v>21987</v>
      </c>
      <c r="AY1783" s="3" t="s">
        <v>21988</v>
      </c>
      <c r="AZ1783" s="3" t="s">
        <v>73</v>
      </c>
      <c r="BC1783" s="3" t="s">
        <v>22083</v>
      </c>
      <c r="BD1783" s="3" t="s">
        <v>22084</v>
      </c>
    </row>
    <row r="1784" spans="1:56" ht="51" customHeight="1" x14ac:dyDescent="0.25">
      <c r="A1784" s="7" t="s">
        <v>58</v>
      </c>
      <c r="B1784" s="2" t="s">
        <v>21975</v>
      </c>
      <c r="C1784" s="2" t="s">
        <v>21976</v>
      </c>
      <c r="D1784" s="2" t="s">
        <v>21977</v>
      </c>
      <c r="E1784" s="3" t="s">
        <v>22085</v>
      </c>
      <c r="F1784" s="3" t="s">
        <v>68</v>
      </c>
      <c r="G1784" s="3" t="s">
        <v>59</v>
      </c>
      <c r="H1784" s="3" t="s">
        <v>58</v>
      </c>
      <c r="I1784" s="3" t="s">
        <v>58</v>
      </c>
      <c r="J1784" s="3" t="s">
        <v>60</v>
      </c>
      <c r="K1784" s="2" t="s">
        <v>21979</v>
      </c>
      <c r="L1784" s="2" t="s">
        <v>21980</v>
      </c>
      <c r="M1784" s="3" t="s">
        <v>21981</v>
      </c>
      <c r="O1784" s="3" t="s">
        <v>63</v>
      </c>
      <c r="P1784" s="3" t="s">
        <v>571</v>
      </c>
      <c r="R1784" s="3" t="s">
        <v>65</v>
      </c>
      <c r="S1784" s="4">
        <v>2</v>
      </c>
      <c r="T1784" s="4">
        <v>84</v>
      </c>
      <c r="U1784" s="5" t="s">
        <v>22086</v>
      </c>
      <c r="V1784" s="5" t="s">
        <v>21982</v>
      </c>
      <c r="W1784" s="5" t="s">
        <v>21983</v>
      </c>
      <c r="X1784" s="5" t="s">
        <v>21984</v>
      </c>
      <c r="Y1784" s="4">
        <v>198</v>
      </c>
      <c r="Z1784" s="4">
        <v>171</v>
      </c>
      <c r="AA1784" s="4">
        <v>207</v>
      </c>
      <c r="AB1784" s="4">
        <v>2</v>
      </c>
      <c r="AC1784" s="4">
        <v>2</v>
      </c>
      <c r="AD1784" s="4">
        <v>16</v>
      </c>
      <c r="AE1784" s="4">
        <v>16</v>
      </c>
      <c r="AF1784" s="4">
        <v>4</v>
      </c>
      <c r="AG1784" s="4">
        <v>4</v>
      </c>
      <c r="AH1784" s="4">
        <v>4</v>
      </c>
      <c r="AI1784" s="4">
        <v>4</v>
      </c>
      <c r="AJ1784" s="4">
        <v>10</v>
      </c>
      <c r="AK1784" s="4">
        <v>10</v>
      </c>
      <c r="AL1784" s="4">
        <v>1</v>
      </c>
      <c r="AM1784" s="4">
        <v>1</v>
      </c>
      <c r="AN1784" s="4">
        <v>0</v>
      </c>
      <c r="AO1784" s="4">
        <v>0</v>
      </c>
      <c r="AP1784" s="3" t="s">
        <v>68</v>
      </c>
      <c r="AQ1784" s="3" t="s">
        <v>58</v>
      </c>
      <c r="AR1784" s="6" t="str">
        <f t="shared" si="9"/>
        <v>HathiTrust Record</v>
      </c>
      <c r="AS1784" s="6" t="str">
        <f t="shared" si="10"/>
        <v>Catalog Record</v>
      </c>
      <c r="AT1784" s="6" t="str">
        <f t="shared" si="11"/>
        <v>WorldCat Record</v>
      </c>
      <c r="AU1784" s="3" t="s">
        <v>21985</v>
      </c>
      <c r="AV1784" s="3" t="s">
        <v>21986</v>
      </c>
      <c r="AW1784" s="3" t="s">
        <v>21987</v>
      </c>
      <c r="AX1784" s="3" t="s">
        <v>21987</v>
      </c>
      <c r="AY1784" s="3" t="s">
        <v>21988</v>
      </c>
      <c r="AZ1784" s="3" t="s">
        <v>73</v>
      </c>
      <c r="BC1784" s="3" t="s">
        <v>22087</v>
      </c>
      <c r="BD1784" s="3" t="s">
        <v>22088</v>
      </c>
    </row>
    <row r="1785" spans="1:56" ht="51" customHeight="1" x14ac:dyDescent="0.25">
      <c r="A1785" s="7" t="s">
        <v>58</v>
      </c>
      <c r="B1785" s="2" t="s">
        <v>21975</v>
      </c>
      <c r="C1785" s="2" t="s">
        <v>21976</v>
      </c>
      <c r="D1785" s="2" t="s">
        <v>21977</v>
      </c>
      <c r="E1785" s="3" t="s">
        <v>22089</v>
      </c>
      <c r="F1785" s="3" t="s">
        <v>68</v>
      </c>
      <c r="G1785" s="3" t="s">
        <v>59</v>
      </c>
      <c r="H1785" s="3" t="s">
        <v>58</v>
      </c>
      <c r="I1785" s="3" t="s">
        <v>58</v>
      </c>
      <c r="J1785" s="3" t="s">
        <v>60</v>
      </c>
      <c r="K1785" s="2" t="s">
        <v>21979</v>
      </c>
      <c r="L1785" s="2" t="s">
        <v>21980</v>
      </c>
      <c r="M1785" s="3" t="s">
        <v>21981</v>
      </c>
      <c r="O1785" s="3" t="s">
        <v>63</v>
      </c>
      <c r="P1785" s="3" t="s">
        <v>571</v>
      </c>
      <c r="R1785" s="3" t="s">
        <v>65</v>
      </c>
      <c r="S1785" s="4">
        <v>1</v>
      </c>
      <c r="T1785" s="4">
        <v>84</v>
      </c>
      <c r="U1785" s="5" t="s">
        <v>22058</v>
      </c>
      <c r="V1785" s="5" t="s">
        <v>21982</v>
      </c>
      <c r="W1785" s="5" t="s">
        <v>21983</v>
      </c>
      <c r="X1785" s="5" t="s">
        <v>21984</v>
      </c>
      <c r="Y1785" s="4">
        <v>198</v>
      </c>
      <c r="Z1785" s="4">
        <v>171</v>
      </c>
      <c r="AA1785" s="4">
        <v>207</v>
      </c>
      <c r="AB1785" s="4">
        <v>2</v>
      </c>
      <c r="AC1785" s="4">
        <v>2</v>
      </c>
      <c r="AD1785" s="4">
        <v>16</v>
      </c>
      <c r="AE1785" s="4">
        <v>16</v>
      </c>
      <c r="AF1785" s="4">
        <v>4</v>
      </c>
      <c r="AG1785" s="4">
        <v>4</v>
      </c>
      <c r="AH1785" s="4">
        <v>4</v>
      </c>
      <c r="AI1785" s="4">
        <v>4</v>
      </c>
      <c r="AJ1785" s="4">
        <v>10</v>
      </c>
      <c r="AK1785" s="4">
        <v>10</v>
      </c>
      <c r="AL1785" s="4">
        <v>1</v>
      </c>
      <c r="AM1785" s="4">
        <v>1</v>
      </c>
      <c r="AN1785" s="4">
        <v>0</v>
      </c>
      <c r="AO1785" s="4">
        <v>0</v>
      </c>
      <c r="AP1785" s="3" t="s">
        <v>68</v>
      </c>
      <c r="AQ1785" s="3" t="s">
        <v>58</v>
      </c>
      <c r="AR1785" s="6" t="str">
        <f t="shared" si="9"/>
        <v>HathiTrust Record</v>
      </c>
      <c r="AS1785" s="6" t="str">
        <f t="shared" si="10"/>
        <v>Catalog Record</v>
      </c>
      <c r="AT1785" s="6" t="str">
        <f t="shared" si="11"/>
        <v>WorldCat Record</v>
      </c>
      <c r="AU1785" s="3" t="s">
        <v>21985</v>
      </c>
      <c r="AV1785" s="3" t="s">
        <v>21986</v>
      </c>
      <c r="AW1785" s="3" t="s">
        <v>21987</v>
      </c>
      <c r="AX1785" s="3" t="s">
        <v>21987</v>
      </c>
      <c r="AY1785" s="3" t="s">
        <v>21988</v>
      </c>
      <c r="AZ1785" s="3" t="s">
        <v>73</v>
      </c>
      <c r="BC1785" s="3" t="s">
        <v>22090</v>
      </c>
      <c r="BD1785" s="3" t="s">
        <v>22091</v>
      </c>
    </row>
    <row r="1786" spans="1:56" ht="51" customHeight="1" x14ac:dyDescent="0.25">
      <c r="A1786" s="7" t="s">
        <v>58</v>
      </c>
      <c r="B1786" s="2" t="s">
        <v>21975</v>
      </c>
      <c r="C1786" s="2" t="s">
        <v>21976</v>
      </c>
      <c r="D1786" s="2" t="s">
        <v>21977</v>
      </c>
      <c r="E1786" s="3" t="s">
        <v>22092</v>
      </c>
      <c r="F1786" s="3" t="s">
        <v>68</v>
      </c>
      <c r="G1786" s="3" t="s">
        <v>59</v>
      </c>
      <c r="H1786" s="3" t="s">
        <v>58</v>
      </c>
      <c r="I1786" s="3" t="s">
        <v>58</v>
      </c>
      <c r="J1786" s="3" t="s">
        <v>60</v>
      </c>
      <c r="K1786" s="2" t="s">
        <v>21979</v>
      </c>
      <c r="L1786" s="2" t="s">
        <v>21980</v>
      </c>
      <c r="M1786" s="3" t="s">
        <v>21981</v>
      </c>
      <c r="O1786" s="3" t="s">
        <v>63</v>
      </c>
      <c r="P1786" s="3" t="s">
        <v>571</v>
      </c>
      <c r="R1786" s="3" t="s">
        <v>65</v>
      </c>
      <c r="S1786" s="4">
        <v>1</v>
      </c>
      <c r="T1786" s="4">
        <v>84</v>
      </c>
      <c r="U1786" s="5" t="s">
        <v>22058</v>
      </c>
      <c r="V1786" s="5" t="s">
        <v>21982</v>
      </c>
      <c r="W1786" s="5" t="s">
        <v>21983</v>
      </c>
      <c r="X1786" s="5" t="s">
        <v>21984</v>
      </c>
      <c r="Y1786" s="4">
        <v>198</v>
      </c>
      <c r="Z1786" s="4">
        <v>171</v>
      </c>
      <c r="AA1786" s="4">
        <v>207</v>
      </c>
      <c r="AB1786" s="4">
        <v>2</v>
      </c>
      <c r="AC1786" s="4">
        <v>2</v>
      </c>
      <c r="AD1786" s="4">
        <v>16</v>
      </c>
      <c r="AE1786" s="4">
        <v>16</v>
      </c>
      <c r="AF1786" s="4">
        <v>4</v>
      </c>
      <c r="AG1786" s="4">
        <v>4</v>
      </c>
      <c r="AH1786" s="4">
        <v>4</v>
      </c>
      <c r="AI1786" s="4">
        <v>4</v>
      </c>
      <c r="AJ1786" s="4">
        <v>10</v>
      </c>
      <c r="AK1786" s="4">
        <v>10</v>
      </c>
      <c r="AL1786" s="4">
        <v>1</v>
      </c>
      <c r="AM1786" s="4">
        <v>1</v>
      </c>
      <c r="AN1786" s="4">
        <v>0</v>
      </c>
      <c r="AO1786" s="4">
        <v>0</v>
      </c>
      <c r="AP1786" s="3" t="s">
        <v>68</v>
      </c>
      <c r="AQ1786" s="3" t="s">
        <v>58</v>
      </c>
      <c r="AR1786" s="6" t="str">
        <f t="shared" si="9"/>
        <v>HathiTrust Record</v>
      </c>
      <c r="AS1786" s="6" t="str">
        <f t="shared" si="10"/>
        <v>Catalog Record</v>
      </c>
      <c r="AT1786" s="6" t="str">
        <f t="shared" si="11"/>
        <v>WorldCat Record</v>
      </c>
      <c r="AU1786" s="3" t="s">
        <v>21985</v>
      </c>
      <c r="AV1786" s="3" t="s">
        <v>21986</v>
      </c>
      <c r="AW1786" s="3" t="s">
        <v>21987</v>
      </c>
      <c r="AX1786" s="3" t="s">
        <v>21987</v>
      </c>
      <c r="AY1786" s="3" t="s">
        <v>21988</v>
      </c>
      <c r="AZ1786" s="3" t="s">
        <v>73</v>
      </c>
      <c r="BC1786" s="3" t="s">
        <v>22093</v>
      </c>
      <c r="BD1786" s="3" t="s">
        <v>22094</v>
      </c>
    </row>
    <row r="1787" spans="1:56" ht="51" customHeight="1" x14ac:dyDescent="0.25">
      <c r="A1787" s="7" t="s">
        <v>58</v>
      </c>
      <c r="B1787" s="2" t="s">
        <v>21975</v>
      </c>
      <c r="C1787" s="2" t="s">
        <v>21976</v>
      </c>
      <c r="D1787" s="2" t="s">
        <v>21977</v>
      </c>
      <c r="E1787" s="3" t="s">
        <v>22095</v>
      </c>
      <c r="F1787" s="3" t="s">
        <v>68</v>
      </c>
      <c r="G1787" s="3" t="s">
        <v>59</v>
      </c>
      <c r="H1787" s="3" t="s">
        <v>58</v>
      </c>
      <c r="I1787" s="3" t="s">
        <v>58</v>
      </c>
      <c r="J1787" s="3" t="s">
        <v>60</v>
      </c>
      <c r="K1787" s="2" t="s">
        <v>21979</v>
      </c>
      <c r="L1787" s="2" t="s">
        <v>21980</v>
      </c>
      <c r="M1787" s="3" t="s">
        <v>21981</v>
      </c>
      <c r="O1787" s="3" t="s">
        <v>63</v>
      </c>
      <c r="P1787" s="3" t="s">
        <v>571</v>
      </c>
      <c r="R1787" s="3" t="s">
        <v>65</v>
      </c>
      <c r="S1787" s="4">
        <v>1</v>
      </c>
      <c r="T1787" s="4">
        <v>84</v>
      </c>
      <c r="U1787" s="5" t="s">
        <v>22015</v>
      </c>
      <c r="V1787" s="5" t="s">
        <v>21982</v>
      </c>
      <c r="W1787" s="5" t="s">
        <v>21983</v>
      </c>
      <c r="X1787" s="5" t="s">
        <v>21984</v>
      </c>
      <c r="Y1787" s="4">
        <v>198</v>
      </c>
      <c r="Z1787" s="4">
        <v>171</v>
      </c>
      <c r="AA1787" s="4">
        <v>207</v>
      </c>
      <c r="AB1787" s="4">
        <v>2</v>
      </c>
      <c r="AC1787" s="4">
        <v>2</v>
      </c>
      <c r="AD1787" s="4">
        <v>16</v>
      </c>
      <c r="AE1787" s="4">
        <v>16</v>
      </c>
      <c r="AF1787" s="4">
        <v>4</v>
      </c>
      <c r="AG1787" s="4">
        <v>4</v>
      </c>
      <c r="AH1787" s="4">
        <v>4</v>
      </c>
      <c r="AI1787" s="4">
        <v>4</v>
      </c>
      <c r="AJ1787" s="4">
        <v>10</v>
      </c>
      <c r="AK1787" s="4">
        <v>10</v>
      </c>
      <c r="AL1787" s="4">
        <v>1</v>
      </c>
      <c r="AM1787" s="4">
        <v>1</v>
      </c>
      <c r="AN1787" s="4">
        <v>0</v>
      </c>
      <c r="AO1787" s="4">
        <v>0</v>
      </c>
      <c r="AP1787" s="3" t="s">
        <v>68</v>
      </c>
      <c r="AQ1787" s="3" t="s">
        <v>58</v>
      </c>
      <c r="AR1787" s="6" t="str">
        <f t="shared" si="9"/>
        <v>HathiTrust Record</v>
      </c>
      <c r="AS1787" s="6" t="str">
        <f t="shared" si="10"/>
        <v>Catalog Record</v>
      </c>
      <c r="AT1787" s="6" t="str">
        <f t="shared" si="11"/>
        <v>WorldCat Record</v>
      </c>
      <c r="AU1787" s="3" t="s">
        <v>21985</v>
      </c>
      <c r="AV1787" s="3" t="s">
        <v>21986</v>
      </c>
      <c r="AW1787" s="3" t="s">
        <v>21987</v>
      </c>
      <c r="AX1787" s="3" t="s">
        <v>21987</v>
      </c>
      <c r="AY1787" s="3" t="s">
        <v>21988</v>
      </c>
      <c r="AZ1787" s="3" t="s">
        <v>73</v>
      </c>
      <c r="BC1787" s="3" t="s">
        <v>22096</v>
      </c>
      <c r="BD1787" s="3" t="s">
        <v>22097</v>
      </c>
    </row>
    <row r="1788" spans="1:56" ht="51" customHeight="1" x14ac:dyDescent="0.25">
      <c r="A1788" s="7" t="s">
        <v>58</v>
      </c>
      <c r="B1788" s="2" t="s">
        <v>21975</v>
      </c>
      <c r="C1788" s="2" t="s">
        <v>21976</v>
      </c>
      <c r="D1788" s="2" t="s">
        <v>21977</v>
      </c>
      <c r="E1788" s="3" t="s">
        <v>22098</v>
      </c>
      <c r="F1788" s="3" t="s">
        <v>68</v>
      </c>
      <c r="G1788" s="3" t="s">
        <v>59</v>
      </c>
      <c r="H1788" s="3" t="s">
        <v>58</v>
      </c>
      <c r="I1788" s="3" t="s">
        <v>58</v>
      </c>
      <c r="J1788" s="3" t="s">
        <v>60</v>
      </c>
      <c r="K1788" s="2" t="s">
        <v>21979</v>
      </c>
      <c r="L1788" s="2" t="s">
        <v>21980</v>
      </c>
      <c r="M1788" s="3" t="s">
        <v>21981</v>
      </c>
      <c r="O1788" s="3" t="s">
        <v>63</v>
      </c>
      <c r="P1788" s="3" t="s">
        <v>571</v>
      </c>
      <c r="R1788" s="3" t="s">
        <v>65</v>
      </c>
      <c r="S1788" s="4">
        <v>4</v>
      </c>
      <c r="T1788" s="4">
        <v>84</v>
      </c>
      <c r="U1788" s="5" t="s">
        <v>355</v>
      </c>
      <c r="V1788" s="5" t="s">
        <v>21982</v>
      </c>
      <c r="W1788" s="5" t="s">
        <v>21983</v>
      </c>
      <c r="X1788" s="5" t="s">
        <v>21984</v>
      </c>
      <c r="Y1788" s="4">
        <v>198</v>
      </c>
      <c r="Z1788" s="4">
        <v>171</v>
      </c>
      <c r="AA1788" s="4">
        <v>207</v>
      </c>
      <c r="AB1788" s="4">
        <v>2</v>
      </c>
      <c r="AC1788" s="4">
        <v>2</v>
      </c>
      <c r="AD1788" s="4">
        <v>16</v>
      </c>
      <c r="AE1788" s="4">
        <v>16</v>
      </c>
      <c r="AF1788" s="4">
        <v>4</v>
      </c>
      <c r="AG1788" s="4">
        <v>4</v>
      </c>
      <c r="AH1788" s="4">
        <v>4</v>
      </c>
      <c r="AI1788" s="4">
        <v>4</v>
      </c>
      <c r="AJ1788" s="4">
        <v>10</v>
      </c>
      <c r="AK1788" s="4">
        <v>10</v>
      </c>
      <c r="AL1788" s="4">
        <v>1</v>
      </c>
      <c r="AM1788" s="4">
        <v>1</v>
      </c>
      <c r="AN1788" s="4">
        <v>0</v>
      </c>
      <c r="AO1788" s="4">
        <v>0</v>
      </c>
      <c r="AP1788" s="3" t="s">
        <v>68</v>
      </c>
      <c r="AQ1788" s="3" t="s">
        <v>58</v>
      </c>
      <c r="AR1788" s="6" t="str">
        <f t="shared" si="9"/>
        <v>HathiTrust Record</v>
      </c>
      <c r="AS1788" s="6" t="str">
        <f t="shared" si="10"/>
        <v>Catalog Record</v>
      </c>
      <c r="AT1788" s="6" t="str">
        <f t="shared" si="11"/>
        <v>WorldCat Record</v>
      </c>
      <c r="AU1788" s="3" t="s">
        <v>21985</v>
      </c>
      <c r="AV1788" s="3" t="s">
        <v>21986</v>
      </c>
      <c r="AW1788" s="3" t="s">
        <v>21987</v>
      </c>
      <c r="AX1788" s="3" t="s">
        <v>21987</v>
      </c>
      <c r="AY1788" s="3" t="s">
        <v>21988</v>
      </c>
      <c r="AZ1788" s="3" t="s">
        <v>73</v>
      </c>
      <c r="BC1788" s="3" t="s">
        <v>22099</v>
      </c>
      <c r="BD1788" s="3" t="s">
        <v>22100</v>
      </c>
    </row>
    <row r="1789" spans="1:56" ht="51" customHeight="1" x14ac:dyDescent="0.25">
      <c r="A1789" s="7" t="s">
        <v>58</v>
      </c>
      <c r="B1789" s="2" t="s">
        <v>21975</v>
      </c>
      <c r="C1789" s="2" t="s">
        <v>21976</v>
      </c>
      <c r="D1789" s="2" t="s">
        <v>21977</v>
      </c>
      <c r="E1789" s="3" t="s">
        <v>22101</v>
      </c>
      <c r="F1789" s="3" t="s">
        <v>68</v>
      </c>
      <c r="G1789" s="3" t="s">
        <v>59</v>
      </c>
      <c r="H1789" s="3" t="s">
        <v>58</v>
      </c>
      <c r="I1789" s="3" t="s">
        <v>58</v>
      </c>
      <c r="J1789" s="3" t="s">
        <v>60</v>
      </c>
      <c r="K1789" s="2" t="s">
        <v>21979</v>
      </c>
      <c r="L1789" s="2" t="s">
        <v>21980</v>
      </c>
      <c r="M1789" s="3" t="s">
        <v>21981</v>
      </c>
      <c r="O1789" s="3" t="s">
        <v>63</v>
      </c>
      <c r="P1789" s="3" t="s">
        <v>571</v>
      </c>
      <c r="R1789" s="3" t="s">
        <v>65</v>
      </c>
      <c r="S1789" s="4">
        <v>2</v>
      </c>
      <c r="T1789" s="4">
        <v>84</v>
      </c>
      <c r="U1789" s="5" t="s">
        <v>22023</v>
      </c>
      <c r="V1789" s="5" t="s">
        <v>21982</v>
      </c>
      <c r="W1789" s="5" t="s">
        <v>21983</v>
      </c>
      <c r="X1789" s="5" t="s">
        <v>21984</v>
      </c>
      <c r="Y1789" s="4">
        <v>198</v>
      </c>
      <c r="Z1789" s="4">
        <v>171</v>
      </c>
      <c r="AA1789" s="4">
        <v>207</v>
      </c>
      <c r="AB1789" s="4">
        <v>2</v>
      </c>
      <c r="AC1789" s="4">
        <v>2</v>
      </c>
      <c r="AD1789" s="4">
        <v>16</v>
      </c>
      <c r="AE1789" s="4">
        <v>16</v>
      </c>
      <c r="AF1789" s="4">
        <v>4</v>
      </c>
      <c r="AG1789" s="4">
        <v>4</v>
      </c>
      <c r="AH1789" s="4">
        <v>4</v>
      </c>
      <c r="AI1789" s="4">
        <v>4</v>
      </c>
      <c r="AJ1789" s="4">
        <v>10</v>
      </c>
      <c r="AK1789" s="4">
        <v>10</v>
      </c>
      <c r="AL1789" s="4">
        <v>1</v>
      </c>
      <c r="AM1789" s="4">
        <v>1</v>
      </c>
      <c r="AN1789" s="4">
        <v>0</v>
      </c>
      <c r="AO1789" s="4">
        <v>0</v>
      </c>
      <c r="AP1789" s="3" t="s">
        <v>68</v>
      </c>
      <c r="AQ1789" s="3" t="s">
        <v>58</v>
      </c>
      <c r="AR1789" s="6" t="str">
        <f t="shared" si="9"/>
        <v>HathiTrust Record</v>
      </c>
      <c r="AS1789" s="6" t="str">
        <f t="shared" si="10"/>
        <v>Catalog Record</v>
      </c>
      <c r="AT1789" s="6" t="str">
        <f t="shared" si="11"/>
        <v>WorldCat Record</v>
      </c>
      <c r="AU1789" s="3" t="s">
        <v>21985</v>
      </c>
      <c r="AV1789" s="3" t="s">
        <v>21986</v>
      </c>
      <c r="AW1789" s="3" t="s">
        <v>21987</v>
      </c>
      <c r="AX1789" s="3" t="s">
        <v>21987</v>
      </c>
      <c r="AY1789" s="3" t="s">
        <v>21988</v>
      </c>
      <c r="AZ1789" s="3" t="s">
        <v>73</v>
      </c>
      <c r="BC1789" s="3" t="s">
        <v>22102</v>
      </c>
      <c r="BD1789" s="3" t="s">
        <v>22103</v>
      </c>
    </row>
    <row r="1790" spans="1:56" ht="51" customHeight="1" x14ac:dyDescent="0.25">
      <c r="A1790" s="7" t="s">
        <v>58</v>
      </c>
      <c r="B1790" s="2" t="s">
        <v>21975</v>
      </c>
      <c r="C1790" s="2" t="s">
        <v>21976</v>
      </c>
      <c r="D1790" s="2" t="s">
        <v>21977</v>
      </c>
      <c r="E1790" s="3" t="s">
        <v>223</v>
      </c>
      <c r="F1790" s="3" t="s">
        <v>68</v>
      </c>
      <c r="G1790" s="3" t="s">
        <v>59</v>
      </c>
      <c r="H1790" s="3" t="s">
        <v>58</v>
      </c>
      <c r="I1790" s="3" t="s">
        <v>58</v>
      </c>
      <c r="J1790" s="3" t="s">
        <v>60</v>
      </c>
      <c r="K1790" s="2" t="s">
        <v>21979</v>
      </c>
      <c r="L1790" s="2" t="s">
        <v>21980</v>
      </c>
      <c r="M1790" s="3" t="s">
        <v>21981</v>
      </c>
      <c r="O1790" s="3" t="s">
        <v>63</v>
      </c>
      <c r="P1790" s="3" t="s">
        <v>571</v>
      </c>
      <c r="R1790" s="3" t="s">
        <v>65</v>
      </c>
      <c r="S1790" s="4">
        <v>0</v>
      </c>
      <c r="T1790" s="4">
        <v>84</v>
      </c>
      <c r="V1790" s="5" t="s">
        <v>21982</v>
      </c>
      <c r="W1790" s="5" t="s">
        <v>21983</v>
      </c>
      <c r="X1790" s="5" t="s">
        <v>21984</v>
      </c>
      <c r="Y1790" s="4">
        <v>198</v>
      </c>
      <c r="Z1790" s="4">
        <v>171</v>
      </c>
      <c r="AA1790" s="4">
        <v>207</v>
      </c>
      <c r="AB1790" s="4">
        <v>2</v>
      </c>
      <c r="AC1790" s="4">
        <v>2</v>
      </c>
      <c r="AD1790" s="4">
        <v>16</v>
      </c>
      <c r="AE1790" s="4">
        <v>16</v>
      </c>
      <c r="AF1790" s="4">
        <v>4</v>
      </c>
      <c r="AG1790" s="4">
        <v>4</v>
      </c>
      <c r="AH1790" s="4">
        <v>4</v>
      </c>
      <c r="AI1790" s="4">
        <v>4</v>
      </c>
      <c r="AJ1790" s="4">
        <v>10</v>
      </c>
      <c r="AK1790" s="4">
        <v>10</v>
      </c>
      <c r="AL1790" s="4">
        <v>1</v>
      </c>
      <c r="AM1790" s="4">
        <v>1</v>
      </c>
      <c r="AN1790" s="4">
        <v>0</v>
      </c>
      <c r="AO1790" s="4">
        <v>0</v>
      </c>
      <c r="AP1790" s="3" t="s">
        <v>68</v>
      </c>
      <c r="AQ1790" s="3" t="s">
        <v>58</v>
      </c>
      <c r="AR1790" s="6" t="str">
        <f t="shared" si="9"/>
        <v>HathiTrust Record</v>
      </c>
      <c r="AS1790" s="6" t="str">
        <f t="shared" si="10"/>
        <v>Catalog Record</v>
      </c>
      <c r="AT1790" s="6" t="str">
        <f t="shared" si="11"/>
        <v>WorldCat Record</v>
      </c>
      <c r="AU1790" s="3" t="s">
        <v>21985</v>
      </c>
      <c r="AV1790" s="3" t="s">
        <v>21986</v>
      </c>
      <c r="AW1790" s="3" t="s">
        <v>21987</v>
      </c>
      <c r="AX1790" s="3" t="s">
        <v>21987</v>
      </c>
      <c r="AY1790" s="3" t="s">
        <v>21988</v>
      </c>
      <c r="AZ1790" s="3" t="s">
        <v>73</v>
      </c>
      <c r="BC1790" s="3" t="s">
        <v>22104</v>
      </c>
      <c r="BD1790" s="3" t="s">
        <v>22105</v>
      </c>
    </row>
    <row r="1791" spans="1:56" ht="51" customHeight="1" x14ac:dyDescent="0.25">
      <c r="A1791" s="7" t="s">
        <v>58</v>
      </c>
      <c r="B1791" s="2" t="s">
        <v>21975</v>
      </c>
      <c r="C1791" s="2" t="s">
        <v>21976</v>
      </c>
      <c r="D1791" s="2" t="s">
        <v>21977</v>
      </c>
      <c r="E1791" s="3" t="s">
        <v>294</v>
      </c>
      <c r="F1791" s="3" t="s">
        <v>68</v>
      </c>
      <c r="G1791" s="3" t="s">
        <v>59</v>
      </c>
      <c r="H1791" s="3" t="s">
        <v>58</v>
      </c>
      <c r="I1791" s="3" t="s">
        <v>58</v>
      </c>
      <c r="J1791" s="3" t="s">
        <v>60</v>
      </c>
      <c r="K1791" s="2" t="s">
        <v>21979</v>
      </c>
      <c r="L1791" s="2" t="s">
        <v>21980</v>
      </c>
      <c r="M1791" s="3" t="s">
        <v>21981</v>
      </c>
      <c r="O1791" s="3" t="s">
        <v>63</v>
      </c>
      <c r="P1791" s="3" t="s">
        <v>571</v>
      </c>
      <c r="R1791" s="3" t="s">
        <v>65</v>
      </c>
      <c r="S1791" s="4">
        <v>0</v>
      </c>
      <c r="T1791" s="4">
        <v>84</v>
      </c>
      <c r="V1791" s="5" t="s">
        <v>21982</v>
      </c>
      <c r="W1791" s="5" t="s">
        <v>21984</v>
      </c>
      <c r="X1791" s="5" t="s">
        <v>21984</v>
      </c>
      <c r="Y1791" s="4">
        <v>198</v>
      </c>
      <c r="Z1791" s="4">
        <v>171</v>
      </c>
      <c r="AA1791" s="4">
        <v>207</v>
      </c>
      <c r="AB1791" s="4">
        <v>2</v>
      </c>
      <c r="AC1791" s="4">
        <v>2</v>
      </c>
      <c r="AD1791" s="4">
        <v>16</v>
      </c>
      <c r="AE1791" s="4">
        <v>16</v>
      </c>
      <c r="AF1791" s="4">
        <v>4</v>
      </c>
      <c r="AG1791" s="4">
        <v>4</v>
      </c>
      <c r="AH1791" s="4">
        <v>4</v>
      </c>
      <c r="AI1791" s="4">
        <v>4</v>
      </c>
      <c r="AJ1791" s="4">
        <v>10</v>
      </c>
      <c r="AK1791" s="4">
        <v>10</v>
      </c>
      <c r="AL1791" s="4">
        <v>1</v>
      </c>
      <c r="AM1791" s="4">
        <v>1</v>
      </c>
      <c r="AN1791" s="4">
        <v>0</v>
      </c>
      <c r="AO1791" s="4">
        <v>0</v>
      </c>
      <c r="AP1791" s="3" t="s">
        <v>68</v>
      </c>
      <c r="AQ1791" s="3" t="s">
        <v>58</v>
      </c>
      <c r="AR1791" s="6" t="str">
        <f t="shared" si="9"/>
        <v>HathiTrust Record</v>
      </c>
      <c r="AS1791" s="6" t="str">
        <f t="shared" si="10"/>
        <v>Catalog Record</v>
      </c>
      <c r="AT1791" s="6" t="str">
        <f t="shared" si="11"/>
        <v>WorldCat Record</v>
      </c>
      <c r="AU1791" s="3" t="s">
        <v>21985</v>
      </c>
      <c r="AV1791" s="3" t="s">
        <v>21986</v>
      </c>
      <c r="AW1791" s="3" t="s">
        <v>21987</v>
      </c>
      <c r="AX1791" s="3" t="s">
        <v>21987</v>
      </c>
      <c r="AY1791" s="3" t="s">
        <v>21988</v>
      </c>
      <c r="AZ1791" s="3" t="s">
        <v>73</v>
      </c>
      <c r="BC1791" s="3" t="s">
        <v>22106</v>
      </c>
      <c r="BD1791" s="3" t="s">
        <v>22107</v>
      </c>
    </row>
    <row r="1792" spans="1:56" ht="51" customHeight="1" x14ac:dyDescent="0.25">
      <c r="A1792" s="7" t="s">
        <v>58</v>
      </c>
      <c r="B1792" s="2" t="s">
        <v>21975</v>
      </c>
      <c r="C1792" s="2" t="s">
        <v>21976</v>
      </c>
      <c r="D1792" s="2" t="s">
        <v>21977</v>
      </c>
      <c r="E1792" s="3" t="s">
        <v>22108</v>
      </c>
      <c r="F1792" s="3" t="s">
        <v>68</v>
      </c>
      <c r="G1792" s="3" t="s">
        <v>59</v>
      </c>
      <c r="H1792" s="3" t="s">
        <v>58</v>
      </c>
      <c r="I1792" s="3" t="s">
        <v>58</v>
      </c>
      <c r="J1792" s="3" t="s">
        <v>60</v>
      </c>
      <c r="K1792" s="2" t="s">
        <v>21979</v>
      </c>
      <c r="L1792" s="2" t="s">
        <v>21980</v>
      </c>
      <c r="M1792" s="3" t="s">
        <v>21981</v>
      </c>
      <c r="O1792" s="3" t="s">
        <v>63</v>
      </c>
      <c r="P1792" s="3" t="s">
        <v>571</v>
      </c>
      <c r="R1792" s="3" t="s">
        <v>65</v>
      </c>
      <c r="S1792" s="4">
        <v>1</v>
      </c>
      <c r="T1792" s="4">
        <v>84</v>
      </c>
      <c r="U1792" s="5" t="s">
        <v>22109</v>
      </c>
      <c r="V1792" s="5" t="s">
        <v>21982</v>
      </c>
      <c r="W1792" s="5" t="s">
        <v>21983</v>
      </c>
      <c r="X1792" s="5" t="s">
        <v>21984</v>
      </c>
      <c r="Y1792" s="4">
        <v>198</v>
      </c>
      <c r="Z1792" s="4">
        <v>171</v>
      </c>
      <c r="AA1792" s="4">
        <v>207</v>
      </c>
      <c r="AB1792" s="4">
        <v>2</v>
      </c>
      <c r="AC1792" s="4">
        <v>2</v>
      </c>
      <c r="AD1792" s="4">
        <v>16</v>
      </c>
      <c r="AE1792" s="4">
        <v>16</v>
      </c>
      <c r="AF1792" s="4">
        <v>4</v>
      </c>
      <c r="AG1792" s="4">
        <v>4</v>
      </c>
      <c r="AH1792" s="4">
        <v>4</v>
      </c>
      <c r="AI1792" s="4">
        <v>4</v>
      </c>
      <c r="AJ1792" s="4">
        <v>10</v>
      </c>
      <c r="AK1792" s="4">
        <v>10</v>
      </c>
      <c r="AL1792" s="4">
        <v>1</v>
      </c>
      <c r="AM1792" s="4">
        <v>1</v>
      </c>
      <c r="AN1792" s="4">
        <v>0</v>
      </c>
      <c r="AO1792" s="4">
        <v>0</v>
      </c>
      <c r="AP1792" s="3" t="s">
        <v>68</v>
      </c>
      <c r="AQ1792" s="3" t="s">
        <v>58</v>
      </c>
      <c r="AR1792" s="6" t="str">
        <f t="shared" si="9"/>
        <v>HathiTrust Record</v>
      </c>
      <c r="AS1792" s="6" t="str">
        <f t="shared" si="10"/>
        <v>Catalog Record</v>
      </c>
      <c r="AT1792" s="6" t="str">
        <f t="shared" si="11"/>
        <v>WorldCat Record</v>
      </c>
      <c r="AU1792" s="3" t="s">
        <v>21985</v>
      </c>
      <c r="AV1792" s="3" t="s">
        <v>21986</v>
      </c>
      <c r="AW1792" s="3" t="s">
        <v>21987</v>
      </c>
      <c r="AX1792" s="3" t="s">
        <v>21987</v>
      </c>
      <c r="AY1792" s="3" t="s">
        <v>21988</v>
      </c>
      <c r="AZ1792" s="3" t="s">
        <v>73</v>
      </c>
      <c r="BC1792" s="3" t="s">
        <v>22110</v>
      </c>
      <c r="BD1792" s="3" t="s">
        <v>22111</v>
      </c>
    </row>
    <row r="1793" spans="1:56" ht="51" customHeight="1" x14ac:dyDescent="0.25">
      <c r="A1793" s="7" t="s">
        <v>58</v>
      </c>
      <c r="B1793" s="2" t="s">
        <v>21975</v>
      </c>
      <c r="C1793" s="2" t="s">
        <v>21976</v>
      </c>
      <c r="D1793" s="2" t="s">
        <v>21977</v>
      </c>
      <c r="E1793" s="3" t="s">
        <v>22112</v>
      </c>
      <c r="F1793" s="3" t="s">
        <v>68</v>
      </c>
      <c r="G1793" s="3" t="s">
        <v>59</v>
      </c>
      <c r="H1793" s="3" t="s">
        <v>58</v>
      </c>
      <c r="I1793" s="3" t="s">
        <v>58</v>
      </c>
      <c r="J1793" s="3" t="s">
        <v>60</v>
      </c>
      <c r="K1793" s="2" t="s">
        <v>21979</v>
      </c>
      <c r="L1793" s="2" t="s">
        <v>21980</v>
      </c>
      <c r="M1793" s="3" t="s">
        <v>21981</v>
      </c>
      <c r="O1793" s="3" t="s">
        <v>63</v>
      </c>
      <c r="P1793" s="3" t="s">
        <v>571</v>
      </c>
      <c r="R1793" s="3" t="s">
        <v>65</v>
      </c>
      <c r="S1793" s="4">
        <v>2</v>
      </c>
      <c r="T1793" s="4">
        <v>84</v>
      </c>
      <c r="U1793" s="5" t="s">
        <v>22113</v>
      </c>
      <c r="V1793" s="5" t="s">
        <v>21982</v>
      </c>
      <c r="W1793" s="5" t="s">
        <v>21983</v>
      </c>
      <c r="X1793" s="5" t="s">
        <v>21984</v>
      </c>
      <c r="Y1793" s="4">
        <v>198</v>
      </c>
      <c r="Z1793" s="4">
        <v>171</v>
      </c>
      <c r="AA1793" s="4">
        <v>207</v>
      </c>
      <c r="AB1793" s="4">
        <v>2</v>
      </c>
      <c r="AC1793" s="4">
        <v>2</v>
      </c>
      <c r="AD1793" s="4">
        <v>16</v>
      </c>
      <c r="AE1793" s="4">
        <v>16</v>
      </c>
      <c r="AF1793" s="4">
        <v>4</v>
      </c>
      <c r="AG1793" s="4">
        <v>4</v>
      </c>
      <c r="AH1793" s="4">
        <v>4</v>
      </c>
      <c r="AI1793" s="4">
        <v>4</v>
      </c>
      <c r="AJ1793" s="4">
        <v>10</v>
      </c>
      <c r="AK1793" s="4">
        <v>10</v>
      </c>
      <c r="AL1793" s="4">
        <v>1</v>
      </c>
      <c r="AM1793" s="4">
        <v>1</v>
      </c>
      <c r="AN1793" s="4">
        <v>0</v>
      </c>
      <c r="AO1793" s="4">
        <v>0</v>
      </c>
      <c r="AP1793" s="3" t="s">
        <v>68</v>
      </c>
      <c r="AQ1793" s="3" t="s">
        <v>58</v>
      </c>
      <c r="AR1793" s="6" t="str">
        <f t="shared" si="9"/>
        <v>HathiTrust Record</v>
      </c>
      <c r="AS1793" s="6" t="str">
        <f t="shared" si="10"/>
        <v>Catalog Record</v>
      </c>
      <c r="AT1793" s="6" t="str">
        <f t="shared" si="11"/>
        <v>WorldCat Record</v>
      </c>
      <c r="AU1793" s="3" t="s">
        <v>21985</v>
      </c>
      <c r="AV1793" s="3" t="s">
        <v>21986</v>
      </c>
      <c r="AW1793" s="3" t="s">
        <v>21987</v>
      </c>
      <c r="AX1793" s="3" t="s">
        <v>21987</v>
      </c>
      <c r="AY1793" s="3" t="s">
        <v>21988</v>
      </c>
      <c r="AZ1793" s="3" t="s">
        <v>73</v>
      </c>
      <c r="BC1793" s="3" t="s">
        <v>22114</v>
      </c>
      <c r="BD1793" s="3" t="s">
        <v>22115</v>
      </c>
    </row>
    <row r="1794" spans="1:56" ht="51" customHeight="1" x14ac:dyDescent="0.25">
      <c r="A1794" s="7" t="s">
        <v>58</v>
      </c>
      <c r="B1794" s="2" t="s">
        <v>21975</v>
      </c>
      <c r="C1794" s="2" t="s">
        <v>21976</v>
      </c>
      <c r="D1794" s="2" t="s">
        <v>21977</v>
      </c>
      <c r="E1794" s="3" t="s">
        <v>22116</v>
      </c>
      <c r="F1794" s="3" t="s">
        <v>68</v>
      </c>
      <c r="G1794" s="3" t="s">
        <v>59</v>
      </c>
      <c r="H1794" s="3" t="s">
        <v>58</v>
      </c>
      <c r="I1794" s="3" t="s">
        <v>58</v>
      </c>
      <c r="J1794" s="3" t="s">
        <v>60</v>
      </c>
      <c r="K1794" s="2" t="s">
        <v>21979</v>
      </c>
      <c r="L1794" s="2" t="s">
        <v>21980</v>
      </c>
      <c r="M1794" s="3" t="s">
        <v>21981</v>
      </c>
      <c r="O1794" s="3" t="s">
        <v>63</v>
      </c>
      <c r="P1794" s="3" t="s">
        <v>571</v>
      </c>
      <c r="R1794" s="3" t="s">
        <v>65</v>
      </c>
      <c r="S1794" s="4">
        <v>2</v>
      </c>
      <c r="T1794" s="4">
        <v>84</v>
      </c>
      <c r="U1794" s="5" t="s">
        <v>22117</v>
      </c>
      <c r="V1794" s="5" t="s">
        <v>21982</v>
      </c>
      <c r="W1794" s="5" t="s">
        <v>21983</v>
      </c>
      <c r="X1794" s="5" t="s">
        <v>21984</v>
      </c>
      <c r="Y1794" s="4">
        <v>198</v>
      </c>
      <c r="Z1794" s="4">
        <v>171</v>
      </c>
      <c r="AA1794" s="4">
        <v>207</v>
      </c>
      <c r="AB1794" s="4">
        <v>2</v>
      </c>
      <c r="AC1794" s="4">
        <v>2</v>
      </c>
      <c r="AD1794" s="4">
        <v>16</v>
      </c>
      <c r="AE1794" s="4">
        <v>16</v>
      </c>
      <c r="AF1794" s="4">
        <v>4</v>
      </c>
      <c r="AG1794" s="4">
        <v>4</v>
      </c>
      <c r="AH1794" s="4">
        <v>4</v>
      </c>
      <c r="AI1794" s="4">
        <v>4</v>
      </c>
      <c r="AJ1794" s="4">
        <v>10</v>
      </c>
      <c r="AK1794" s="4">
        <v>10</v>
      </c>
      <c r="AL1794" s="4">
        <v>1</v>
      </c>
      <c r="AM1794" s="4">
        <v>1</v>
      </c>
      <c r="AN1794" s="4">
        <v>0</v>
      </c>
      <c r="AO1794" s="4">
        <v>0</v>
      </c>
      <c r="AP1794" s="3" t="s">
        <v>68</v>
      </c>
      <c r="AQ1794" s="3" t="s">
        <v>58</v>
      </c>
      <c r="AR1794" s="6" t="str">
        <f t="shared" si="9"/>
        <v>HathiTrust Record</v>
      </c>
      <c r="AS1794" s="6" t="str">
        <f t="shared" si="10"/>
        <v>Catalog Record</v>
      </c>
      <c r="AT1794" s="6" t="str">
        <f t="shared" si="11"/>
        <v>WorldCat Record</v>
      </c>
      <c r="AU1794" s="3" t="s">
        <v>21985</v>
      </c>
      <c r="AV1794" s="3" t="s">
        <v>21986</v>
      </c>
      <c r="AW1794" s="3" t="s">
        <v>21987</v>
      </c>
      <c r="AX1794" s="3" t="s">
        <v>21987</v>
      </c>
      <c r="AY1794" s="3" t="s">
        <v>21988</v>
      </c>
      <c r="AZ1794" s="3" t="s">
        <v>73</v>
      </c>
      <c r="BC1794" s="3" t="s">
        <v>22118</v>
      </c>
      <c r="BD1794" s="3" t="s">
        <v>22119</v>
      </c>
    </row>
    <row r="1795" spans="1:56" ht="51" customHeight="1" x14ac:dyDescent="0.25">
      <c r="A1795" s="7" t="s">
        <v>58</v>
      </c>
      <c r="B1795" s="2" t="s">
        <v>21975</v>
      </c>
      <c r="C1795" s="2" t="s">
        <v>21976</v>
      </c>
      <c r="D1795" s="2" t="s">
        <v>21977</v>
      </c>
      <c r="E1795" s="3" t="s">
        <v>300</v>
      </c>
      <c r="F1795" s="3" t="s">
        <v>68</v>
      </c>
      <c r="G1795" s="3" t="s">
        <v>59</v>
      </c>
      <c r="H1795" s="3" t="s">
        <v>58</v>
      </c>
      <c r="I1795" s="3" t="s">
        <v>58</v>
      </c>
      <c r="J1795" s="3" t="s">
        <v>60</v>
      </c>
      <c r="K1795" s="2" t="s">
        <v>21979</v>
      </c>
      <c r="L1795" s="2" t="s">
        <v>21980</v>
      </c>
      <c r="M1795" s="3" t="s">
        <v>21981</v>
      </c>
      <c r="O1795" s="3" t="s">
        <v>63</v>
      </c>
      <c r="P1795" s="3" t="s">
        <v>571</v>
      </c>
      <c r="R1795" s="3" t="s">
        <v>65</v>
      </c>
      <c r="S1795" s="4">
        <v>1</v>
      </c>
      <c r="T1795" s="4">
        <v>84</v>
      </c>
      <c r="U1795" s="5" t="s">
        <v>22007</v>
      </c>
      <c r="V1795" s="5" t="s">
        <v>21982</v>
      </c>
      <c r="W1795" s="5" t="s">
        <v>21983</v>
      </c>
      <c r="X1795" s="5" t="s">
        <v>21984</v>
      </c>
      <c r="Y1795" s="4">
        <v>198</v>
      </c>
      <c r="Z1795" s="4">
        <v>171</v>
      </c>
      <c r="AA1795" s="4">
        <v>207</v>
      </c>
      <c r="AB1795" s="4">
        <v>2</v>
      </c>
      <c r="AC1795" s="4">
        <v>2</v>
      </c>
      <c r="AD1795" s="4">
        <v>16</v>
      </c>
      <c r="AE1795" s="4">
        <v>16</v>
      </c>
      <c r="AF1795" s="4">
        <v>4</v>
      </c>
      <c r="AG1795" s="4">
        <v>4</v>
      </c>
      <c r="AH1795" s="4">
        <v>4</v>
      </c>
      <c r="AI1795" s="4">
        <v>4</v>
      </c>
      <c r="AJ1795" s="4">
        <v>10</v>
      </c>
      <c r="AK1795" s="4">
        <v>10</v>
      </c>
      <c r="AL1795" s="4">
        <v>1</v>
      </c>
      <c r="AM1795" s="4">
        <v>1</v>
      </c>
      <c r="AN1795" s="4">
        <v>0</v>
      </c>
      <c r="AO1795" s="4">
        <v>0</v>
      </c>
      <c r="AP1795" s="3" t="s">
        <v>68</v>
      </c>
      <c r="AQ1795" s="3" t="s">
        <v>58</v>
      </c>
      <c r="AR1795" s="6" t="str">
        <f t="shared" si="9"/>
        <v>HathiTrust Record</v>
      </c>
      <c r="AS1795" s="6" t="str">
        <f t="shared" si="10"/>
        <v>Catalog Record</v>
      </c>
      <c r="AT1795" s="6" t="str">
        <f t="shared" si="11"/>
        <v>WorldCat Record</v>
      </c>
      <c r="AU1795" s="3" t="s">
        <v>21985</v>
      </c>
      <c r="AV1795" s="3" t="s">
        <v>21986</v>
      </c>
      <c r="AW1795" s="3" t="s">
        <v>21987</v>
      </c>
      <c r="AX1795" s="3" t="s">
        <v>21987</v>
      </c>
      <c r="AY1795" s="3" t="s">
        <v>21988</v>
      </c>
      <c r="AZ1795" s="3" t="s">
        <v>73</v>
      </c>
      <c r="BC1795" s="3" t="s">
        <v>22120</v>
      </c>
      <c r="BD1795" s="3" t="s">
        <v>22121</v>
      </c>
    </row>
    <row r="1796" spans="1:56" ht="51" customHeight="1" x14ac:dyDescent="0.25">
      <c r="A1796" s="7" t="s">
        <v>58</v>
      </c>
      <c r="B1796" s="2" t="s">
        <v>21975</v>
      </c>
      <c r="C1796" s="2" t="s">
        <v>21976</v>
      </c>
      <c r="D1796" s="2" t="s">
        <v>21977</v>
      </c>
      <c r="E1796" s="3" t="s">
        <v>22122</v>
      </c>
      <c r="F1796" s="3" t="s">
        <v>68</v>
      </c>
      <c r="G1796" s="3" t="s">
        <v>59</v>
      </c>
      <c r="H1796" s="3" t="s">
        <v>58</v>
      </c>
      <c r="I1796" s="3" t="s">
        <v>58</v>
      </c>
      <c r="J1796" s="3" t="s">
        <v>60</v>
      </c>
      <c r="K1796" s="2" t="s">
        <v>21979</v>
      </c>
      <c r="L1796" s="2" t="s">
        <v>21980</v>
      </c>
      <c r="M1796" s="3" t="s">
        <v>21981</v>
      </c>
      <c r="O1796" s="3" t="s">
        <v>63</v>
      </c>
      <c r="P1796" s="3" t="s">
        <v>571</v>
      </c>
      <c r="R1796" s="3" t="s">
        <v>65</v>
      </c>
      <c r="S1796" s="4">
        <v>2</v>
      </c>
      <c r="T1796" s="4">
        <v>84</v>
      </c>
      <c r="U1796" s="5" t="s">
        <v>22123</v>
      </c>
      <c r="V1796" s="5" t="s">
        <v>21982</v>
      </c>
      <c r="W1796" s="5" t="s">
        <v>21983</v>
      </c>
      <c r="X1796" s="5" t="s">
        <v>21984</v>
      </c>
      <c r="Y1796" s="4">
        <v>198</v>
      </c>
      <c r="Z1796" s="4">
        <v>171</v>
      </c>
      <c r="AA1796" s="4">
        <v>207</v>
      </c>
      <c r="AB1796" s="4">
        <v>2</v>
      </c>
      <c r="AC1796" s="4">
        <v>2</v>
      </c>
      <c r="AD1796" s="4">
        <v>16</v>
      </c>
      <c r="AE1796" s="4">
        <v>16</v>
      </c>
      <c r="AF1796" s="4">
        <v>4</v>
      </c>
      <c r="AG1796" s="4">
        <v>4</v>
      </c>
      <c r="AH1796" s="4">
        <v>4</v>
      </c>
      <c r="AI1796" s="4">
        <v>4</v>
      </c>
      <c r="AJ1796" s="4">
        <v>10</v>
      </c>
      <c r="AK1796" s="4">
        <v>10</v>
      </c>
      <c r="AL1796" s="4">
        <v>1</v>
      </c>
      <c r="AM1796" s="4">
        <v>1</v>
      </c>
      <c r="AN1796" s="4">
        <v>0</v>
      </c>
      <c r="AO1796" s="4">
        <v>0</v>
      </c>
      <c r="AP1796" s="3" t="s">
        <v>68</v>
      </c>
      <c r="AQ1796" s="3" t="s">
        <v>58</v>
      </c>
      <c r="AR1796" s="6" t="str">
        <f t="shared" si="9"/>
        <v>HathiTrust Record</v>
      </c>
      <c r="AS1796" s="6" t="str">
        <f t="shared" si="10"/>
        <v>Catalog Record</v>
      </c>
      <c r="AT1796" s="6" t="str">
        <f t="shared" si="11"/>
        <v>WorldCat Record</v>
      </c>
      <c r="AU1796" s="3" t="s">
        <v>21985</v>
      </c>
      <c r="AV1796" s="3" t="s">
        <v>21986</v>
      </c>
      <c r="AW1796" s="3" t="s">
        <v>21987</v>
      </c>
      <c r="AX1796" s="3" t="s">
        <v>21987</v>
      </c>
      <c r="AY1796" s="3" t="s">
        <v>21988</v>
      </c>
      <c r="AZ1796" s="3" t="s">
        <v>73</v>
      </c>
      <c r="BC1796" s="3" t="s">
        <v>22124</v>
      </c>
      <c r="BD1796" s="3" t="s">
        <v>22125</v>
      </c>
    </row>
    <row r="1797" spans="1:56" ht="51" customHeight="1" x14ac:dyDescent="0.25">
      <c r="A1797" s="7" t="s">
        <v>58</v>
      </c>
      <c r="B1797" s="2" t="s">
        <v>21975</v>
      </c>
      <c r="C1797" s="2" t="s">
        <v>21976</v>
      </c>
      <c r="D1797" s="2" t="s">
        <v>21977</v>
      </c>
      <c r="E1797" s="3" t="s">
        <v>309</v>
      </c>
      <c r="F1797" s="3" t="s">
        <v>68</v>
      </c>
      <c r="G1797" s="3" t="s">
        <v>59</v>
      </c>
      <c r="H1797" s="3" t="s">
        <v>58</v>
      </c>
      <c r="I1797" s="3" t="s">
        <v>58</v>
      </c>
      <c r="J1797" s="3" t="s">
        <v>60</v>
      </c>
      <c r="K1797" s="2" t="s">
        <v>21979</v>
      </c>
      <c r="L1797" s="2" t="s">
        <v>21980</v>
      </c>
      <c r="M1797" s="3" t="s">
        <v>21981</v>
      </c>
      <c r="O1797" s="3" t="s">
        <v>63</v>
      </c>
      <c r="P1797" s="3" t="s">
        <v>571</v>
      </c>
      <c r="R1797" s="3" t="s">
        <v>65</v>
      </c>
      <c r="S1797" s="4">
        <v>0</v>
      </c>
      <c r="T1797" s="4">
        <v>84</v>
      </c>
      <c r="V1797" s="5" t="s">
        <v>21982</v>
      </c>
      <c r="W1797" s="5" t="s">
        <v>21983</v>
      </c>
      <c r="X1797" s="5" t="s">
        <v>21984</v>
      </c>
      <c r="Y1797" s="4">
        <v>198</v>
      </c>
      <c r="Z1797" s="4">
        <v>171</v>
      </c>
      <c r="AA1797" s="4">
        <v>207</v>
      </c>
      <c r="AB1797" s="4">
        <v>2</v>
      </c>
      <c r="AC1797" s="4">
        <v>2</v>
      </c>
      <c r="AD1797" s="4">
        <v>16</v>
      </c>
      <c r="AE1797" s="4">
        <v>16</v>
      </c>
      <c r="AF1797" s="4">
        <v>4</v>
      </c>
      <c r="AG1797" s="4">
        <v>4</v>
      </c>
      <c r="AH1797" s="4">
        <v>4</v>
      </c>
      <c r="AI1797" s="4">
        <v>4</v>
      </c>
      <c r="AJ1797" s="4">
        <v>10</v>
      </c>
      <c r="AK1797" s="4">
        <v>10</v>
      </c>
      <c r="AL1797" s="4">
        <v>1</v>
      </c>
      <c r="AM1797" s="4">
        <v>1</v>
      </c>
      <c r="AN1797" s="4">
        <v>0</v>
      </c>
      <c r="AO1797" s="4">
        <v>0</v>
      </c>
      <c r="AP1797" s="3" t="s">
        <v>68</v>
      </c>
      <c r="AQ1797" s="3" t="s">
        <v>58</v>
      </c>
      <c r="AR1797" s="6" t="str">
        <f t="shared" si="9"/>
        <v>HathiTrust Record</v>
      </c>
      <c r="AS1797" s="6" t="str">
        <f t="shared" si="10"/>
        <v>Catalog Record</v>
      </c>
      <c r="AT1797" s="6" t="str">
        <f t="shared" si="11"/>
        <v>WorldCat Record</v>
      </c>
      <c r="AU1797" s="3" t="s">
        <v>21985</v>
      </c>
      <c r="AV1797" s="3" t="s">
        <v>21986</v>
      </c>
      <c r="AW1797" s="3" t="s">
        <v>21987</v>
      </c>
      <c r="AX1797" s="3" t="s">
        <v>21987</v>
      </c>
      <c r="AY1797" s="3" t="s">
        <v>21988</v>
      </c>
      <c r="AZ1797" s="3" t="s">
        <v>73</v>
      </c>
      <c r="BC1797" s="3" t="s">
        <v>22126</v>
      </c>
      <c r="BD1797" s="3" t="s">
        <v>22127</v>
      </c>
    </row>
    <row r="1798" spans="1:56" ht="51" customHeight="1" x14ac:dyDescent="0.25">
      <c r="A1798" s="7" t="s">
        <v>58</v>
      </c>
      <c r="B1798" s="2" t="s">
        <v>21975</v>
      </c>
      <c r="C1798" s="2" t="s">
        <v>21976</v>
      </c>
      <c r="D1798" s="2" t="s">
        <v>21977</v>
      </c>
      <c r="E1798" s="3" t="s">
        <v>317</v>
      </c>
      <c r="F1798" s="3" t="s">
        <v>68</v>
      </c>
      <c r="G1798" s="3" t="s">
        <v>59</v>
      </c>
      <c r="H1798" s="3" t="s">
        <v>58</v>
      </c>
      <c r="I1798" s="3" t="s">
        <v>58</v>
      </c>
      <c r="J1798" s="3" t="s">
        <v>60</v>
      </c>
      <c r="K1798" s="2" t="s">
        <v>21979</v>
      </c>
      <c r="L1798" s="2" t="s">
        <v>21980</v>
      </c>
      <c r="M1798" s="3" t="s">
        <v>21981</v>
      </c>
      <c r="O1798" s="3" t="s">
        <v>63</v>
      </c>
      <c r="P1798" s="3" t="s">
        <v>571</v>
      </c>
      <c r="R1798" s="3" t="s">
        <v>65</v>
      </c>
      <c r="S1798" s="4">
        <v>0</v>
      </c>
      <c r="T1798" s="4">
        <v>84</v>
      </c>
      <c r="V1798" s="5" t="s">
        <v>21982</v>
      </c>
      <c r="W1798" s="5" t="s">
        <v>21984</v>
      </c>
      <c r="X1798" s="5" t="s">
        <v>21984</v>
      </c>
      <c r="Y1798" s="4">
        <v>198</v>
      </c>
      <c r="Z1798" s="4">
        <v>171</v>
      </c>
      <c r="AA1798" s="4">
        <v>207</v>
      </c>
      <c r="AB1798" s="4">
        <v>2</v>
      </c>
      <c r="AC1798" s="4">
        <v>2</v>
      </c>
      <c r="AD1798" s="4">
        <v>16</v>
      </c>
      <c r="AE1798" s="4">
        <v>16</v>
      </c>
      <c r="AF1798" s="4">
        <v>4</v>
      </c>
      <c r="AG1798" s="4">
        <v>4</v>
      </c>
      <c r="AH1798" s="4">
        <v>4</v>
      </c>
      <c r="AI1798" s="4">
        <v>4</v>
      </c>
      <c r="AJ1798" s="4">
        <v>10</v>
      </c>
      <c r="AK1798" s="4">
        <v>10</v>
      </c>
      <c r="AL1798" s="4">
        <v>1</v>
      </c>
      <c r="AM1798" s="4">
        <v>1</v>
      </c>
      <c r="AN1798" s="4">
        <v>0</v>
      </c>
      <c r="AO1798" s="4">
        <v>0</v>
      </c>
      <c r="AP1798" s="3" t="s">
        <v>68</v>
      </c>
      <c r="AQ1798" s="3" t="s">
        <v>58</v>
      </c>
      <c r="AR1798" s="6" t="str">
        <f t="shared" si="9"/>
        <v>HathiTrust Record</v>
      </c>
      <c r="AS1798" s="6" t="str">
        <f t="shared" si="10"/>
        <v>Catalog Record</v>
      </c>
      <c r="AT1798" s="6" t="str">
        <f t="shared" si="11"/>
        <v>WorldCat Record</v>
      </c>
      <c r="AU1798" s="3" t="s">
        <v>21985</v>
      </c>
      <c r="AV1798" s="3" t="s">
        <v>21986</v>
      </c>
      <c r="AW1798" s="3" t="s">
        <v>21987</v>
      </c>
      <c r="AX1798" s="3" t="s">
        <v>21987</v>
      </c>
      <c r="AY1798" s="3" t="s">
        <v>21988</v>
      </c>
      <c r="AZ1798" s="3" t="s">
        <v>73</v>
      </c>
      <c r="BC1798" s="3" t="s">
        <v>22128</v>
      </c>
      <c r="BD1798" s="3" t="s">
        <v>22129</v>
      </c>
    </row>
    <row r="1799" spans="1:56" ht="51" customHeight="1" x14ac:dyDescent="0.25">
      <c r="A1799" s="7" t="s">
        <v>58</v>
      </c>
      <c r="B1799" s="2" t="s">
        <v>21975</v>
      </c>
      <c r="C1799" s="2" t="s">
        <v>21976</v>
      </c>
      <c r="D1799" s="2" t="s">
        <v>21977</v>
      </c>
      <c r="E1799" s="3" t="s">
        <v>22130</v>
      </c>
      <c r="F1799" s="3" t="s">
        <v>68</v>
      </c>
      <c r="G1799" s="3" t="s">
        <v>59</v>
      </c>
      <c r="H1799" s="3" t="s">
        <v>58</v>
      </c>
      <c r="I1799" s="3" t="s">
        <v>58</v>
      </c>
      <c r="J1799" s="3" t="s">
        <v>60</v>
      </c>
      <c r="K1799" s="2" t="s">
        <v>21979</v>
      </c>
      <c r="L1799" s="2" t="s">
        <v>21980</v>
      </c>
      <c r="M1799" s="3" t="s">
        <v>21981</v>
      </c>
      <c r="O1799" s="3" t="s">
        <v>63</v>
      </c>
      <c r="P1799" s="3" t="s">
        <v>571</v>
      </c>
      <c r="R1799" s="3" t="s">
        <v>65</v>
      </c>
      <c r="S1799" s="4">
        <v>3</v>
      </c>
      <c r="T1799" s="4">
        <v>84</v>
      </c>
      <c r="U1799" s="5" t="s">
        <v>22011</v>
      </c>
      <c r="V1799" s="5" t="s">
        <v>21982</v>
      </c>
      <c r="W1799" s="5" t="s">
        <v>21983</v>
      </c>
      <c r="X1799" s="5" t="s">
        <v>21984</v>
      </c>
      <c r="Y1799" s="4">
        <v>198</v>
      </c>
      <c r="Z1799" s="4">
        <v>171</v>
      </c>
      <c r="AA1799" s="4">
        <v>207</v>
      </c>
      <c r="AB1799" s="4">
        <v>2</v>
      </c>
      <c r="AC1799" s="4">
        <v>2</v>
      </c>
      <c r="AD1799" s="4">
        <v>16</v>
      </c>
      <c r="AE1799" s="4">
        <v>16</v>
      </c>
      <c r="AF1799" s="4">
        <v>4</v>
      </c>
      <c r="AG1799" s="4">
        <v>4</v>
      </c>
      <c r="AH1799" s="4">
        <v>4</v>
      </c>
      <c r="AI1799" s="4">
        <v>4</v>
      </c>
      <c r="AJ1799" s="4">
        <v>10</v>
      </c>
      <c r="AK1799" s="4">
        <v>10</v>
      </c>
      <c r="AL1799" s="4">
        <v>1</v>
      </c>
      <c r="AM1799" s="4">
        <v>1</v>
      </c>
      <c r="AN1799" s="4">
        <v>0</v>
      </c>
      <c r="AO1799" s="4">
        <v>0</v>
      </c>
      <c r="AP1799" s="3" t="s">
        <v>68</v>
      </c>
      <c r="AQ1799" s="3" t="s">
        <v>58</v>
      </c>
      <c r="AR1799" s="6" t="str">
        <f t="shared" si="9"/>
        <v>HathiTrust Record</v>
      </c>
      <c r="AS1799" s="6" t="str">
        <f t="shared" si="10"/>
        <v>Catalog Record</v>
      </c>
      <c r="AT1799" s="6" t="str">
        <f t="shared" si="11"/>
        <v>WorldCat Record</v>
      </c>
      <c r="AU1799" s="3" t="s">
        <v>21985</v>
      </c>
      <c r="AV1799" s="3" t="s">
        <v>21986</v>
      </c>
      <c r="AW1799" s="3" t="s">
        <v>21987</v>
      </c>
      <c r="AX1799" s="3" t="s">
        <v>21987</v>
      </c>
      <c r="AY1799" s="3" t="s">
        <v>21988</v>
      </c>
      <c r="AZ1799" s="3" t="s">
        <v>73</v>
      </c>
      <c r="BC1799" s="3" t="s">
        <v>22131</v>
      </c>
      <c r="BD1799" s="3" t="s">
        <v>22132</v>
      </c>
    </row>
    <row r="1800" spans="1:56" ht="51" customHeight="1" x14ac:dyDescent="0.25">
      <c r="A1800" s="7" t="s">
        <v>58</v>
      </c>
      <c r="B1800" s="2" t="s">
        <v>21975</v>
      </c>
      <c r="C1800" s="2" t="s">
        <v>21976</v>
      </c>
      <c r="D1800" s="2" t="s">
        <v>21977</v>
      </c>
      <c r="E1800" s="3" t="s">
        <v>94</v>
      </c>
      <c r="F1800" s="3" t="s">
        <v>68</v>
      </c>
      <c r="G1800" s="3" t="s">
        <v>59</v>
      </c>
      <c r="H1800" s="3" t="s">
        <v>58</v>
      </c>
      <c r="I1800" s="3" t="s">
        <v>58</v>
      </c>
      <c r="J1800" s="3" t="s">
        <v>60</v>
      </c>
      <c r="K1800" s="2" t="s">
        <v>21979</v>
      </c>
      <c r="L1800" s="2" t="s">
        <v>21980</v>
      </c>
      <c r="M1800" s="3" t="s">
        <v>21981</v>
      </c>
      <c r="O1800" s="3" t="s">
        <v>63</v>
      </c>
      <c r="P1800" s="3" t="s">
        <v>571</v>
      </c>
      <c r="R1800" s="3" t="s">
        <v>65</v>
      </c>
      <c r="S1800" s="4">
        <v>2</v>
      </c>
      <c r="T1800" s="4">
        <v>84</v>
      </c>
      <c r="U1800" s="5" t="s">
        <v>22066</v>
      </c>
      <c r="V1800" s="5" t="s">
        <v>21982</v>
      </c>
      <c r="W1800" s="5" t="s">
        <v>21983</v>
      </c>
      <c r="X1800" s="5" t="s">
        <v>21984</v>
      </c>
      <c r="Y1800" s="4">
        <v>198</v>
      </c>
      <c r="Z1800" s="4">
        <v>171</v>
      </c>
      <c r="AA1800" s="4">
        <v>207</v>
      </c>
      <c r="AB1800" s="4">
        <v>2</v>
      </c>
      <c r="AC1800" s="4">
        <v>2</v>
      </c>
      <c r="AD1800" s="4">
        <v>16</v>
      </c>
      <c r="AE1800" s="4">
        <v>16</v>
      </c>
      <c r="AF1800" s="4">
        <v>4</v>
      </c>
      <c r="AG1800" s="4">
        <v>4</v>
      </c>
      <c r="AH1800" s="4">
        <v>4</v>
      </c>
      <c r="AI1800" s="4">
        <v>4</v>
      </c>
      <c r="AJ1800" s="4">
        <v>10</v>
      </c>
      <c r="AK1800" s="4">
        <v>10</v>
      </c>
      <c r="AL1800" s="4">
        <v>1</v>
      </c>
      <c r="AM1800" s="4">
        <v>1</v>
      </c>
      <c r="AN1800" s="4">
        <v>0</v>
      </c>
      <c r="AO1800" s="4">
        <v>0</v>
      </c>
      <c r="AP1800" s="3" t="s">
        <v>68</v>
      </c>
      <c r="AQ1800" s="3" t="s">
        <v>58</v>
      </c>
      <c r="AR1800" s="6" t="str">
        <f t="shared" si="9"/>
        <v>HathiTrust Record</v>
      </c>
      <c r="AS1800" s="6" t="str">
        <f t="shared" si="10"/>
        <v>Catalog Record</v>
      </c>
      <c r="AT1800" s="6" t="str">
        <f t="shared" si="11"/>
        <v>WorldCat Record</v>
      </c>
      <c r="AU1800" s="3" t="s">
        <v>21985</v>
      </c>
      <c r="AV1800" s="3" t="s">
        <v>21986</v>
      </c>
      <c r="AW1800" s="3" t="s">
        <v>21987</v>
      </c>
      <c r="AX1800" s="3" t="s">
        <v>21987</v>
      </c>
      <c r="AY1800" s="3" t="s">
        <v>21988</v>
      </c>
      <c r="AZ1800" s="3" t="s">
        <v>73</v>
      </c>
      <c r="BC1800" s="3" t="s">
        <v>22133</v>
      </c>
      <c r="BD1800" s="3" t="s">
        <v>22134</v>
      </c>
    </row>
    <row r="1801" spans="1:56" ht="51" customHeight="1" x14ac:dyDescent="0.25">
      <c r="A1801" s="7" t="s">
        <v>58</v>
      </c>
      <c r="B1801" s="2" t="s">
        <v>21975</v>
      </c>
      <c r="C1801" s="2" t="s">
        <v>21976</v>
      </c>
      <c r="D1801" s="2" t="s">
        <v>21977</v>
      </c>
      <c r="E1801" s="3" t="s">
        <v>1428</v>
      </c>
      <c r="F1801" s="3" t="s">
        <v>68</v>
      </c>
      <c r="G1801" s="3" t="s">
        <v>59</v>
      </c>
      <c r="H1801" s="3" t="s">
        <v>58</v>
      </c>
      <c r="I1801" s="3" t="s">
        <v>58</v>
      </c>
      <c r="J1801" s="3" t="s">
        <v>60</v>
      </c>
      <c r="K1801" s="2" t="s">
        <v>21979</v>
      </c>
      <c r="L1801" s="2" t="s">
        <v>21980</v>
      </c>
      <c r="M1801" s="3" t="s">
        <v>21981</v>
      </c>
      <c r="O1801" s="3" t="s">
        <v>63</v>
      </c>
      <c r="P1801" s="3" t="s">
        <v>571</v>
      </c>
      <c r="R1801" s="3" t="s">
        <v>65</v>
      </c>
      <c r="S1801" s="4">
        <v>2</v>
      </c>
      <c r="T1801" s="4">
        <v>84</v>
      </c>
      <c r="U1801" s="5" t="s">
        <v>22079</v>
      </c>
      <c r="V1801" s="5" t="s">
        <v>21982</v>
      </c>
      <c r="W1801" s="5" t="s">
        <v>21983</v>
      </c>
      <c r="X1801" s="5" t="s">
        <v>21984</v>
      </c>
      <c r="Y1801" s="4">
        <v>198</v>
      </c>
      <c r="Z1801" s="4">
        <v>171</v>
      </c>
      <c r="AA1801" s="4">
        <v>207</v>
      </c>
      <c r="AB1801" s="4">
        <v>2</v>
      </c>
      <c r="AC1801" s="4">
        <v>2</v>
      </c>
      <c r="AD1801" s="4">
        <v>16</v>
      </c>
      <c r="AE1801" s="4">
        <v>16</v>
      </c>
      <c r="AF1801" s="4">
        <v>4</v>
      </c>
      <c r="AG1801" s="4">
        <v>4</v>
      </c>
      <c r="AH1801" s="4">
        <v>4</v>
      </c>
      <c r="AI1801" s="4">
        <v>4</v>
      </c>
      <c r="AJ1801" s="4">
        <v>10</v>
      </c>
      <c r="AK1801" s="4">
        <v>10</v>
      </c>
      <c r="AL1801" s="4">
        <v>1</v>
      </c>
      <c r="AM1801" s="4">
        <v>1</v>
      </c>
      <c r="AN1801" s="4">
        <v>0</v>
      </c>
      <c r="AO1801" s="4">
        <v>0</v>
      </c>
      <c r="AP1801" s="3" t="s">
        <v>68</v>
      </c>
      <c r="AQ1801" s="3" t="s">
        <v>58</v>
      </c>
      <c r="AR1801" s="6" t="str">
        <f t="shared" si="9"/>
        <v>HathiTrust Record</v>
      </c>
      <c r="AS1801" s="6" t="str">
        <f t="shared" si="10"/>
        <v>Catalog Record</v>
      </c>
      <c r="AT1801" s="6" t="str">
        <f t="shared" si="11"/>
        <v>WorldCat Record</v>
      </c>
      <c r="AU1801" s="3" t="s">
        <v>21985</v>
      </c>
      <c r="AV1801" s="3" t="s">
        <v>21986</v>
      </c>
      <c r="AW1801" s="3" t="s">
        <v>21987</v>
      </c>
      <c r="AX1801" s="3" t="s">
        <v>21987</v>
      </c>
      <c r="AY1801" s="3" t="s">
        <v>21988</v>
      </c>
      <c r="AZ1801" s="3" t="s">
        <v>73</v>
      </c>
      <c r="BC1801" s="3" t="s">
        <v>22135</v>
      </c>
      <c r="BD1801" s="3" t="s">
        <v>22136</v>
      </c>
    </row>
    <row r="1802" spans="1:56" ht="51" customHeight="1" x14ac:dyDescent="0.25">
      <c r="A1802" s="7" t="s">
        <v>58</v>
      </c>
      <c r="B1802" s="2" t="s">
        <v>21975</v>
      </c>
      <c r="C1802" s="2" t="s">
        <v>21976</v>
      </c>
      <c r="D1802" s="2" t="s">
        <v>21977</v>
      </c>
      <c r="E1802" s="3" t="s">
        <v>22137</v>
      </c>
      <c r="F1802" s="3" t="s">
        <v>68</v>
      </c>
      <c r="G1802" s="3" t="s">
        <v>59</v>
      </c>
      <c r="H1802" s="3" t="s">
        <v>58</v>
      </c>
      <c r="I1802" s="3" t="s">
        <v>58</v>
      </c>
      <c r="J1802" s="3" t="s">
        <v>60</v>
      </c>
      <c r="K1802" s="2" t="s">
        <v>21979</v>
      </c>
      <c r="L1802" s="2" t="s">
        <v>21980</v>
      </c>
      <c r="M1802" s="3" t="s">
        <v>21981</v>
      </c>
      <c r="O1802" s="3" t="s">
        <v>63</v>
      </c>
      <c r="P1802" s="3" t="s">
        <v>571</v>
      </c>
      <c r="R1802" s="3" t="s">
        <v>65</v>
      </c>
      <c r="S1802" s="4">
        <v>2</v>
      </c>
      <c r="T1802" s="4">
        <v>84</v>
      </c>
      <c r="U1802" s="5" t="s">
        <v>22001</v>
      </c>
      <c r="V1802" s="5" t="s">
        <v>21982</v>
      </c>
      <c r="W1802" s="5" t="s">
        <v>21983</v>
      </c>
      <c r="X1802" s="5" t="s">
        <v>21984</v>
      </c>
      <c r="Y1802" s="4">
        <v>198</v>
      </c>
      <c r="Z1802" s="4">
        <v>171</v>
      </c>
      <c r="AA1802" s="4">
        <v>207</v>
      </c>
      <c r="AB1802" s="4">
        <v>2</v>
      </c>
      <c r="AC1802" s="4">
        <v>2</v>
      </c>
      <c r="AD1802" s="4">
        <v>16</v>
      </c>
      <c r="AE1802" s="4">
        <v>16</v>
      </c>
      <c r="AF1802" s="4">
        <v>4</v>
      </c>
      <c r="AG1802" s="4">
        <v>4</v>
      </c>
      <c r="AH1802" s="4">
        <v>4</v>
      </c>
      <c r="AI1802" s="4">
        <v>4</v>
      </c>
      <c r="AJ1802" s="4">
        <v>10</v>
      </c>
      <c r="AK1802" s="4">
        <v>10</v>
      </c>
      <c r="AL1802" s="4">
        <v>1</v>
      </c>
      <c r="AM1802" s="4">
        <v>1</v>
      </c>
      <c r="AN1802" s="4">
        <v>0</v>
      </c>
      <c r="AO1802" s="4">
        <v>0</v>
      </c>
      <c r="AP1802" s="3" t="s">
        <v>68</v>
      </c>
      <c r="AQ1802" s="3" t="s">
        <v>58</v>
      </c>
      <c r="AR1802" s="6" t="str">
        <f t="shared" si="9"/>
        <v>HathiTrust Record</v>
      </c>
      <c r="AS1802" s="6" t="str">
        <f t="shared" si="10"/>
        <v>Catalog Record</v>
      </c>
      <c r="AT1802" s="6" t="str">
        <f t="shared" si="11"/>
        <v>WorldCat Record</v>
      </c>
      <c r="AU1802" s="3" t="s">
        <v>21985</v>
      </c>
      <c r="AV1802" s="3" t="s">
        <v>21986</v>
      </c>
      <c r="AW1802" s="3" t="s">
        <v>21987</v>
      </c>
      <c r="AX1802" s="3" t="s">
        <v>21987</v>
      </c>
      <c r="AY1802" s="3" t="s">
        <v>21988</v>
      </c>
      <c r="AZ1802" s="3" t="s">
        <v>73</v>
      </c>
      <c r="BC1802" s="3" t="s">
        <v>22138</v>
      </c>
      <c r="BD1802" s="3" t="s">
        <v>22139</v>
      </c>
    </row>
    <row r="1803" spans="1:56" ht="51" customHeight="1" x14ac:dyDescent="0.25">
      <c r="A1803" s="7" t="s">
        <v>58</v>
      </c>
      <c r="B1803" s="2" t="s">
        <v>21975</v>
      </c>
      <c r="C1803" s="2" t="s">
        <v>21976</v>
      </c>
      <c r="D1803" s="2" t="s">
        <v>21977</v>
      </c>
      <c r="E1803" s="3" t="s">
        <v>22140</v>
      </c>
      <c r="F1803" s="3" t="s">
        <v>68</v>
      </c>
      <c r="G1803" s="3" t="s">
        <v>59</v>
      </c>
      <c r="H1803" s="3" t="s">
        <v>58</v>
      </c>
      <c r="I1803" s="3" t="s">
        <v>58</v>
      </c>
      <c r="J1803" s="3" t="s">
        <v>60</v>
      </c>
      <c r="K1803" s="2" t="s">
        <v>21979</v>
      </c>
      <c r="L1803" s="2" t="s">
        <v>21980</v>
      </c>
      <c r="M1803" s="3" t="s">
        <v>21981</v>
      </c>
      <c r="O1803" s="3" t="s">
        <v>63</v>
      </c>
      <c r="P1803" s="3" t="s">
        <v>571</v>
      </c>
      <c r="R1803" s="3" t="s">
        <v>65</v>
      </c>
      <c r="S1803" s="4">
        <v>2</v>
      </c>
      <c r="T1803" s="4">
        <v>84</v>
      </c>
      <c r="U1803" s="5" t="s">
        <v>9043</v>
      </c>
      <c r="V1803" s="5" t="s">
        <v>21982</v>
      </c>
      <c r="W1803" s="5" t="s">
        <v>21983</v>
      </c>
      <c r="X1803" s="5" t="s">
        <v>21984</v>
      </c>
      <c r="Y1803" s="4">
        <v>198</v>
      </c>
      <c r="Z1803" s="4">
        <v>171</v>
      </c>
      <c r="AA1803" s="4">
        <v>207</v>
      </c>
      <c r="AB1803" s="4">
        <v>2</v>
      </c>
      <c r="AC1803" s="4">
        <v>2</v>
      </c>
      <c r="AD1803" s="4">
        <v>16</v>
      </c>
      <c r="AE1803" s="4">
        <v>16</v>
      </c>
      <c r="AF1803" s="4">
        <v>4</v>
      </c>
      <c r="AG1803" s="4">
        <v>4</v>
      </c>
      <c r="AH1803" s="4">
        <v>4</v>
      </c>
      <c r="AI1803" s="4">
        <v>4</v>
      </c>
      <c r="AJ1803" s="4">
        <v>10</v>
      </c>
      <c r="AK1803" s="4">
        <v>10</v>
      </c>
      <c r="AL1803" s="4">
        <v>1</v>
      </c>
      <c r="AM1803" s="4">
        <v>1</v>
      </c>
      <c r="AN1803" s="4">
        <v>0</v>
      </c>
      <c r="AO1803" s="4">
        <v>0</v>
      </c>
      <c r="AP1803" s="3" t="s">
        <v>68</v>
      </c>
      <c r="AQ1803" s="3" t="s">
        <v>58</v>
      </c>
      <c r="AR1803" s="6" t="str">
        <f t="shared" si="9"/>
        <v>HathiTrust Record</v>
      </c>
      <c r="AS1803" s="6" t="str">
        <f t="shared" si="10"/>
        <v>Catalog Record</v>
      </c>
      <c r="AT1803" s="6" t="str">
        <f t="shared" si="11"/>
        <v>WorldCat Record</v>
      </c>
      <c r="AU1803" s="3" t="s">
        <v>21985</v>
      </c>
      <c r="AV1803" s="3" t="s">
        <v>21986</v>
      </c>
      <c r="AW1803" s="3" t="s">
        <v>21987</v>
      </c>
      <c r="AX1803" s="3" t="s">
        <v>21987</v>
      </c>
      <c r="AY1803" s="3" t="s">
        <v>21988</v>
      </c>
      <c r="AZ1803" s="3" t="s">
        <v>73</v>
      </c>
      <c r="BC1803" s="3" t="s">
        <v>22141</v>
      </c>
      <c r="BD1803" s="3" t="s">
        <v>22142</v>
      </c>
    </row>
    <row r="1804" spans="1:56" ht="51" customHeight="1" x14ac:dyDescent="0.25">
      <c r="A1804" s="7" t="s">
        <v>58</v>
      </c>
      <c r="B1804" s="2" t="s">
        <v>21975</v>
      </c>
      <c r="C1804" s="2" t="s">
        <v>21976</v>
      </c>
      <c r="D1804" s="2" t="s">
        <v>21977</v>
      </c>
      <c r="E1804" s="3" t="s">
        <v>22143</v>
      </c>
      <c r="F1804" s="3" t="s">
        <v>68</v>
      </c>
      <c r="G1804" s="3" t="s">
        <v>59</v>
      </c>
      <c r="H1804" s="3" t="s">
        <v>58</v>
      </c>
      <c r="I1804" s="3" t="s">
        <v>58</v>
      </c>
      <c r="J1804" s="3" t="s">
        <v>60</v>
      </c>
      <c r="K1804" s="2" t="s">
        <v>21979</v>
      </c>
      <c r="L1804" s="2" t="s">
        <v>21980</v>
      </c>
      <c r="M1804" s="3" t="s">
        <v>21981</v>
      </c>
      <c r="O1804" s="3" t="s">
        <v>63</v>
      </c>
      <c r="P1804" s="3" t="s">
        <v>571</v>
      </c>
      <c r="R1804" s="3" t="s">
        <v>65</v>
      </c>
      <c r="S1804" s="4">
        <v>1</v>
      </c>
      <c r="T1804" s="4">
        <v>84</v>
      </c>
      <c r="U1804" s="5" t="s">
        <v>10000</v>
      </c>
      <c r="V1804" s="5" t="s">
        <v>21982</v>
      </c>
      <c r="W1804" s="5" t="s">
        <v>21983</v>
      </c>
      <c r="X1804" s="5" t="s">
        <v>21984</v>
      </c>
      <c r="Y1804" s="4">
        <v>198</v>
      </c>
      <c r="Z1804" s="4">
        <v>171</v>
      </c>
      <c r="AA1804" s="4">
        <v>207</v>
      </c>
      <c r="AB1804" s="4">
        <v>2</v>
      </c>
      <c r="AC1804" s="4">
        <v>2</v>
      </c>
      <c r="AD1804" s="4">
        <v>16</v>
      </c>
      <c r="AE1804" s="4">
        <v>16</v>
      </c>
      <c r="AF1804" s="4">
        <v>4</v>
      </c>
      <c r="AG1804" s="4">
        <v>4</v>
      </c>
      <c r="AH1804" s="4">
        <v>4</v>
      </c>
      <c r="AI1804" s="4">
        <v>4</v>
      </c>
      <c r="AJ1804" s="4">
        <v>10</v>
      </c>
      <c r="AK1804" s="4">
        <v>10</v>
      </c>
      <c r="AL1804" s="4">
        <v>1</v>
      </c>
      <c r="AM1804" s="4">
        <v>1</v>
      </c>
      <c r="AN1804" s="4">
        <v>0</v>
      </c>
      <c r="AO1804" s="4">
        <v>0</v>
      </c>
      <c r="AP1804" s="3" t="s">
        <v>68</v>
      </c>
      <c r="AQ1804" s="3" t="s">
        <v>58</v>
      </c>
      <c r="AR1804" s="6" t="str">
        <f t="shared" si="9"/>
        <v>HathiTrust Record</v>
      </c>
      <c r="AS1804" s="6" t="str">
        <f t="shared" si="10"/>
        <v>Catalog Record</v>
      </c>
      <c r="AT1804" s="6" t="str">
        <f t="shared" si="11"/>
        <v>WorldCat Record</v>
      </c>
      <c r="AU1804" s="3" t="s">
        <v>21985</v>
      </c>
      <c r="AV1804" s="3" t="s">
        <v>21986</v>
      </c>
      <c r="AW1804" s="3" t="s">
        <v>21987</v>
      </c>
      <c r="AX1804" s="3" t="s">
        <v>21987</v>
      </c>
      <c r="AY1804" s="3" t="s">
        <v>21988</v>
      </c>
      <c r="AZ1804" s="3" t="s">
        <v>73</v>
      </c>
      <c r="BC1804" s="3" t="s">
        <v>22144</v>
      </c>
      <c r="BD1804" s="3" t="s">
        <v>22145</v>
      </c>
    </row>
    <row r="1805" spans="1:56" ht="51" customHeight="1" x14ac:dyDescent="0.25">
      <c r="A1805" s="7" t="s">
        <v>58</v>
      </c>
      <c r="B1805" s="2" t="s">
        <v>21975</v>
      </c>
      <c r="C1805" s="2" t="s">
        <v>21976</v>
      </c>
      <c r="D1805" s="2" t="s">
        <v>21977</v>
      </c>
      <c r="E1805" s="3" t="s">
        <v>22146</v>
      </c>
      <c r="F1805" s="3" t="s">
        <v>68</v>
      </c>
      <c r="G1805" s="3" t="s">
        <v>59</v>
      </c>
      <c r="H1805" s="3" t="s">
        <v>58</v>
      </c>
      <c r="I1805" s="3" t="s">
        <v>58</v>
      </c>
      <c r="J1805" s="3" t="s">
        <v>60</v>
      </c>
      <c r="K1805" s="2" t="s">
        <v>21979</v>
      </c>
      <c r="L1805" s="2" t="s">
        <v>21980</v>
      </c>
      <c r="M1805" s="3" t="s">
        <v>21981</v>
      </c>
      <c r="O1805" s="3" t="s">
        <v>63</v>
      </c>
      <c r="P1805" s="3" t="s">
        <v>571</v>
      </c>
      <c r="R1805" s="3" t="s">
        <v>65</v>
      </c>
      <c r="S1805" s="4">
        <v>2</v>
      </c>
      <c r="T1805" s="4">
        <v>84</v>
      </c>
      <c r="U1805" s="5" t="s">
        <v>22147</v>
      </c>
      <c r="V1805" s="5" t="s">
        <v>21982</v>
      </c>
      <c r="W1805" s="5" t="s">
        <v>21983</v>
      </c>
      <c r="X1805" s="5" t="s">
        <v>21984</v>
      </c>
      <c r="Y1805" s="4">
        <v>198</v>
      </c>
      <c r="Z1805" s="4">
        <v>171</v>
      </c>
      <c r="AA1805" s="4">
        <v>207</v>
      </c>
      <c r="AB1805" s="4">
        <v>2</v>
      </c>
      <c r="AC1805" s="4">
        <v>2</v>
      </c>
      <c r="AD1805" s="4">
        <v>16</v>
      </c>
      <c r="AE1805" s="4">
        <v>16</v>
      </c>
      <c r="AF1805" s="4">
        <v>4</v>
      </c>
      <c r="AG1805" s="4">
        <v>4</v>
      </c>
      <c r="AH1805" s="4">
        <v>4</v>
      </c>
      <c r="AI1805" s="4">
        <v>4</v>
      </c>
      <c r="AJ1805" s="4">
        <v>10</v>
      </c>
      <c r="AK1805" s="4">
        <v>10</v>
      </c>
      <c r="AL1805" s="4">
        <v>1</v>
      </c>
      <c r="AM1805" s="4">
        <v>1</v>
      </c>
      <c r="AN1805" s="4">
        <v>0</v>
      </c>
      <c r="AO1805" s="4">
        <v>0</v>
      </c>
      <c r="AP1805" s="3" t="s">
        <v>68</v>
      </c>
      <c r="AQ1805" s="3" t="s">
        <v>58</v>
      </c>
      <c r="AR1805" s="6" t="str">
        <f t="shared" si="9"/>
        <v>HathiTrust Record</v>
      </c>
      <c r="AS1805" s="6" t="str">
        <f t="shared" si="10"/>
        <v>Catalog Record</v>
      </c>
      <c r="AT1805" s="6" t="str">
        <f t="shared" si="11"/>
        <v>WorldCat Record</v>
      </c>
      <c r="AU1805" s="3" t="s">
        <v>21985</v>
      </c>
      <c r="AV1805" s="3" t="s">
        <v>21986</v>
      </c>
      <c r="AW1805" s="3" t="s">
        <v>21987</v>
      </c>
      <c r="AX1805" s="3" t="s">
        <v>21987</v>
      </c>
      <c r="AY1805" s="3" t="s">
        <v>21988</v>
      </c>
      <c r="AZ1805" s="3" t="s">
        <v>73</v>
      </c>
      <c r="BC1805" s="3" t="s">
        <v>22148</v>
      </c>
      <c r="BD1805" s="3" t="s">
        <v>22149</v>
      </c>
    </row>
    <row r="1806" spans="1:56" ht="51" customHeight="1" x14ac:dyDescent="0.25">
      <c r="A1806" s="7" t="s">
        <v>58</v>
      </c>
      <c r="B1806" s="2" t="s">
        <v>21975</v>
      </c>
      <c r="C1806" s="2" t="s">
        <v>21976</v>
      </c>
      <c r="D1806" s="2" t="s">
        <v>21977</v>
      </c>
      <c r="E1806" s="3" t="s">
        <v>312</v>
      </c>
      <c r="F1806" s="3" t="s">
        <v>68</v>
      </c>
      <c r="G1806" s="3" t="s">
        <v>59</v>
      </c>
      <c r="H1806" s="3" t="s">
        <v>58</v>
      </c>
      <c r="I1806" s="3" t="s">
        <v>58</v>
      </c>
      <c r="J1806" s="3" t="s">
        <v>60</v>
      </c>
      <c r="K1806" s="2" t="s">
        <v>21979</v>
      </c>
      <c r="L1806" s="2" t="s">
        <v>21980</v>
      </c>
      <c r="M1806" s="3" t="s">
        <v>21981</v>
      </c>
      <c r="O1806" s="3" t="s">
        <v>63</v>
      </c>
      <c r="P1806" s="3" t="s">
        <v>571</v>
      </c>
      <c r="R1806" s="3" t="s">
        <v>65</v>
      </c>
      <c r="S1806" s="4">
        <v>1</v>
      </c>
      <c r="T1806" s="4">
        <v>84</v>
      </c>
      <c r="U1806" s="5" t="s">
        <v>22007</v>
      </c>
      <c r="V1806" s="5" t="s">
        <v>21982</v>
      </c>
      <c r="W1806" s="5" t="s">
        <v>21983</v>
      </c>
      <c r="X1806" s="5" t="s">
        <v>21984</v>
      </c>
      <c r="Y1806" s="4">
        <v>198</v>
      </c>
      <c r="Z1806" s="4">
        <v>171</v>
      </c>
      <c r="AA1806" s="4">
        <v>207</v>
      </c>
      <c r="AB1806" s="4">
        <v>2</v>
      </c>
      <c r="AC1806" s="4">
        <v>2</v>
      </c>
      <c r="AD1806" s="4">
        <v>16</v>
      </c>
      <c r="AE1806" s="4">
        <v>16</v>
      </c>
      <c r="AF1806" s="4">
        <v>4</v>
      </c>
      <c r="AG1806" s="4">
        <v>4</v>
      </c>
      <c r="AH1806" s="4">
        <v>4</v>
      </c>
      <c r="AI1806" s="4">
        <v>4</v>
      </c>
      <c r="AJ1806" s="4">
        <v>10</v>
      </c>
      <c r="AK1806" s="4">
        <v>10</v>
      </c>
      <c r="AL1806" s="4">
        <v>1</v>
      </c>
      <c r="AM1806" s="4">
        <v>1</v>
      </c>
      <c r="AN1806" s="4">
        <v>0</v>
      </c>
      <c r="AO1806" s="4">
        <v>0</v>
      </c>
      <c r="AP1806" s="3" t="s">
        <v>68</v>
      </c>
      <c r="AQ1806" s="3" t="s">
        <v>58</v>
      </c>
      <c r="AR1806" s="6" t="str">
        <f t="shared" si="9"/>
        <v>HathiTrust Record</v>
      </c>
      <c r="AS1806" s="6" t="str">
        <f t="shared" si="10"/>
        <v>Catalog Record</v>
      </c>
      <c r="AT1806" s="6" t="str">
        <f t="shared" si="11"/>
        <v>WorldCat Record</v>
      </c>
      <c r="AU1806" s="3" t="s">
        <v>21985</v>
      </c>
      <c r="AV1806" s="3" t="s">
        <v>21986</v>
      </c>
      <c r="AW1806" s="3" t="s">
        <v>21987</v>
      </c>
      <c r="AX1806" s="3" t="s">
        <v>21987</v>
      </c>
      <c r="AY1806" s="3" t="s">
        <v>21988</v>
      </c>
      <c r="AZ1806" s="3" t="s">
        <v>73</v>
      </c>
      <c r="BC1806" s="3" t="s">
        <v>22150</v>
      </c>
      <c r="BD1806" s="3" t="s">
        <v>22151</v>
      </c>
    </row>
    <row r="1807" spans="1:56" ht="51" customHeight="1" x14ac:dyDescent="0.25">
      <c r="A1807" s="7" t="s">
        <v>58</v>
      </c>
      <c r="B1807" s="2" t="s">
        <v>21975</v>
      </c>
      <c r="C1807" s="2" t="s">
        <v>21976</v>
      </c>
      <c r="D1807" s="2" t="s">
        <v>21977</v>
      </c>
      <c r="E1807" s="3" t="s">
        <v>22152</v>
      </c>
      <c r="F1807" s="3" t="s">
        <v>68</v>
      </c>
      <c r="G1807" s="3" t="s">
        <v>59</v>
      </c>
      <c r="H1807" s="3" t="s">
        <v>58</v>
      </c>
      <c r="I1807" s="3" t="s">
        <v>58</v>
      </c>
      <c r="J1807" s="3" t="s">
        <v>60</v>
      </c>
      <c r="K1807" s="2" t="s">
        <v>21979</v>
      </c>
      <c r="L1807" s="2" t="s">
        <v>21980</v>
      </c>
      <c r="M1807" s="3" t="s">
        <v>21981</v>
      </c>
      <c r="O1807" s="3" t="s">
        <v>63</v>
      </c>
      <c r="P1807" s="3" t="s">
        <v>571</v>
      </c>
      <c r="R1807" s="3" t="s">
        <v>65</v>
      </c>
      <c r="S1807" s="4">
        <v>1</v>
      </c>
      <c r="T1807" s="4">
        <v>84</v>
      </c>
      <c r="U1807" s="5" t="s">
        <v>22066</v>
      </c>
      <c r="V1807" s="5" t="s">
        <v>21982</v>
      </c>
      <c r="W1807" s="5" t="s">
        <v>21983</v>
      </c>
      <c r="X1807" s="5" t="s">
        <v>21984</v>
      </c>
      <c r="Y1807" s="4">
        <v>198</v>
      </c>
      <c r="Z1807" s="4">
        <v>171</v>
      </c>
      <c r="AA1807" s="4">
        <v>207</v>
      </c>
      <c r="AB1807" s="4">
        <v>2</v>
      </c>
      <c r="AC1807" s="4">
        <v>2</v>
      </c>
      <c r="AD1807" s="4">
        <v>16</v>
      </c>
      <c r="AE1807" s="4">
        <v>16</v>
      </c>
      <c r="AF1807" s="4">
        <v>4</v>
      </c>
      <c r="AG1807" s="4">
        <v>4</v>
      </c>
      <c r="AH1807" s="4">
        <v>4</v>
      </c>
      <c r="AI1807" s="4">
        <v>4</v>
      </c>
      <c r="AJ1807" s="4">
        <v>10</v>
      </c>
      <c r="AK1807" s="4">
        <v>10</v>
      </c>
      <c r="AL1807" s="4">
        <v>1</v>
      </c>
      <c r="AM1807" s="4">
        <v>1</v>
      </c>
      <c r="AN1807" s="4">
        <v>0</v>
      </c>
      <c r="AO1807" s="4">
        <v>0</v>
      </c>
      <c r="AP1807" s="3" t="s">
        <v>68</v>
      </c>
      <c r="AQ1807" s="3" t="s">
        <v>58</v>
      </c>
      <c r="AR1807" s="6" t="str">
        <f t="shared" si="9"/>
        <v>HathiTrust Record</v>
      </c>
      <c r="AS1807" s="6" t="str">
        <f t="shared" si="10"/>
        <v>Catalog Record</v>
      </c>
      <c r="AT1807" s="6" t="str">
        <f t="shared" si="11"/>
        <v>WorldCat Record</v>
      </c>
      <c r="AU1807" s="3" t="s">
        <v>21985</v>
      </c>
      <c r="AV1807" s="3" t="s">
        <v>21986</v>
      </c>
      <c r="AW1807" s="3" t="s">
        <v>21987</v>
      </c>
      <c r="AX1807" s="3" t="s">
        <v>21987</v>
      </c>
      <c r="AY1807" s="3" t="s">
        <v>21988</v>
      </c>
      <c r="AZ1807" s="3" t="s">
        <v>73</v>
      </c>
      <c r="BC1807" s="3" t="s">
        <v>22153</v>
      </c>
      <c r="BD1807" s="3" t="s">
        <v>22154</v>
      </c>
    </row>
    <row r="1808" spans="1:56" ht="51" customHeight="1" x14ac:dyDescent="0.25">
      <c r="A1808" s="7" t="s">
        <v>58</v>
      </c>
      <c r="B1808" s="2" t="s">
        <v>21975</v>
      </c>
      <c r="C1808" s="2" t="s">
        <v>21976</v>
      </c>
      <c r="D1808" s="2" t="s">
        <v>21977</v>
      </c>
      <c r="E1808" s="3" t="s">
        <v>22155</v>
      </c>
      <c r="F1808" s="3" t="s">
        <v>68</v>
      </c>
      <c r="G1808" s="3" t="s">
        <v>59</v>
      </c>
      <c r="H1808" s="3" t="s">
        <v>58</v>
      </c>
      <c r="I1808" s="3" t="s">
        <v>58</v>
      </c>
      <c r="J1808" s="3" t="s">
        <v>60</v>
      </c>
      <c r="K1808" s="2" t="s">
        <v>21979</v>
      </c>
      <c r="L1808" s="2" t="s">
        <v>21980</v>
      </c>
      <c r="M1808" s="3" t="s">
        <v>21981</v>
      </c>
      <c r="O1808" s="3" t="s">
        <v>63</v>
      </c>
      <c r="P1808" s="3" t="s">
        <v>571</v>
      </c>
      <c r="R1808" s="3" t="s">
        <v>65</v>
      </c>
      <c r="S1808" s="4">
        <v>2</v>
      </c>
      <c r="T1808" s="4">
        <v>84</v>
      </c>
      <c r="U1808" s="5" t="s">
        <v>22029</v>
      </c>
      <c r="V1808" s="5" t="s">
        <v>21982</v>
      </c>
      <c r="W1808" s="5" t="s">
        <v>21983</v>
      </c>
      <c r="X1808" s="5" t="s">
        <v>21984</v>
      </c>
      <c r="Y1808" s="4">
        <v>198</v>
      </c>
      <c r="Z1808" s="4">
        <v>171</v>
      </c>
      <c r="AA1808" s="4">
        <v>207</v>
      </c>
      <c r="AB1808" s="4">
        <v>2</v>
      </c>
      <c r="AC1808" s="4">
        <v>2</v>
      </c>
      <c r="AD1808" s="4">
        <v>16</v>
      </c>
      <c r="AE1808" s="4">
        <v>16</v>
      </c>
      <c r="AF1808" s="4">
        <v>4</v>
      </c>
      <c r="AG1808" s="4">
        <v>4</v>
      </c>
      <c r="AH1808" s="4">
        <v>4</v>
      </c>
      <c r="AI1808" s="4">
        <v>4</v>
      </c>
      <c r="AJ1808" s="4">
        <v>10</v>
      </c>
      <c r="AK1808" s="4">
        <v>10</v>
      </c>
      <c r="AL1808" s="4">
        <v>1</v>
      </c>
      <c r="AM1808" s="4">
        <v>1</v>
      </c>
      <c r="AN1808" s="4">
        <v>0</v>
      </c>
      <c r="AO1808" s="4">
        <v>0</v>
      </c>
      <c r="AP1808" s="3" t="s">
        <v>68</v>
      </c>
      <c r="AQ1808" s="3" t="s">
        <v>58</v>
      </c>
      <c r="AR1808" s="6" t="str">
        <f t="shared" si="9"/>
        <v>HathiTrust Record</v>
      </c>
      <c r="AS1808" s="6" t="str">
        <f t="shared" si="10"/>
        <v>Catalog Record</v>
      </c>
      <c r="AT1808" s="6" t="str">
        <f t="shared" si="11"/>
        <v>WorldCat Record</v>
      </c>
      <c r="AU1808" s="3" t="s">
        <v>21985</v>
      </c>
      <c r="AV1808" s="3" t="s">
        <v>21986</v>
      </c>
      <c r="AW1808" s="3" t="s">
        <v>21987</v>
      </c>
      <c r="AX1808" s="3" t="s">
        <v>21987</v>
      </c>
      <c r="AY1808" s="3" t="s">
        <v>21988</v>
      </c>
      <c r="AZ1808" s="3" t="s">
        <v>73</v>
      </c>
      <c r="BC1808" s="3" t="s">
        <v>22156</v>
      </c>
      <c r="BD1808" s="3" t="s">
        <v>22157</v>
      </c>
    </row>
    <row r="1809" spans="1:56" ht="51" customHeight="1" x14ac:dyDescent="0.25">
      <c r="A1809" s="7" t="s">
        <v>58</v>
      </c>
      <c r="B1809" s="2" t="s">
        <v>21975</v>
      </c>
      <c r="C1809" s="2" t="s">
        <v>21976</v>
      </c>
      <c r="D1809" s="2" t="s">
        <v>21977</v>
      </c>
      <c r="E1809" s="3" t="s">
        <v>22158</v>
      </c>
      <c r="F1809" s="3" t="s">
        <v>68</v>
      </c>
      <c r="G1809" s="3" t="s">
        <v>59</v>
      </c>
      <c r="H1809" s="3" t="s">
        <v>58</v>
      </c>
      <c r="I1809" s="3" t="s">
        <v>58</v>
      </c>
      <c r="J1809" s="3" t="s">
        <v>60</v>
      </c>
      <c r="K1809" s="2" t="s">
        <v>21979</v>
      </c>
      <c r="L1809" s="2" t="s">
        <v>21980</v>
      </c>
      <c r="M1809" s="3" t="s">
        <v>21981</v>
      </c>
      <c r="O1809" s="3" t="s">
        <v>63</v>
      </c>
      <c r="P1809" s="3" t="s">
        <v>571</v>
      </c>
      <c r="R1809" s="3" t="s">
        <v>65</v>
      </c>
      <c r="S1809" s="4">
        <v>1</v>
      </c>
      <c r="T1809" s="4">
        <v>84</v>
      </c>
      <c r="U1809" s="5" t="s">
        <v>22019</v>
      </c>
      <c r="V1809" s="5" t="s">
        <v>21982</v>
      </c>
      <c r="W1809" s="5" t="s">
        <v>21983</v>
      </c>
      <c r="X1809" s="5" t="s">
        <v>21984</v>
      </c>
      <c r="Y1809" s="4">
        <v>198</v>
      </c>
      <c r="Z1809" s="4">
        <v>171</v>
      </c>
      <c r="AA1809" s="4">
        <v>207</v>
      </c>
      <c r="AB1809" s="4">
        <v>2</v>
      </c>
      <c r="AC1809" s="4">
        <v>2</v>
      </c>
      <c r="AD1809" s="4">
        <v>16</v>
      </c>
      <c r="AE1809" s="4">
        <v>16</v>
      </c>
      <c r="AF1809" s="4">
        <v>4</v>
      </c>
      <c r="AG1809" s="4">
        <v>4</v>
      </c>
      <c r="AH1809" s="4">
        <v>4</v>
      </c>
      <c r="AI1809" s="4">
        <v>4</v>
      </c>
      <c r="AJ1809" s="4">
        <v>10</v>
      </c>
      <c r="AK1809" s="4">
        <v>10</v>
      </c>
      <c r="AL1809" s="4">
        <v>1</v>
      </c>
      <c r="AM1809" s="4">
        <v>1</v>
      </c>
      <c r="AN1809" s="4">
        <v>0</v>
      </c>
      <c r="AO1809" s="4">
        <v>0</v>
      </c>
      <c r="AP1809" s="3" t="s">
        <v>68</v>
      </c>
      <c r="AQ1809" s="3" t="s">
        <v>58</v>
      </c>
      <c r="AR1809" s="6" t="str">
        <f t="shared" si="9"/>
        <v>HathiTrust Record</v>
      </c>
      <c r="AS1809" s="6" t="str">
        <f t="shared" si="10"/>
        <v>Catalog Record</v>
      </c>
      <c r="AT1809" s="6" t="str">
        <f t="shared" si="11"/>
        <v>WorldCat Record</v>
      </c>
      <c r="AU1809" s="3" t="s">
        <v>21985</v>
      </c>
      <c r="AV1809" s="3" t="s">
        <v>21986</v>
      </c>
      <c r="AW1809" s="3" t="s">
        <v>21987</v>
      </c>
      <c r="AX1809" s="3" t="s">
        <v>21987</v>
      </c>
      <c r="AY1809" s="3" t="s">
        <v>21988</v>
      </c>
      <c r="AZ1809" s="3" t="s">
        <v>73</v>
      </c>
      <c r="BC1809" s="3" t="s">
        <v>22159</v>
      </c>
      <c r="BD1809" s="3" t="s">
        <v>22160</v>
      </c>
    </row>
    <row r="1810" spans="1:56" ht="51" customHeight="1" x14ac:dyDescent="0.25">
      <c r="A1810" s="7" t="s">
        <v>58</v>
      </c>
      <c r="B1810" s="2" t="s">
        <v>22161</v>
      </c>
      <c r="C1810" s="2" t="s">
        <v>22162</v>
      </c>
      <c r="D1810" s="2" t="s">
        <v>22163</v>
      </c>
      <c r="F1810" s="3" t="s">
        <v>58</v>
      </c>
      <c r="G1810" s="3" t="s">
        <v>59</v>
      </c>
      <c r="H1810" s="3" t="s">
        <v>58</v>
      </c>
      <c r="I1810" s="3" t="s">
        <v>58</v>
      </c>
      <c r="J1810" s="3" t="s">
        <v>60</v>
      </c>
      <c r="K1810" s="2" t="s">
        <v>22164</v>
      </c>
      <c r="L1810" s="2" t="s">
        <v>22165</v>
      </c>
      <c r="M1810" s="3" t="s">
        <v>2757</v>
      </c>
      <c r="O1810" s="3" t="s">
        <v>63</v>
      </c>
      <c r="P1810" s="3" t="s">
        <v>354</v>
      </c>
      <c r="Q1810" s="2" t="s">
        <v>13368</v>
      </c>
      <c r="R1810" s="3" t="s">
        <v>65</v>
      </c>
      <c r="S1810" s="4">
        <v>13</v>
      </c>
      <c r="T1810" s="4">
        <v>13</v>
      </c>
      <c r="U1810" s="5" t="s">
        <v>22166</v>
      </c>
      <c r="V1810" s="5" t="s">
        <v>22166</v>
      </c>
      <c r="W1810" s="5" t="s">
        <v>22167</v>
      </c>
      <c r="X1810" s="5" t="s">
        <v>22167</v>
      </c>
      <c r="Y1810" s="4">
        <v>1052</v>
      </c>
      <c r="Z1810" s="4">
        <v>987</v>
      </c>
      <c r="AA1810" s="4">
        <v>1021</v>
      </c>
      <c r="AB1810" s="4">
        <v>7</v>
      </c>
      <c r="AC1810" s="4">
        <v>7</v>
      </c>
      <c r="AD1810" s="4">
        <v>46</v>
      </c>
      <c r="AE1810" s="4">
        <v>46</v>
      </c>
      <c r="AF1810" s="4">
        <v>20</v>
      </c>
      <c r="AG1810" s="4">
        <v>20</v>
      </c>
      <c r="AH1810" s="4">
        <v>9</v>
      </c>
      <c r="AI1810" s="4">
        <v>9</v>
      </c>
      <c r="AJ1810" s="4">
        <v>22</v>
      </c>
      <c r="AK1810" s="4">
        <v>22</v>
      </c>
      <c r="AL1810" s="4">
        <v>6</v>
      </c>
      <c r="AM1810" s="4">
        <v>6</v>
      </c>
      <c r="AN1810" s="4">
        <v>0</v>
      </c>
      <c r="AO1810" s="4">
        <v>0</v>
      </c>
      <c r="AP1810" s="3" t="s">
        <v>58</v>
      </c>
      <c r="AQ1810" s="3" t="s">
        <v>68</v>
      </c>
      <c r="AR1810" s="6" t="str">
        <f>HYPERLINK("http://catalog.hathitrust.org/Record/001256766","HathiTrust Record")</f>
        <v>HathiTrust Record</v>
      </c>
      <c r="AS1810" s="6" t="str">
        <f>HYPERLINK("https://creighton-primo.hosted.exlibrisgroup.com/primo-explore/search?tab=default_tab&amp;search_scope=EVERYTHING&amp;vid=01CRU&amp;lang=en_US&amp;offset=0&amp;query=any,contains,991001651399702656","Catalog Record")</f>
        <v>Catalog Record</v>
      </c>
      <c r="AT1810" s="6" t="str">
        <f>HYPERLINK("http://www.worldcat.org/oclc/233903","WorldCat Record")</f>
        <v>WorldCat Record</v>
      </c>
      <c r="AU1810" s="3" t="s">
        <v>22168</v>
      </c>
      <c r="AV1810" s="3" t="s">
        <v>22169</v>
      </c>
      <c r="AW1810" s="3" t="s">
        <v>22170</v>
      </c>
      <c r="AX1810" s="3" t="s">
        <v>22170</v>
      </c>
      <c r="AY1810" s="3" t="s">
        <v>22171</v>
      </c>
      <c r="AZ1810" s="3" t="s">
        <v>73</v>
      </c>
      <c r="BC1810" s="3" t="s">
        <v>22172</v>
      </c>
      <c r="BD1810" s="3" t="s">
        <v>22173</v>
      </c>
    </row>
    <row r="1811" spans="1:56" ht="51" customHeight="1" x14ac:dyDescent="0.25">
      <c r="A1811" s="7" t="s">
        <v>58</v>
      </c>
      <c r="B1811" s="2" t="s">
        <v>22174</v>
      </c>
      <c r="C1811" s="2" t="s">
        <v>22175</v>
      </c>
      <c r="D1811" s="2" t="s">
        <v>22176</v>
      </c>
      <c r="F1811" s="3" t="s">
        <v>58</v>
      </c>
      <c r="G1811" s="3" t="s">
        <v>59</v>
      </c>
      <c r="H1811" s="3" t="s">
        <v>58</v>
      </c>
      <c r="I1811" s="3" t="s">
        <v>58</v>
      </c>
      <c r="J1811" s="3" t="s">
        <v>60</v>
      </c>
      <c r="K1811" s="2" t="s">
        <v>22177</v>
      </c>
      <c r="L1811" s="2" t="s">
        <v>22178</v>
      </c>
      <c r="M1811" s="3" t="s">
        <v>1153</v>
      </c>
      <c r="O1811" s="3" t="s">
        <v>63</v>
      </c>
      <c r="P1811" s="3" t="s">
        <v>214</v>
      </c>
      <c r="Q1811" s="2" t="s">
        <v>13586</v>
      </c>
      <c r="R1811" s="3" t="s">
        <v>65</v>
      </c>
      <c r="S1811" s="4">
        <v>15</v>
      </c>
      <c r="T1811" s="4">
        <v>15</v>
      </c>
      <c r="U1811" s="5" t="s">
        <v>22179</v>
      </c>
      <c r="V1811" s="5" t="s">
        <v>22179</v>
      </c>
      <c r="W1811" s="5" t="s">
        <v>656</v>
      </c>
      <c r="X1811" s="5" t="s">
        <v>656</v>
      </c>
      <c r="Y1811" s="4">
        <v>368</v>
      </c>
      <c r="Z1811" s="4">
        <v>350</v>
      </c>
      <c r="AA1811" s="4">
        <v>404</v>
      </c>
      <c r="AB1811" s="4">
        <v>3</v>
      </c>
      <c r="AC1811" s="4">
        <v>4</v>
      </c>
      <c r="AD1811" s="4">
        <v>8</v>
      </c>
      <c r="AE1811" s="4">
        <v>10</v>
      </c>
      <c r="AF1811" s="4">
        <v>4</v>
      </c>
      <c r="AG1811" s="4">
        <v>5</v>
      </c>
      <c r="AH1811" s="4">
        <v>2</v>
      </c>
      <c r="AI1811" s="4">
        <v>2</v>
      </c>
      <c r="AJ1811" s="4">
        <v>2</v>
      </c>
      <c r="AK1811" s="4">
        <v>3</v>
      </c>
      <c r="AL1811" s="4">
        <v>2</v>
      </c>
      <c r="AM1811" s="4">
        <v>3</v>
      </c>
      <c r="AN1811" s="4">
        <v>0</v>
      </c>
      <c r="AO1811" s="4">
        <v>0</v>
      </c>
      <c r="AP1811" s="3" t="s">
        <v>58</v>
      </c>
      <c r="AQ1811" s="3" t="s">
        <v>68</v>
      </c>
      <c r="AR1811" s="6" t="str">
        <f>HYPERLINK("http://catalog.hathitrust.org/Record/001256772","HathiTrust Record")</f>
        <v>HathiTrust Record</v>
      </c>
      <c r="AS1811" s="6" t="str">
        <f>HYPERLINK("https://creighton-primo.hosted.exlibrisgroup.com/primo-explore/search?tab=default_tab&amp;search_scope=EVERYTHING&amp;vid=01CRU&amp;lang=en_US&amp;offset=0&amp;query=any,contains,991003155819702656","Catalog Record")</f>
        <v>Catalog Record</v>
      </c>
      <c r="AT1811" s="6" t="str">
        <f>HYPERLINK("http://www.worldcat.org/oclc/695241","WorldCat Record")</f>
        <v>WorldCat Record</v>
      </c>
      <c r="AU1811" s="3" t="s">
        <v>22180</v>
      </c>
      <c r="AV1811" s="3" t="s">
        <v>22181</v>
      </c>
      <c r="AW1811" s="3" t="s">
        <v>22182</v>
      </c>
      <c r="AX1811" s="3" t="s">
        <v>22182</v>
      </c>
      <c r="AY1811" s="3" t="s">
        <v>22183</v>
      </c>
      <c r="AZ1811" s="3" t="s">
        <v>73</v>
      </c>
      <c r="BC1811" s="3" t="s">
        <v>22184</v>
      </c>
      <c r="BD1811" s="3" t="s">
        <v>22185</v>
      </c>
    </row>
    <row r="1812" spans="1:56" ht="51" customHeight="1" x14ac:dyDescent="0.25">
      <c r="A1812" s="7" t="s">
        <v>58</v>
      </c>
      <c r="B1812" s="2" t="s">
        <v>22186</v>
      </c>
      <c r="C1812" s="2" t="s">
        <v>22187</v>
      </c>
      <c r="D1812" s="2" t="s">
        <v>22188</v>
      </c>
      <c r="F1812" s="3" t="s">
        <v>58</v>
      </c>
      <c r="G1812" s="3" t="s">
        <v>59</v>
      </c>
      <c r="H1812" s="3" t="s">
        <v>58</v>
      </c>
      <c r="I1812" s="3" t="s">
        <v>58</v>
      </c>
      <c r="J1812" s="3" t="s">
        <v>60</v>
      </c>
      <c r="K1812" s="2" t="s">
        <v>22189</v>
      </c>
      <c r="L1812" s="2" t="s">
        <v>22190</v>
      </c>
      <c r="M1812" s="3" t="s">
        <v>22191</v>
      </c>
      <c r="O1812" s="3" t="s">
        <v>63</v>
      </c>
      <c r="P1812" s="3" t="s">
        <v>214</v>
      </c>
      <c r="R1812" s="3" t="s">
        <v>65</v>
      </c>
      <c r="S1812" s="4">
        <v>3</v>
      </c>
      <c r="T1812" s="4">
        <v>3</v>
      </c>
      <c r="U1812" s="5" t="s">
        <v>22192</v>
      </c>
      <c r="V1812" s="5" t="s">
        <v>22192</v>
      </c>
      <c r="W1812" s="5" t="s">
        <v>17547</v>
      </c>
      <c r="X1812" s="5" t="s">
        <v>17547</v>
      </c>
      <c r="Y1812" s="4">
        <v>40</v>
      </c>
      <c r="Z1812" s="4">
        <v>35</v>
      </c>
      <c r="AA1812" s="4">
        <v>226</v>
      </c>
      <c r="AB1812" s="4">
        <v>1</v>
      </c>
      <c r="AC1812" s="4">
        <v>2</v>
      </c>
      <c r="AD1812" s="4">
        <v>0</v>
      </c>
      <c r="AE1812" s="4">
        <v>13</v>
      </c>
      <c r="AF1812" s="4">
        <v>0</v>
      </c>
      <c r="AG1812" s="4">
        <v>3</v>
      </c>
      <c r="AH1812" s="4">
        <v>0</v>
      </c>
      <c r="AI1812" s="4">
        <v>4</v>
      </c>
      <c r="AJ1812" s="4">
        <v>0</v>
      </c>
      <c r="AK1812" s="4">
        <v>7</v>
      </c>
      <c r="AL1812" s="4">
        <v>0</v>
      </c>
      <c r="AM1812" s="4">
        <v>1</v>
      </c>
      <c r="AN1812" s="4">
        <v>0</v>
      </c>
      <c r="AO1812" s="4">
        <v>0</v>
      </c>
      <c r="AP1812" s="3" t="s">
        <v>68</v>
      </c>
      <c r="AQ1812" s="3" t="s">
        <v>58</v>
      </c>
      <c r="AR1812" s="6" t="str">
        <f>HYPERLINK("http://catalog.hathitrust.org/Record/100517441","HathiTrust Record")</f>
        <v>HathiTrust Record</v>
      </c>
      <c r="AS1812" s="6" t="str">
        <f>HYPERLINK("https://creighton-primo.hosted.exlibrisgroup.com/primo-explore/search?tab=default_tab&amp;search_scope=EVERYTHING&amp;vid=01CRU&amp;lang=en_US&amp;offset=0&amp;query=any,contains,991003022719702656","Catalog Record")</f>
        <v>Catalog Record</v>
      </c>
      <c r="AT1812" s="6" t="str">
        <f>HYPERLINK("http://www.worldcat.org/oclc/587476","WorldCat Record")</f>
        <v>WorldCat Record</v>
      </c>
      <c r="AU1812" s="3" t="s">
        <v>22193</v>
      </c>
      <c r="AV1812" s="3" t="s">
        <v>22194</v>
      </c>
      <c r="AW1812" s="3" t="s">
        <v>22195</v>
      </c>
      <c r="AX1812" s="3" t="s">
        <v>22195</v>
      </c>
      <c r="AY1812" s="3" t="s">
        <v>22196</v>
      </c>
      <c r="AZ1812" s="3" t="s">
        <v>73</v>
      </c>
      <c r="BC1812" s="3" t="s">
        <v>22197</v>
      </c>
      <c r="BD1812" s="3" t="s">
        <v>22198</v>
      </c>
    </row>
    <row r="1813" spans="1:56" ht="51" customHeight="1" x14ac:dyDescent="0.25">
      <c r="A1813" s="7" t="s">
        <v>58</v>
      </c>
      <c r="B1813" s="2" t="s">
        <v>22199</v>
      </c>
      <c r="C1813" s="2" t="s">
        <v>22200</v>
      </c>
      <c r="D1813" s="2" t="s">
        <v>22201</v>
      </c>
      <c r="F1813" s="3" t="s">
        <v>58</v>
      </c>
      <c r="G1813" s="3" t="s">
        <v>59</v>
      </c>
      <c r="H1813" s="3" t="s">
        <v>58</v>
      </c>
      <c r="I1813" s="3" t="s">
        <v>58</v>
      </c>
      <c r="J1813" s="3" t="s">
        <v>60</v>
      </c>
      <c r="K1813" s="2" t="s">
        <v>22202</v>
      </c>
      <c r="L1813" s="2" t="s">
        <v>22203</v>
      </c>
      <c r="M1813" s="3" t="s">
        <v>183</v>
      </c>
      <c r="O1813" s="3" t="s">
        <v>63</v>
      </c>
      <c r="P1813" s="3" t="s">
        <v>214</v>
      </c>
      <c r="R1813" s="3" t="s">
        <v>65</v>
      </c>
      <c r="S1813" s="4">
        <v>1</v>
      </c>
      <c r="T1813" s="4">
        <v>1</v>
      </c>
      <c r="U1813" s="5" t="s">
        <v>22204</v>
      </c>
      <c r="V1813" s="5" t="s">
        <v>22204</v>
      </c>
      <c r="W1813" s="5" t="s">
        <v>20954</v>
      </c>
      <c r="X1813" s="5" t="s">
        <v>20954</v>
      </c>
      <c r="Y1813" s="4">
        <v>951</v>
      </c>
      <c r="Z1813" s="4">
        <v>903</v>
      </c>
      <c r="AA1813" s="4">
        <v>943</v>
      </c>
      <c r="AB1813" s="4">
        <v>12</v>
      </c>
      <c r="AC1813" s="4">
        <v>14</v>
      </c>
      <c r="AD1813" s="4">
        <v>29</v>
      </c>
      <c r="AE1813" s="4">
        <v>30</v>
      </c>
      <c r="AF1813" s="4">
        <v>10</v>
      </c>
      <c r="AG1813" s="4">
        <v>10</v>
      </c>
      <c r="AH1813" s="4">
        <v>5</v>
      </c>
      <c r="AI1813" s="4">
        <v>5</v>
      </c>
      <c r="AJ1813" s="4">
        <v>13</v>
      </c>
      <c r="AK1813" s="4">
        <v>13</v>
      </c>
      <c r="AL1813" s="4">
        <v>8</v>
      </c>
      <c r="AM1813" s="4">
        <v>9</v>
      </c>
      <c r="AN1813" s="4">
        <v>0</v>
      </c>
      <c r="AO1813" s="4">
        <v>0</v>
      </c>
      <c r="AP1813" s="3" t="s">
        <v>58</v>
      </c>
      <c r="AQ1813" s="3" t="s">
        <v>58</v>
      </c>
      <c r="AS1813" s="6" t="str">
        <f>HYPERLINK("https://creighton-primo.hosted.exlibrisgroup.com/primo-explore/search?tab=default_tab&amp;search_scope=EVERYTHING&amp;vid=01CRU&amp;lang=en_US&amp;offset=0&amp;query=any,contains,991004157919702656","Catalog Record")</f>
        <v>Catalog Record</v>
      </c>
      <c r="AT1813" s="6" t="str">
        <f>HYPERLINK("http://www.worldcat.org/oclc/2542539","WorldCat Record")</f>
        <v>WorldCat Record</v>
      </c>
      <c r="AU1813" s="3" t="s">
        <v>22205</v>
      </c>
      <c r="AV1813" s="3" t="s">
        <v>22206</v>
      </c>
      <c r="AW1813" s="3" t="s">
        <v>22207</v>
      </c>
      <c r="AX1813" s="3" t="s">
        <v>22207</v>
      </c>
      <c r="AY1813" s="3" t="s">
        <v>22208</v>
      </c>
      <c r="AZ1813" s="3" t="s">
        <v>73</v>
      </c>
      <c r="BB1813" s="3" t="s">
        <v>22209</v>
      </c>
      <c r="BC1813" s="3" t="s">
        <v>22210</v>
      </c>
      <c r="BD1813" s="3" t="s">
        <v>22211</v>
      </c>
    </row>
    <row r="1814" spans="1:56" ht="51" customHeight="1" x14ac:dyDescent="0.25">
      <c r="A1814" s="7" t="s">
        <v>58</v>
      </c>
      <c r="B1814" s="2" t="s">
        <v>22212</v>
      </c>
      <c r="C1814" s="2" t="s">
        <v>22213</v>
      </c>
      <c r="D1814" s="2" t="s">
        <v>22214</v>
      </c>
      <c r="F1814" s="3" t="s">
        <v>58</v>
      </c>
      <c r="G1814" s="3" t="s">
        <v>59</v>
      </c>
      <c r="H1814" s="3" t="s">
        <v>58</v>
      </c>
      <c r="I1814" s="3" t="s">
        <v>58</v>
      </c>
      <c r="J1814" s="3" t="s">
        <v>60</v>
      </c>
      <c r="K1814" s="2" t="s">
        <v>22215</v>
      </c>
      <c r="L1814" s="2" t="s">
        <v>22216</v>
      </c>
      <c r="M1814" s="3" t="s">
        <v>22217</v>
      </c>
      <c r="N1814" s="2" t="s">
        <v>13327</v>
      </c>
      <c r="O1814" s="3" t="s">
        <v>63</v>
      </c>
      <c r="P1814" s="3" t="s">
        <v>214</v>
      </c>
      <c r="R1814" s="3" t="s">
        <v>65</v>
      </c>
      <c r="S1814" s="4">
        <v>1</v>
      </c>
      <c r="T1814" s="4">
        <v>1</v>
      </c>
      <c r="U1814" s="5" t="s">
        <v>22218</v>
      </c>
      <c r="V1814" s="5" t="s">
        <v>22218</v>
      </c>
      <c r="W1814" s="5" t="s">
        <v>15262</v>
      </c>
      <c r="X1814" s="5" t="s">
        <v>15262</v>
      </c>
      <c r="Y1814" s="4">
        <v>1759</v>
      </c>
      <c r="Z1814" s="4">
        <v>1670</v>
      </c>
      <c r="AA1814" s="4">
        <v>1915</v>
      </c>
      <c r="AB1814" s="4">
        <v>16</v>
      </c>
      <c r="AC1814" s="4">
        <v>19</v>
      </c>
      <c r="AD1814" s="4">
        <v>54</v>
      </c>
      <c r="AE1814" s="4">
        <v>56</v>
      </c>
      <c r="AF1814" s="4">
        <v>23</v>
      </c>
      <c r="AG1814" s="4">
        <v>23</v>
      </c>
      <c r="AH1814" s="4">
        <v>9</v>
      </c>
      <c r="AI1814" s="4">
        <v>10</v>
      </c>
      <c r="AJ1814" s="4">
        <v>25</v>
      </c>
      <c r="AK1814" s="4">
        <v>26</v>
      </c>
      <c r="AL1814" s="4">
        <v>10</v>
      </c>
      <c r="AM1814" s="4">
        <v>11</v>
      </c>
      <c r="AN1814" s="4">
        <v>0</v>
      </c>
      <c r="AO1814" s="4">
        <v>0</v>
      </c>
      <c r="AP1814" s="3" t="s">
        <v>58</v>
      </c>
      <c r="AQ1814" s="3" t="s">
        <v>68</v>
      </c>
      <c r="AR1814" s="6" t="str">
        <f>HYPERLINK("http://catalog.hathitrust.org/Record/001241426","HathiTrust Record")</f>
        <v>HathiTrust Record</v>
      </c>
      <c r="AS1814" s="6" t="str">
        <f>HYPERLINK("https://creighton-primo.hosted.exlibrisgroup.com/primo-explore/search?tab=default_tab&amp;search_scope=EVERYTHING&amp;vid=01CRU&amp;lang=en_US&amp;offset=0&amp;query=any,contains,991002203029702656","Catalog Record")</f>
        <v>Catalog Record</v>
      </c>
      <c r="AT1814" s="6" t="str">
        <f>HYPERLINK("http://www.worldcat.org/oclc/284899","WorldCat Record")</f>
        <v>WorldCat Record</v>
      </c>
      <c r="AU1814" s="3" t="s">
        <v>22219</v>
      </c>
      <c r="AV1814" s="3" t="s">
        <v>22220</v>
      </c>
      <c r="AW1814" s="3" t="s">
        <v>22221</v>
      </c>
      <c r="AX1814" s="3" t="s">
        <v>22221</v>
      </c>
      <c r="AY1814" s="3" t="s">
        <v>22222</v>
      </c>
      <c r="AZ1814" s="3" t="s">
        <v>73</v>
      </c>
      <c r="BC1814" s="3" t="s">
        <v>22223</v>
      </c>
      <c r="BD1814" s="3" t="s">
        <v>22224</v>
      </c>
    </row>
    <row r="1815" spans="1:56" ht="51" customHeight="1" x14ac:dyDescent="0.25">
      <c r="A1815" s="7" t="s">
        <v>58</v>
      </c>
      <c r="B1815" s="2" t="s">
        <v>22225</v>
      </c>
      <c r="C1815" s="2" t="s">
        <v>22226</v>
      </c>
      <c r="D1815" s="2" t="s">
        <v>22227</v>
      </c>
      <c r="F1815" s="3" t="s">
        <v>58</v>
      </c>
      <c r="G1815" s="3" t="s">
        <v>59</v>
      </c>
      <c r="H1815" s="3" t="s">
        <v>58</v>
      </c>
      <c r="I1815" s="3" t="s">
        <v>58</v>
      </c>
      <c r="J1815" s="3" t="s">
        <v>60</v>
      </c>
      <c r="K1815" s="2" t="s">
        <v>22228</v>
      </c>
      <c r="L1815" s="2" t="s">
        <v>22229</v>
      </c>
      <c r="M1815" s="3" t="s">
        <v>598</v>
      </c>
      <c r="O1815" s="3" t="s">
        <v>63</v>
      </c>
      <c r="P1815" s="3" t="s">
        <v>571</v>
      </c>
      <c r="R1815" s="3" t="s">
        <v>65</v>
      </c>
      <c r="S1815" s="4">
        <v>1</v>
      </c>
      <c r="T1815" s="4">
        <v>1</v>
      </c>
      <c r="U1815" s="5" t="s">
        <v>157</v>
      </c>
      <c r="V1815" s="5" t="s">
        <v>157</v>
      </c>
      <c r="W1815" s="5" t="s">
        <v>22230</v>
      </c>
      <c r="X1815" s="5" t="s">
        <v>22230</v>
      </c>
      <c r="Y1815" s="4">
        <v>347</v>
      </c>
      <c r="Z1815" s="4">
        <v>264</v>
      </c>
      <c r="AA1815" s="4">
        <v>270</v>
      </c>
      <c r="AB1815" s="4">
        <v>2</v>
      </c>
      <c r="AC1815" s="4">
        <v>2</v>
      </c>
      <c r="AD1815" s="4">
        <v>15</v>
      </c>
      <c r="AE1815" s="4">
        <v>15</v>
      </c>
      <c r="AF1815" s="4">
        <v>1</v>
      </c>
      <c r="AG1815" s="4">
        <v>1</v>
      </c>
      <c r="AH1815" s="4">
        <v>4</v>
      </c>
      <c r="AI1815" s="4">
        <v>4</v>
      </c>
      <c r="AJ1815" s="4">
        <v>6</v>
      </c>
      <c r="AK1815" s="4">
        <v>6</v>
      </c>
      <c r="AL1815" s="4">
        <v>0</v>
      </c>
      <c r="AM1815" s="4">
        <v>0</v>
      </c>
      <c r="AN1815" s="4">
        <v>6</v>
      </c>
      <c r="AO1815" s="4">
        <v>6</v>
      </c>
      <c r="AP1815" s="3" t="s">
        <v>58</v>
      </c>
      <c r="AQ1815" s="3" t="s">
        <v>68</v>
      </c>
      <c r="AR1815" s="6" t="str">
        <f>HYPERLINK("http://catalog.hathitrust.org/Record/001181216","HathiTrust Record")</f>
        <v>HathiTrust Record</v>
      </c>
      <c r="AS1815" s="6" t="str">
        <f>HYPERLINK("https://creighton-primo.hosted.exlibrisgroup.com/primo-explore/search?tab=default_tab&amp;search_scope=EVERYTHING&amp;vid=01CRU&amp;lang=en_US&amp;offset=0&amp;query=any,contains,991002955129702656","Catalog Record")</f>
        <v>Catalog Record</v>
      </c>
      <c r="AT1815" s="6" t="str">
        <f>HYPERLINK("http://www.worldcat.org/oclc/883794","WorldCat Record")</f>
        <v>WorldCat Record</v>
      </c>
      <c r="AU1815" s="3" t="s">
        <v>22231</v>
      </c>
      <c r="AV1815" s="3" t="s">
        <v>22232</v>
      </c>
      <c r="AW1815" s="3" t="s">
        <v>22233</v>
      </c>
      <c r="AX1815" s="3" t="s">
        <v>22233</v>
      </c>
      <c r="AY1815" s="3" t="s">
        <v>22234</v>
      </c>
      <c r="AZ1815" s="3" t="s">
        <v>73</v>
      </c>
      <c r="BC1815" s="3" t="s">
        <v>22235</v>
      </c>
      <c r="BD1815" s="3" t="s">
        <v>22236</v>
      </c>
    </row>
    <row r="1816" spans="1:56" ht="51" customHeight="1" x14ac:dyDescent="0.25">
      <c r="A1816" s="7" t="s">
        <v>58</v>
      </c>
      <c r="B1816" s="2" t="s">
        <v>22237</v>
      </c>
      <c r="C1816" s="2" t="s">
        <v>22238</v>
      </c>
      <c r="D1816" s="2" t="s">
        <v>22239</v>
      </c>
      <c r="F1816" s="3" t="s">
        <v>58</v>
      </c>
      <c r="G1816" s="3" t="s">
        <v>59</v>
      </c>
      <c r="H1816" s="3" t="s">
        <v>58</v>
      </c>
      <c r="I1816" s="3" t="s">
        <v>58</v>
      </c>
      <c r="J1816" s="3" t="s">
        <v>60</v>
      </c>
      <c r="K1816" s="2" t="s">
        <v>22240</v>
      </c>
      <c r="L1816" s="2" t="s">
        <v>22241</v>
      </c>
      <c r="M1816" s="3" t="s">
        <v>759</v>
      </c>
      <c r="N1816" s="2" t="s">
        <v>22242</v>
      </c>
      <c r="O1816" s="3" t="s">
        <v>63</v>
      </c>
      <c r="P1816" s="3" t="s">
        <v>13302</v>
      </c>
      <c r="R1816" s="3" t="s">
        <v>65</v>
      </c>
      <c r="S1816" s="4">
        <v>21</v>
      </c>
      <c r="T1816" s="4">
        <v>21</v>
      </c>
      <c r="U1816" s="5" t="s">
        <v>22243</v>
      </c>
      <c r="V1816" s="5" t="s">
        <v>22243</v>
      </c>
      <c r="W1816" s="5" t="s">
        <v>18816</v>
      </c>
      <c r="X1816" s="5" t="s">
        <v>18816</v>
      </c>
      <c r="Y1816" s="4">
        <v>260</v>
      </c>
      <c r="Z1816" s="4">
        <v>225</v>
      </c>
      <c r="AA1816" s="4">
        <v>244</v>
      </c>
      <c r="AB1816" s="4">
        <v>4</v>
      </c>
      <c r="AC1816" s="4">
        <v>4</v>
      </c>
      <c r="AD1816" s="4">
        <v>11</v>
      </c>
      <c r="AE1816" s="4">
        <v>11</v>
      </c>
      <c r="AF1816" s="4">
        <v>2</v>
      </c>
      <c r="AG1816" s="4">
        <v>2</v>
      </c>
      <c r="AH1816" s="4">
        <v>2</v>
      </c>
      <c r="AI1816" s="4">
        <v>2</v>
      </c>
      <c r="AJ1816" s="4">
        <v>5</v>
      </c>
      <c r="AK1816" s="4">
        <v>5</v>
      </c>
      <c r="AL1816" s="4">
        <v>3</v>
      </c>
      <c r="AM1816" s="4">
        <v>3</v>
      </c>
      <c r="AN1816" s="4">
        <v>0</v>
      </c>
      <c r="AO1816" s="4">
        <v>0</v>
      </c>
      <c r="AP1816" s="3" t="s">
        <v>58</v>
      </c>
      <c r="AQ1816" s="3" t="s">
        <v>68</v>
      </c>
      <c r="AR1816" s="6" t="str">
        <f>HYPERLINK("http://catalog.hathitrust.org/Record/000224998","HathiTrust Record")</f>
        <v>HathiTrust Record</v>
      </c>
      <c r="AS1816" s="6" t="str">
        <f>HYPERLINK("https://creighton-primo.hosted.exlibrisgroup.com/primo-explore/search?tab=default_tab&amp;search_scope=EVERYTHING&amp;vid=01CRU&amp;lang=en_US&amp;offset=0&amp;query=any,contains,991004998619702656","Catalog Record")</f>
        <v>Catalog Record</v>
      </c>
      <c r="AT1816" s="6" t="str">
        <f>HYPERLINK("http://www.worldcat.org/oclc/6532638","WorldCat Record")</f>
        <v>WorldCat Record</v>
      </c>
      <c r="AU1816" s="3" t="s">
        <v>22244</v>
      </c>
      <c r="AV1816" s="3" t="s">
        <v>22245</v>
      </c>
      <c r="AW1816" s="3" t="s">
        <v>22246</v>
      </c>
      <c r="AX1816" s="3" t="s">
        <v>22246</v>
      </c>
      <c r="AY1816" s="3" t="s">
        <v>22247</v>
      </c>
      <c r="AZ1816" s="3" t="s">
        <v>73</v>
      </c>
      <c r="BB1816" s="3" t="s">
        <v>22248</v>
      </c>
      <c r="BC1816" s="3" t="s">
        <v>22249</v>
      </c>
      <c r="BD1816" s="3" t="s">
        <v>22250</v>
      </c>
    </row>
    <row r="1817" spans="1:56" ht="51" customHeight="1" x14ac:dyDescent="0.25">
      <c r="A1817" s="7" t="s">
        <v>58</v>
      </c>
      <c r="B1817" s="2" t="s">
        <v>22251</v>
      </c>
      <c r="C1817" s="2" t="s">
        <v>22252</v>
      </c>
      <c r="D1817" s="2" t="s">
        <v>22253</v>
      </c>
      <c r="F1817" s="3" t="s">
        <v>58</v>
      </c>
      <c r="G1817" s="3" t="s">
        <v>59</v>
      </c>
      <c r="H1817" s="3" t="s">
        <v>58</v>
      </c>
      <c r="I1817" s="3" t="s">
        <v>58</v>
      </c>
      <c r="J1817" s="3" t="s">
        <v>60</v>
      </c>
      <c r="K1817" s="2" t="s">
        <v>22254</v>
      </c>
      <c r="L1817" s="2" t="s">
        <v>22255</v>
      </c>
      <c r="M1817" s="3" t="s">
        <v>1385</v>
      </c>
      <c r="O1817" s="3" t="s">
        <v>63</v>
      </c>
      <c r="P1817" s="3" t="s">
        <v>510</v>
      </c>
      <c r="R1817" s="3" t="s">
        <v>65</v>
      </c>
      <c r="S1817" s="4">
        <v>23</v>
      </c>
      <c r="T1817" s="4">
        <v>23</v>
      </c>
      <c r="U1817" s="5" t="s">
        <v>18117</v>
      </c>
      <c r="V1817" s="5" t="s">
        <v>18117</v>
      </c>
      <c r="W1817" s="5" t="s">
        <v>18044</v>
      </c>
      <c r="X1817" s="5" t="s">
        <v>18044</v>
      </c>
      <c r="Y1817" s="4">
        <v>100</v>
      </c>
      <c r="Z1817" s="4">
        <v>79</v>
      </c>
      <c r="AA1817" s="4">
        <v>365</v>
      </c>
      <c r="AB1817" s="4">
        <v>1</v>
      </c>
      <c r="AC1817" s="4">
        <v>3</v>
      </c>
      <c r="AD1817" s="4">
        <v>3</v>
      </c>
      <c r="AE1817" s="4">
        <v>11</v>
      </c>
      <c r="AF1817" s="4">
        <v>1</v>
      </c>
      <c r="AG1817" s="4">
        <v>3</v>
      </c>
      <c r="AH1817" s="4">
        <v>2</v>
      </c>
      <c r="AI1817" s="4">
        <v>3</v>
      </c>
      <c r="AJ1817" s="4">
        <v>1</v>
      </c>
      <c r="AK1817" s="4">
        <v>5</v>
      </c>
      <c r="AL1817" s="4">
        <v>0</v>
      </c>
      <c r="AM1817" s="4">
        <v>2</v>
      </c>
      <c r="AN1817" s="4">
        <v>0</v>
      </c>
      <c r="AO1817" s="4">
        <v>0</v>
      </c>
      <c r="AP1817" s="3" t="s">
        <v>58</v>
      </c>
      <c r="AQ1817" s="3" t="s">
        <v>68</v>
      </c>
      <c r="AR1817" s="6" t="str">
        <f>HYPERLINK("http://catalog.hathitrust.org/Record/007061499","HathiTrust Record")</f>
        <v>HathiTrust Record</v>
      </c>
      <c r="AS1817" s="6" t="str">
        <f>HYPERLINK("https://creighton-primo.hosted.exlibrisgroup.com/primo-explore/search?tab=default_tab&amp;search_scope=EVERYTHING&amp;vid=01CRU&amp;lang=en_US&amp;offset=0&amp;query=any,contains,991003188169702656","Catalog Record")</f>
        <v>Catalog Record</v>
      </c>
      <c r="AT1817" s="6" t="str">
        <f>HYPERLINK("http://www.worldcat.org/oclc/714154","WorldCat Record")</f>
        <v>WorldCat Record</v>
      </c>
      <c r="AU1817" s="3" t="s">
        <v>22256</v>
      </c>
      <c r="AV1817" s="3" t="s">
        <v>22257</v>
      </c>
      <c r="AW1817" s="3" t="s">
        <v>22258</v>
      </c>
      <c r="AX1817" s="3" t="s">
        <v>22258</v>
      </c>
      <c r="AY1817" s="3" t="s">
        <v>22259</v>
      </c>
      <c r="AZ1817" s="3" t="s">
        <v>73</v>
      </c>
      <c r="BB1817" s="3" t="s">
        <v>22260</v>
      </c>
      <c r="BC1817" s="3" t="s">
        <v>22261</v>
      </c>
      <c r="BD1817" s="3" t="s">
        <v>22262</v>
      </c>
    </row>
    <row r="1818" spans="1:56" ht="51" customHeight="1" x14ac:dyDescent="0.25">
      <c r="A1818" s="7" t="s">
        <v>58</v>
      </c>
      <c r="B1818" s="2" t="s">
        <v>22263</v>
      </c>
      <c r="C1818" s="2" t="s">
        <v>22264</v>
      </c>
      <c r="D1818" s="2" t="s">
        <v>22265</v>
      </c>
      <c r="F1818" s="3" t="s">
        <v>58</v>
      </c>
      <c r="G1818" s="3" t="s">
        <v>59</v>
      </c>
      <c r="H1818" s="3" t="s">
        <v>58</v>
      </c>
      <c r="I1818" s="3" t="s">
        <v>58</v>
      </c>
      <c r="J1818" s="3" t="s">
        <v>60</v>
      </c>
      <c r="K1818" s="2" t="s">
        <v>22266</v>
      </c>
      <c r="L1818" s="2" t="s">
        <v>22267</v>
      </c>
      <c r="M1818" s="3" t="s">
        <v>2295</v>
      </c>
      <c r="N1818" s="2" t="s">
        <v>338</v>
      </c>
      <c r="O1818" s="3" t="s">
        <v>63</v>
      </c>
      <c r="P1818" s="3" t="s">
        <v>214</v>
      </c>
      <c r="R1818" s="3" t="s">
        <v>65</v>
      </c>
      <c r="S1818" s="4">
        <v>2</v>
      </c>
      <c r="T1818" s="4">
        <v>2</v>
      </c>
      <c r="U1818" s="5" t="s">
        <v>22268</v>
      </c>
      <c r="V1818" s="5" t="s">
        <v>22268</v>
      </c>
      <c r="W1818" s="5" t="s">
        <v>22268</v>
      </c>
      <c r="X1818" s="5" t="s">
        <v>22268</v>
      </c>
      <c r="Y1818" s="4">
        <v>645</v>
      </c>
      <c r="Z1818" s="4">
        <v>594</v>
      </c>
      <c r="AA1818" s="4">
        <v>645</v>
      </c>
      <c r="AB1818" s="4">
        <v>5</v>
      </c>
      <c r="AC1818" s="4">
        <v>6</v>
      </c>
      <c r="AD1818" s="4">
        <v>21</v>
      </c>
      <c r="AE1818" s="4">
        <v>24</v>
      </c>
      <c r="AF1818" s="4">
        <v>8</v>
      </c>
      <c r="AG1818" s="4">
        <v>9</v>
      </c>
      <c r="AH1818" s="4">
        <v>5</v>
      </c>
      <c r="AI1818" s="4">
        <v>5</v>
      </c>
      <c r="AJ1818" s="4">
        <v>11</v>
      </c>
      <c r="AK1818" s="4">
        <v>14</v>
      </c>
      <c r="AL1818" s="4">
        <v>4</v>
      </c>
      <c r="AM1818" s="4">
        <v>4</v>
      </c>
      <c r="AN1818" s="4">
        <v>0</v>
      </c>
      <c r="AO1818" s="4">
        <v>0</v>
      </c>
      <c r="AP1818" s="3" t="s">
        <v>58</v>
      </c>
      <c r="AQ1818" s="3" t="s">
        <v>58</v>
      </c>
      <c r="AS1818" s="6" t="str">
        <f>HYPERLINK("https://creighton-primo.hosted.exlibrisgroup.com/primo-explore/search?tab=default_tab&amp;search_scope=EVERYTHING&amp;vid=01CRU&amp;lang=en_US&amp;offset=0&amp;query=any,contains,991004057279702656","Catalog Record")</f>
        <v>Catalog Record</v>
      </c>
      <c r="AT1818" s="6" t="str">
        <f>HYPERLINK("http://www.worldcat.org/oclc/50670547","WorldCat Record")</f>
        <v>WorldCat Record</v>
      </c>
      <c r="AU1818" s="3" t="s">
        <v>22269</v>
      </c>
      <c r="AV1818" s="3" t="s">
        <v>22270</v>
      </c>
      <c r="AW1818" s="3" t="s">
        <v>22271</v>
      </c>
      <c r="AX1818" s="3" t="s">
        <v>22271</v>
      </c>
      <c r="AY1818" s="3" t="s">
        <v>22272</v>
      </c>
      <c r="AZ1818" s="3" t="s">
        <v>73</v>
      </c>
      <c r="BB1818" s="3" t="s">
        <v>22273</v>
      </c>
      <c r="BC1818" s="3" t="s">
        <v>22274</v>
      </c>
      <c r="BD1818" s="3" t="s">
        <v>22275</v>
      </c>
    </row>
    <row r="1819" spans="1:56" ht="51" customHeight="1" x14ac:dyDescent="0.25">
      <c r="A1819" s="7" t="s">
        <v>58</v>
      </c>
      <c r="B1819" s="2" t="s">
        <v>22276</v>
      </c>
      <c r="C1819" s="2" t="s">
        <v>22277</v>
      </c>
      <c r="D1819" s="2" t="s">
        <v>22278</v>
      </c>
      <c r="F1819" s="3" t="s">
        <v>58</v>
      </c>
      <c r="G1819" s="3" t="s">
        <v>59</v>
      </c>
      <c r="H1819" s="3" t="s">
        <v>58</v>
      </c>
      <c r="I1819" s="3" t="s">
        <v>58</v>
      </c>
      <c r="J1819" s="3" t="s">
        <v>60</v>
      </c>
      <c r="K1819" s="2" t="s">
        <v>22279</v>
      </c>
      <c r="L1819" s="2" t="s">
        <v>22280</v>
      </c>
      <c r="M1819" s="3" t="s">
        <v>2004</v>
      </c>
      <c r="O1819" s="3" t="s">
        <v>63</v>
      </c>
      <c r="P1819" s="3" t="s">
        <v>13302</v>
      </c>
      <c r="R1819" s="3" t="s">
        <v>65</v>
      </c>
      <c r="S1819" s="4">
        <v>4</v>
      </c>
      <c r="T1819" s="4">
        <v>4</v>
      </c>
      <c r="U1819" s="5" t="s">
        <v>5150</v>
      </c>
      <c r="V1819" s="5" t="s">
        <v>5150</v>
      </c>
      <c r="W1819" s="5" t="s">
        <v>17547</v>
      </c>
      <c r="X1819" s="5" t="s">
        <v>17547</v>
      </c>
      <c r="Y1819" s="4">
        <v>72</v>
      </c>
      <c r="Z1819" s="4">
        <v>54</v>
      </c>
      <c r="AA1819" s="4">
        <v>225</v>
      </c>
      <c r="AB1819" s="4">
        <v>1</v>
      </c>
      <c r="AC1819" s="4">
        <v>2</v>
      </c>
      <c r="AD1819" s="4">
        <v>1</v>
      </c>
      <c r="AE1819" s="4">
        <v>7</v>
      </c>
      <c r="AF1819" s="4">
        <v>0</v>
      </c>
      <c r="AG1819" s="4">
        <v>2</v>
      </c>
      <c r="AH1819" s="4">
        <v>0</v>
      </c>
      <c r="AI1819" s="4">
        <v>2</v>
      </c>
      <c r="AJ1819" s="4">
        <v>1</v>
      </c>
      <c r="AK1819" s="4">
        <v>4</v>
      </c>
      <c r="AL1819" s="4">
        <v>0</v>
      </c>
      <c r="AM1819" s="4">
        <v>1</v>
      </c>
      <c r="AN1819" s="4">
        <v>0</v>
      </c>
      <c r="AO1819" s="4">
        <v>0</v>
      </c>
      <c r="AP1819" s="3" t="s">
        <v>58</v>
      </c>
      <c r="AQ1819" s="3" t="s">
        <v>68</v>
      </c>
      <c r="AR1819" s="6" t="str">
        <f>HYPERLINK("http://catalog.hathitrust.org/Record/001267318","HathiTrust Record")</f>
        <v>HathiTrust Record</v>
      </c>
      <c r="AS1819" s="6" t="str">
        <f>HYPERLINK("https://creighton-primo.hosted.exlibrisgroup.com/primo-explore/search?tab=default_tab&amp;search_scope=EVERYTHING&amp;vid=01CRU&amp;lang=en_US&amp;offset=0&amp;query=any,contains,991005111049702656","Catalog Record")</f>
        <v>Catalog Record</v>
      </c>
      <c r="AT1819" s="6" t="str">
        <f>HYPERLINK("http://www.worldcat.org/oclc/7429335","WorldCat Record")</f>
        <v>WorldCat Record</v>
      </c>
      <c r="AU1819" s="3" t="s">
        <v>22281</v>
      </c>
      <c r="AV1819" s="3" t="s">
        <v>22282</v>
      </c>
      <c r="AW1819" s="3" t="s">
        <v>22283</v>
      </c>
      <c r="AX1819" s="3" t="s">
        <v>22283</v>
      </c>
      <c r="AY1819" s="3" t="s">
        <v>22284</v>
      </c>
      <c r="AZ1819" s="3" t="s">
        <v>73</v>
      </c>
      <c r="BC1819" s="3" t="s">
        <v>22285</v>
      </c>
      <c r="BD1819" s="3" t="s">
        <v>22286</v>
      </c>
    </row>
    <row r="1820" spans="1:56" ht="51" customHeight="1" x14ac:dyDescent="0.25">
      <c r="A1820" s="7" t="s">
        <v>58</v>
      </c>
      <c r="B1820" s="2" t="s">
        <v>22287</v>
      </c>
      <c r="C1820" s="2" t="s">
        <v>22288</v>
      </c>
      <c r="D1820" s="2" t="s">
        <v>22289</v>
      </c>
      <c r="F1820" s="3" t="s">
        <v>58</v>
      </c>
      <c r="G1820" s="3" t="s">
        <v>59</v>
      </c>
      <c r="H1820" s="3" t="s">
        <v>58</v>
      </c>
      <c r="I1820" s="3" t="s">
        <v>58</v>
      </c>
      <c r="J1820" s="3" t="s">
        <v>60</v>
      </c>
      <c r="K1820" s="2" t="s">
        <v>22290</v>
      </c>
      <c r="L1820" s="2" t="s">
        <v>22291</v>
      </c>
      <c r="M1820" s="3" t="s">
        <v>13406</v>
      </c>
      <c r="O1820" s="3" t="s">
        <v>63</v>
      </c>
      <c r="P1820" s="3" t="s">
        <v>2061</v>
      </c>
      <c r="R1820" s="3" t="s">
        <v>65</v>
      </c>
      <c r="S1820" s="4">
        <v>8</v>
      </c>
      <c r="T1820" s="4">
        <v>8</v>
      </c>
      <c r="U1820" s="5" t="s">
        <v>22292</v>
      </c>
      <c r="V1820" s="5" t="s">
        <v>22292</v>
      </c>
      <c r="W1820" s="5" t="s">
        <v>6170</v>
      </c>
      <c r="X1820" s="5" t="s">
        <v>6170</v>
      </c>
      <c r="Y1820" s="4">
        <v>36</v>
      </c>
      <c r="Z1820" s="4">
        <v>34</v>
      </c>
      <c r="AA1820" s="4">
        <v>65</v>
      </c>
      <c r="AB1820" s="4">
        <v>1</v>
      </c>
      <c r="AC1820" s="4">
        <v>1</v>
      </c>
      <c r="AD1820" s="4">
        <v>0</v>
      </c>
      <c r="AE1820" s="4">
        <v>1</v>
      </c>
      <c r="AF1820" s="4">
        <v>0</v>
      </c>
      <c r="AG1820" s="4">
        <v>0</v>
      </c>
      <c r="AH1820" s="4">
        <v>0</v>
      </c>
      <c r="AI1820" s="4">
        <v>1</v>
      </c>
      <c r="AJ1820" s="4">
        <v>0</v>
      </c>
      <c r="AK1820" s="4">
        <v>0</v>
      </c>
      <c r="AL1820" s="4">
        <v>0</v>
      </c>
      <c r="AM1820" s="4">
        <v>0</v>
      </c>
      <c r="AN1820" s="4">
        <v>0</v>
      </c>
      <c r="AO1820" s="4">
        <v>0</v>
      </c>
      <c r="AP1820" s="3" t="s">
        <v>68</v>
      </c>
      <c r="AQ1820" s="3" t="s">
        <v>58</v>
      </c>
      <c r="AR1820" s="6" t="str">
        <f>HYPERLINK("http://catalog.hathitrust.org/Record/008653668","HathiTrust Record")</f>
        <v>HathiTrust Record</v>
      </c>
      <c r="AS1820" s="6" t="str">
        <f>HYPERLINK("https://creighton-primo.hosted.exlibrisgroup.com/primo-explore/search?tab=default_tab&amp;search_scope=EVERYTHING&amp;vid=01CRU&amp;lang=en_US&amp;offset=0&amp;query=any,contains,991002401179702656","Catalog Record")</f>
        <v>Catalog Record</v>
      </c>
      <c r="AT1820" s="6" t="str">
        <f>HYPERLINK("http://www.worldcat.org/oclc/31207168","WorldCat Record")</f>
        <v>WorldCat Record</v>
      </c>
      <c r="AU1820" s="3" t="s">
        <v>22293</v>
      </c>
      <c r="AV1820" s="3" t="s">
        <v>22294</v>
      </c>
      <c r="AW1820" s="3" t="s">
        <v>22295</v>
      </c>
      <c r="AX1820" s="3" t="s">
        <v>22295</v>
      </c>
      <c r="AY1820" s="3" t="s">
        <v>22296</v>
      </c>
      <c r="AZ1820" s="3" t="s">
        <v>73</v>
      </c>
      <c r="BC1820" s="3" t="s">
        <v>22297</v>
      </c>
      <c r="BD1820" s="3" t="s">
        <v>22298</v>
      </c>
    </row>
    <row r="1821" spans="1:56" ht="51" customHeight="1" x14ac:dyDescent="0.25">
      <c r="A1821" s="7" t="s">
        <v>58</v>
      </c>
      <c r="B1821" s="2" t="s">
        <v>22299</v>
      </c>
      <c r="C1821" s="2" t="s">
        <v>22300</v>
      </c>
      <c r="D1821" s="2" t="s">
        <v>22301</v>
      </c>
      <c r="F1821" s="3" t="s">
        <v>58</v>
      </c>
      <c r="G1821" s="3" t="s">
        <v>59</v>
      </c>
      <c r="H1821" s="3" t="s">
        <v>58</v>
      </c>
      <c r="I1821" s="3" t="s">
        <v>58</v>
      </c>
      <c r="J1821" s="3" t="s">
        <v>60</v>
      </c>
      <c r="K1821" s="2" t="s">
        <v>22302</v>
      </c>
      <c r="L1821" s="2" t="s">
        <v>22303</v>
      </c>
      <c r="M1821" s="3" t="s">
        <v>1153</v>
      </c>
      <c r="O1821" s="3" t="s">
        <v>63</v>
      </c>
      <c r="P1821" s="3" t="s">
        <v>510</v>
      </c>
      <c r="Q1821" s="2" t="s">
        <v>22304</v>
      </c>
      <c r="R1821" s="3" t="s">
        <v>65</v>
      </c>
      <c r="S1821" s="4">
        <v>2</v>
      </c>
      <c r="T1821" s="4">
        <v>2</v>
      </c>
      <c r="U1821" s="5" t="s">
        <v>7806</v>
      </c>
      <c r="V1821" s="5" t="s">
        <v>7806</v>
      </c>
      <c r="W1821" s="5" t="s">
        <v>17547</v>
      </c>
      <c r="X1821" s="5" t="s">
        <v>17547</v>
      </c>
      <c r="Y1821" s="4">
        <v>583</v>
      </c>
      <c r="Z1821" s="4">
        <v>520</v>
      </c>
      <c r="AA1821" s="4">
        <v>521</v>
      </c>
      <c r="AB1821" s="4">
        <v>6</v>
      </c>
      <c r="AC1821" s="4">
        <v>6</v>
      </c>
      <c r="AD1821" s="4">
        <v>24</v>
      </c>
      <c r="AE1821" s="4">
        <v>24</v>
      </c>
      <c r="AF1821" s="4">
        <v>8</v>
      </c>
      <c r="AG1821" s="4">
        <v>8</v>
      </c>
      <c r="AH1821" s="4">
        <v>6</v>
      </c>
      <c r="AI1821" s="4">
        <v>6</v>
      </c>
      <c r="AJ1821" s="4">
        <v>11</v>
      </c>
      <c r="AK1821" s="4">
        <v>11</v>
      </c>
      <c r="AL1821" s="4">
        <v>5</v>
      </c>
      <c r="AM1821" s="4">
        <v>5</v>
      </c>
      <c r="AN1821" s="4">
        <v>0</v>
      </c>
      <c r="AO1821" s="4">
        <v>0</v>
      </c>
      <c r="AP1821" s="3" t="s">
        <v>58</v>
      </c>
      <c r="AQ1821" s="3" t="s">
        <v>68</v>
      </c>
      <c r="AR1821" s="6" t="str">
        <f>HYPERLINK("http://catalog.hathitrust.org/Record/001256961","HathiTrust Record")</f>
        <v>HathiTrust Record</v>
      </c>
      <c r="AS1821" s="6" t="str">
        <f>HYPERLINK("https://creighton-primo.hosted.exlibrisgroup.com/primo-explore/search?tab=default_tab&amp;search_scope=EVERYTHING&amp;vid=01CRU&amp;lang=en_US&amp;offset=0&amp;query=any,contains,991002953769702656","Catalog Record")</f>
        <v>Catalog Record</v>
      </c>
      <c r="AT1821" s="6" t="str">
        <f>HYPERLINK("http://www.worldcat.org/oclc/540933","WorldCat Record")</f>
        <v>WorldCat Record</v>
      </c>
      <c r="AU1821" s="3" t="s">
        <v>22305</v>
      </c>
      <c r="AV1821" s="3" t="s">
        <v>22306</v>
      </c>
      <c r="AW1821" s="3" t="s">
        <v>22307</v>
      </c>
      <c r="AX1821" s="3" t="s">
        <v>22307</v>
      </c>
      <c r="AY1821" s="3" t="s">
        <v>22308</v>
      </c>
      <c r="AZ1821" s="3" t="s">
        <v>73</v>
      </c>
      <c r="BB1821" s="3" t="s">
        <v>22309</v>
      </c>
      <c r="BC1821" s="3" t="s">
        <v>22310</v>
      </c>
      <c r="BD1821" s="3" t="s">
        <v>22311</v>
      </c>
    </row>
    <row r="1822" spans="1:56" ht="51" customHeight="1" x14ac:dyDescent="0.25">
      <c r="A1822" s="7" t="s">
        <v>58</v>
      </c>
      <c r="B1822" s="2" t="s">
        <v>22312</v>
      </c>
      <c r="C1822" s="2" t="s">
        <v>22313</v>
      </c>
      <c r="D1822" s="2" t="s">
        <v>22314</v>
      </c>
      <c r="F1822" s="3" t="s">
        <v>58</v>
      </c>
      <c r="G1822" s="3" t="s">
        <v>59</v>
      </c>
      <c r="H1822" s="3" t="s">
        <v>58</v>
      </c>
      <c r="I1822" s="3" t="s">
        <v>58</v>
      </c>
      <c r="J1822" s="3" t="s">
        <v>60</v>
      </c>
      <c r="K1822" s="2" t="s">
        <v>22315</v>
      </c>
      <c r="L1822" s="2" t="s">
        <v>16972</v>
      </c>
      <c r="M1822" s="3" t="s">
        <v>138</v>
      </c>
      <c r="O1822" s="3" t="s">
        <v>63</v>
      </c>
      <c r="P1822" s="3" t="s">
        <v>510</v>
      </c>
      <c r="R1822" s="3" t="s">
        <v>65</v>
      </c>
      <c r="S1822" s="4">
        <v>4</v>
      </c>
      <c r="T1822" s="4">
        <v>4</v>
      </c>
      <c r="U1822" s="5" t="s">
        <v>8809</v>
      </c>
      <c r="V1822" s="5" t="s">
        <v>8809</v>
      </c>
      <c r="W1822" s="5" t="s">
        <v>20121</v>
      </c>
      <c r="X1822" s="5" t="s">
        <v>20121</v>
      </c>
      <c r="Y1822" s="4">
        <v>1043</v>
      </c>
      <c r="Z1822" s="4">
        <v>903</v>
      </c>
      <c r="AA1822" s="4">
        <v>1025</v>
      </c>
      <c r="AB1822" s="4">
        <v>6</v>
      </c>
      <c r="AC1822" s="4">
        <v>6</v>
      </c>
      <c r="AD1822" s="4">
        <v>39</v>
      </c>
      <c r="AE1822" s="4">
        <v>41</v>
      </c>
      <c r="AF1822" s="4">
        <v>19</v>
      </c>
      <c r="AG1822" s="4">
        <v>20</v>
      </c>
      <c r="AH1822" s="4">
        <v>7</v>
      </c>
      <c r="AI1822" s="4">
        <v>8</v>
      </c>
      <c r="AJ1822" s="4">
        <v>18</v>
      </c>
      <c r="AK1822" s="4">
        <v>19</v>
      </c>
      <c r="AL1822" s="4">
        <v>5</v>
      </c>
      <c r="AM1822" s="4">
        <v>5</v>
      </c>
      <c r="AN1822" s="4">
        <v>0</v>
      </c>
      <c r="AO1822" s="4">
        <v>0</v>
      </c>
      <c r="AP1822" s="3" t="s">
        <v>58</v>
      </c>
      <c r="AQ1822" s="3" t="s">
        <v>58</v>
      </c>
      <c r="AS1822" s="6" t="str">
        <f>HYPERLINK("https://creighton-primo.hosted.exlibrisgroup.com/primo-explore/search?tab=default_tab&amp;search_scope=EVERYTHING&amp;vid=01CRU&amp;lang=en_US&amp;offset=0&amp;query=any,contains,991005211969702656","Catalog Record")</f>
        <v>Catalog Record</v>
      </c>
      <c r="AT1822" s="6" t="str">
        <f>HYPERLINK("http://www.worldcat.org/oclc/8169994","WorldCat Record")</f>
        <v>WorldCat Record</v>
      </c>
      <c r="AU1822" s="3" t="s">
        <v>22316</v>
      </c>
      <c r="AV1822" s="3" t="s">
        <v>22317</v>
      </c>
      <c r="AW1822" s="3" t="s">
        <v>22318</v>
      </c>
      <c r="AX1822" s="3" t="s">
        <v>22318</v>
      </c>
      <c r="AY1822" s="3" t="s">
        <v>22319</v>
      </c>
      <c r="AZ1822" s="3" t="s">
        <v>73</v>
      </c>
      <c r="BB1822" s="3" t="s">
        <v>22320</v>
      </c>
      <c r="BC1822" s="3" t="s">
        <v>22321</v>
      </c>
      <c r="BD1822" s="3" t="s">
        <v>22322</v>
      </c>
    </row>
    <row r="1823" spans="1:56" ht="51" customHeight="1" x14ac:dyDescent="0.25">
      <c r="A1823" s="7" t="s">
        <v>58</v>
      </c>
      <c r="B1823" s="2" t="s">
        <v>22323</v>
      </c>
      <c r="C1823" s="2" t="s">
        <v>22324</v>
      </c>
      <c r="D1823" s="2" t="s">
        <v>22325</v>
      </c>
      <c r="E1823" s="3" t="s">
        <v>210</v>
      </c>
      <c r="F1823" s="3" t="s">
        <v>68</v>
      </c>
      <c r="G1823" s="3" t="s">
        <v>59</v>
      </c>
      <c r="H1823" s="3" t="s">
        <v>58</v>
      </c>
      <c r="I1823" s="3" t="s">
        <v>58</v>
      </c>
      <c r="J1823" s="3" t="s">
        <v>60</v>
      </c>
      <c r="K1823" s="2" t="s">
        <v>22326</v>
      </c>
      <c r="L1823" s="2" t="s">
        <v>22327</v>
      </c>
      <c r="M1823" s="3" t="s">
        <v>1499</v>
      </c>
      <c r="O1823" s="3" t="s">
        <v>63</v>
      </c>
      <c r="P1823" s="3" t="s">
        <v>214</v>
      </c>
      <c r="R1823" s="3" t="s">
        <v>65</v>
      </c>
      <c r="S1823" s="4">
        <v>4</v>
      </c>
      <c r="T1823" s="4">
        <v>9</v>
      </c>
      <c r="U1823" s="5" t="s">
        <v>22328</v>
      </c>
      <c r="V1823" s="5" t="s">
        <v>22328</v>
      </c>
      <c r="W1823" s="5" t="s">
        <v>20416</v>
      </c>
      <c r="X1823" s="5" t="s">
        <v>20416</v>
      </c>
      <c r="Y1823" s="4">
        <v>338</v>
      </c>
      <c r="Z1823" s="4">
        <v>295</v>
      </c>
      <c r="AA1823" s="4">
        <v>299</v>
      </c>
      <c r="AB1823" s="4">
        <v>4</v>
      </c>
      <c r="AC1823" s="4">
        <v>4</v>
      </c>
      <c r="AD1823" s="4">
        <v>7</v>
      </c>
      <c r="AE1823" s="4">
        <v>7</v>
      </c>
      <c r="AF1823" s="4">
        <v>2</v>
      </c>
      <c r="AG1823" s="4">
        <v>2</v>
      </c>
      <c r="AH1823" s="4">
        <v>1</v>
      </c>
      <c r="AI1823" s="4">
        <v>1</v>
      </c>
      <c r="AJ1823" s="4">
        <v>4</v>
      </c>
      <c r="AK1823" s="4">
        <v>4</v>
      </c>
      <c r="AL1823" s="4">
        <v>2</v>
      </c>
      <c r="AM1823" s="4">
        <v>2</v>
      </c>
      <c r="AN1823" s="4">
        <v>0</v>
      </c>
      <c r="AO1823" s="4">
        <v>0</v>
      </c>
      <c r="AP1823" s="3" t="s">
        <v>58</v>
      </c>
      <c r="AQ1823" s="3" t="s">
        <v>68</v>
      </c>
      <c r="AR1823" s="6" t="str">
        <f>HYPERLINK("http://catalog.hathitrust.org/Record/007124035","HathiTrust Record")</f>
        <v>HathiTrust Record</v>
      </c>
      <c r="AS1823" s="6" t="str">
        <f>HYPERLINK("https://creighton-primo.hosted.exlibrisgroup.com/primo-explore/search?tab=default_tab&amp;search_scope=EVERYTHING&amp;vid=01CRU&amp;lang=en_US&amp;offset=0&amp;query=any,contains,991005435179702656","Catalog Record")</f>
        <v>Catalog Record</v>
      </c>
      <c r="AT1823" s="6" t="str">
        <f>HYPERLINK("http://www.worldcat.org/oclc/2845","WorldCat Record")</f>
        <v>WorldCat Record</v>
      </c>
      <c r="AU1823" s="3" t="s">
        <v>22329</v>
      </c>
      <c r="AV1823" s="3" t="s">
        <v>22330</v>
      </c>
      <c r="AW1823" s="3" t="s">
        <v>22331</v>
      </c>
      <c r="AX1823" s="3" t="s">
        <v>22331</v>
      </c>
      <c r="AY1823" s="3" t="s">
        <v>22332</v>
      </c>
      <c r="AZ1823" s="3" t="s">
        <v>73</v>
      </c>
      <c r="BC1823" s="3" t="s">
        <v>22333</v>
      </c>
      <c r="BD1823" s="3" t="s">
        <v>22334</v>
      </c>
    </row>
    <row r="1824" spans="1:56" ht="51" customHeight="1" x14ac:dyDescent="0.25">
      <c r="A1824" s="7" t="s">
        <v>58</v>
      </c>
      <c r="B1824" s="2" t="s">
        <v>22323</v>
      </c>
      <c r="C1824" s="2" t="s">
        <v>22324</v>
      </c>
      <c r="D1824" s="2" t="s">
        <v>22325</v>
      </c>
      <c r="E1824" s="3" t="s">
        <v>223</v>
      </c>
      <c r="F1824" s="3" t="s">
        <v>68</v>
      </c>
      <c r="G1824" s="3" t="s">
        <v>59</v>
      </c>
      <c r="H1824" s="3" t="s">
        <v>58</v>
      </c>
      <c r="I1824" s="3" t="s">
        <v>58</v>
      </c>
      <c r="J1824" s="3" t="s">
        <v>60</v>
      </c>
      <c r="K1824" s="2" t="s">
        <v>22326</v>
      </c>
      <c r="L1824" s="2" t="s">
        <v>22327</v>
      </c>
      <c r="M1824" s="3" t="s">
        <v>1499</v>
      </c>
      <c r="O1824" s="3" t="s">
        <v>63</v>
      </c>
      <c r="P1824" s="3" t="s">
        <v>214</v>
      </c>
      <c r="R1824" s="3" t="s">
        <v>65</v>
      </c>
      <c r="S1824" s="4">
        <v>5</v>
      </c>
      <c r="T1824" s="4">
        <v>9</v>
      </c>
      <c r="U1824" s="5" t="s">
        <v>22335</v>
      </c>
      <c r="V1824" s="5" t="s">
        <v>22328</v>
      </c>
      <c r="W1824" s="5" t="s">
        <v>20416</v>
      </c>
      <c r="X1824" s="5" t="s">
        <v>20416</v>
      </c>
      <c r="Y1824" s="4">
        <v>338</v>
      </c>
      <c r="Z1824" s="4">
        <v>295</v>
      </c>
      <c r="AA1824" s="4">
        <v>299</v>
      </c>
      <c r="AB1824" s="4">
        <v>4</v>
      </c>
      <c r="AC1824" s="4">
        <v>4</v>
      </c>
      <c r="AD1824" s="4">
        <v>7</v>
      </c>
      <c r="AE1824" s="4">
        <v>7</v>
      </c>
      <c r="AF1824" s="4">
        <v>2</v>
      </c>
      <c r="AG1824" s="4">
        <v>2</v>
      </c>
      <c r="AH1824" s="4">
        <v>1</v>
      </c>
      <c r="AI1824" s="4">
        <v>1</v>
      </c>
      <c r="AJ1824" s="4">
        <v>4</v>
      </c>
      <c r="AK1824" s="4">
        <v>4</v>
      </c>
      <c r="AL1824" s="4">
        <v>2</v>
      </c>
      <c r="AM1824" s="4">
        <v>2</v>
      </c>
      <c r="AN1824" s="4">
        <v>0</v>
      </c>
      <c r="AO1824" s="4">
        <v>0</v>
      </c>
      <c r="AP1824" s="3" t="s">
        <v>58</v>
      </c>
      <c r="AQ1824" s="3" t="s">
        <v>68</v>
      </c>
      <c r="AR1824" s="6" t="str">
        <f>HYPERLINK("http://catalog.hathitrust.org/Record/007124035","HathiTrust Record")</f>
        <v>HathiTrust Record</v>
      </c>
      <c r="AS1824" s="6" t="str">
        <f>HYPERLINK("https://creighton-primo.hosted.exlibrisgroup.com/primo-explore/search?tab=default_tab&amp;search_scope=EVERYTHING&amp;vid=01CRU&amp;lang=en_US&amp;offset=0&amp;query=any,contains,991005435179702656","Catalog Record")</f>
        <v>Catalog Record</v>
      </c>
      <c r="AT1824" s="6" t="str">
        <f>HYPERLINK("http://www.worldcat.org/oclc/2845","WorldCat Record")</f>
        <v>WorldCat Record</v>
      </c>
      <c r="AU1824" s="3" t="s">
        <v>22329</v>
      </c>
      <c r="AV1824" s="3" t="s">
        <v>22330</v>
      </c>
      <c r="AW1824" s="3" t="s">
        <v>22331</v>
      </c>
      <c r="AX1824" s="3" t="s">
        <v>22331</v>
      </c>
      <c r="AY1824" s="3" t="s">
        <v>22332</v>
      </c>
      <c r="AZ1824" s="3" t="s">
        <v>73</v>
      </c>
      <c r="BC1824" s="3" t="s">
        <v>22336</v>
      </c>
      <c r="BD1824" s="3" t="s">
        <v>22337</v>
      </c>
    </row>
    <row r="1825" spans="1:56" ht="51" customHeight="1" x14ac:dyDescent="0.25">
      <c r="A1825" s="7" t="s">
        <v>58</v>
      </c>
      <c r="B1825" s="2" t="s">
        <v>22338</v>
      </c>
      <c r="C1825" s="2" t="s">
        <v>22339</v>
      </c>
      <c r="D1825" s="2" t="s">
        <v>22340</v>
      </c>
      <c r="F1825" s="3" t="s">
        <v>58</v>
      </c>
      <c r="G1825" s="3" t="s">
        <v>59</v>
      </c>
      <c r="H1825" s="3" t="s">
        <v>58</v>
      </c>
      <c r="I1825" s="3" t="s">
        <v>58</v>
      </c>
      <c r="J1825" s="3" t="s">
        <v>60</v>
      </c>
      <c r="K1825" s="2" t="s">
        <v>22341</v>
      </c>
      <c r="L1825" s="2" t="s">
        <v>22342</v>
      </c>
      <c r="M1825" s="3" t="s">
        <v>4851</v>
      </c>
      <c r="N1825" s="2" t="s">
        <v>1470</v>
      </c>
      <c r="O1825" s="3" t="s">
        <v>63</v>
      </c>
      <c r="P1825" s="3" t="s">
        <v>214</v>
      </c>
      <c r="R1825" s="3" t="s">
        <v>65</v>
      </c>
      <c r="S1825" s="4">
        <v>2</v>
      </c>
      <c r="T1825" s="4">
        <v>2</v>
      </c>
      <c r="U1825" s="5" t="s">
        <v>8809</v>
      </c>
      <c r="V1825" s="5" t="s">
        <v>8809</v>
      </c>
      <c r="W1825" s="5" t="s">
        <v>17547</v>
      </c>
      <c r="X1825" s="5" t="s">
        <v>17547</v>
      </c>
      <c r="Y1825" s="4">
        <v>608</v>
      </c>
      <c r="Z1825" s="4">
        <v>572</v>
      </c>
      <c r="AA1825" s="4">
        <v>735</v>
      </c>
      <c r="AB1825" s="4">
        <v>5</v>
      </c>
      <c r="AC1825" s="4">
        <v>8</v>
      </c>
      <c r="AD1825" s="4">
        <v>21</v>
      </c>
      <c r="AE1825" s="4">
        <v>25</v>
      </c>
      <c r="AF1825" s="4">
        <v>8</v>
      </c>
      <c r="AG1825" s="4">
        <v>9</v>
      </c>
      <c r="AH1825" s="4">
        <v>5</v>
      </c>
      <c r="AI1825" s="4">
        <v>6</v>
      </c>
      <c r="AJ1825" s="4">
        <v>10</v>
      </c>
      <c r="AK1825" s="4">
        <v>10</v>
      </c>
      <c r="AL1825" s="4">
        <v>2</v>
      </c>
      <c r="AM1825" s="4">
        <v>4</v>
      </c>
      <c r="AN1825" s="4">
        <v>0</v>
      </c>
      <c r="AO1825" s="4">
        <v>0</v>
      </c>
      <c r="AP1825" s="3" t="s">
        <v>58</v>
      </c>
      <c r="AQ1825" s="3" t="s">
        <v>68</v>
      </c>
      <c r="AR1825" s="6" t="str">
        <f>HYPERLINK("http://catalog.hathitrust.org/Record/001256976","HathiTrust Record")</f>
        <v>HathiTrust Record</v>
      </c>
      <c r="AS1825" s="6" t="str">
        <f>HYPERLINK("https://creighton-primo.hosted.exlibrisgroup.com/primo-explore/search?tab=default_tab&amp;search_scope=EVERYTHING&amp;vid=01CRU&amp;lang=en_US&amp;offset=0&amp;query=any,contains,991001928729702656","Catalog Record")</f>
        <v>Catalog Record</v>
      </c>
      <c r="AT1825" s="6" t="str">
        <f>HYPERLINK("http://www.worldcat.org/oclc/248073","WorldCat Record")</f>
        <v>WorldCat Record</v>
      </c>
      <c r="AU1825" s="3" t="s">
        <v>22343</v>
      </c>
      <c r="AV1825" s="3" t="s">
        <v>22344</v>
      </c>
      <c r="AW1825" s="3" t="s">
        <v>22345</v>
      </c>
      <c r="AX1825" s="3" t="s">
        <v>22345</v>
      </c>
      <c r="AY1825" s="3" t="s">
        <v>22346</v>
      </c>
      <c r="AZ1825" s="3" t="s">
        <v>73</v>
      </c>
      <c r="BC1825" s="3" t="s">
        <v>22347</v>
      </c>
      <c r="BD1825" s="3" t="s">
        <v>22348</v>
      </c>
    </row>
    <row r="1826" spans="1:56" ht="51" customHeight="1" x14ac:dyDescent="0.25">
      <c r="A1826" s="7" t="s">
        <v>58</v>
      </c>
      <c r="B1826" s="2" t="s">
        <v>22349</v>
      </c>
      <c r="C1826" s="2" t="s">
        <v>22350</v>
      </c>
      <c r="D1826" s="2" t="s">
        <v>22351</v>
      </c>
      <c r="E1826" s="3" t="s">
        <v>210</v>
      </c>
      <c r="F1826" s="3" t="s">
        <v>68</v>
      </c>
      <c r="G1826" s="3" t="s">
        <v>59</v>
      </c>
      <c r="H1826" s="3" t="s">
        <v>58</v>
      </c>
      <c r="I1826" s="3" t="s">
        <v>58</v>
      </c>
      <c r="J1826" s="3" t="s">
        <v>60</v>
      </c>
      <c r="K1826" s="2" t="s">
        <v>22352</v>
      </c>
      <c r="L1826" s="2" t="s">
        <v>22353</v>
      </c>
      <c r="M1826" s="3" t="s">
        <v>22354</v>
      </c>
      <c r="O1826" s="3" t="s">
        <v>63</v>
      </c>
      <c r="P1826" s="3" t="s">
        <v>816</v>
      </c>
      <c r="R1826" s="3" t="s">
        <v>65</v>
      </c>
      <c r="S1826" s="4">
        <v>0</v>
      </c>
      <c r="T1826" s="4">
        <v>1</v>
      </c>
      <c r="V1826" s="5" t="s">
        <v>15261</v>
      </c>
      <c r="W1826" s="5" t="s">
        <v>17547</v>
      </c>
      <c r="X1826" s="5" t="s">
        <v>17547</v>
      </c>
      <c r="Y1826" s="4">
        <v>386</v>
      </c>
      <c r="Z1826" s="4">
        <v>334</v>
      </c>
      <c r="AA1826" s="4">
        <v>338</v>
      </c>
      <c r="AB1826" s="4">
        <v>5</v>
      </c>
      <c r="AC1826" s="4">
        <v>5</v>
      </c>
      <c r="AD1826" s="4">
        <v>12</v>
      </c>
      <c r="AE1826" s="4">
        <v>12</v>
      </c>
      <c r="AF1826" s="4">
        <v>2</v>
      </c>
      <c r="AG1826" s="4">
        <v>2</v>
      </c>
      <c r="AH1826" s="4">
        <v>2</v>
      </c>
      <c r="AI1826" s="4">
        <v>2</v>
      </c>
      <c r="AJ1826" s="4">
        <v>4</v>
      </c>
      <c r="AK1826" s="4">
        <v>4</v>
      </c>
      <c r="AL1826" s="4">
        <v>4</v>
      </c>
      <c r="AM1826" s="4">
        <v>4</v>
      </c>
      <c r="AN1826" s="4">
        <v>0</v>
      </c>
      <c r="AO1826" s="4">
        <v>0</v>
      </c>
      <c r="AP1826" s="3" t="s">
        <v>58</v>
      </c>
      <c r="AQ1826" s="3" t="s">
        <v>68</v>
      </c>
      <c r="AR1826" s="6" t="str">
        <f>HYPERLINK("http://catalog.hathitrust.org/Record/001256991","HathiTrust Record")</f>
        <v>HathiTrust Record</v>
      </c>
      <c r="AS1826" s="6" t="str">
        <f>HYPERLINK("https://creighton-primo.hosted.exlibrisgroup.com/primo-explore/search?tab=default_tab&amp;search_scope=EVERYTHING&amp;vid=01CRU&amp;lang=en_US&amp;offset=0&amp;query=any,contains,991003917039702656","Catalog Record")</f>
        <v>Catalog Record</v>
      </c>
      <c r="AT1826" s="6" t="str">
        <f>HYPERLINK("http://www.worldcat.org/oclc/1863181","WorldCat Record")</f>
        <v>WorldCat Record</v>
      </c>
      <c r="AU1826" s="3" t="s">
        <v>22355</v>
      </c>
      <c r="AV1826" s="3" t="s">
        <v>22356</v>
      </c>
      <c r="AW1826" s="3" t="s">
        <v>22357</v>
      </c>
      <c r="AX1826" s="3" t="s">
        <v>22357</v>
      </c>
      <c r="AY1826" s="3" t="s">
        <v>22358</v>
      </c>
      <c r="AZ1826" s="3" t="s">
        <v>73</v>
      </c>
      <c r="BC1826" s="3" t="s">
        <v>22359</v>
      </c>
      <c r="BD1826" s="3" t="s">
        <v>22360</v>
      </c>
    </row>
    <row r="1827" spans="1:56" ht="51" customHeight="1" x14ac:dyDescent="0.25">
      <c r="A1827" s="7" t="s">
        <v>58</v>
      </c>
      <c r="B1827" s="2" t="s">
        <v>22349</v>
      </c>
      <c r="C1827" s="2" t="s">
        <v>22350</v>
      </c>
      <c r="D1827" s="2" t="s">
        <v>22351</v>
      </c>
      <c r="E1827" s="3" t="s">
        <v>223</v>
      </c>
      <c r="F1827" s="3" t="s">
        <v>68</v>
      </c>
      <c r="G1827" s="3" t="s">
        <v>59</v>
      </c>
      <c r="H1827" s="3" t="s">
        <v>58</v>
      </c>
      <c r="I1827" s="3" t="s">
        <v>58</v>
      </c>
      <c r="J1827" s="3" t="s">
        <v>60</v>
      </c>
      <c r="K1827" s="2" t="s">
        <v>22352</v>
      </c>
      <c r="L1827" s="2" t="s">
        <v>22353</v>
      </c>
      <c r="M1827" s="3" t="s">
        <v>22354</v>
      </c>
      <c r="O1827" s="3" t="s">
        <v>63</v>
      </c>
      <c r="P1827" s="3" t="s">
        <v>816</v>
      </c>
      <c r="R1827" s="3" t="s">
        <v>65</v>
      </c>
      <c r="S1827" s="4">
        <v>1</v>
      </c>
      <c r="T1827" s="4">
        <v>1</v>
      </c>
      <c r="U1827" s="5" t="s">
        <v>15261</v>
      </c>
      <c r="V1827" s="5" t="s">
        <v>15261</v>
      </c>
      <c r="W1827" s="5" t="s">
        <v>17547</v>
      </c>
      <c r="X1827" s="5" t="s">
        <v>17547</v>
      </c>
      <c r="Y1827" s="4">
        <v>386</v>
      </c>
      <c r="Z1827" s="4">
        <v>334</v>
      </c>
      <c r="AA1827" s="4">
        <v>338</v>
      </c>
      <c r="AB1827" s="4">
        <v>5</v>
      </c>
      <c r="AC1827" s="4">
        <v>5</v>
      </c>
      <c r="AD1827" s="4">
        <v>12</v>
      </c>
      <c r="AE1827" s="4">
        <v>12</v>
      </c>
      <c r="AF1827" s="4">
        <v>2</v>
      </c>
      <c r="AG1827" s="4">
        <v>2</v>
      </c>
      <c r="AH1827" s="4">
        <v>2</v>
      </c>
      <c r="AI1827" s="4">
        <v>2</v>
      </c>
      <c r="AJ1827" s="4">
        <v>4</v>
      </c>
      <c r="AK1827" s="4">
        <v>4</v>
      </c>
      <c r="AL1827" s="4">
        <v>4</v>
      </c>
      <c r="AM1827" s="4">
        <v>4</v>
      </c>
      <c r="AN1827" s="4">
        <v>0</v>
      </c>
      <c r="AO1827" s="4">
        <v>0</v>
      </c>
      <c r="AP1827" s="3" t="s">
        <v>58</v>
      </c>
      <c r="AQ1827" s="3" t="s">
        <v>68</v>
      </c>
      <c r="AR1827" s="6" t="str">
        <f>HYPERLINK("http://catalog.hathitrust.org/Record/001256991","HathiTrust Record")</f>
        <v>HathiTrust Record</v>
      </c>
      <c r="AS1827" s="6" t="str">
        <f>HYPERLINK("https://creighton-primo.hosted.exlibrisgroup.com/primo-explore/search?tab=default_tab&amp;search_scope=EVERYTHING&amp;vid=01CRU&amp;lang=en_US&amp;offset=0&amp;query=any,contains,991003917039702656","Catalog Record")</f>
        <v>Catalog Record</v>
      </c>
      <c r="AT1827" s="6" t="str">
        <f>HYPERLINK("http://www.worldcat.org/oclc/1863181","WorldCat Record")</f>
        <v>WorldCat Record</v>
      </c>
      <c r="AU1827" s="3" t="s">
        <v>22355</v>
      </c>
      <c r="AV1827" s="3" t="s">
        <v>22356</v>
      </c>
      <c r="AW1827" s="3" t="s">
        <v>22357</v>
      </c>
      <c r="AX1827" s="3" t="s">
        <v>22357</v>
      </c>
      <c r="AY1827" s="3" t="s">
        <v>22358</v>
      </c>
      <c r="AZ1827" s="3" t="s">
        <v>73</v>
      </c>
      <c r="BC1827" s="3" t="s">
        <v>22361</v>
      </c>
      <c r="BD1827" s="3" t="s">
        <v>22362</v>
      </c>
    </row>
    <row r="1828" spans="1:56" ht="51" customHeight="1" x14ac:dyDescent="0.25">
      <c r="A1828" s="7" t="s">
        <v>58</v>
      </c>
      <c r="B1828" s="2" t="s">
        <v>22363</v>
      </c>
      <c r="C1828" s="2" t="s">
        <v>22364</v>
      </c>
      <c r="D1828" s="2" t="s">
        <v>22365</v>
      </c>
      <c r="F1828" s="3" t="s">
        <v>58</v>
      </c>
      <c r="G1828" s="3" t="s">
        <v>59</v>
      </c>
      <c r="H1828" s="3" t="s">
        <v>58</v>
      </c>
      <c r="I1828" s="3" t="s">
        <v>58</v>
      </c>
      <c r="J1828" s="3" t="s">
        <v>60</v>
      </c>
      <c r="K1828" s="2" t="s">
        <v>22366</v>
      </c>
      <c r="L1828" s="2" t="s">
        <v>22367</v>
      </c>
      <c r="M1828" s="3" t="s">
        <v>1153</v>
      </c>
      <c r="O1828" s="3" t="s">
        <v>63</v>
      </c>
      <c r="P1828" s="3" t="s">
        <v>510</v>
      </c>
      <c r="R1828" s="3" t="s">
        <v>65</v>
      </c>
      <c r="S1828" s="4">
        <v>5</v>
      </c>
      <c r="T1828" s="4">
        <v>5</v>
      </c>
      <c r="U1828" s="5" t="s">
        <v>22292</v>
      </c>
      <c r="V1828" s="5" t="s">
        <v>22292</v>
      </c>
      <c r="W1828" s="5" t="s">
        <v>2617</v>
      </c>
      <c r="X1828" s="5" t="s">
        <v>2617</v>
      </c>
      <c r="Y1828" s="4">
        <v>83</v>
      </c>
      <c r="Z1828" s="4">
        <v>63</v>
      </c>
      <c r="AA1828" s="4">
        <v>516</v>
      </c>
      <c r="AB1828" s="4">
        <v>1</v>
      </c>
      <c r="AC1828" s="4">
        <v>4</v>
      </c>
      <c r="AD1828" s="4">
        <v>2</v>
      </c>
      <c r="AE1828" s="4">
        <v>29</v>
      </c>
      <c r="AF1828" s="4">
        <v>1</v>
      </c>
      <c r="AG1828" s="4">
        <v>9</v>
      </c>
      <c r="AH1828" s="4">
        <v>0</v>
      </c>
      <c r="AI1828" s="4">
        <v>8</v>
      </c>
      <c r="AJ1828" s="4">
        <v>2</v>
      </c>
      <c r="AK1828" s="4">
        <v>16</v>
      </c>
      <c r="AL1828" s="4">
        <v>0</v>
      </c>
      <c r="AM1828" s="4">
        <v>3</v>
      </c>
      <c r="AN1828" s="4">
        <v>0</v>
      </c>
      <c r="AO1828" s="4">
        <v>1</v>
      </c>
      <c r="AP1828" s="3" t="s">
        <v>58</v>
      </c>
      <c r="AQ1828" s="3" t="s">
        <v>68</v>
      </c>
      <c r="AR1828" s="6" t="str">
        <f>HYPERLINK("http://catalog.hathitrust.org/Record/007531270","HathiTrust Record")</f>
        <v>HathiTrust Record</v>
      </c>
      <c r="AS1828" s="6" t="str">
        <f>HYPERLINK("https://creighton-primo.hosted.exlibrisgroup.com/primo-explore/search?tab=default_tab&amp;search_scope=EVERYTHING&amp;vid=01CRU&amp;lang=en_US&amp;offset=0&amp;query=any,contains,991003032579702656","Catalog Record")</f>
        <v>Catalog Record</v>
      </c>
      <c r="AT1828" s="6" t="str">
        <f>HYPERLINK("http://www.worldcat.org/oclc/595313","WorldCat Record")</f>
        <v>WorldCat Record</v>
      </c>
      <c r="AU1828" s="3" t="s">
        <v>22368</v>
      </c>
      <c r="AV1828" s="3" t="s">
        <v>22369</v>
      </c>
      <c r="AW1828" s="3" t="s">
        <v>22370</v>
      </c>
      <c r="AX1828" s="3" t="s">
        <v>22370</v>
      </c>
      <c r="AY1828" s="3" t="s">
        <v>22371</v>
      </c>
      <c r="AZ1828" s="3" t="s">
        <v>73</v>
      </c>
      <c r="BB1828" s="3" t="s">
        <v>22372</v>
      </c>
      <c r="BC1828" s="3" t="s">
        <v>22373</v>
      </c>
      <c r="BD1828" s="3" t="s">
        <v>22374</v>
      </c>
    </row>
    <row r="1829" spans="1:56" ht="51" customHeight="1" x14ac:dyDescent="0.25">
      <c r="A1829" s="7" t="s">
        <v>58</v>
      </c>
      <c r="B1829" s="2" t="s">
        <v>22375</v>
      </c>
      <c r="C1829" s="2" t="s">
        <v>22376</v>
      </c>
      <c r="D1829" s="2" t="s">
        <v>22377</v>
      </c>
      <c r="F1829" s="3" t="s">
        <v>58</v>
      </c>
      <c r="G1829" s="3" t="s">
        <v>59</v>
      </c>
      <c r="H1829" s="3" t="s">
        <v>58</v>
      </c>
      <c r="I1829" s="3" t="s">
        <v>58</v>
      </c>
      <c r="J1829" s="3" t="s">
        <v>60</v>
      </c>
      <c r="K1829" s="2" t="s">
        <v>22378</v>
      </c>
      <c r="L1829" s="2" t="s">
        <v>22379</v>
      </c>
      <c r="M1829" s="3" t="s">
        <v>22380</v>
      </c>
      <c r="O1829" s="3" t="s">
        <v>63</v>
      </c>
      <c r="P1829" s="3" t="s">
        <v>571</v>
      </c>
      <c r="R1829" s="3" t="s">
        <v>65</v>
      </c>
      <c r="S1829" s="4">
        <v>3</v>
      </c>
      <c r="T1829" s="4">
        <v>3</v>
      </c>
      <c r="U1829" s="5" t="s">
        <v>19312</v>
      </c>
      <c r="V1829" s="5" t="s">
        <v>19312</v>
      </c>
      <c r="W1829" s="5" t="s">
        <v>2617</v>
      </c>
      <c r="X1829" s="5" t="s">
        <v>2617</v>
      </c>
      <c r="Y1829" s="4">
        <v>239</v>
      </c>
      <c r="Z1829" s="4">
        <v>213</v>
      </c>
      <c r="AA1829" s="4">
        <v>351</v>
      </c>
      <c r="AB1829" s="4">
        <v>4</v>
      </c>
      <c r="AC1829" s="4">
        <v>5</v>
      </c>
      <c r="AD1829" s="4">
        <v>10</v>
      </c>
      <c r="AE1829" s="4">
        <v>20</v>
      </c>
      <c r="AF1829" s="4">
        <v>3</v>
      </c>
      <c r="AG1829" s="4">
        <v>6</v>
      </c>
      <c r="AH1829" s="4">
        <v>0</v>
      </c>
      <c r="AI1829" s="4">
        <v>3</v>
      </c>
      <c r="AJ1829" s="4">
        <v>5</v>
      </c>
      <c r="AK1829" s="4">
        <v>5</v>
      </c>
      <c r="AL1829" s="4">
        <v>3</v>
      </c>
      <c r="AM1829" s="4">
        <v>3</v>
      </c>
      <c r="AN1829" s="4">
        <v>0</v>
      </c>
      <c r="AO1829" s="4">
        <v>5</v>
      </c>
      <c r="AP1829" s="3" t="s">
        <v>68</v>
      </c>
      <c r="AQ1829" s="3" t="s">
        <v>58</v>
      </c>
      <c r="AR1829" s="6" t="str">
        <f>HYPERLINK("http://catalog.hathitrust.org/Record/001256997","HathiTrust Record")</f>
        <v>HathiTrust Record</v>
      </c>
      <c r="AS1829" s="6" t="str">
        <f>HYPERLINK("https://creighton-primo.hosted.exlibrisgroup.com/primo-explore/search?tab=default_tab&amp;search_scope=EVERYTHING&amp;vid=01CRU&amp;lang=en_US&amp;offset=0&amp;query=any,contains,991002716379702656","Catalog Record")</f>
        <v>Catalog Record</v>
      </c>
      <c r="AT1829" s="6" t="str">
        <f>HYPERLINK("http://www.worldcat.org/oclc/411378","WorldCat Record")</f>
        <v>WorldCat Record</v>
      </c>
      <c r="AU1829" s="3" t="s">
        <v>22381</v>
      </c>
      <c r="AV1829" s="3" t="s">
        <v>22382</v>
      </c>
      <c r="AW1829" s="3" t="s">
        <v>22383</v>
      </c>
      <c r="AX1829" s="3" t="s">
        <v>22383</v>
      </c>
      <c r="AY1829" s="3" t="s">
        <v>22384</v>
      </c>
      <c r="AZ1829" s="3" t="s">
        <v>73</v>
      </c>
      <c r="BC1829" s="3" t="s">
        <v>22385</v>
      </c>
      <c r="BD1829" s="3" t="s">
        <v>22386</v>
      </c>
    </row>
    <row r="1830" spans="1:56" ht="51" customHeight="1" x14ac:dyDescent="0.25">
      <c r="A1830" s="7" t="s">
        <v>58</v>
      </c>
      <c r="B1830" s="2" t="s">
        <v>22387</v>
      </c>
      <c r="C1830" s="2" t="s">
        <v>22388</v>
      </c>
      <c r="D1830" s="2" t="s">
        <v>22389</v>
      </c>
      <c r="F1830" s="3" t="s">
        <v>58</v>
      </c>
      <c r="G1830" s="3" t="s">
        <v>59</v>
      </c>
      <c r="H1830" s="3" t="s">
        <v>58</v>
      </c>
      <c r="I1830" s="3" t="s">
        <v>58</v>
      </c>
      <c r="J1830" s="3" t="s">
        <v>60</v>
      </c>
      <c r="K1830" s="2" t="s">
        <v>13019</v>
      </c>
      <c r="L1830" s="2" t="s">
        <v>22390</v>
      </c>
      <c r="M1830" s="3" t="s">
        <v>22391</v>
      </c>
      <c r="O1830" s="3" t="s">
        <v>63</v>
      </c>
      <c r="P1830" s="3" t="s">
        <v>571</v>
      </c>
      <c r="R1830" s="3" t="s">
        <v>65</v>
      </c>
      <c r="S1830" s="4">
        <v>0</v>
      </c>
      <c r="T1830" s="4">
        <v>0</v>
      </c>
      <c r="U1830" s="5" t="s">
        <v>22392</v>
      </c>
      <c r="V1830" s="5" t="s">
        <v>22392</v>
      </c>
      <c r="W1830" s="5" t="s">
        <v>17547</v>
      </c>
      <c r="X1830" s="5" t="s">
        <v>17547</v>
      </c>
      <c r="Y1830" s="4">
        <v>270</v>
      </c>
      <c r="Z1830" s="4">
        <v>243</v>
      </c>
      <c r="AA1830" s="4">
        <v>258</v>
      </c>
      <c r="AB1830" s="4">
        <v>2</v>
      </c>
      <c r="AC1830" s="4">
        <v>2</v>
      </c>
      <c r="AD1830" s="4">
        <v>8</v>
      </c>
      <c r="AE1830" s="4">
        <v>9</v>
      </c>
      <c r="AF1830" s="4">
        <v>3</v>
      </c>
      <c r="AG1830" s="4">
        <v>3</v>
      </c>
      <c r="AH1830" s="4">
        <v>3</v>
      </c>
      <c r="AI1830" s="4">
        <v>4</v>
      </c>
      <c r="AJ1830" s="4">
        <v>4</v>
      </c>
      <c r="AK1830" s="4">
        <v>4</v>
      </c>
      <c r="AL1830" s="4">
        <v>1</v>
      </c>
      <c r="AM1830" s="4">
        <v>1</v>
      </c>
      <c r="AN1830" s="4">
        <v>0</v>
      </c>
      <c r="AO1830" s="4">
        <v>0</v>
      </c>
      <c r="AP1830" s="3" t="s">
        <v>68</v>
      </c>
      <c r="AQ1830" s="3" t="s">
        <v>58</v>
      </c>
      <c r="AR1830" s="6" t="str">
        <f>HYPERLINK("http://catalog.hathitrust.org/Record/001257009","HathiTrust Record")</f>
        <v>HathiTrust Record</v>
      </c>
      <c r="AS1830" s="6" t="str">
        <f>HYPERLINK("https://creighton-primo.hosted.exlibrisgroup.com/primo-explore/search?tab=default_tab&amp;search_scope=EVERYTHING&amp;vid=01CRU&amp;lang=en_US&amp;offset=0&amp;query=any,contains,991003103139702656","Catalog Record")</f>
        <v>Catalog Record</v>
      </c>
      <c r="AT1830" s="6" t="str">
        <f>HYPERLINK("http://www.worldcat.org/oclc/652425","WorldCat Record")</f>
        <v>WorldCat Record</v>
      </c>
      <c r="AU1830" s="3" t="s">
        <v>22393</v>
      </c>
      <c r="AV1830" s="3" t="s">
        <v>22394</v>
      </c>
      <c r="AW1830" s="3" t="s">
        <v>22395</v>
      </c>
      <c r="AX1830" s="3" t="s">
        <v>22395</v>
      </c>
      <c r="AY1830" s="3" t="s">
        <v>22396</v>
      </c>
      <c r="AZ1830" s="3" t="s">
        <v>73</v>
      </c>
      <c r="BC1830" s="3" t="s">
        <v>22397</v>
      </c>
      <c r="BD1830" s="3" t="s">
        <v>22398</v>
      </c>
    </row>
    <row r="1831" spans="1:56" ht="51" customHeight="1" x14ac:dyDescent="0.25">
      <c r="A1831" s="7" t="s">
        <v>58</v>
      </c>
      <c r="B1831" s="2" t="s">
        <v>22399</v>
      </c>
      <c r="C1831" s="2" t="s">
        <v>22400</v>
      </c>
      <c r="D1831" s="2" t="s">
        <v>22401</v>
      </c>
      <c r="F1831" s="3" t="s">
        <v>58</v>
      </c>
      <c r="G1831" s="3" t="s">
        <v>59</v>
      </c>
      <c r="H1831" s="3" t="s">
        <v>58</v>
      </c>
      <c r="I1831" s="3" t="s">
        <v>58</v>
      </c>
      <c r="J1831" s="3" t="s">
        <v>60</v>
      </c>
      <c r="K1831" s="2" t="s">
        <v>22402</v>
      </c>
      <c r="L1831" s="2" t="s">
        <v>22403</v>
      </c>
      <c r="M1831" s="3" t="s">
        <v>842</v>
      </c>
      <c r="O1831" s="3" t="s">
        <v>63</v>
      </c>
      <c r="P1831" s="3" t="s">
        <v>816</v>
      </c>
      <c r="R1831" s="3" t="s">
        <v>65</v>
      </c>
      <c r="S1831" s="4">
        <v>2</v>
      </c>
      <c r="T1831" s="4">
        <v>2</v>
      </c>
      <c r="U1831" s="5" t="s">
        <v>22404</v>
      </c>
      <c r="V1831" s="5" t="s">
        <v>22404</v>
      </c>
      <c r="W1831" s="5" t="s">
        <v>20121</v>
      </c>
      <c r="X1831" s="5" t="s">
        <v>20121</v>
      </c>
      <c r="Y1831" s="4">
        <v>204</v>
      </c>
      <c r="Z1831" s="4">
        <v>168</v>
      </c>
      <c r="AA1831" s="4">
        <v>170</v>
      </c>
      <c r="AB1831" s="4">
        <v>2</v>
      </c>
      <c r="AC1831" s="4">
        <v>2</v>
      </c>
      <c r="AD1831" s="4">
        <v>7</v>
      </c>
      <c r="AE1831" s="4">
        <v>7</v>
      </c>
      <c r="AF1831" s="4">
        <v>2</v>
      </c>
      <c r="AG1831" s="4">
        <v>2</v>
      </c>
      <c r="AH1831" s="4">
        <v>2</v>
      </c>
      <c r="AI1831" s="4">
        <v>2</v>
      </c>
      <c r="AJ1831" s="4">
        <v>4</v>
      </c>
      <c r="AK1831" s="4">
        <v>4</v>
      </c>
      <c r="AL1831" s="4">
        <v>1</v>
      </c>
      <c r="AM1831" s="4">
        <v>1</v>
      </c>
      <c r="AN1831" s="4">
        <v>0</v>
      </c>
      <c r="AO1831" s="4">
        <v>0</v>
      </c>
      <c r="AP1831" s="3" t="s">
        <v>58</v>
      </c>
      <c r="AQ1831" s="3" t="s">
        <v>68</v>
      </c>
      <c r="AR1831" s="6" t="str">
        <f>HYPERLINK("http://catalog.hathitrust.org/Record/000145274","HathiTrust Record")</f>
        <v>HathiTrust Record</v>
      </c>
      <c r="AS1831" s="6" t="str">
        <f>HYPERLINK("https://creighton-primo.hosted.exlibrisgroup.com/primo-explore/search?tab=default_tab&amp;search_scope=EVERYTHING&amp;vid=01CRU&amp;lang=en_US&amp;offset=0&amp;query=any,contains,991005118959702656","Catalog Record")</f>
        <v>Catalog Record</v>
      </c>
      <c r="AT1831" s="6" t="str">
        <f>HYPERLINK("http://www.worldcat.org/oclc/7475676","WorldCat Record")</f>
        <v>WorldCat Record</v>
      </c>
      <c r="AU1831" s="3" t="s">
        <v>22405</v>
      </c>
      <c r="AV1831" s="3" t="s">
        <v>22406</v>
      </c>
      <c r="AW1831" s="3" t="s">
        <v>22407</v>
      </c>
      <c r="AX1831" s="3" t="s">
        <v>22407</v>
      </c>
      <c r="AY1831" s="3" t="s">
        <v>22408</v>
      </c>
      <c r="AZ1831" s="3" t="s">
        <v>73</v>
      </c>
      <c r="BB1831" s="3" t="s">
        <v>22409</v>
      </c>
      <c r="BC1831" s="3" t="s">
        <v>22410</v>
      </c>
      <c r="BD1831" s="3" t="s">
        <v>22411</v>
      </c>
    </row>
    <row r="1832" spans="1:56" ht="51" customHeight="1" x14ac:dyDescent="0.25">
      <c r="A1832" s="7" t="s">
        <v>58</v>
      </c>
      <c r="B1832" s="2" t="s">
        <v>22412</v>
      </c>
      <c r="C1832" s="2" t="s">
        <v>22413</v>
      </c>
      <c r="D1832" s="2" t="s">
        <v>22414</v>
      </c>
      <c r="F1832" s="3" t="s">
        <v>58</v>
      </c>
      <c r="G1832" s="3" t="s">
        <v>59</v>
      </c>
      <c r="H1832" s="3" t="s">
        <v>58</v>
      </c>
      <c r="I1832" s="3" t="s">
        <v>58</v>
      </c>
      <c r="J1832" s="3" t="s">
        <v>60</v>
      </c>
      <c r="K1832" s="2" t="s">
        <v>22415</v>
      </c>
      <c r="L1832" s="2" t="s">
        <v>22416</v>
      </c>
      <c r="M1832" s="3" t="s">
        <v>1499</v>
      </c>
      <c r="O1832" s="3" t="s">
        <v>63</v>
      </c>
      <c r="P1832" s="3" t="s">
        <v>510</v>
      </c>
      <c r="R1832" s="3" t="s">
        <v>65</v>
      </c>
      <c r="S1832" s="4">
        <v>5</v>
      </c>
      <c r="T1832" s="4">
        <v>5</v>
      </c>
      <c r="U1832" s="5" t="s">
        <v>22292</v>
      </c>
      <c r="V1832" s="5" t="s">
        <v>22292</v>
      </c>
      <c r="W1832" s="5" t="s">
        <v>7158</v>
      </c>
      <c r="X1832" s="5" t="s">
        <v>7158</v>
      </c>
      <c r="Y1832" s="4">
        <v>413</v>
      </c>
      <c r="Z1832" s="4">
        <v>361</v>
      </c>
      <c r="AA1832" s="4">
        <v>386</v>
      </c>
      <c r="AB1832" s="4">
        <v>2</v>
      </c>
      <c r="AC1832" s="4">
        <v>2</v>
      </c>
      <c r="AD1832" s="4">
        <v>17</v>
      </c>
      <c r="AE1832" s="4">
        <v>20</v>
      </c>
      <c r="AF1832" s="4">
        <v>5</v>
      </c>
      <c r="AG1832" s="4">
        <v>7</v>
      </c>
      <c r="AH1832" s="4">
        <v>5</v>
      </c>
      <c r="AI1832" s="4">
        <v>6</v>
      </c>
      <c r="AJ1832" s="4">
        <v>9</v>
      </c>
      <c r="AK1832" s="4">
        <v>11</v>
      </c>
      <c r="AL1832" s="4">
        <v>1</v>
      </c>
      <c r="AM1832" s="4">
        <v>1</v>
      </c>
      <c r="AN1832" s="4">
        <v>0</v>
      </c>
      <c r="AO1832" s="4">
        <v>0</v>
      </c>
      <c r="AP1832" s="3" t="s">
        <v>58</v>
      </c>
      <c r="AQ1832" s="3" t="s">
        <v>68</v>
      </c>
      <c r="AR1832" s="6" t="str">
        <f>HYPERLINK("http://catalog.hathitrust.org/Record/001257024","HathiTrust Record")</f>
        <v>HathiTrust Record</v>
      </c>
      <c r="AS1832" s="6" t="str">
        <f>HYPERLINK("https://creighton-primo.hosted.exlibrisgroup.com/primo-explore/search?tab=default_tab&amp;search_scope=EVERYTHING&amp;vid=01CRU&amp;lang=en_US&amp;offset=0&amp;query=any,contains,991002792059702656","Catalog Record")</f>
        <v>Catalog Record</v>
      </c>
      <c r="AT1832" s="6" t="str">
        <f>HYPERLINK("http://www.worldcat.org/oclc/443890","WorldCat Record")</f>
        <v>WorldCat Record</v>
      </c>
      <c r="AU1832" s="3" t="s">
        <v>22417</v>
      </c>
      <c r="AV1832" s="3" t="s">
        <v>22418</v>
      </c>
      <c r="AW1832" s="3" t="s">
        <v>22419</v>
      </c>
      <c r="AX1832" s="3" t="s">
        <v>22419</v>
      </c>
      <c r="AY1832" s="3" t="s">
        <v>22420</v>
      </c>
      <c r="AZ1832" s="3" t="s">
        <v>73</v>
      </c>
      <c r="BC1832" s="3" t="s">
        <v>22421</v>
      </c>
      <c r="BD1832" s="3" t="s">
        <v>22422</v>
      </c>
    </row>
    <row r="1833" spans="1:56" ht="51" customHeight="1" x14ac:dyDescent="0.25">
      <c r="A1833" s="7" t="s">
        <v>58</v>
      </c>
      <c r="B1833" s="2" t="s">
        <v>22423</v>
      </c>
      <c r="C1833" s="2" t="s">
        <v>22424</v>
      </c>
      <c r="D1833" s="2" t="s">
        <v>22425</v>
      </c>
      <c r="F1833" s="3" t="s">
        <v>58</v>
      </c>
      <c r="G1833" s="3" t="s">
        <v>59</v>
      </c>
      <c r="H1833" s="3" t="s">
        <v>58</v>
      </c>
      <c r="I1833" s="3" t="s">
        <v>58</v>
      </c>
      <c r="J1833" s="3" t="s">
        <v>60</v>
      </c>
      <c r="K1833" s="2" t="s">
        <v>22426</v>
      </c>
      <c r="L1833" s="2" t="s">
        <v>22427</v>
      </c>
      <c r="M1833" s="3" t="s">
        <v>138</v>
      </c>
      <c r="O1833" s="3" t="s">
        <v>63</v>
      </c>
      <c r="P1833" s="3" t="s">
        <v>2061</v>
      </c>
      <c r="R1833" s="3" t="s">
        <v>65</v>
      </c>
      <c r="S1833" s="4">
        <v>2</v>
      </c>
      <c r="T1833" s="4">
        <v>2</v>
      </c>
      <c r="U1833" s="5" t="s">
        <v>22428</v>
      </c>
      <c r="V1833" s="5" t="s">
        <v>22428</v>
      </c>
      <c r="W1833" s="5" t="s">
        <v>20121</v>
      </c>
      <c r="X1833" s="5" t="s">
        <v>20121</v>
      </c>
      <c r="Y1833" s="4">
        <v>677</v>
      </c>
      <c r="Z1833" s="4">
        <v>556</v>
      </c>
      <c r="AA1833" s="4">
        <v>609</v>
      </c>
      <c r="AB1833" s="4">
        <v>3</v>
      </c>
      <c r="AC1833" s="4">
        <v>3</v>
      </c>
      <c r="AD1833" s="4">
        <v>22</v>
      </c>
      <c r="AE1833" s="4">
        <v>24</v>
      </c>
      <c r="AF1833" s="4">
        <v>7</v>
      </c>
      <c r="AG1833" s="4">
        <v>8</v>
      </c>
      <c r="AH1833" s="4">
        <v>6</v>
      </c>
      <c r="AI1833" s="4">
        <v>7</v>
      </c>
      <c r="AJ1833" s="4">
        <v>14</v>
      </c>
      <c r="AK1833" s="4">
        <v>15</v>
      </c>
      <c r="AL1833" s="4">
        <v>2</v>
      </c>
      <c r="AM1833" s="4">
        <v>2</v>
      </c>
      <c r="AN1833" s="4">
        <v>0</v>
      </c>
      <c r="AO1833" s="4">
        <v>0</v>
      </c>
      <c r="AP1833" s="3" t="s">
        <v>58</v>
      </c>
      <c r="AQ1833" s="3" t="s">
        <v>58</v>
      </c>
      <c r="AS1833" s="6" t="str">
        <f>HYPERLINK("https://creighton-primo.hosted.exlibrisgroup.com/primo-explore/search?tab=default_tab&amp;search_scope=EVERYTHING&amp;vid=01CRU&amp;lang=en_US&amp;offset=0&amp;query=any,contains,991000167089702656","Catalog Record")</f>
        <v>Catalog Record</v>
      </c>
      <c r="AT1833" s="6" t="str">
        <f>HYPERLINK("http://www.worldcat.org/oclc/3019766","WorldCat Record")</f>
        <v>WorldCat Record</v>
      </c>
      <c r="AU1833" s="3" t="s">
        <v>22429</v>
      </c>
      <c r="AV1833" s="3" t="s">
        <v>22430</v>
      </c>
      <c r="AW1833" s="3" t="s">
        <v>22431</v>
      </c>
      <c r="AX1833" s="3" t="s">
        <v>22431</v>
      </c>
      <c r="AY1833" s="3" t="s">
        <v>22432</v>
      </c>
      <c r="AZ1833" s="3" t="s">
        <v>73</v>
      </c>
      <c r="BB1833" s="3" t="s">
        <v>22433</v>
      </c>
      <c r="BC1833" s="3" t="s">
        <v>22434</v>
      </c>
      <c r="BD1833" s="3" t="s">
        <v>22435</v>
      </c>
    </row>
    <row r="1834" spans="1:56" ht="51" customHeight="1" x14ac:dyDescent="0.25">
      <c r="A1834" s="7" t="s">
        <v>58</v>
      </c>
      <c r="B1834" s="2" t="s">
        <v>22436</v>
      </c>
      <c r="C1834" s="2" t="s">
        <v>22437</v>
      </c>
      <c r="D1834" s="2" t="s">
        <v>22438</v>
      </c>
      <c r="F1834" s="3" t="s">
        <v>58</v>
      </c>
      <c r="G1834" s="3" t="s">
        <v>59</v>
      </c>
      <c r="H1834" s="3" t="s">
        <v>58</v>
      </c>
      <c r="I1834" s="3" t="s">
        <v>58</v>
      </c>
      <c r="J1834" s="3" t="s">
        <v>60</v>
      </c>
      <c r="K1834" s="2" t="s">
        <v>22439</v>
      </c>
      <c r="L1834" s="2" t="s">
        <v>22440</v>
      </c>
      <c r="M1834" s="3" t="s">
        <v>1357</v>
      </c>
      <c r="O1834" s="3" t="s">
        <v>63</v>
      </c>
      <c r="P1834" s="3" t="s">
        <v>816</v>
      </c>
      <c r="Q1834" s="2" t="s">
        <v>22441</v>
      </c>
      <c r="R1834" s="3" t="s">
        <v>65</v>
      </c>
      <c r="S1834" s="4">
        <v>2</v>
      </c>
      <c r="T1834" s="4">
        <v>2</v>
      </c>
      <c r="U1834" s="5" t="s">
        <v>17346</v>
      </c>
      <c r="V1834" s="5" t="s">
        <v>17346</v>
      </c>
      <c r="W1834" s="5" t="s">
        <v>22442</v>
      </c>
      <c r="X1834" s="5" t="s">
        <v>22442</v>
      </c>
      <c r="Y1834" s="4">
        <v>662</v>
      </c>
      <c r="Z1834" s="4">
        <v>525</v>
      </c>
      <c r="AA1834" s="4">
        <v>531</v>
      </c>
      <c r="AB1834" s="4">
        <v>5</v>
      </c>
      <c r="AC1834" s="4">
        <v>5</v>
      </c>
      <c r="AD1834" s="4">
        <v>23</v>
      </c>
      <c r="AE1834" s="4">
        <v>23</v>
      </c>
      <c r="AF1834" s="4">
        <v>6</v>
      </c>
      <c r="AG1834" s="4">
        <v>6</v>
      </c>
      <c r="AH1834" s="4">
        <v>7</v>
      </c>
      <c r="AI1834" s="4">
        <v>7</v>
      </c>
      <c r="AJ1834" s="4">
        <v>10</v>
      </c>
      <c r="AK1834" s="4">
        <v>10</v>
      </c>
      <c r="AL1834" s="4">
        <v>4</v>
      </c>
      <c r="AM1834" s="4">
        <v>4</v>
      </c>
      <c r="AN1834" s="4">
        <v>0</v>
      </c>
      <c r="AO1834" s="4">
        <v>0</v>
      </c>
      <c r="AP1834" s="3" t="s">
        <v>58</v>
      </c>
      <c r="AQ1834" s="3" t="s">
        <v>68</v>
      </c>
      <c r="AR1834" s="6" t="str">
        <f>HYPERLINK("http://catalog.hathitrust.org/Record/000001497","HathiTrust Record")</f>
        <v>HathiTrust Record</v>
      </c>
      <c r="AS1834" s="6" t="str">
        <f>HYPERLINK("https://creighton-primo.hosted.exlibrisgroup.com/primo-explore/search?tab=default_tab&amp;search_scope=EVERYTHING&amp;vid=01CRU&amp;lang=en_US&amp;offset=0&amp;query=any,contains,991000635119702656","Catalog Record")</f>
        <v>Catalog Record</v>
      </c>
      <c r="AT1834" s="6" t="str">
        <f>HYPERLINK("http://www.worldcat.org/oclc/107416","WorldCat Record")</f>
        <v>WorldCat Record</v>
      </c>
      <c r="AU1834" s="3" t="s">
        <v>22443</v>
      </c>
      <c r="AV1834" s="3" t="s">
        <v>22444</v>
      </c>
      <c r="AW1834" s="3" t="s">
        <v>22445</v>
      </c>
      <c r="AX1834" s="3" t="s">
        <v>22445</v>
      </c>
      <c r="AY1834" s="3" t="s">
        <v>22446</v>
      </c>
      <c r="AZ1834" s="3" t="s">
        <v>73</v>
      </c>
      <c r="BB1834" s="3" t="s">
        <v>22447</v>
      </c>
      <c r="BC1834" s="3" t="s">
        <v>22448</v>
      </c>
      <c r="BD1834" s="3" t="s">
        <v>22449</v>
      </c>
    </row>
    <row r="1835" spans="1:56" ht="51" customHeight="1" x14ac:dyDescent="0.25">
      <c r="A1835" s="7" t="s">
        <v>58</v>
      </c>
      <c r="B1835" s="2" t="s">
        <v>22450</v>
      </c>
      <c r="C1835" s="2" t="s">
        <v>22451</v>
      </c>
      <c r="D1835" s="2" t="s">
        <v>22452</v>
      </c>
      <c r="F1835" s="3" t="s">
        <v>58</v>
      </c>
      <c r="G1835" s="3" t="s">
        <v>59</v>
      </c>
      <c r="H1835" s="3" t="s">
        <v>58</v>
      </c>
      <c r="I1835" s="3" t="s">
        <v>58</v>
      </c>
      <c r="J1835" s="3" t="s">
        <v>60</v>
      </c>
      <c r="K1835" s="2" t="s">
        <v>22453</v>
      </c>
      <c r="L1835" s="2" t="s">
        <v>22454</v>
      </c>
      <c r="M1835" s="3" t="s">
        <v>842</v>
      </c>
      <c r="O1835" s="3" t="s">
        <v>63</v>
      </c>
      <c r="P1835" s="3" t="s">
        <v>411</v>
      </c>
      <c r="R1835" s="3" t="s">
        <v>65</v>
      </c>
      <c r="S1835" s="4">
        <v>2</v>
      </c>
      <c r="T1835" s="4">
        <v>2</v>
      </c>
      <c r="U1835" s="5" t="s">
        <v>22455</v>
      </c>
      <c r="V1835" s="5" t="s">
        <v>22455</v>
      </c>
      <c r="W1835" s="5" t="s">
        <v>17640</v>
      </c>
      <c r="X1835" s="5" t="s">
        <v>17640</v>
      </c>
      <c r="Y1835" s="4">
        <v>443</v>
      </c>
      <c r="Z1835" s="4">
        <v>345</v>
      </c>
      <c r="AA1835" s="4">
        <v>368</v>
      </c>
      <c r="AB1835" s="4">
        <v>4</v>
      </c>
      <c r="AC1835" s="4">
        <v>4</v>
      </c>
      <c r="AD1835" s="4">
        <v>14</v>
      </c>
      <c r="AE1835" s="4">
        <v>15</v>
      </c>
      <c r="AF1835" s="4">
        <v>2</v>
      </c>
      <c r="AG1835" s="4">
        <v>3</v>
      </c>
      <c r="AH1835" s="4">
        <v>5</v>
      </c>
      <c r="AI1835" s="4">
        <v>5</v>
      </c>
      <c r="AJ1835" s="4">
        <v>7</v>
      </c>
      <c r="AK1835" s="4">
        <v>7</v>
      </c>
      <c r="AL1835" s="4">
        <v>3</v>
      </c>
      <c r="AM1835" s="4">
        <v>3</v>
      </c>
      <c r="AN1835" s="4">
        <v>0</v>
      </c>
      <c r="AO1835" s="4">
        <v>0</v>
      </c>
      <c r="AP1835" s="3" t="s">
        <v>58</v>
      </c>
      <c r="AQ1835" s="3" t="s">
        <v>58</v>
      </c>
      <c r="AS1835" s="6" t="str">
        <f>HYPERLINK("https://creighton-primo.hosted.exlibrisgroup.com/primo-explore/search?tab=default_tab&amp;search_scope=EVERYTHING&amp;vid=01CRU&amp;lang=en_US&amp;offset=0&amp;query=any,contains,991004947949702656","Catalog Record")</f>
        <v>Catalog Record</v>
      </c>
      <c r="AT1835" s="6" t="str">
        <f>HYPERLINK("http://www.worldcat.org/oclc/6223045","WorldCat Record")</f>
        <v>WorldCat Record</v>
      </c>
      <c r="AU1835" s="3" t="s">
        <v>22456</v>
      </c>
      <c r="AV1835" s="3" t="s">
        <v>22457</v>
      </c>
      <c r="AW1835" s="3" t="s">
        <v>22458</v>
      </c>
      <c r="AX1835" s="3" t="s">
        <v>22458</v>
      </c>
      <c r="AY1835" s="3" t="s">
        <v>22459</v>
      </c>
      <c r="AZ1835" s="3" t="s">
        <v>73</v>
      </c>
      <c r="BB1835" s="3" t="s">
        <v>22460</v>
      </c>
      <c r="BC1835" s="3" t="s">
        <v>22461</v>
      </c>
      <c r="BD1835" s="3" t="s">
        <v>22462</v>
      </c>
    </row>
    <row r="1836" spans="1:56" ht="51" customHeight="1" x14ac:dyDescent="0.25">
      <c r="A1836" s="7" t="s">
        <v>58</v>
      </c>
      <c r="B1836" s="2" t="s">
        <v>22463</v>
      </c>
      <c r="C1836" s="2" t="s">
        <v>22464</v>
      </c>
      <c r="D1836" s="2" t="s">
        <v>22465</v>
      </c>
      <c r="F1836" s="3" t="s">
        <v>58</v>
      </c>
      <c r="G1836" s="3" t="s">
        <v>59</v>
      </c>
      <c r="H1836" s="3" t="s">
        <v>58</v>
      </c>
      <c r="I1836" s="3" t="s">
        <v>58</v>
      </c>
      <c r="J1836" s="3" t="s">
        <v>60</v>
      </c>
      <c r="K1836" s="2" t="s">
        <v>22466</v>
      </c>
      <c r="L1836" s="2" t="s">
        <v>22467</v>
      </c>
      <c r="M1836" s="3" t="s">
        <v>22468</v>
      </c>
      <c r="N1836" s="2" t="s">
        <v>22469</v>
      </c>
      <c r="O1836" s="3" t="s">
        <v>63</v>
      </c>
      <c r="P1836" s="3" t="s">
        <v>214</v>
      </c>
      <c r="R1836" s="3" t="s">
        <v>65</v>
      </c>
      <c r="S1836" s="4">
        <v>3</v>
      </c>
      <c r="T1836" s="4">
        <v>3</v>
      </c>
      <c r="U1836" s="5" t="s">
        <v>22470</v>
      </c>
      <c r="V1836" s="5" t="s">
        <v>22470</v>
      </c>
      <c r="W1836" s="5" t="s">
        <v>20416</v>
      </c>
      <c r="X1836" s="5" t="s">
        <v>20416</v>
      </c>
      <c r="Y1836" s="4">
        <v>52</v>
      </c>
      <c r="Z1836" s="4">
        <v>49</v>
      </c>
      <c r="AA1836" s="4">
        <v>408</v>
      </c>
      <c r="AB1836" s="4">
        <v>1</v>
      </c>
      <c r="AC1836" s="4">
        <v>3</v>
      </c>
      <c r="AD1836" s="4">
        <v>1</v>
      </c>
      <c r="AE1836" s="4">
        <v>22</v>
      </c>
      <c r="AF1836" s="4">
        <v>1</v>
      </c>
      <c r="AG1836" s="4">
        <v>8</v>
      </c>
      <c r="AH1836" s="4">
        <v>0</v>
      </c>
      <c r="AI1836" s="4">
        <v>7</v>
      </c>
      <c r="AJ1836" s="4">
        <v>0</v>
      </c>
      <c r="AK1836" s="4">
        <v>11</v>
      </c>
      <c r="AL1836" s="4">
        <v>0</v>
      </c>
      <c r="AM1836" s="4">
        <v>2</v>
      </c>
      <c r="AN1836" s="4">
        <v>0</v>
      </c>
      <c r="AO1836" s="4">
        <v>0</v>
      </c>
      <c r="AP1836" s="3" t="s">
        <v>68</v>
      </c>
      <c r="AQ1836" s="3" t="s">
        <v>58</v>
      </c>
      <c r="AR1836" s="6" t="str">
        <f>HYPERLINK("http://catalog.hathitrust.org/Record/011560584","HathiTrust Record")</f>
        <v>HathiTrust Record</v>
      </c>
      <c r="AS1836" s="6" t="str">
        <f>HYPERLINK("https://creighton-primo.hosted.exlibrisgroup.com/primo-explore/search?tab=default_tab&amp;search_scope=EVERYTHING&amp;vid=01CRU&amp;lang=en_US&amp;offset=0&amp;query=any,contains,991004853769702656","Catalog Record")</f>
        <v>Catalog Record</v>
      </c>
      <c r="AT1836" s="6" t="str">
        <f>HYPERLINK("http://www.worldcat.org/oclc/5654518","WorldCat Record")</f>
        <v>WorldCat Record</v>
      </c>
      <c r="AU1836" s="3" t="s">
        <v>22471</v>
      </c>
      <c r="AV1836" s="3" t="s">
        <v>22472</v>
      </c>
      <c r="AW1836" s="3" t="s">
        <v>22473</v>
      </c>
      <c r="AX1836" s="3" t="s">
        <v>22473</v>
      </c>
      <c r="AY1836" s="3" t="s">
        <v>22474</v>
      </c>
      <c r="AZ1836" s="3" t="s">
        <v>73</v>
      </c>
      <c r="BC1836" s="3" t="s">
        <v>22475</v>
      </c>
      <c r="BD1836" s="3" t="s">
        <v>22476</v>
      </c>
    </row>
    <row r="1837" spans="1:56" ht="51" customHeight="1" x14ac:dyDescent="0.25">
      <c r="A1837" s="7" t="s">
        <v>58</v>
      </c>
      <c r="B1837" s="2" t="s">
        <v>22477</v>
      </c>
      <c r="C1837" s="2" t="s">
        <v>22478</v>
      </c>
      <c r="D1837" s="2" t="s">
        <v>22479</v>
      </c>
      <c r="F1837" s="3" t="s">
        <v>58</v>
      </c>
      <c r="G1837" s="3" t="s">
        <v>59</v>
      </c>
      <c r="H1837" s="3" t="s">
        <v>58</v>
      </c>
      <c r="I1837" s="3" t="s">
        <v>58</v>
      </c>
      <c r="J1837" s="3" t="s">
        <v>60</v>
      </c>
      <c r="K1837" s="2" t="s">
        <v>22466</v>
      </c>
      <c r="L1837" s="2" t="s">
        <v>22480</v>
      </c>
      <c r="M1837" s="3" t="s">
        <v>22481</v>
      </c>
      <c r="O1837" s="3" t="s">
        <v>63</v>
      </c>
      <c r="P1837" s="3" t="s">
        <v>214</v>
      </c>
      <c r="R1837" s="3" t="s">
        <v>65</v>
      </c>
      <c r="S1837" s="4">
        <v>4</v>
      </c>
      <c r="T1837" s="4">
        <v>4</v>
      </c>
      <c r="U1837" s="5" t="s">
        <v>22482</v>
      </c>
      <c r="V1837" s="5" t="s">
        <v>22482</v>
      </c>
      <c r="W1837" s="5" t="s">
        <v>15262</v>
      </c>
      <c r="X1837" s="5" t="s">
        <v>15262</v>
      </c>
      <c r="Y1837" s="4">
        <v>156</v>
      </c>
      <c r="Z1837" s="4">
        <v>143</v>
      </c>
      <c r="AA1837" s="4">
        <v>312</v>
      </c>
      <c r="AB1837" s="4">
        <v>2</v>
      </c>
      <c r="AC1837" s="4">
        <v>3</v>
      </c>
      <c r="AD1837" s="4">
        <v>8</v>
      </c>
      <c r="AE1837" s="4">
        <v>14</v>
      </c>
      <c r="AF1837" s="4">
        <v>3</v>
      </c>
      <c r="AG1837" s="4">
        <v>6</v>
      </c>
      <c r="AH1837" s="4">
        <v>2</v>
      </c>
      <c r="AI1837" s="4">
        <v>3</v>
      </c>
      <c r="AJ1837" s="4">
        <v>4</v>
      </c>
      <c r="AK1837" s="4">
        <v>6</v>
      </c>
      <c r="AL1837" s="4">
        <v>1</v>
      </c>
      <c r="AM1837" s="4">
        <v>2</v>
      </c>
      <c r="AN1837" s="4">
        <v>0</v>
      </c>
      <c r="AO1837" s="4">
        <v>0</v>
      </c>
      <c r="AP1837" s="3" t="s">
        <v>68</v>
      </c>
      <c r="AQ1837" s="3" t="s">
        <v>58</v>
      </c>
      <c r="AR1837" s="6" t="str">
        <f>HYPERLINK("http://catalog.hathitrust.org/Record/005062711","HathiTrust Record")</f>
        <v>HathiTrust Record</v>
      </c>
      <c r="AS1837" s="6" t="str">
        <f>HYPERLINK("https://creighton-primo.hosted.exlibrisgroup.com/primo-explore/search?tab=default_tab&amp;search_scope=EVERYTHING&amp;vid=01CRU&amp;lang=en_US&amp;offset=0&amp;query=any,contains,991003911119702656","Catalog Record")</f>
        <v>Catalog Record</v>
      </c>
      <c r="AT1837" s="6" t="str">
        <f>HYPERLINK("http://www.worldcat.org/oclc/1852091","WorldCat Record")</f>
        <v>WorldCat Record</v>
      </c>
      <c r="AU1837" s="3" t="s">
        <v>22483</v>
      </c>
      <c r="AV1837" s="3" t="s">
        <v>22484</v>
      </c>
      <c r="AW1837" s="3" t="s">
        <v>22485</v>
      </c>
      <c r="AX1837" s="3" t="s">
        <v>22485</v>
      </c>
      <c r="AY1837" s="3" t="s">
        <v>22486</v>
      </c>
      <c r="AZ1837" s="3" t="s">
        <v>73</v>
      </c>
      <c r="BC1837" s="3" t="s">
        <v>22487</v>
      </c>
      <c r="BD1837" s="3" t="s">
        <v>22488</v>
      </c>
    </row>
    <row r="1838" spans="1:56" ht="51" customHeight="1" x14ac:dyDescent="0.25">
      <c r="A1838" s="7" t="s">
        <v>58</v>
      </c>
      <c r="B1838" s="2" t="s">
        <v>22489</v>
      </c>
      <c r="C1838" s="2" t="s">
        <v>22490</v>
      </c>
      <c r="D1838" s="2" t="s">
        <v>22491</v>
      </c>
      <c r="F1838" s="3" t="s">
        <v>58</v>
      </c>
      <c r="G1838" s="3" t="s">
        <v>59</v>
      </c>
      <c r="H1838" s="3" t="s">
        <v>58</v>
      </c>
      <c r="I1838" s="3" t="s">
        <v>58</v>
      </c>
      <c r="J1838" s="3" t="s">
        <v>60</v>
      </c>
      <c r="K1838" s="2" t="s">
        <v>19596</v>
      </c>
      <c r="L1838" s="2" t="s">
        <v>9148</v>
      </c>
      <c r="M1838" s="3" t="s">
        <v>83</v>
      </c>
      <c r="O1838" s="3" t="s">
        <v>63</v>
      </c>
      <c r="P1838" s="3" t="s">
        <v>214</v>
      </c>
      <c r="R1838" s="3" t="s">
        <v>65</v>
      </c>
      <c r="S1838" s="4">
        <v>3</v>
      </c>
      <c r="T1838" s="4">
        <v>3</v>
      </c>
      <c r="U1838" s="5" t="s">
        <v>15702</v>
      </c>
      <c r="V1838" s="5" t="s">
        <v>15702</v>
      </c>
      <c r="W1838" s="5" t="s">
        <v>17640</v>
      </c>
      <c r="X1838" s="5" t="s">
        <v>17640</v>
      </c>
      <c r="Y1838" s="4">
        <v>93</v>
      </c>
      <c r="Z1838" s="4">
        <v>85</v>
      </c>
      <c r="AA1838" s="4">
        <v>459</v>
      </c>
      <c r="AB1838" s="4">
        <v>2</v>
      </c>
      <c r="AC1838" s="4">
        <v>4</v>
      </c>
      <c r="AD1838" s="4">
        <v>2</v>
      </c>
      <c r="AE1838" s="4">
        <v>20</v>
      </c>
      <c r="AF1838" s="4">
        <v>0</v>
      </c>
      <c r="AG1838" s="4">
        <v>6</v>
      </c>
      <c r="AH1838" s="4">
        <v>1</v>
      </c>
      <c r="AI1838" s="4">
        <v>5</v>
      </c>
      <c r="AJ1838" s="4">
        <v>0</v>
      </c>
      <c r="AK1838" s="4">
        <v>12</v>
      </c>
      <c r="AL1838" s="4">
        <v>1</v>
      </c>
      <c r="AM1838" s="4">
        <v>2</v>
      </c>
      <c r="AN1838" s="4">
        <v>0</v>
      </c>
      <c r="AO1838" s="4">
        <v>0</v>
      </c>
      <c r="AP1838" s="3" t="s">
        <v>58</v>
      </c>
      <c r="AQ1838" s="3" t="s">
        <v>68</v>
      </c>
      <c r="AR1838" s="6" t="str">
        <f>HYPERLINK("http://catalog.hathitrust.org/Record/004409001","HathiTrust Record")</f>
        <v>HathiTrust Record</v>
      </c>
      <c r="AS1838" s="6" t="str">
        <f>HYPERLINK("https://creighton-primo.hosted.exlibrisgroup.com/primo-explore/search?tab=default_tab&amp;search_scope=EVERYTHING&amp;vid=01CRU&amp;lang=en_US&amp;offset=0&amp;query=any,contains,991004460999702656","Catalog Record")</f>
        <v>Catalog Record</v>
      </c>
      <c r="AT1838" s="6" t="str">
        <f>HYPERLINK("http://www.worldcat.org/oclc/3543320","WorldCat Record")</f>
        <v>WorldCat Record</v>
      </c>
      <c r="AU1838" s="3" t="s">
        <v>22492</v>
      </c>
      <c r="AV1838" s="3" t="s">
        <v>22493</v>
      </c>
      <c r="AW1838" s="3" t="s">
        <v>22494</v>
      </c>
      <c r="AX1838" s="3" t="s">
        <v>22494</v>
      </c>
      <c r="AY1838" s="3" t="s">
        <v>22495</v>
      </c>
      <c r="AZ1838" s="3" t="s">
        <v>73</v>
      </c>
      <c r="BB1838" s="3" t="s">
        <v>22496</v>
      </c>
      <c r="BC1838" s="3" t="s">
        <v>22497</v>
      </c>
      <c r="BD1838" s="3" t="s">
        <v>22498</v>
      </c>
    </row>
    <row r="1839" spans="1:56" ht="51" customHeight="1" x14ac:dyDescent="0.25">
      <c r="A1839" s="7" t="s">
        <v>58</v>
      </c>
      <c r="B1839" s="2" t="s">
        <v>22499</v>
      </c>
      <c r="C1839" s="2" t="s">
        <v>22500</v>
      </c>
      <c r="D1839" s="2" t="s">
        <v>22501</v>
      </c>
      <c r="F1839" s="3" t="s">
        <v>58</v>
      </c>
      <c r="G1839" s="3" t="s">
        <v>59</v>
      </c>
      <c r="H1839" s="3" t="s">
        <v>58</v>
      </c>
      <c r="I1839" s="3" t="s">
        <v>58</v>
      </c>
      <c r="J1839" s="3" t="s">
        <v>60</v>
      </c>
      <c r="L1839" s="2" t="s">
        <v>22502</v>
      </c>
      <c r="M1839" s="3" t="s">
        <v>2326</v>
      </c>
      <c r="O1839" s="3" t="s">
        <v>63</v>
      </c>
      <c r="P1839" s="3" t="s">
        <v>584</v>
      </c>
      <c r="R1839" s="3" t="s">
        <v>65</v>
      </c>
      <c r="S1839" s="4">
        <v>1</v>
      </c>
      <c r="T1839" s="4">
        <v>1</v>
      </c>
      <c r="U1839" s="5" t="s">
        <v>818</v>
      </c>
      <c r="V1839" s="5" t="s">
        <v>818</v>
      </c>
      <c r="W1839" s="5" t="s">
        <v>818</v>
      </c>
      <c r="X1839" s="5" t="s">
        <v>818</v>
      </c>
      <c r="Y1839" s="4">
        <v>263</v>
      </c>
      <c r="Z1839" s="4">
        <v>235</v>
      </c>
      <c r="AA1839" s="4">
        <v>236</v>
      </c>
      <c r="AB1839" s="4">
        <v>2</v>
      </c>
      <c r="AC1839" s="4">
        <v>2</v>
      </c>
      <c r="AD1839" s="4">
        <v>7</v>
      </c>
      <c r="AE1839" s="4">
        <v>7</v>
      </c>
      <c r="AF1839" s="4">
        <v>3</v>
      </c>
      <c r="AG1839" s="4">
        <v>3</v>
      </c>
      <c r="AH1839" s="4">
        <v>1</v>
      </c>
      <c r="AI1839" s="4">
        <v>1</v>
      </c>
      <c r="AJ1839" s="4">
        <v>5</v>
      </c>
      <c r="AK1839" s="4">
        <v>5</v>
      </c>
      <c r="AL1839" s="4">
        <v>1</v>
      </c>
      <c r="AM1839" s="4">
        <v>1</v>
      </c>
      <c r="AN1839" s="4">
        <v>0</v>
      </c>
      <c r="AO1839" s="4">
        <v>0</v>
      </c>
      <c r="AP1839" s="3" t="s">
        <v>58</v>
      </c>
      <c r="AQ1839" s="3" t="s">
        <v>68</v>
      </c>
      <c r="AR1839" s="6" t="str">
        <f>HYPERLINK("http://catalog.hathitrust.org/Record/006814165","HathiTrust Record")</f>
        <v>HathiTrust Record</v>
      </c>
      <c r="AS1839" s="6" t="str">
        <f>HYPERLINK("https://creighton-primo.hosted.exlibrisgroup.com/primo-explore/search?tab=default_tab&amp;search_scope=EVERYTHING&amp;vid=01CRU&amp;lang=en_US&amp;offset=0&amp;query=any,contains,991005311369702656","Catalog Record")</f>
        <v>Catalog Record</v>
      </c>
      <c r="AT1839" s="6" t="str">
        <f>HYPERLINK("http://www.worldcat.org/oclc/234260201","WorldCat Record")</f>
        <v>WorldCat Record</v>
      </c>
      <c r="AU1839" s="3" t="s">
        <v>22503</v>
      </c>
      <c r="AV1839" s="3" t="s">
        <v>22504</v>
      </c>
      <c r="AW1839" s="3" t="s">
        <v>22505</v>
      </c>
      <c r="AX1839" s="3" t="s">
        <v>22505</v>
      </c>
      <c r="AY1839" s="3" t="s">
        <v>22506</v>
      </c>
      <c r="AZ1839" s="3" t="s">
        <v>73</v>
      </c>
      <c r="BB1839" s="3" t="s">
        <v>22507</v>
      </c>
      <c r="BC1839" s="3" t="s">
        <v>22508</v>
      </c>
      <c r="BD1839" s="3" t="s">
        <v>22509</v>
      </c>
    </row>
    <row r="1840" spans="1:56" ht="51" customHeight="1" x14ac:dyDescent="0.25">
      <c r="A1840" s="7" t="s">
        <v>58</v>
      </c>
      <c r="B1840" s="2" t="s">
        <v>22510</v>
      </c>
      <c r="C1840" s="2" t="s">
        <v>22511</v>
      </c>
      <c r="D1840" s="2" t="s">
        <v>22512</v>
      </c>
      <c r="F1840" s="3" t="s">
        <v>58</v>
      </c>
      <c r="G1840" s="3" t="s">
        <v>59</v>
      </c>
      <c r="H1840" s="3" t="s">
        <v>58</v>
      </c>
      <c r="I1840" s="3" t="s">
        <v>58</v>
      </c>
      <c r="J1840" s="3" t="s">
        <v>60</v>
      </c>
      <c r="K1840" s="2" t="s">
        <v>22513</v>
      </c>
      <c r="L1840" s="2" t="s">
        <v>22514</v>
      </c>
      <c r="M1840" s="3" t="s">
        <v>2132</v>
      </c>
      <c r="O1840" s="3" t="s">
        <v>63</v>
      </c>
      <c r="P1840" s="3" t="s">
        <v>584</v>
      </c>
      <c r="R1840" s="3" t="s">
        <v>65</v>
      </c>
      <c r="S1840" s="4">
        <v>3</v>
      </c>
      <c r="T1840" s="4">
        <v>3</v>
      </c>
      <c r="U1840" s="5" t="s">
        <v>22515</v>
      </c>
      <c r="V1840" s="5" t="s">
        <v>22515</v>
      </c>
      <c r="W1840" s="5" t="s">
        <v>22442</v>
      </c>
      <c r="X1840" s="5" t="s">
        <v>22442</v>
      </c>
      <c r="Y1840" s="4">
        <v>121</v>
      </c>
      <c r="Z1840" s="4">
        <v>117</v>
      </c>
      <c r="AA1840" s="4">
        <v>912</v>
      </c>
      <c r="AB1840" s="4">
        <v>2</v>
      </c>
      <c r="AC1840" s="4">
        <v>12</v>
      </c>
      <c r="AD1840" s="4">
        <v>4</v>
      </c>
      <c r="AE1840" s="4">
        <v>40</v>
      </c>
      <c r="AF1840" s="4">
        <v>2</v>
      </c>
      <c r="AG1840" s="4">
        <v>17</v>
      </c>
      <c r="AH1840" s="4">
        <v>1</v>
      </c>
      <c r="AI1840" s="4">
        <v>9</v>
      </c>
      <c r="AJ1840" s="4">
        <v>1</v>
      </c>
      <c r="AK1840" s="4">
        <v>13</v>
      </c>
      <c r="AL1840" s="4">
        <v>1</v>
      </c>
      <c r="AM1840" s="4">
        <v>9</v>
      </c>
      <c r="AN1840" s="4">
        <v>0</v>
      </c>
      <c r="AO1840" s="4">
        <v>0</v>
      </c>
      <c r="AP1840" s="3" t="s">
        <v>58</v>
      </c>
      <c r="AQ1840" s="3" t="s">
        <v>58</v>
      </c>
      <c r="AS1840" s="6" t="str">
        <f>HYPERLINK("https://creighton-primo.hosted.exlibrisgroup.com/primo-explore/search?tab=default_tab&amp;search_scope=EVERYTHING&amp;vid=01CRU&amp;lang=en_US&amp;offset=0&amp;query=any,contains,991004843759702656","Catalog Record")</f>
        <v>Catalog Record</v>
      </c>
      <c r="AT1840" s="6" t="str">
        <f>HYPERLINK("http://www.worldcat.org/oclc/5535145","WorldCat Record")</f>
        <v>WorldCat Record</v>
      </c>
      <c r="AU1840" s="3" t="s">
        <v>22516</v>
      </c>
      <c r="AV1840" s="3" t="s">
        <v>22517</v>
      </c>
      <c r="AW1840" s="3" t="s">
        <v>22518</v>
      </c>
      <c r="AX1840" s="3" t="s">
        <v>22518</v>
      </c>
      <c r="AY1840" s="3" t="s">
        <v>22519</v>
      </c>
      <c r="AZ1840" s="3" t="s">
        <v>73</v>
      </c>
      <c r="BC1840" s="3" t="s">
        <v>22520</v>
      </c>
      <c r="BD1840" s="3" t="s">
        <v>22521</v>
      </c>
    </row>
    <row r="1841" spans="1:56" ht="51" customHeight="1" x14ac:dyDescent="0.25">
      <c r="A1841" s="7" t="s">
        <v>58</v>
      </c>
      <c r="B1841" s="2" t="s">
        <v>22522</v>
      </c>
      <c r="C1841" s="2" t="s">
        <v>22523</v>
      </c>
      <c r="D1841" s="2" t="s">
        <v>22524</v>
      </c>
      <c r="F1841" s="3" t="s">
        <v>58</v>
      </c>
      <c r="G1841" s="3" t="s">
        <v>59</v>
      </c>
      <c r="H1841" s="3" t="s">
        <v>58</v>
      </c>
      <c r="I1841" s="3" t="s">
        <v>58</v>
      </c>
      <c r="J1841" s="3" t="s">
        <v>60</v>
      </c>
      <c r="K1841" s="2" t="s">
        <v>22513</v>
      </c>
      <c r="L1841" s="2" t="s">
        <v>22525</v>
      </c>
      <c r="M1841" s="3" t="s">
        <v>138</v>
      </c>
      <c r="N1841" s="2" t="s">
        <v>22526</v>
      </c>
      <c r="O1841" s="3" t="s">
        <v>63</v>
      </c>
      <c r="P1841" s="3" t="s">
        <v>214</v>
      </c>
      <c r="R1841" s="3" t="s">
        <v>65</v>
      </c>
      <c r="S1841" s="4">
        <v>5</v>
      </c>
      <c r="T1841" s="4">
        <v>5</v>
      </c>
      <c r="U1841" s="5" t="s">
        <v>21982</v>
      </c>
      <c r="V1841" s="5" t="s">
        <v>21982</v>
      </c>
      <c r="W1841" s="5" t="s">
        <v>585</v>
      </c>
      <c r="X1841" s="5" t="s">
        <v>585</v>
      </c>
      <c r="Y1841" s="4">
        <v>627</v>
      </c>
      <c r="Z1841" s="4">
        <v>585</v>
      </c>
      <c r="AA1841" s="4">
        <v>632</v>
      </c>
      <c r="AB1841" s="4">
        <v>5</v>
      </c>
      <c r="AC1841" s="4">
        <v>7</v>
      </c>
      <c r="AD1841" s="4">
        <v>19</v>
      </c>
      <c r="AE1841" s="4">
        <v>22</v>
      </c>
      <c r="AF1841" s="4">
        <v>7</v>
      </c>
      <c r="AG1841" s="4">
        <v>8</v>
      </c>
      <c r="AH1841" s="4">
        <v>5</v>
      </c>
      <c r="AI1841" s="4">
        <v>5</v>
      </c>
      <c r="AJ1841" s="4">
        <v>10</v>
      </c>
      <c r="AK1841" s="4">
        <v>11</v>
      </c>
      <c r="AL1841" s="4">
        <v>3</v>
      </c>
      <c r="AM1841" s="4">
        <v>5</v>
      </c>
      <c r="AN1841" s="4">
        <v>0</v>
      </c>
      <c r="AO1841" s="4">
        <v>0</v>
      </c>
      <c r="AP1841" s="3" t="s">
        <v>58</v>
      </c>
      <c r="AQ1841" s="3" t="s">
        <v>68</v>
      </c>
      <c r="AR1841" s="6" t="str">
        <f>HYPERLINK("http://catalog.hathitrust.org/Record/004733110","HathiTrust Record")</f>
        <v>HathiTrust Record</v>
      </c>
      <c r="AS1841" s="6" t="str">
        <f>HYPERLINK("https://creighton-primo.hosted.exlibrisgroup.com/primo-explore/search?tab=default_tab&amp;search_scope=EVERYTHING&amp;vid=01CRU&amp;lang=en_US&amp;offset=0&amp;query=any,contains,991000073939702656","Catalog Record")</f>
        <v>Catalog Record</v>
      </c>
      <c r="AT1841" s="6" t="str">
        <f>HYPERLINK("http://www.worldcat.org/oclc/8800122","WorldCat Record")</f>
        <v>WorldCat Record</v>
      </c>
      <c r="AU1841" s="3" t="s">
        <v>22527</v>
      </c>
      <c r="AV1841" s="3" t="s">
        <v>22528</v>
      </c>
      <c r="AW1841" s="3" t="s">
        <v>22529</v>
      </c>
      <c r="AX1841" s="3" t="s">
        <v>22529</v>
      </c>
      <c r="AY1841" s="3" t="s">
        <v>22530</v>
      </c>
      <c r="AZ1841" s="3" t="s">
        <v>73</v>
      </c>
      <c r="BB1841" s="3" t="s">
        <v>22531</v>
      </c>
      <c r="BC1841" s="3" t="s">
        <v>22532</v>
      </c>
      <c r="BD1841" s="3" t="s">
        <v>22533</v>
      </c>
    </row>
    <row r="1842" spans="1:56" ht="51" customHeight="1" x14ac:dyDescent="0.25">
      <c r="A1842" s="7" t="s">
        <v>58</v>
      </c>
      <c r="B1842" s="2" t="s">
        <v>22534</v>
      </c>
      <c r="C1842" s="2" t="s">
        <v>22535</v>
      </c>
      <c r="D1842" s="2" t="s">
        <v>22536</v>
      </c>
      <c r="F1842" s="3" t="s">
        <v>58</v>
      </c>
      <c r="G1842" s="3" t="s">
        <v>59</v>
      </c>
      <c r="H1842" s="3" t="s">
        <v>58</v>
      </c>
      <c r="I1842" s="3" t="s">
        <v>58</v>
      </c>
      <c r="J1842" s="3" t="s">
        <v>60</v>
      </c>
      <c r="K1842" s="2" t="s">
        <v>22537</v>
      </c>
      <c r="L1842" s="2" t="s">
        <v>22538</v>
      </c>
      <c r="M1842" s="3" t="s">
        <v>4023</v>
      </c>
      <c r="O1842" s="3" t="s">
        <v>63</v>
      </c>
      <c r="P1842" s="3" t="s">
        <v>354</v>
      </c>
      <c r="R1842" s="3" t="s">
        <v>65</v>
      </c>
      <c r="S1842" s="4">
        <v>2</v>
      </c>
      <c r="T1842" s="4">
        <v>2</v>
      </c>
      <c r="U1842" s="5" t="s">
        <v>22539</v>
      </c>
      <c r="V1842" s="5" t="s">
        <v>22539</v>
      </c>
      <c r="W1842" s="5" t="s">
        <v>22540</v>
      </c>
      <c r="X1842" s="5" t="s">
        <v>22540</v>
      </c>
      <c r="Y1842" s="4">
        <v>621</v>
      </c>
      <c r="Z1842" s="4">
        <v>534</v>
      </c>
      <c r="AA1842" s="4">
        <v>872</v>
      </c>
      <c r="AB1842" s="4">
        <v>5</v>
      </c>
      <c r="AC1842" s="4">
        <v>33</v>
      </c>
      <c r="AD1842" s="4">
        <v>16</v>
      </c>
      <c r="AE1842" s="4">
        <v>29</v>
      </c>
      <c r="AF1842" s="4">
        <v>7</v>
      </c>
      <c r="AG1842" s="4">
        <v>9</v>
      </c>
      <c r="AH1842" s="4">
        <v>3</v>
      </c>
      <c r="AI1842" s="4">
        <v>4</v>
      </c>
      <c r="AJ1842" s="4">
        <v>8</v>
      </c>
      <c r="AK1842" s="4">
        <v>9</v>
      </c>
      <c r="AL1842" s="4">
        <v>3</v>
      </c>
      <c r="AM1842" s="4">
        <v>13</v>
      </c>
      <c r="AN1842" s="4">
        <v>0</v>
      </c>
      <c r="AO1842" s="4">
        <v>0</v>
      </c>
      <c r="AP1842" s="3" t="s">
        <v>58</v>
      </c>
      <c r="AQ1842" s="3" t="s">
        <v>58</v>
      </c>
      <c r="AS1842" s="6" t="str">
        <f>HYPERLINK("https://creighton-primo.hosted.exlibrisgroup.com/primo-explore/search?tab=default_tab&amp;search_scope=EVERYTHING&amp;vid=01CRU&amp;lang=en_US&amp;offset=0&amp;query=any,contains,991004419589702656","Catalog Record")</f>
        <v>Catalog Record</v>
      </c>
      <c r="AT1842" s="6" t="str">
        <f>HYPERLINK("http://www.worldcat.org/oclc/56068808","WorldCat Record")</f>
        <v>WorldCat Record</v>
      </c>
      <c r="AU1842" s="3" t="s">
        <v>22541</v>
      </c>
      <c r="AV1842" s="3" t="s">
        <v>22542</v>
      </c>
      <c r="AW1842" s="3" t="s">
        <v>22543</v>
      </c>
      <c r="AX1842" s="3" t="s">
        <v>22543</v>
      </c>
      <c r="AY1842" s="3" t="s">
        <v>22544</v>
      </c>
      <c r="AZ1842" s="3" t="s">
        <v>73</v>
      </c>
      <c r="BB1842" s="3" t="s">
        <v>22545</v>
      </c>
      <c r="BC1842" s="3" t="s">
        <v>22546</v>
      </c>
      <c r="BD1842" s="3" t="s">
        <v>22547</v>
      </c>
    </row>
    <row r="1843" spans="1:56" ht="51" customHeight="1" x14ac:dyDescent="0.25">
      <c r="A1843" s="7" t="s">
        <v>58</v>
      </c>
      <c r="B1843" s="2" t="s">
        <v>22548</v>
      </c>
      <c r="C1843" s="2" t="s">
        <v>22549</v>
      </c>
      <c r="D1843" s="2" t="s">
        <v>22550</v>
      </c>
      <c r="F1843" s="3" t="s">
        <v>58</v>
      </c>
      <c r="G1843" s="3" t="s">
        <v>59</v>
      </c>
      <c r="H1843" s="3" t="s">
        <v>58</v>
      </c>
      <c r="I1843" s="3" t="s">
        <v>58</v>
      </c>
      <c r="J1843" s="3" t="s">
        <v>60</v>
      </c>
      <c r="K1843" s="2" t="s">
        <v>22551</v>
      </c>
      <c r="L1843" s="2" t="s">
        <v>22552</v>
      </c>
      <c r="M1843" s="3" t="s">
        <v>731</v>
      </c>
      <c r="O1843" s="3" t="s">
        <v>63</v>
      </c>
      <c r="P1843" s="3" t="s">
        <v>510</v>
      </c>
      <c r="Q1843" s="2" t="s">
        <v>22553</v>
      </c>
      <c r="R1843" s="3" t="s">
        <v>65</v>
      </c>
      <c r="S1843" s="4">
        <v>11</v>
      </c>
      <c r="T1843" s="4">
        <v>11</v>
      </c>
      <c r="U1843" s="5" t="s">
        <v>12657</v>
      </c>
      <c r="V1843" s="5" t="s">
        <v>12657</v>
      </c>
      <c r="W1843" s="5" t="s">
        <v>20954</v>
      </c>
      <c r="X1843" s="5" t="s">
        <v>20954</v>
      </c>
      <c r="Y1843" s="4">
        <v>1024</v>
      </c>
      <c r="Z1843" s="4">
        <v>902</v>
      </c>
      <c r="AA1843" s="4">
        <v>913</v>
      </c>
      <c r="AB1843" s="4">
        <v>8</v>
      </c>
      <c r="AC1843" s="4">
        <v>8</v>
      </c>
      <c r="AD1843" s="4">
        <v>33</v>
      </c>
      <c r="AE1843" s="4">
        <v>33</v>
      </c>
      <c r="AF1843" s="4">
        <v>14</v>
      </c>
      <c r="AG1843" s="4">
        <v>14</v>
      </c>
      <c r="AH1843" s="4">
        <v>5</v>
      </c>
      <c r="AI1843" s="4">
        <v>5</v>
      </c>
      <c r="AJ1843" s="4">
        <v>15</v>
      </c>
      <c r="AK1843" s="4">
        <v>15</v>
      </c>
      <c r="AL1843" s="4">
        <v>6</v>
      </c>
      <c r="AM1843" s="4">
        <v>6</v>
      </c>
      <c r="AN1843" s="4">
        <v>1</v>
      </c>
      <c r="AO1843" s="4">
        <v>1</v>
      </c>
      <c r="AP1843" s="3" t="s">
        <v>68</v>
      </c>
      <c r="AQ1843" s="3" t="s">
        <v>58</v>
      </c>
      <c r="AR1843" s="6" t="str">
        <f>HYPERLINK("http://catalog.hathitrust.org/Record/001241499","HathiTrust Record")</f>
        <v>HathiTrust Record</v>
      </c>
      <c r="AS1843" s="6" t="str">
        <f>HYPERLINK("https://creighton-primo.hosted.exlibrisgroup.com/primo-explore/search?tab=default_tab&amp;search_scope=EVERYTHING&amp;vid=01CRU&amp;lang=en_US&amp;offset=0&amp;query=any,contains,991002679899702656","Catalog Record")</f>
        <v>Catalog Record</v>
      </c>
      <c r="AT1843" s="6" t="str">
        <f>HYPERLINK("http://www.worldcat.org/oclc/398138","WorldCat Record")</f>
        <v>WorldCat Record</v>
      </c>
      <c r="AU1843" s="3" t="s">
        <v>22554</v>
      </c>
      <c r="AV1843" s="3" t="s">
        <v>22555</v>
      </c>
      <c r="AW1843" s="3" t="s">
        <v>22556</v>
      </c>
      <c r="AX1843" s="3" t="s">
        <v>22556</v>
      </c>
      <c r="AY1843" s="3" t="s">
        <v>22557</v>
      </c>
      <c r="AZ1843" s="3" t="s">
        <v>73</v>
      </c>
      <c r="BC1843" s="3" t="s">
        <v>22558</v>
      </c>
      <c r="BD1843" s="3" t="s">
        <v>22559</v>
      </c>
    </row>
    <row r="1844" spans="1:56" ht="51" customHeight="1" x14ac:dyDescent="0.25">
      <c r="A1844" s="7" t="s">
        <v>58</v>
      </c>
      <c r="B1844" s="2" t="s">
        <v>22560</v>
      </c>
      <c r="C1844" s="2" t="s">
        <v>22561</v>
      </c>
      <c r="D1844" s="2" t="s">
        <v>22562</v>
      </c>
      <c r="F1844" s="3" t="s">
        <v>58</v>
      </c>
      <c r="G1844" s="3" t="s">
        <v>59</v>
      </c>
      <c r="H1844" s="3" t="s">
        <v>58</v>
      </c>
      <c r="I1844" s="3" t="s">
        <v>58</v>
      </c>
      <c r="J1844" s="3" t="s">
        <v>60</v>
      </c>
      <c r="K1844" s="2" t="s">
        <v>22563</v>
      </c>
      <c r="L1844" s="2" t="s">
        <v>22564</v>
      </c>
      <c r="M1844" s="3" t="s">
        <v>4023</v>
      </c>
      <c r="N1844" s="2" t="s">
        <v>338</v>
      </c>
      <c r="O1844" s="3" t="s">
        <v>63</v>
      </c>
      <c r="P1844" s="3" t="s">
        <v>214</v>
      </c>
      <c r="R1844" s="3" t="s">
        <v>65</v>
      </c>
      <c r="S1844" s="4">
        <v>3</v>
      </c>
      <c r="T1844" s="4">
        <v>3</v>
      </c>
      <c r="U1844" s="5" t="s">
        <v>22565</v>
      </c>
      <c r="V1844" s="5" t="s">
        <v>22565</v>
      </c>
      <c r="W1844" s="5" t="s">
        <v>22566</v>
      </c>
      <c r="X1844" s="5" t="s">
        <v>22566</v>
      </c>
      <c r="Y1844" s="4">
        <v>522</v>
      </c>
      <c r="Z1844" s="4">
        <v>483</v>
      </c>
      <c r="AA1844" s="4">
        <v>521</v>
      </c>
      <c r="AB1844" s="4">
        <v>4</v>
      </c>
      <c r="AC1844" s="4">
        <v>4</v>
      </c>
      <c r="AD1844" s="4">
        <v>7</v>
      </c>
      <c r="AE1844" s="4">
        <v>7</v>
      </c>
      <c r="AF1844" s="4">
        <v>2</v>
      </c>
      <c r="AG1844" s="4">
        <v>2</v>
      </c>
      <c r="AH1844" s="4">
        <v>3</v>
      </c>
      <c r="AI1844" s="4">
        <v>3</v>
      </c>
      <c r="AJ1844" s="4">
        <v>4</v>
      </c>
      <c r="AK1844" s="4">
        <v>4</v>
      </c>
      <c r="AL1844" s="4">
        <v>1</v>
      </c>
      <c r="AM1844" s="4">
        <v>1</v>
      </c>
      <c r="AN1844" s="4">
        <v>0</v>
      </c>
      <c r="AO1844" s="4">
        <v>0</v>
      </c>
      <c r="AP1844" s="3" t="s">
        <v>58</v>
      </c>
      <c r="AQ1844" s="3" t="s">
        <v>68</v>
      </c>
      <c r="AR1844" s="6" t="str">
        <f>HYPERLINK("http://catalog.hathitrust.org/Record/004763128","HathiTrust Record")</f>
        <v>HathiTrust Record</v>
      </c>
      <c r="AS1844" s="6" t="str">
        <f>HYPERLINK("https://creighton-primo.hosted.exlibrisgroup.com/primo-explore/search?tab=default_tab&amp;search_scope=EVERYTHING&amp;vid=01CRU&amp;lang=en_US&amp;offset=0&amp;query=any,contains,991004303819702656","Catalog Record")</f>
        <v>Catalog Record</v>
      </c>
      <c r="AT1844" s="6" t="str">
        <f>HYPERLINK("http://www.worldcat.org/oclc/53967115","WorldCat Record")</f>
        <v>WorldCat Record</v>
      </c>
      <c r="AU1844" s="3" t="s">
        <v>22567</v>
      </c>
      <c r="AV1844" s="3" t="s">
        <v>22568</v>
      </c>
      <c r="AW1844" s="3" t="s">
        <v>22569</v>
      </c>
      <c r="AX1844" s="3" t="s">
        <v>22569</v>
      </c>
      <c r="AY1844" s="3" t="s">
        <v>22570</v>
      </c>
      <c r="AZ1844" s="3" t="s">
        <v>73</v>
      </c>
      <c r="BB1844" s="3" t="s">
        <v>22571</v>
      </c>
      <c r="BC1844" s="3" t="s">
        <v>22572</v>
      </c>
      <c r="BD1844" s="3" t="s">
        <v>22573</v>
      </c>
    </row>
    <row r="1845" spans="1:56" ht="51" customHeight="1" x14ac:dyDescent="0.25">
      <c r="A1845" s="7" t="s">
        <v>58</v>
      </c>
      <c r="B1845" s="2" t="s">
        <v>22574</v>
      </c>
      <c r="C1845" s="2" t="s">
        <v>22575</v>
      </c>
      <c r="D1845" s="2" t="s">
        <v>22576</v>
      </c>
      <c r="F1845" s="3" t="s">
        <v>58</v>
      </c>
      <c r="G1845" s="3" t="s">
        <v>59</v>
      </c>
      <c r="H1845" s="3" t="s">
        <v>58</v>
      </c>
      <c r="I1845" s="3" t="s">
        <v>58</v>
      </c>
      <c r="J1845" s="3" t="s">
        <v>60</v>
      </c>
      <c r="K1845" s="2" t="s">
        <v>22577</v>
      </c>
      <c r="L1845" s="2" t="s">
        <v>22578</v>
      </c>
      <c r="M1845" s="3" t="s">
        <v>2214</v>
      </c>
      <c r="O1845" s="3" t="s">
        <v>63</v>
      </c>
      <c r="P1845" s="3" t="s">
        <v>1837</v>
      </c>
      <c r="R1845" s="3" t="s">
        <v>65</v>
      </c>
      <c r="S1845" s="4">
        <v>1</v>
      </c>
      <c r="T1845" s="4">
        <v>1</v>
      </c>
      <c r="U1845" s="5" t="s">
        <v>22579</v>
      </c>
      <c r="V1845" s="5" t="s">
        <v>22579</v>
      </c>
      <c r="W1845" s="5" t="s">
        <v>22579</v>
      </c>
      <c r="X1845" s="5" t="s">
        <v>22579</v>
      </c>
      <c r="Y1845" s="4">
        <v>271</v>
      </c>
      <c r="Z1845" s="4">
        <v>262</v>
      </c>
      <c r="AA1845" s="4">
        <v>264</v>
      </c>
      <c r="AB1845" s="4">
        <v>2</v>
      </c>
      <c r="AC1845" s="4">
        <v>2</v>
      </c>
      <c r="AD1845" s="4">
        <v>5</v>
      </c>
      <c r="AE1845" s="4">
        <v>5</v>
      </c>
      <c r="AF1845" s="4">
        <v>0</v>
      </c>
      <c r="AG1845" s="4">
        <v>0</v>
      </c>
      <c r="AH1845" s="4">
        <v>3</v>
      </c>
      <c r="AI1845" s="4">
        <v>3</v>
      </c>
      <c r="AJ1845" s="4">
        <v>2</v>
      </c>
      <c r="AK1845" s="4">
        <v>2</v>
      </c>
      <c r="AL1845" s="4">
        <v>1</v>
      </c>
      <c r="AM1845" s="4">
        <v>1</v>
      </c>
      <c r="AN1845" s="4">
        <v>0</v>
      </c>
      <c r="AO1845" s="4">
        <v>0</v>
      </c>
      <c r="AP1845" s="3" t="s">
        <v>58</v>
      </c>
      <c r="AQ1845" s="3" t="s">
        <v>68</v>
      </c>
      <c r="AR1845" s="6" t="str">
        <f>HYPERLINK("http://catalog.hathitrust.org/Record/005124701","HathiTrust Record")</f>
        <v>HathiTrust Record</v>
      </c>
      <c r="AS1845" s="6" t="str">
        <f>HYPERLINK("https://creighton-primo.hosted.exlibrisgroup.com/primo-explore/search?tab=default_tab&amp;search_scope=EVERYTHING&amp;vid=01CRU&amp;lang=en_US&amp;offset=0&amp;query=any,contains,991004661749702656","Catalog Record")</f>
        <v>Catalog Record</v>
      </c>
      <c r="AT1845" s="6" t="str">
        <f>HYPERLINK("http://www.worldcat.org/oclc/62096210","WorldCat Record")</f>
        <v>WorldCat Record</v>
      </c>
      <c r="AU1845" s="3" t="s">
        <v>22580</v>
      </c>
      <c r="AV1845" s="3" t="s">
        <v>22581</v>
      </c>
      <c r="AW1845" s="3" t="s">
        <v>22582</v>
      </c>
      <c r="AX1845" s="3" t="s">
        <v>22582</v>
      </c>
      <c r="AY1845" s="3" t="s">
        <v>22583</v>
      </c>
      <c r="AZ1845" s="3" t="s">
        <v>73</v>
      </c>
      <c r="BB1845" s="3" t="s">
        <v>22584</v>
      </c>
      <c r="BC1845" s="3" t="s">
        <v>22585</v>
      </c>
      <c r="BD1845" s="3" t="s">
        <v>22586</v>
      </c>
    </row>
    <row r="1846" spans="1:56" ht="51" customHeight="1" x14ac:dyDescent="0.25">
      <c r="A1846" s="7" t="s">
        <v>58</v>
      </c>
      <c r="B1846" s="2" t="s">
        <v>22587</v>
      </c>
      <c r="C1846" s="2" t="s">
        <v>22588</v>
      </c>
      <c r="D1846" s="2" t="s">
        <v>22589</v>
      </c>
      <c r="F1846" s="3" t="s">
        <v>58</v>
      </c>
      <c r="G1846" s="3" t="s">
        <v>59</v>
      </c>
      <c r="H1846" s="3" t="s">
        <v>58</v>
      </c>
      <c r="I1846" s="3" t="s">
        <v>58</v>
      </c>
      <c r="J1846" s="3" t="s">
        <v>60</v>
      </c>
      <c r="K1846" s="2" t="s">
        <v>11552</v>
      </c>
      <c r="L1846" s="2" t="s">
        <v>22590</v>
      </c>
      <c r="M1846" s="3" t="s">
        <v>538</v>
      </c>
      <c r="N1846" s="2" t="s">
        <v>22591</v>
      </c>
      <c r="O1846" s="3" t="s">
        <v>63</v>
      </c>
      <c r="P1846" s="3" t="s">
        <v>214</v>
      </c>
      <c r="Q1846" s="2" t="s">
        <v>22592</v>
      </c>
      <c r="R1846" s="3" t="s">
        <v>65</v>
      </c>
      <c r="S1846" s="4">
        <v>11</v>
      </c>
      <c r="T1846" s="4">
        <v>11</v>
      </c>
      <c r="U1846" s="5" t="s">
        <v>14363</v>
      </c>
      <c r="V1846" s="5" t="s">
        <v>14363</v>
      </c>
      <c r="W1846" s="5" t="s">
        <v>20416</v>
      </c>
      <c r="X1846" s="5" t="s">
        <v>20416</v>
      </c>
      <c r="Y1846" s="4">
        <v>251</v>
      </c>
      <c r="Z1846" s="4">
        <v>228</v>
      </c>
      <c r="AA1846" s="4">
        <v>926</v>
      </c>
      <c r="AB1846" s="4">
        <v>4</v>
      </c>
      <c r="AC1846" s="4">
        <v>9</v>
      </c>
      <c r="AD1846" s="4">
        <v>12</v>
      </c>
      <c r="AE1846" s="4">
        <v>38</v>
      </c>
      <c r="AF1846" s="4">
        <v>4</v>
      </c>
      <c r="AG1846" s="4">
        <v>12</v>
      </c>
      <c r="AH1846" s="4">
        <v>4</v>
      </c>
      <c r="AI1846" s="4">
        <v>9</v>
      </c>
      <c r="AJ1846" s="4">
        <v>3</v>
      </c>
      <c r="AK1846" s="4">
        <v>19</v>
      </c>
      <c r="AL1846" s="4">
        <v>3</v>
      </c>
      <c r="AM1846" s="4">
        <v>7</v>
      </c>
      <c r="AN1846" s="4">
        <v>0</v>
      </c>
      <c r="AO1846" s="4">
        <v>0</v>
      </c>
      <c r="AP1846" s="3" t="s">
        <v>58</v>
      </c>
      <c r="AQ1846" s="3" t="s">
        <v>58</v>
      </c>
      <c r="AS1846" s="6" t="str">
        <f>HYPERLINK("https://creighton-primo.hosted.exlibrisgroup.com/primo-explore/search?tab=default_tab&amp;search_scope=EVERYTHING&amp;vid=01CRU&amp;lang=en_US&amp;offset=0&amp;query=any,contains,991005041659702656","Catalog Record")</f>
        <v>Catalog Record</v>
      </c>
      <c r="AT1846" s="6" t="str">
        <f>HYPERLINK("http://www.worldcat.org/oclc/6798767","WorldCat Record")</f>
        <v>WorldCat Record</v>
      </c>
      <c r="AU1846" s="3" t="s">
        <v>22593</v>
      </c>
      <c r="AV1846" s="3" t="s">
        <v>22594</v>
      </c>
      <c r="AW1846" s="3" t="s">
        <v>22595</v>
      </c>
      <c r="AX1846" s="3" t="s">
        <v>22595</v>
      </c>
      <c r="AY1846" s="3" t="s">
        <v>22596</v>
      </c>
      <c r="AZ1846" s="3" t="s">
        <v>73</v>
      </c>
      <c r="BB1846" s="3" t="s">
        <v>22597</v>
      </c>
      <c r="BC1846" s="3" t="s">
        <v>22598</v>
      </c>
      <c r="BD1846" s="3" t="s">
        <v>22599</v>
      </c>
    </row>
    <row r="1847" spans="1:56" ht="51" customHeight="1" x14ac:dyDescent="0.25">
      <c r="A1847" s="7" t="s">
        <v>58</v>
      </c>
      <c r="B1847" s="2" t="s">
        <v>22600</v>
      </c>
      <c r="C1847" s="2" t="s">
        <v>22601</v>
      </c>
      <c r="D1847" s="2" t="s">
        <v>22602</v>
      </c>
      <c r="F1847" s="3" t="s">
        <v>58</v>
      </c>
      <c r="G1847" s="3" t="s">
        <v>59</v>
      </c>
      <c r="H1847" s="3" t="s">
        <v>58</v>
      </c>
      <c r="I1847" s="3" t="s">
        <v>58</v>
      </c>
      <c r="J1847" s="3" t="s">
        <v>60</v>
      </c>
      <c r="L1847" s="2" t="s">
        <v>22603</v>
      </c>
      <c r="M1847" s="3" t="s">
        <v>2295</v>
      </c>
      <c r="O1847" s="3" t="s">
        <v>63</v>
      </c>
      <c r="P1847" s="3" t="s">
        <v>214</v>
      </c>
      <c r="R1847" s="3" t="s">
        <v>65</v>
      </c>
      <c r="S1847" s="4">
        <v>8</v>
      </c>
      <c r="T1847" s="4">
        <v>8</v>
      </c>
      <c r="U1847" s="5" t="s">
        <v>12695</v>
      </c>
      <c r="V1847" s="5" t="s">
        <v>12695</v>
      </c>
      <c r="W1847" s="5" t="s">
        <v>6673</v>
      </c>
      <c r="X1847" s="5" t="s">
        <v>6673</v>
      </c>
      <c r="Y1847" s="4">
        <v>270</v>
      </c>
      <c r="Z1847" s="4">
        <v>224</v>
      </c>
      <c r="AA1847" s="4">
        <v>230</v>
      </c>
      <c r="AB1847" s="4">
        <v>3</v>
      </c>
      <c r="AC1847" s="4">
        <v>3</v>
      </c>
      <c r="AD1847" s="4">
        <v>9</v>
      </c>
      <c r="AE1847" s="4">
        <v>9</v>
      </c>
      <c r="AF1847" s="4">
        <v>3</v>
      </c>
      <c r="AG1847" s="4">
        <v>3</v>
      </c>
      <c r="AH1847" s="4">
        <v>3</v>
      </c>
      <c r="AI1847" s="4">
        <v>3</v>
      </c>
      <c r="AJ1847" s="4">
        <v>2</v>
      </c>
      <c r="AK1847" s="4">
        <v>2</v>
      </c>
      <c r="AL1847" s="4">
        <v>2</v>
      </c>
      <c r="AM1847" s="4">
        <v>2</v>
      </c>
      <c r="AN1847" s="4">
        <v>0</v>
      </c>
      <c r="AO1847" s="4">
        <v>0</v>
      </c>
      <c r="AP1847" s="3" t="s">
        <v>58</v>
      </c>
      <c r="AQ1847" s="3" t="s">
        <v>58</v>
      </c>
      <c r="AS1847" s="6" t="str">
        <f>HYPERLINK("https://creighton-primo.hosted.exlibrisgroup.com/primo-explore/search?tab=default_tab&amp;search_scope=EVERYTHING&amp;vid=01CRU&amp;lang=en_US&amp;offset=0&amp;query=any,contains,991004143669702656","Catalog Record")</f>
        <v>Catalog Record</v>
      </c>
      <c r="AT1847" s="6" t="str">
        <f>HYPERLINK("http://www.worldcat.org/oclc/51553058","WorldCat Record")</f>
        <v>WorldCat Record</v>
      </c>
      <c r="AU1847" s="3" t="s">
        <v>22604</v>
      </c>
      <c r="AV1847" s="3" t="s">
        <v>22605</v>
      </c>
      <c r="AW1847" s="3" t="s">
        <v>22606</v>
      </c>
      <c r="AX1847" s="3" t="s">
        <v>22606</v>
      </c>
      <c r="AY1847" s="3" t="s">
        <v>22607</v>
      </c>
      <c r="AZ1847" s="3" t="s">
        <v>73</v>
      </c>
      <c r="BB1847" s="3" t="s">
        <v>22608</v>
      </c>
      <c r="BC1847" s="3" t="s">
        <v>22609</v>
      </c>
      <c r="BD1847" s="3" t="s">
        <v>22610</v>
      </c>
    </row>
    <row r="1848" spans="1:56" ht="51" customHeight="1" x14ac:dyDescent="0.25">
      <c r="A1848" s="7" t="s">
        <v>58</v>
      </c>
      <c r="B1848" s="2" t="s">
        <v>22611</v>
      </c>
      <c r="C1848" s="2" t="s">
        <v>22612</v>
      </c>
      <c r="D1848" s="2" t="s">
        <v>22613</v>
      </c>
      <c r="F1848" s="3" t="s">
        <v>58</v>
      </c>
      <c r="G1848" s="3" t="s">
        <v>59</v>
      </c>
      <c r="H1848" s="3" t="s">
        <v>58</v>
      </c>
      <c r="I1848" s="3" t="s">
        <v>58</v>
      </c>
      <c r="J1848" s="3" t="s">
        <v>60</v>
      </c>
      <c r="K1848" s="2" t="s">
        <v>22614</v>
      </c>
      <c r="L1848" s="2" t="s">
        <v>22615</v>
      </c>
      <c r="M1848" s="3" t="s">
        <v>2132</v>
      </c>
      <c r="O1848" s="3" t="s">
        <v>63</v>
      </c>
      <c r="P1848" s="3" t="s">
        <v>411</v>
      </c>
      <c r="R1848" s="3" t="s">
        <v>65</v>
      </c>
      <c r="S1848" s="4">
        <v>12</v>
      </c>
      <c r="T1848" s="4">
        <v>12</v>
      </c>
      <c r="U1848" s="5" t="s">
        <v>13211</v>
      </c>
      <c r="V1848" s="5" t="s">
        <v>13211</v>
      </c>
      <c r="W1848" s="5" t="s">
        <v>20954</v>
      </c>
      <c r="X1848" s="5" t="s">
        <v>20954</v>
      </c>
      <c r="Y1848" s="4">
        <v>1512</v>
      </c>
      <c r="Z1848" s="4">
        <v>1334</v>
      </c>
      <c r="AA1848" s="4">
        <v>1802</v>
      </c>
      <c r="AB1848" s="4">
        <v>11</v>
      </c>
      <c r="AC1848" s="4">
        <v>13</v>
      </c>
      <c r="AD1848" s="4">
        <v>51</v>
      </c>
      <c r="AE1848" s="4">
        <v>64</v>
      </c>
      <c r="AF1848" s="4">
        <v>20</v>
      </c>
      <c r="AG1848" s="4">
        <v>28</v>
      </c>
      <c r="AH1848" s="4">
        <v>8</v>
      </c>
      <c r="AI1848" s="4">
        <v>11</v>
      </c>
      <c r="AJ1848" s="4">
        <v>22</v>
      </c>
      <c r="AK1848" s="4">
        <v>27</v>
      </c>
      <c r="AL1848" s="4">
        <v>10</v>
      </c>
      <c r="AM1848" s="4">
        <v>12</v>
      </c>
      <c r="AN1848" s="4">
        <v>0</v>
      </c>
      <c r="AO1848" s="4">
        <v>0</v>
      </c>
      <c r="AP1848" s="3" t="s">
        <v>58</v>
      </c>
      <c r="AQ1848" s="3" t="s">
        <v>68</v>
      </c>
      <c r="AR1848" s="6" t="str">
        <f>HYPERLINK("http://catalog.hathitrust.org/Record/001241506","HathiTrust Record")</f>
        <v>HathiTrust Record</v>
      </c>
      <c r="AS1848" s="6" t="str">
        <f>HYPERLINK("https://creighton-primo.hosted.exlibrisgroup.com/primo-explore/search?tab=default_tab&amp;search_scope=EVERYTHING&amp;vid=01CRU&amp;lang=en_US&amp;offset=0&amp;query=any,contains,991003594309702656","Catalog Record")</f>
        <v>Catalog Record</v>
      </c>
      <c r="AT1848" s="6" t="str">
        <f>HYPERLINK("http://www.worldcat.org/oclc/1175501","WorldCat Record")</f>
        <v>WorldCat Record</v>
      </c>
      <c r="AU1848" s="3" t="s">
        <v>22616</v>
      </c>
      <c r="AV1848" s="3" t="s">
        <v>22617</v>
      </c>
      <c r="AW1848" s="3" t="s">
        <v>22618</v>
      </c>
      <c r="AX1848" s="3" t="s">
        <v>22618</v>
      </c>
      <c r="AY1848" s="3" t="s">
        <v>22619</v>
      </c>
      <c r="AZ1848" s="3" t="s">
        <v>73</v>
      </c>
      <c r="BC1848" s="3" t="s">
        <v>22620</v>
      </c>
      <c r="BD1848" s="3" t="s">
        <v>22621</v>
      </c>
    </row>
    <row r="1849" spans="1:56" ht="51" customHeight="1" x14ac:dyDescent="0.25">
      <c r="A1849" s="7" t="s">
        <v>58</v>
      </c>
      <c r="B1849" s="2" t="s">
        <v>22622</v>
      </c>
      <c r="C1849" s="2" t="s">
        <v>22623</v>
      </c>
      <c r="D1849" s="2" t="s">
        <v>22624</v>
      </c>
      <c r="F1849" s="3" t="s">
        <v>58</v>
      </c>
      <c r="G1849" s="3" t="s">
        <v>59</v>
      </c>
      <c r="H1849" s="3" t="s">
        <v>58</v>
      </c>
      <c r="I1849" s="3" t="s">
        <v>58</v>
      </c>
      <c r="J1849" s="3" t="s">
        <v>60</v>
      </c>
      <c r="K1849" s="2" t="s">
        <v>22625</v>
      </c>
      <c r="L1849" s="2" t="s">
        <v>22626</v>
      </c>
      <c r="M1849" s="3" t="s">
        <v>353</v>
      </c>
      <c r="O1849" s="3" t="s">
        <v>63</v>
      </c>
      <c r="P1849" s="3" t="s">
        <v>214</v>
      </c>
      <c r="R1849" s="3" t="s">
        <v>65</v>
      </c>
      <c r="S1849" s="4">
        <v>6</v>
      </c>
      <c r="T1849" s="4">
        <v>6</v>
      </c>
      <c r="U1849" s="5" t="s">
        <v>22627</v>
      </c>
      <c r="V1849" s="5" t="s">
        <v>22627</v>
      </c>
      <c r="W1849" s="5" t="s">
        <v>3096</v>
      </c>
      <c r="X1849" s="5" t="s">
        <v>3096</v>
      </c>
      <c r="Y1849" s="4">
        <v>491</v>
      </c>
      <c r="Z1849" s="4">
        <v>459</v>
      </c>
      <c r="AA1849" s="4">
        <v>1083</v>
      </c>
      <c r="AB1849" s="4">
        <v>5</v>
      </c>
      <c r="AC1849" s="4">
        <v>8</v>
      </c>
      <c r="AD1849" s="4">
        <v>11</v>
      </c>
      <c r="AE1849" s="4">
        <v>21</v>
      </c>
      <c r="AF1849" s="4">
        <v>6</v>
      </c>
      <c r="AG1849" s="4">
        <v>8</v>
      </c>
      <c r="AH1849" s="4">
        <v>2</v>
      </c>
      <c r="AI1849" s="4">
        <v>3</v>
      </c>
      <c r="AJ1849" s="4">
        <v>6</v>
      </c>
      <c r="AK1849" s="4">
        <v>11</v>
      </c>
      <c r="AL1849" s="4">
        <v>1</v>
      </c>
      <c r="AM1849" s="4">
        <v>3</v>
      </c>
      <c r="AN1849" s="4">
        <v>0</v>
      </c>
      <c r="AO1849" s="4">
        <v>0</v>
      </c>
      <c r="AP1849" s="3" t="s">
        <v>58</v>
      </c>
      <c r="AQ1849" s="3" t="s">
        <v>68</v>
      </c>
      <c r="AR1849" s="6" t="str">
        <f>HYPERLINK("http://catalog.hathitrust.org/Record/101982464","HathiTrust Record")</f>
        <v>HathiTrust Record</v>
      </c>
      <c r="AS1849" s="6" t="str">
        <f>HYPERLINK("https://creighton-primo.hosted.exlibrisgroup.com/primo-explore/search?tab=default_tab&amp;search_scope=EVERYTHING&amp;vid=01CRU&amp;lang=en_US&amp;offset=0&amp;query=any,contains,991001072989702656","Catalog Record")</f>
        <v>Catalog Record</v>
      </c>
      <c r="AT1849" s="6" t="str">
        <f>HYPERLINK("http://www.worldcat.org/oclc/16002825","WorldCat Record")</f>
        <v>WorldCat Record</v>
      </c>
      <c r="AU1849" s="3" t="s">
        <v>22628</v>
      </c>
      <c r="AV1849" s="3" t="s">
        <v>22629</v>
      </c>
      <c r="AW1849" s="3" t="s">
        <v>22630</v>
      </c>
      <c r="AX1849" s="3" t="s">
        <v>22630</v>
      </c>
      <c r="AY1849" s="3" t="s">
        <v>22631</v>
      </c>
      <c r="AZ1849" s="3" t="s">
        <v>73</v>
      </c>
      <c r="BB1849" s="3" t="s">
        <v>22632</v>
      </c>
      <c r="BC1849" s="3" t="s">
        <v>22633</v>
      </c>
      <c r="BD1849" s="3" t="s">
        <v>22634</v>
      </c>
    </row>
    <row r="1850" spans="1:56" ht="51" customHeight="1" x14ac:dyDescent="0.25">
      <c r="A1850" s="7" t="s">
        <v>58</v>
      </c>
      <c r="B1850" s="2" t="s">
        <v>22635</v>
      </c>
      <c r="C1850" s="2" t="s">
        <v>22636</v>
      </c>
      <c r="D1850" s="2" t="s">
        <v>22637</v>
      </c>
      <c r="F1850" s="3" t="s">
        <v>58</v>
      </c>
      <c r="G1850" s="3" t="s">
        <v>59</v>
      </c>
      <c r="H1850" s="3" t="s">
        <v>58</v>
      </c>
      <c r="I1850" s="3" t="s">
        <v>58</v>
      </c>
      <c r="J1850" s="3" t="s">
        <v>60</v>
      </c>
      <c r="K1850" s="2" t="s">
        <v>22638</v>
      </c>
      <c r="L1850" s="2" t="s">
        <v>22639</v>
      </c>
      <c r="M1850" s="3" t="s">
        <v>855</v>
      </c>
      <c r="O1850" s="3" t="s">
        <v>63</v>
      </c>
      <c r="P1850" s="3" t="s">
        <v>214</v>
      </c>
      <c r="Q1850" s="2" t="s">
        <v>22640</v>
      </c>
      <c r="R1850" s="3" t="s">
        <v>65</v>
      </c>
      <c r="S1850" s="4">
        <v>13</v>
      </c>
      <c r="T1850" s="4">
        <v>13</v>
      </c>
      <c r="U1850" s="5" t="s">
        <v>4409</v>
      </c>
      <c r="V1850" s="5" t="s">
        <v>4409</v>
      </c>
      <c r="W1850" s="5" t="s">
        <v>1878</v>
      </c>
      <c r="X1850" s="5" t="s">
        <v>1878</v>
      </c>
      <c r="Y1850" s="4">
        <v>242</v>
      </c>
      <c r="Z1850" s="4">
        <v>181</v>
      </c>
      <c r="AA1850" s="4">
        <v>195</v>
      </c>
      <c r="AB1850" s="4">
        <v>2</v>
      </c>
      <c r="AC1850" s="4">
        <v>2</v>
      </c>
      <c r="AD1850" s="4">
        <v>10</v>
      </c>
      <c r="AE1850" s="4">
        <v>10</v>
      </c>
      <c r="AF1850" s="4">
        <v>2</v>
      </c>
      <c r="AG1850" s="4">
        <v>2</v>
      </c>
      <c r="AH1850" s="4">
        <v>3</v>
      </c>
      <c r="AI1850" s="4">
        <v>3</v>
      </c>
      <c r="AJ1850" s="4">
        <v>4</v>
      </c>
      <c r="AK1850" s="4">
        <v>4</v>
      </c>
      <c r="AL1850" s="4">
        <v>1</v>
      </c>
      <c r="AM1850" s="4">
        <v>1</v>
      </c>
      <c r="AN1850" s="4">
        <v>2</v>
      </c>
      <c r="AO1850" s="4">
        <v>2</v>
      </c>
      <c r="AP1850" s="3" t="s">
        <v>58</v>
      </c>
      <c r="AQ1850" s="3" t="s">
        <v>58</v>
      </c>
      <c r="AS1850" s="6" t="str">
        <f>HYPERLINK("https://creighton-primo.hosted.exlibrisgroup.com/primo-explore/search?tab=default_tab&amp;search_scope=EVERYTHING&amp;vid=01CRU&amp;lang=en_US&amp;offset=0&amp;query=any,contains,991005417529702656","Catalog Record")</f>
        <v>Catalog Record</v>
      </c>
      <c r="AT1850" s="6" t="str">
        <f>HYPERLINK("http://www.worldcat.org/oclc/28687194","WorldCat Record")</f>
        <v>WorldCat Record</v>
      </c>
      <c r="AU1850" s="3" t="s">
        <v>22641</v>
      </c>
      <c r="AV1850" s="3" t="s">
        <v>22642</v>
      </c>
      <c r="AW1850" s="3" t="s">
        <v>22643</v>
      </c>
      <c r="AX1850" s="3" t="s">
        <v>22643</v>
      </c>
      <c r="AY1850" s="3" t="s">
        <v>22644</v>
      </c>
      <c r="AZ1850" s="3" t="s">
        <v>73</v>
      </c>
      <c r="BB1850" s="3" t="s">
        <v>22645</v>
      </c>
      <c r="BC1850" s="3" t="s">
        <v>22646</v>
      </c>
      <c r="BD1850" s="3" t="s">
        <v>22647</v>
      </c>
    </row>
    <row r="1851" spans="1:56" ht="51" customHeight="1" x14ac:dyDescent="0.25">
      <c r="A1851" s="7" t="s">
        <v>58</v>
      </c>
      <c r="B1851" s="2" t="s">
        <v>22648</v>
      </c>
      <c r="C1851" s="2" t="s">
        <v>22649</v>
      </c>
      <c r="D1851" s="2" t="s">
        <v>22650</v>
      </c>
      <c r="F1851" s="3" t="s">
        <v>58</v>
      </c>
      <c r="G1851" s="3" t="s">
        <v>59</v>
      </c>
      <c r="H1851" s="3" t="s">
        <v>58</v>
      </c>
      <c r="I1851" s="3" t="s">
        <v>58</v>
      </c>
      <c r="J1851" s="3" t="s">
        <v>60</v>
      </c>
      <c r="L1851" s="2" t="s">
        <v>22651</v>
      </c>
      <c r="M1851" s="3" t="s">
        <v>2214</v>
      </c>
      <c r="O1851" s="3" t="s">
        <v>63</v>
      </c>
      <c r="P1851" s="3" t="s">
        <v>495</v>
      </c>
      <c r="R1851" s="3" t="s">
        <v>65</v>
      </c>
      <c r="S1851" s="4">
        <v>5</v>
      </c>
      <c r="T1851" s="4">
        <v>5</v>
      </c>
      <c r="U1851" s="5" t="s">
        <v>6898</v>
      </c>
      <c r="V1851" s="5" t="s">
        <v>6898</v>
      </c>
      <c r="W1851" s="5" t="s">
        <v>4129</v>
      </c>
      <c r="X1851" s="5" t="s">
        <v>4129</v>
      </c>
      <c r="Y1851" s="4">
        <v>444</v>
      </c>
      <c r="Z1851" s="4">
        <v>356</v>
      </c>
      <c r="AA1851" s="4">
        <v>358</v>
      </c>
      <c r="AB1851" s="4">
        <v>2</v>
      </c>
      <c r="AC1851" s="4">
        <v>2</v>
      </c>
      <c r="AD1851" s="4">
        <v>23</v>
      </c>
      <c r="AE1851" s="4">
        <v>23</v>
      </c>
      <c r="AF1851" s="4">
        <v>10</v>
      </c>
      <c r="AG1851" s="4">
        <v>10</v>
      </c>
      <c r="AH1851" s="4">
        <v>9</v>
      </c>
      <c r="AI1851" s="4">
        <v>9</v>
      </c>
      <c r="AJ1851" s="4">
        <v>11</v>
      </c>
      <c r="AK1851" s="4">
        <v>11</v>
      </c>
      <c r="AL1851" s="4">
        <v>1</v>
      </c>
      <c r="AM1851" s="4">
        <v>1</v>
      </c>
      <c r="AN1851" s="4">
        <v>1</v>
      </c>
      <c r="AO1851" s="4">
        <v>1</v>
      </c>
      <c r="AP1851" s="3" t="s">
        <v>58</v>
      </c>
      <c r="AQ1851" s="3" t="s">
        <v>68</v>
      </c>
      <c r="AR1851" s="6" t="str">
        <f>HYPERLINK("http://catalog.hathitrust.org/Record/004978538","HathiTrust Record")</f>
        <v>HathiTrust Record</v>
      </c>
      <c r="AS1851" s="6" t="str">
        <f>HYPERLINK("https://creighton-primo.hosted.exlibrisgroup.com/primo-explore/search?tab=default_tab&amp;search_scope=EVERYTHING&amp;vid=01CRU&amp;lang=en_US&amp;offset=0&amp;query=any,contains,991004776759702656","Catalog Record")</f>
        <v>Catalog Record</v>
      </c>
      <c r="AT1851" s="6" t="str">
        <f>HYPERLINK("http://www.worldcat.org/oclc/57001883","WorldCat Record")</f>
        <v>WorldCat Record</v>
      </c>
      <c r="AU1851" s="3" t="s">
        <v>22652</v>
      </c>
      <c r="AV1851" s="3" t="s">
        <v>22653</v>
      </c>
      <c r="AW1851" s="3" t="s">
        <v>22654</v>
      </c>
      <c r="AX1851" s="3" t="s">
        <v>22654</v>
      </c>
      <c r="AY1851" s="3" t="s">
        <v>22655</v>
      </c>
      <c r="AZ1851" s="3" t="s">
        <v>73</v>
      </c>
      <c r="BB1851" s="3" t="s">
        <v>22656</v>
      </c>
      <c r="BC1851" s="3" t="s">
        <v>22657</v>
      </c>
      <c r="BD1851" s="3" t="s">
        <v>22658</v>
      </c>
    </row>
    <row r="1852" spans="1:56" ht="51" customHeight="1" x14ac:dyDescent="0.25">
      <c r="A1852" s="7" t="s">
        <v>58</v>
      </c>
      <c r="B1852" s="2" t="s">
        <v>22659</v>
      </c>
      <c r="C1852" s="2" t="s">
        <v>22660</v>
      </c>
      <c r="D1852" s="2" t="s">
        <v>22661</v>
      </c>
      <c r="F1852" s="3" t="s">
        <v>58</v>
      </c>
      <c r="G1852" s="3" t="s">
        <v>59</v>
      </c>
      <c r="H1852" s="3" t="s">
        <v>58</v>
      </c>
      <c r="I1852" s="3" t="s">
        <v>58</v>
      </c>
      <c r="J1852" s="3" t="s">
        <v>60</v>
      </c>
      <c r="K1852" s="2" t="s">
        <v>22662</v>
      </c>
      <c r="L1852" s="2" t="s">
        <v>22663</v>
      </c>
      <c r="M1852" s="3" t="s">
        <v>1544</v>
      </c>
      <c r="O1852" s="3" t="s">
        <v>63</v>
      </c>
      <c r="P1852" s="3" t="s">
        <v>214</v>
      </c>
      <c r="R1852" s="3" t="s">
        <v>65</v>
      </c>
      <c r="S1852" s="4">
        <v>14</v>
      </c>
      <c r="T1852" s="4">
        <v>14</v>
      </c>
      <c r="U1852" s="5" t="s">
        <v>4142</v>
      </c>
      <c r="V1852" s="5" t="s">
        <v>4142</v>
      </c>
      <c r="W1852" s="5" t="s">
        <v>15990</v>
      </c>
      <c r="X1852" s="5" t="s">
        <v>15990</v>
      </c>
      <c r="Y1852" s="4">
        <v>417</v>
      </c>
      <c r="Z1852" s="4">
        <v>338</v>
      </c>
      <c r="AA1852" s="4">
        <v>338</v>
      </c>
      <c r="AB1852" s="4">
        <v>4</v>
      </c>
      <c r="AC1852" s="4">
        <v>4</v>
      </c>
      <c r="AD1852" s="4">
        <v>16</v>
      </c>
      <c r="AE1852" s="4">
        <v>16</v>
      </c>
      <c r="AF1852" s="4">
        <v>3</v>
      </c>
      <c r="AG1852" s="4">
        <v>3</v>
      </c>
      <c r="AH1852" s="4">
        <v>6</v>
      </c>
      <c r="AI1852" s="4">
        <v>6</v>
      </c>
      <c r="AJ1852" s="4">
        <v>8</v>
      </c>
      <c r="AK1852" s="4">
        <v>8</v>
      </c>
      <c r="AL1852" s="4">
        <v>3</v>
      </c>
      <c r="AM1852" s="4">
        <v>3</v>
      </c>
      <c r="AN1852" s="4">
        <v>0</v>
      </c>
      <c r="AO1852" s="4">
        <v>0</v>
      </c>
      <c r="AP1852" s="3" t="s">
        <v>58</v>
      </c>
      <c r="AQ1852" s="3" t="s">
        <v>58</v>
      </c>
      <c r="AS1852" s="6" t="str">
        <f>HYPERLINK("https://creighton-primo.hosted.exlibrisgroup.com/primo-explore/search?tab=default_tab&amp;search_scope=EVERYTHING&amp;vid=01CRU&amp;lang=en_US&amp;offset=0&amp;query=any,contains,991002068349702656","Catalog Record")</f>
        <v>Catalog Record</v>
      </c>
      <c r="AT1852" s="6" t="str">
        <f>HYPERLINK("http://www.worldcat.org/oclc/26502786","WorldCat Record")</f>
        <v>WorldCat Record</v>
      </c>
      <c r="AU1852" s="3" t="s">
        <v>22664</v>
      </c>
      <c r="AV1852" s="3" t="s">
        <v>22665</v>
      </c>
      <c r="AW1852" s="3" t="s">
        <v>22666</v>
      </c>
      <c r="AX1852" s="3" t="s">
        <v>22666</v>
      </c>
      <c r="AY1852" s="3" t="s">
        <v>22667</v>
      </c>
      <c r="AZ1852" s="3" t="s">
        <v>73</v>
      </c>
      <c r="BB1852" s="3" t="s">
        <v>22668</v>
      </c>
      <c r="BC1852" s="3" t="s">
        <v>22669</v>
      </c>
      <c r="BD1852" s="3" t="s">
        <v>22670</v>
      </c>
    </row>
    <row r="1853" spans="1:56" ht="51" customHeight="1" x14ac:dyDescent="0.25">
      <c r="A1853" s="7" t="s">
        <v>58</v>
      </c>
      <c r="B1853" s="2" t="s">
        <v>22671</v>
      </c>
      <c r="C1853" s="2" t="s">
        <v>22672</v>
      </c>
      <c r="D1853" s="2" t="s">
        <v>22673</v>
      </c>
      <c r="F1853" s="3" t="s">
        <v>58</v>
      </c>
      <c r="G1853" s="3" t="s">
        <v>59</v>
      </c>
      <c r="H1853" s="3" t="s">
        <v>58</v>
      </c>
      <c r="I1853" s="3" t="s">
        <v>58</v>
      </c>
      <c r="J1853" s="3" t="s">
        <v>60</v>
      </c>
      <c r="K1853" s="2" t="s">
        <v>22662</v>
      </c>
      <c r="L1853" s="2" t="s">
        <v>22674</v>
      </c>
      <c r="M1853" s="3" t="s">
        <v>382</v>
      </c>
      <c r="O1853" s="3" t="s">
        <v>63</v>
      </c>
      <c r="P1853" s="3" t="s">
        <v>214</v>
      </c>
      <c r="R1853" s="3" t="s">
        <v>65</v>
      </c>
      <c r="S1853" s="4">
        <v>8</v>
      </c>
      <c r="T1853" s="4">
        <v>8</v>
      </c>
      <c r="U1853" s="5" t="s">
        <v>4142</v>
      </c>
      <c r="V1853" s="5" t="s">
        <v>4142</v>
      </c>
      <c r="W1853" s="5" t="s">
        <v>22675</v>
      </c>
      <c r="X1853" s="5" t="s">
        <v>22675</v>
      </c>
      <c r="Y1853" s="4">
        <v>340</v>
      </c>
      <c r="Z1853" s="4">
        <v>287</v>
      </c>
      <c r="AA1853" s="4">
        <v>290</v>
      </c>
      <c r="AB1853" s="4">
        <v>3</v>
      </c>
      <c r="AC1853" s="4">
        <v>3</v>
      </c>
      <c r="AD1853" s="4">
        <v>19</v>
      </c>
      <c r="AE1853" s="4">
        <v>19</v>
      </c>
      <c r="AF1853" s="4">
        <v>7</v>
      </c>
      <c r="AG1853" s="4">
        <v>7</v>
      </c>
      <c r="AH1853" s="4">
        <v>5</v>
      </c>
      <c r="AI1853" s="4">
        <v>5</v>
      </c>
      <c r="AJ1853" s="4">
        <v>10</v>
      </c>
      <c r="AK1853" s="4">
        <v>10</v>
      </c>
      <c r="AL1853" s="4">
        <v>2</v>
      </c>
      <c r="AM1853" s="4">
        <v>2</v>
      </c>
      <c r="AN1853" s="4">
        <v>0</v>
      </c>
      <c r="AO1853" s="4">
        <v>0</v>
      </c>
      <c r="AP1853" s="3" t="s">
        <v>58</v>
      </c>
      <c r="AQ1853" s="3" t="s">
        <v>58</v>
      </c>
      <c r="AS1853" s="6" t="str">
        <f>HYPERLINK("https://creighton-primo.hosted.exlibrisgroup.com/primo-explore/search?tab=default_tab&amp;search_scope=EVERYTHING&amp;vid=01CRU&amp;lang=en_US&amp;offset=0&amp;query=any,contains,991003875509702656","Catalog Record")</f>
        <v>Catalog Record</v>
      </c>
      <c r="AT1853" s="6" t="str">
        <f>HYPERLINK("http://www.worldcat.org/oclc/39875103","WorldCat Record")</f>
        <v>WorldCat Record</v>
      </c>
      <c r="AU1853" s="3" t="s">
        <v>22676</v>
      </c>
      <c r="AV1853" s="3" t="s">
        <v>22677</v>
      </c>
      <c r="AW1853" s="3" t="s">
        <v>22678</v>
      </c>
      <c r="AX1853" s="3" t="s">
        <v>22678</v>
      </c>
      <c r="AY1853" s="3" t="s">
        <v>22679</v>
      </c>
      <c r="AZ1853" s="3" t="s">
        <v>73</v>
      </c>
      <c r="BB1853" s="3" t="s">
        <v>22680</v>
      </c>
      <c r="BC1853" s="3" t="s">
        <v>22681</v>
      </c>
      <c r="BD1853" s="3" t="s">
        <v>22682</v>
      </c>
    </row>
    <row r="1854" spans="1:56" ht="51" customHeight="1" x14ac:dyDescent="0.25">
      <c r="A1854" s="7" t="s">
        <v>58</v>
      </c>
      <c r="B1854" s="2" t="s">
        <v>22683</v>
      </c>
      <c r="C1854" s="2" t="s">
        <v>22684</v>
      </c>
      <c r="D1854" s="2" t="s">
        <v>22685</v>
      </c>
      <c r="F1854" s="3" t="s">
        <v>58</v>
      </c>
      <c r="G1854" s="3" t="s">
        <v>59</v>
      </c>
      <c r="H1854" s="3" t="s">
        <v>58</v>
      </c>
      <c r="I1854" s="3" t="s">
        <v>58</v>
      </c>
      <c r="J1854" s="3" t="s">
        <v>60</v>
      </c>
      <c r="K1854" s="2" t="s">
        <v>22686</v>
      </c>
      <c r="L1854" s="2" t="s">
        <v>22687</v>
      </c>
      <c r="M1854" s="3" t="s">
        <v>2295</v>
      </c>
      <c r="N1854" s="2" t="s">
        <v>22688</v>
      </c>
      <c r="O1854" s="3" t="s">
        <v>63</v>
      </c>
      <c r="P1854" s="3" t="s">
        <v>354</v>
      </c>
      <c r="R1854" s="3" t="s">
        <v>65</v>
      </c>
      <c r="S1854" s="4">
        <v>2</v>
      </c>
      <c r="T1854" s="4">
        <v>2</v>
      </c>
      <c r="U1854" s="5" t="s">
        <v>22689</v>
      </c>
      <c r="V1854" s="5" t="s">
        <v>22689</v>
      </c>
      <c r="W1854" s="5" t="s">
        <v>22689</v>
      </c>
      <c r="X1854" s="5" t="s">
        <v>22689</v>
      </c>
      <c r="Y1854" s="4">
        <v>257</v>
      </c>
      <c r="Z1854" s="4">
        <v>217</v>
      </c>
      <c r="AA1854" s="4">
        <v>815</v>
      </c>
      <c r="AB1854" s="4">
        <v>5</v>
      </c>
      <c r="AC1854" s="4">
        <v>8</v>
      </c>
      <c r="AD1854" s="4">
        <v>12</v>
      </c>
      <c r="AE1854" s="4">
        <v>39</v>
      </c>
      <c r="AF1854" s="4">
        <v>5</v>
      </c>
      <c r="AG1854" s="4">
        <v>17</v>
      </c>
      <c r="AH1854" s="4">
        <v>2</v>
      </c>
      <c r="AI1854" s="4">
        <v>9</v>
      </c>
      <c r="AJ1854" s="4">
        <v>4</v>
      </c>
      <c r="AK1854" s="4">
        <v>17</v>
      </c>
      <c r="AL1854" s="4">
        <v>4</v>
      </c>
      <c r="AM1854" s="4">
        <v>7</v>
      </c>
      <c r="AN1854" s="4">
        <v>0</v>
      </c>
      <c r="AO1854" s="4">
        <v>0</v>
      </c>
      <c r="AP1854" s="3" t="s">
        <v>58</v>
      </c>
      <c r="AQ1854" s="3" t="s">
        <v>58</v>
      </c>
      <c r="AS1854" s="6" t="str">
        <f>HYPERLINK("https://creighton-primo.hosted.exlibrisgroup.com/primo-explore/search?tab=default_tab&amp;search_scope=EVERYTHING&amp;vid=01CRU&amp;lang=en_US&amp;offset=0&amp;query=any,contains,991004163849702656","Catalog Record")</f>
        <v>Catalog Record</v>
      </c>
      <c r="AT1854" s="6" t="str">
        <f>HYPERLINK("http://www.worldcat.org/oclc/52807402","WorldCat Record")</f>
        <v>WorldCat Record</v>
      </c>
      <c r="AU1854" s="3" t="s">
        <v>22690</v>
      </c>
      <c r="AV1854" s="3" t="s">
        <v>22691</v>
      </c>
      <c r="AW1854" s="3" t="s">
        <v>22692</v>
      </c>
      <c r="AX1854" s="3" t="s">
        <v>22692</v>
      </c>
      <c r="AY1854" s="3" t="s">
        <v>22693</v>
      </c>
      <c r="AZ1854" s="3" t="s">
        <v>73</v>
      </c>
      <c r="BB1854" s="3" t="s">
        <v>22694</v>
      </c>
      <c r="BC1854" s="3" t="s">
        <v>22695</v>
      </c>
      <c r="BD1854" s="3" t="s">
        <v>22696</v>
      </c>
    </row>
    <row r="1855" spans="1:56" ht="51" customHeight="1" x14ac:dyDescent="0.25">
      <c r="A1855" s="7" t="s">
        <v>58</v>
      </c>
      <c r="B1855" s="2" t="s">
        <v>22697</v>
      </c>
      <c r="C1855" s="2" t="s">
        <v>22698</v>
      </c>
      <c r="D1855" s="2" t="s">
        <v>22699</v>
      </c>
      <c r="F1855" s="3" t="s">
        <v>58</v>
      </c>
      <c r="G1855" s="3" t="s">
        <v>59</v>
      </c>
      <c r="H1855" s="3" t="s">
        <v>58</v>
      </c>
      <c r="I1855" s="3" t="s">
        <v>58</v>
      </c>
      <c r="J1855" s="3" t="s">
        <v>60</v>
      </c>
      <c r="K1855" s="2" t="s">
        <v>22700</v>
      </c>
      <c r="L1855" s="2" t="s">
        <v>22701</v>
      </c>
      <c r="M1855" s="3" t="s">
        <v>83</v>
      </c>
      <c r="O1855" s="3" t="s">
        <v>63</v>
      </c>
      <c r="P1855" s="3" t="s">
        <v>214</v>
      </c>
      <c r="R1855" s="3" t="s">
        <v>65</v>
      </c>
      <c r="S1855" s="4">
        <v>9</v>
      </c>
      <c r="T1855" s="4">
        <v>9</v>
      </c>
      <c r="U1855" s="5" t="s">
        <v>22702</v>
      </c>
      <c r="V1855" s="5" t="s">
        <v>22702</v>
      </c>
      <c r="W1855" s="5" t="s">
        <v>17640</v>
      </c>
      <c r="X1855" s="5" t="s">
        <v>17640</v>
      </c>
      <c r="Y1855" s="4">
        <v>607</v>
      </c>
      <c r="Z1855" s="4">
        <v>554</v>
      </c>
      <c r="AA1855" s="4">
        <v>563</v>
      </c>
      <c r="AB1855" s="4">
        <v>5</v>
      </c>
      <c r="AC1855" s="4">
        <v>6</v>
      </c>
      <c r="AD1855" s="4">
        <v>17</v>
      </c>
      <c r="AE1855" s="4">
        <v>18</v>
      </c>
      <c r="AF1855" s="4">
        <v>8</v>
      </c>
      <c r="AG1855" s="4">
        <v>8</v>
      </c>
      <c r="AH1855" s="4">
        <v>1</v>
      </c>
      <c r="AI1855" s="4">
        <v>1</v>
      </c>
      <c r="AJ1855" s="4">
        <v>9</v>
      </c>
      <c r="AK1855" s="4">
        <v>9</v>
      </c>
      <c r="AL1855" s="4">
        <v>3</v>
      </c>
      <c r="AM1855" s="4">
        <v>4</v>
      </c>
      <c r="AN1855" s="4">
        <v>0</v>
      </c>
      <c r="AO1855" s="4">
        <v>0</v>
      </c>
      <c r="AP1855" s="3" t="s">
        <v>58</v>
      </c>
      <c r="AQ1855" s="3" t="s">
        <v>68</v>
      </c>
      <c r="AR1855" s="6" t="str">
        <f>HYPERLINK("http://catalog.hathitrust.org/Record/000093449","HathiTrust Record")</f>
        <v>HathiTrust Record</v>
      </c>
      <c r="AS1855" s="6" t="str">
        <f>HYPERLINK("https://creighton-primo.hosted.exlibrisgroup.com/primo-explore/search?tab=default_tab&amp;search_scope=EVERYTHING&amp;vid=01CRU&amp;lang=en_US&amp;offset=0&amp;query=any,contains,991004492219702656","Catalog Record")</f>
        <v>Catalog Record</v>
      </c>
      <c r="AT1855" s="6" t="str">
        <f>HYPERLINK("http://www.worldcat.org/oclc/3669502","WorldCat Record")</f>
        <v>WorldCat Record</v>
      </c>
      <c r="AU1855" s="3" t="s">
        <v>22703</v>
      </c>
      <c r="AV1855" s="3" t="s">
        <v>22704</v>
      </c>
      <c r="AW1855" s="3" t="s">
        <v>22705</v>
      </c>
      <c r="AX1855" s="3" t="s">
        <v>22705</v>
      </c>
      <c r="AY1855" s="3" t="s">
        <v>22706</v>
      </c>
      <c r="AZ1855" s="3" t="s">
        <v>73</v>
      </c>
      <c r="BB1855" s="3" t="s">
        <v>22707</v>
      </c>
      <c r="BC1855" s="3" t="s">
        <v>22708</v>
      </c>
      <c r="BD1855" s="3" t="s">
        <v>22709</v>
      </c>
    </row>
    <row r="1856" spans="1:56" ht="51" customHeight="1" x14ac:dyDescent="0.25">
      <c r="A1856" s="7" t="s">
        <v>58</v>
      </c>
      <c r="B1856" s="2" t="s">
        <v>22710</v>
      </c>
      <c r="C1856" s="2" t="s">
        <v>22711</v>
      </c>
      <c r="D1856" s="2" t="s">
        <v>22712</v>
      </c>
      <c r="F1856" s="3" t="s">
        <v>58</v>
      </c>
      <c r="G1856" s="3" t="s">
        <v>59</v>
      </c>
      <c r="H1856" s="3" t="s">
        <v>58</v>
      </c>
      <c r="I1856" s="3" t="s">
        <v>58</v>
      </c>
      <c r="J1856" s="3" t="s">
        <v>60</v>
      </c>
      <c r="K1856" s="2" t="s">
        <v>22713</v>
      </c>
      <c r="L1856" s="2" t="s">
        <v>22714</v>
      </c>
      <c r="M1856" s="3" t="s">
        <v>2214</v>
      </c>
      <c r="N1856" s="2" t="s">
        <v>338</v>
      </c>
      <c r="O1856" s="3" t="s">
        <v>63</v>
      </c>
      <c r="P1856" s="3" t="s">
        <v>214</v>
      </c>
      <c r="R1856" s="3" t="s">
        <v>65</v>
      </c>
      <c r="S1856" s="4">
        <v>5</v>
      </c>
      <c r="T1856" s="4">
        <v>5</v>
      </c>
      <c r="U1856" s="5" t="s">
        <v>10253</v>
      </c>
      <c r="V1856" s="5" t="s">
        <v>10253</v>
      </c>
      <c r="W1856" s="5" t="s">
        <v>22715</v>
      </c>
      <c r="X1856" s="5" t="s">
        <v>22715</v>
      </c>
      <c r="Y1856" s="4">
        <v>1631</v>
      </c>
      <c r="Z1856" s="4">
        <v>1530</v>
      </c>
      <c r="AA1856" s="4">
        <v>1861</v>
      </c>
      <c r="AB1856" s="4">
        <v>14</v>
      </c>
      <c r="AC1856" s="4">
        <v>17</v>
      </c>
      <c r="AD1856" s="4">
        <v>42</v>
      </c>
      <c r="AE1856" s="4">
        <v>51</v>
      </c>
      <c r="AF1856" s="4">
        <v>15</v>
      </c>
      <c r="AG1856" s="4">
        <v>21</v>
      </c>
      <c r="AH1856" s="4">
        <v>9</v>
      </c>
      <c r="AI1856" s="4">
        <v>9</v>
      </c>
      <c r="AJ1856" s="4">
        <v>17</v>
      </c>
      <c r="AK1856" s="4">
        <v>21</v>
      </c>
      <c r="AL1856" s="4">
        <v>10</v>
      </c>
      <c r="AM1856" s="4">
        <v>12</v>
      </c>
      <c r="AN1856" s="4">
        <v>0</v>
      </c>
      <c r="AO1856" s="4">
        <v>0</v>
      </c>
      <c r="AP1856" s="3" t="s">
        <v>58</v>
      </c>
      <c r="AQ1856" s="3" t="s">
        <v>58</v>
      </c>
      <c r="AS1856" s="6" t="str">
        <f>HYPERLINK("https://creighton-primo.hosted.exlibrisgroup.com/primo-explore/search?tab=default_tab&amp;search_scope=EVERYTHING&amp;vid=01CRU&amp;lang=en_US&amp;offset=0&amp;query=any,contains,991004530809702656","Catalog Record")</f>
        <v>Catalog Record</v>
      </c>
      <c r="AT1856" s="6" t="str">
        <f>HYPERLINK("http://www.worldcat.org/oclc/58731526","WorldCat Record")</f>
        <v>WorldCat Record</v>
      </c>
      <c r="AU1856" s="3" t="s">
        <v>22716</v>
      </c>
      <c r="AV1856" s="3" t="s">
        <v>22717</v>
      </c>
      <c r="AW1856" s="3" t="s">
        <v>22718</v>
      </c>
      <c r="AX1856" s="3" t="s">
        <v>22718</v>
      </c>
      <c r="AY1856" s="3" t="s">
        <v>22719</v>
      </c>
      <c r="AZ1856" s="3" t="s">
        <v>73</v>
      </c>
      <c r="BB1856" s="3" t="s">
        <v>22720</v>
      </c>
      <c r="BC1856" s="3" t="s">
        <v>22721</v>
      </c>
      <c r="BD1856" s="3" t="s">
        <v>22722</v>
      </c>
    </row>
    <row r="1857" spans="1:56" ht="51" customHeight="1" x14ac:dyDescent="0.25">
      <c r="A1857" s="7" t="s">
        <v>58</v>
      </c>
      <c r="B1857" s="2" t="s">
        <v>22723</v>
      </c>
      <c r="C1857" s="2" t="s">
        <v>22724</v>
      </c>
      <c r="D1857" s="2" t="s">
        <v>22725</v>
      </c>
      <c r="F1857" s="3" t="s">
        <v>58</v>
      </c>
      <c r="G1857" s="3" t="s">
        <v>59</v>
      </c>
      <c r="H1857" s="3" t="s">
        <v>58</v>
      </c>
      <c r="I1857" s="3" t="s">
        <v>58</v>
      </c>
      <c r="J1857" s="3" t="s">
        <v>60</v>
      </c>
      <c r="L1857" s="2" t="s">
        <v>22726</v>
      </c>
      <c r="M1857" s="3" t="s">
        <v>2295</v>
      </c>
      <c r="O1857" s="3" t="s">
        <v>63</v>
      </c>
      <c r="P1857" s="3" t="s">
        <v>214</v>
      </c>
      <c r="R1857" s="3" t="s">
        <v>65</v>
      </c>
      <c r="S1857" s="4">
        <v>6</v>
      </c>
      <c r="T1857" s="4">
        <v>6</v>
      </c>
      <c r="U1857" s="5" t="s">
        <v>16217</v>
      </c>
      <c r="V1857" s="5" t="s">
        <v>16217</v>
      </c>
      <c r="W1857" s="5" t="s">
        <v>22727</v>
      </c>
      <c r="X1857" s="5" t="s">
        <v>22727</v>
      </c>
      <c r="Y1857" s="4">
        <v>123</v>
      </c>
      <c r="Z1857" s="4">
        <v>99</v>
      </c>
      <c r="AA1857" s="4">
        <v>99</v>
      </c>
      <c r="AB1857" s="4">
        <v>2</v>
      </c>
      <c r="AC1857" s="4">
        <v>2</v>
      </c>
      <c r="AD1857" s="4">
        <v>9</v>
      </c>
      <c r="AE1857" s="4">
        <v>9</v>
      </c>
      <c r="AF1857" s="4">
        <v>2</v>
      </c>
      <c r="AG1857" s="4">
        <v>2</v>
      </c>
      <c r="AH1857" s="4">
        <v>3</v>
      </c>
      <c r="AI1857" s="4">
        <v>3</v>
      </c>
      <c r="AJ1857" s="4">
        <v>5</v>
      </c>
      <c r="AK1857" s="4">
        <v>5</v>
      </c>
      <c r="AL1857" s="4">
        <v>1</v>
      </c>
      <c r="AM1857" s="4">
        <v>1</v>
      </c>
      <c r="AN1857" s="4">
        <v>0</v>
      </c>
      <c r="AO1857" s="4">
        <v>0</v>
      </c>
      <c r="AP1857" s="3" t="s">
        <v>58</v>
      </c>
      <c r="AQ1857" s="3" t="s">
        <v>58</v>
      </c>
      <c r="AS1857" s="6" t="str">
        <f>HYPERLINK("https://creighton-primo.hosted.exlibrisgroup.com/primo-explore/search?tab=default_tab&amp;search_scope=EVERYTHING&amp;vid=01CRU&amp;lang=en_US&amp;offset=0&amp;query=any,contains,991004082609702656","Catalog Record")</f>
        <v>Catalog Record</v>
      </c>
      <c r="AT1857" s="6" t="str">
        <f>HYPERLINK("http://www.worldcat.org/oclc/51813560","WorldCat Record")</f>
        <v>WorldCat Record</v>
      </c>
      <c r="AU1857" s="3" t="s">
        <v>22728</v>
      </c>
      <c r="AV1857" s="3" t="s">
        <v>22729</v>
      </c>
      <c r="AW1857" s="3" t="s">
        <v>22730</v>
      </c>
      <c r="AX1857" s="3" t="s">
        <v>22730</v>
      </c>
      <c r="AY1857" s="3" t="s">
        <v>22731</v>
      </c>
      <c r="AZ1857" s="3" t="s">
        <v>73</v>
      </c>
      <c r="BB1857" s="3" t="s">
        <v>22732</v>
      </c>
      <c r="BC1857" s="3" t="s">
        <v>22733</v>
      </c>
      <c r="BD1857" s="3" t="s">
        <v>22734</v>
      </c>
    </row>
    <row r="1858" spans="1:56" ht="51" customHeight="1" x14ac:dyDescent="0.25">
      <c r="A1858" s="7" t="s">
        <v>58</v>
      </c>
      <c r="B1858" s="2" t="s">
        <v>22735</v>
      </c>
      <c r="C1858" s="2" t="s">
        <v>22736</v>
      </c>
      <c r="D1858" s="2" t="s">
        <v>22737</v>
      </c>
      <c r="F1858" s="3" t="s">
        <v>58</v>
      </c>
      <c r="G1858" s="3" t="s">
        <v>59</v>
      </c>
      <c r="H1858" s="3" t="s">
        <v>58</v>
      </c>
      <c r="I1858" s="3" t="s">
        <v>58</v>
      </c>
      <c r="J1858" s="3" t="s">
        <v>60</v>
      </c>
      <c r="K1858" s="2" t="s">
        <v>22738</v>
      </c>
      <c r="L1858" s="2" t="s">
        <v>22739</v>
      </c>
      <c r="M1858" s="3" t="s">
        <v>2186</v>
      </c>
      <c r="O1858" s="3" t="s">
        <v>63</v>
      </c>
      <c r="P1858" s="3" t="s">
        <v>214</v>
      </c>
      <c r="R1858" s="3" t="s">
        <v>65</v>
      </c>
      <c r="S1858" s="4">
        <v>3</v>
      </c>
      <c r="T1858" s="4">
        <v>3</v>
      </c>
      <c r="U1858" s="5" t="s">
        <v>9609</v>
      </c>
      <c r="V1858" s="5" t="s">
        <v>9609</v>
      </c>
      <c r="W1858" s="5" t="s">
        <v>2092</v>
      </c>
      <c r="X1858" s="5" t="s">
        <v>2092</v>
      </c>
      <c r="Y1858" s="4">
        <v>696</v>
      </c>
      <c r="Z1858" s="4">
        <v>632</v>
      </c>
      <c r="AA1858" s="4">
        <v>644</v>
      </c>
      <c r="AB1858" s="4">
        <v>4</v>
      </c>
      <c r="AC1858" s="4">
        <v>4</v>
      </c>
      <c r="AD1858" s="4">
        <v>19</v>
      </c>
      <c r="AE1858" s="4">
        <v>19</v>
      </c>
      <c r="AF1858" s="4">
        <v>7</v>
      </c>
      <c r="AG1858" s="4">
        <v>7</v>
      </c>
      <c r="AH1858" s="4">
        <v>8</v>
      </c>
      <c r="AI1858" s="4">
        <v>8</v>
      </c>
      <c r="AJ1858" s="4">
        <v>7</v>
      </c>
      <c r="AK1858" s="4">
        <v>7</v>
      </c>
      <c r="AL1858" s="4">
        <v>1</v>
      </c>
      <c r="AM1858" s="4">
        <v>1</v>
      </c>
      <c r="AN1858" s="4">
        <v>0</v>
      </c>
      <c r="AO1858" s="4">
        <v>0</v>
      </c>
      <c r="AP1858" s="3" t="s">
        <v>58</v>
      </c>
      <c r="AQ1858" s="3" t="s">
        <v>68</v>
      </c>
      <c r="AR1858" s="6" t="str">
        <f>HYPERLINK("http://catalog.hathitrust.org/Record/005408623","HathiTrust Record")</f>
        <v>HathiTrust Record</v>
      </c>
      <c r="AS1858" s="6" t="str">
        <f>HYPERLINK("https://creighton-primo.hosted.exlibrisgroup.com/primo-explore/search?tab=default_tab&amp;search_scope=EVERYTHING&amp;vid=01CRU&amp;lang=en_US&amp;offset=0&amp;query=any,contains,991005083319702656","Catalog Record")</f>
        <v>Catalog Record</v>
      </c>
      <c r="AT1858" s="6" t="str">
        <f>HYPERLINK("http://www.worldcat.org/oclc/67240550","WorldCat Record")</f>
        <v>WorldCat Record</v>
      </c>
      <c r="AU1858" s="3" t="s">
        <v>22740</v>
      </c>
      <c r="AV1858" s="3" t="s">
        <v>22741</v>
      </c>
      <c r="AW1858" s="3" t="s">
        <v>22742</v>
      </c>
      <c r="AX1858" s="3" t="s">
        <v>22742</v>
      </c>
      <c r="AY1858" s="3" t="s">
        <v>22743</v>
      </c>
      <c r="AZ1858" s="3" t="s">
        <v>73</v>
      </c>
      <c r="BB1858" s="3" t="s">
        <v>22744</v>
      </c>
      <c r="BC1858" s="3" t="s">
        <v>22745</v>
      </c>
      <c r="BD1858" s="3" t="s">
        <v>22746</v>
      </c>
    </row>
    <row r="1859" spans="1:56" ht="51" customHeight="1" x14ac:dyDescent="0.25">
      <c r="A1859" s="7" t="s">
        <v>58</v>
      </c>
      <c r="B1859" s="2" t="s">
        <v>22747</v>
      </c>
      <c r="C1859" s="2" t="s">
        <v>22748</v>
      </c>
      <c r="D1859" s="2" t="s">
        <v>22749</v>
      </c>
      <c r="F1859" s="3" t="s">
        <v>58</v>
      </c>
      <c r="G1859" s="3" t="s">
        <v>59</v>
      </c>
      <c r="H1859" s="3" t="s">
        <v>58</v>
      </c>
      <c r="I1859" s="3" t="s">
        <v>58</v>
      </c>
      <c r="J1859" s="3" t="s">
        <v>60</v>
      </c>
      <c r="K1859" s="2" t="s">
        <v>22750</v>
      </c>
      <c r="L1859" s="2" t="s">
        <v>22751</v>
      </c>
      <c r="M1859" s="3" t="s">
        <v>4023</v>
      </c>
      <c r="O1859" s="3" t="s">
        <v>63</v>
      </c>
      <c r="P1859" s="3" t="s">
        <v>214</v>
      </c>
      <c r="R1859" s="3" t="s">
        <v>65</v>
      </c>
      <c r="S1859" s="4">
        <v>3</v>
      </c>
      <c r="T1859" s="4">
        <v>3</v>
      </c>
      <c r="U1859" s="5" t="s">
        <v>16562</v>
      </c>
      <c r="V1859" s="5" t="s">
        <v>16562</v>
      </c>
      <c r="W1859" s="5" t="s">
        <v>4025</v>
      </c>
      <c r="X1859" s="5" t="s">
        <v>4025</v>
      </c>
      <c r="Y1859" s="4">
        <v>658</v>
      </c>
      <c r="Z1859" s="4">
        <v>597</v>
      </c>
      <c r="AA1859" s="4">
        <v>695</v>
      </c>
      <c r="AB1859" s="4">
        <v>5</v>
      </c>
      <c r="AC1859" s="4">
        <v>5</v>
      </c>
      <c r="AD1859" s="4">
        <v>19</v>
      </c>
      <c r="AE1859" s="4">
        <v>20</v>
      </c>
      <c r="AF1859" s="4">
        <v>7</v>
      </c>
      <c r="AG1859" s="4">
        <v>7</v>
      </c>
      <c r="AH1859" s="4">
        <v>4</v>
      </c>
      <c r="AI1859" s="4">
        <v>4</v>
      </c>
      <c r="AJ1859" s="4">
        <v>6</v>
      </c>
      <c r="AK1859" s="4">
        <v>7</v>
      </c>
      <c r="AL1859" s="4">
        <v>3</v>
      </c>
      <c r="AM1859" s="4">
        <v>3</v>
      </c>
      <c r="AN1859" s="4">
        <v>2</v>
      </c>
      <c r="AO1859" s="4">
        <v>2</v>
      </c>
      <c r="AP1859" s="3" t="s">
        <v>58</v>
      </c>
      <c r="AQ1859" s="3" t="s">
        <v>58</v>
      </c>
      <c r="AS1859" s="6" t="str">
        <f>HYPERLINK("https://creighton-primo.hosted.exlibrisgroup.com/primo-explore/search?tab=default_tab&amp;search_scope=EVERYTHING&amp;vid=01CRU&amp;lang=en_US&amp;offset=0&amp;query=any,contains,991004318539702656","Catalog Record")</f>
        <v>Catalog Record</v>
      </c>
      <c r="AT1859" s="6" t="str">
        <f>HYPERLINK("http://www.worldcat.org/oclc/55660169","WorldCat Record")</f>
        <v>WorldCat Record</v>
      </c>
      <c r="AU1859" s="3" t="s">
        <v>22752</v>
      </c>
      <c r="AV1859" s="3" t="s">
        <v>22753</v>
      </c>
      <c r="AW1859" s="3" t="s">
        <v>22754</v>
      </c>
      <c r="AX1859" s="3" t="s">
        <v>22754</v>
      </c>
      <c r="AY1859" s="3" t="s">
        <v>22755</v>
      </c>
      <c r="AZ1859" s="3" t="s">
        <v>73</v>
      </c>
      <c r="BB1859" s="3" t="s">
        <v>22756</v>
      </c>
      <c r="BC1859" s="3" t="s">
        <v>22757</v>
      </c>
      <c r="BD1859" s="3" t="s">
        <v>22758</v>
      </c>
    </row>
    <row r="1860" spans="1:56" ht="51" customHeight="1" x14ac:dyDescent="0.25">
      <c r="A1860" s="7" t="s">
        <v>58</v>
      </c>
      <c r="B1860" s="2" t="s">
        <v>22759</v>
      </c>
      <c r="C1860" s="2" t="s">
        <v>22760</v>
      </c>
      <c r="D1860" s="2" t="s">
        <v>22761</v>
      </c>
      <c r="F1860" s="3" t="s">
        <v>58</v>
      </c>
      <c r="G1860" s="3" t="s">
        <v>59</v>
      </c>
      <c r="H1860" s="3" t="s">
        <v>58</v>
      </c>
      <c r="I1860" s="3" t="s">
        <v>58</v>
      </c>
      <c r="J1860" s="3" t="s">
        <v>60</v>
      </c>
      <c r="K1860" s="2" t="s">
        <v>22762</v>
      </c>
      <c r="L1860" s="2" t="s">
        <v>22763</v>
      </c>
      <c r="M1860" s="3" t="s">
        <v>2295</v>
      </c>
      <c r="O1860" s="3" t="s">
        <v>63</v>
      </c>
      <c r="P1860" s="3" t="s">
        <v>214</v>
      </c>
      <c r="R1860" s="3" t="s">
        <v>65</v>
      </c>
      <c r="S1860" s="4">
        <v>2</v>
      </c>
      <c r="T1860" s="4">
        <v>2</v>
      </c>
      <c r="U1860" s="5" t="s">
        <v>8739</v>
      </c>
      <c r="V1860" s="5" t="s">
        <v>8739</v>
      </c>
      <c r="W1860" s="5" t="s">
        <v>16073</v>
      </c>
      <c r="X1860" s="5" t="s">
        <v>16073</v>
      </c>
      <c r="Y1860" s="4">
        <v>869</v>
      </c>
      <c r="Z1860" s="4">
        <v>741</v>
      </c>
      <c r="AA1860" s="4">
        <v>784</v>
      </c>
      <c r="AB1860" s="4">
        <v>6</v>
      </c>
      <c r="AC1860" s="4">
        <v>6</v>
      </c>
      <c r="AD1860" s="4">
        <v>40</v>
      </c>
      <c r="AE1860" s="4">
        <v>41</v>
      </c>
      <c r="AF1860" s="4">
        <v>15</v>
      </c>
      <c r="AG1860" s="4">
        <v>15</v>
      </c>
      <c r="AH1860" s="4">
        <v>8</v>
      </c>
      <c r="AI1860" s="4">
        <v>8</v>
      </c>
      <c r="AJ1860" s="4">
        <v>19</v>
      </c>
      <c r="AK1860" s="4">
        <v>20</v>
      </c>
      <c r="AL1860" s="4">
        <v>5</v>
      </c>
      <c r="AM1860" s="4">
        <v>5</v>
      </c>
      <c r="AN1860" s="4">
        <v>1</v>
      </c>
      <c r="AO1860" s="4">
        <v>1</v>
      </c>
      <c r="AP1860" s="3" t="s">
        <v>58</v>
      </c>
      <c r="AQ1860" s="3" t="s">
        <v>58</v>
      </c>
      <c r="AS1860" s="6" t="str">
        <f>HYPERLINK("https://creighton-primo.hosted.exlibrisgroup.com/primo-explore/search?tab=default_tab&amp;search_scope=EVERYTHING&amp;vid=01CRU&amp;lang=en_US&amp;offset=0&amp;query=any,contains,991004457369702656","Catalog Record")</f>
        <v>Catalog Record</v>
      </c>
      <c r="AT1860" s="6" t="str">
        <f>HYPERLINK("http://www.worldcat.org/oclc/52127749","WorldCat Record")</f>
        <v>WorldCat Record</v>
      </c>
      <c r="AU1860" s="3" t="s">
        <v>22764</v>
      </c>
      <c r="AV1860" s="3" t="s">
        <v>22765</v>
      </c>
      <c r="AW1860" s="3" t="s">
        <v>22766</v>
      </c>
      <c r="AX1860" s="3" t="s">
        <v>22766</v>
      </c>
      <c r="AY1860" s="3" t="s">
        <v>22767</v>
      </c>
      <c r="AZ1860" s="3" t="s">
        <v>73</v>
      </c>
      <c r="BB1860" s="3" t="s">
        <v>22768</v>
      </c>
      <c r="BC1860" s="3" t="s">
        <v>22769</v>
      </c>
      <c r="BD1860" s="3" t="s">
        <v>22770</v>
      </c>
    </row>
    <row r="1861" spans="1:56" ht="51" customHeight="1" x14ac:dyDescent="0.25">
      <c r="A1861" s="7" t="s">
        <v>58</v>
      </c>
      <c r="B1861" s="2" t="s">
        <v>22771</v>
      </c>
      <c r="C1861" s="2" t="s">
        <v>22772</v>
      </c>
      <c r="D1861" s="2" t="s">
        <v>22773</v>
      </c>
      <c r="F1861" s="3" t="s">
        <v>58</v>
      </c>
      <c r="G1861" s="3" t="s">
        <v>59</v>
      </c>
      <c r="H1861" s="3" t="s">
        <v>58</v>
      </c>
      <c r="I1861" s="3" t="s">
        <v>58</v>
      </c>
      <c r="J1861" s="3" t="s">
        <v>60</v>
      </c>
      <c r="L1861" s="2" t="s">
        <v>22774</v>
      </c>
      <c r="M1861" s="3" t="s">
        <v>138</v>
      </c>
      <c r="O1861" s="3" t="s">
        <v>63</v>
      </c>
      <c r="P1861" s="3" t="s">
        <v>760</v>
      </c>
      <c r="Q1861" s="2" t="s">
        <v>22775</v>
      </c>
      <c r="R1861" s="3" t="s">
        <v>65</v>
      </c>
      <c r="S1861" s="4">
        <v>2</v>
      </c>
      <c r="T1861" s="4">
        <v>2</v>
      </c>
      <c r="U1861" s="5" t="s">
        <v>14763</v>
      </c>
      <c r="V1861" s="5" t="s">
        <v>14763</v>
      </c>
      <c r="W1861" s="5" t="s">
        <v>2474</v>
      </c>
      <c r="X1861" s="5" t="s">
        <v>2474</v>
      </c>
      <c r="Y1861" s="4">
        <v>305</v>
      </c>
      <c r="Z1861" s="4">
        <v>226</v>
      </c>
      <c r="AA1861" s="4">
        <v>233</v>
      </c>
      <c r="AB1861" s="4">
        <v>1</v>
      </c>
      <c r="AC1861" s="4">
        <v>1</v>
      </c>
      <c r="AD1861" s="4">
        <v>9</v>
      </c>
      <c r="AE1861" s="4">
        <v>9</v>
      </c>
      <c r="AF1861" s="4">
        <v>3</v>
      </c>
      <c r="AG1861" s="4">
        <v>3</v>
      </c>
      <c r="AH1861" s="4">
        <v>3</v>
      </c>
      <c r="AI1861" s="4">
        <v>3</v>
      </c>
      <c r="AJ1861" s="4">
        <v>5</v>
      </c>
      <c r="AK1861" s="4">
        <v>5</v>
      </c>
      <c r="AL1861" s="4">
        <v>0</v>
      </c>
      <c r="AM1861" s="4">
        <v>0</v>
      </c>
      <c r="AN1861" s="4">
        <v>0</v>
      </c>
      <c r="AO1861" s="4">
        <v>0</v>
      </c>
      <c r="AP1861" s="3" t="s">
        <v>58</v>
      </c>
      <c r="AQ1861" s="3" t="s">
        <v>68</v>
      </c>
      <c r="AR1861" s="6" t="str">
        <f>HYPERLINK("http://catalog.hathitrust.org/Record/000239131","HathiTrust Record")</f>
        <v>HathiTrust Record</v>
      </c>
      <c r="AS1861" s="6" t="str">
        <f>HYPERLINK("https://creighton-primo.hosted.exlibrisgroup.com/primo-explore/search?tab=default_tab&amp;search_scope=EVERYTHING&amp;vid=01CRU&amp;lang=en_US&amp;offset=0&amp;query=any,contains,991000148469702656","Catalog Record")</f>
        <v>Catalog Record</v>
      </c>
      <c r="AT1861" s="6" t="str">
        <f>HYPERLINK("http://www.worldcat.org/oclc/9197164","WorldCat Record")</f>
        <v>WorldCat Record</v>
      </c>
      <c r="AU1861" s="3" t="s">
        <v>22776</v>
      </c>
      <c r="AV1861" s="3" t="s">
        <v>22777</v>
      </c>
      <c r="AW1861" s="3" t="s">
        <v>22778</v>
      </c>
      <c r="AX1861" s="3" t="s">
        <v>22778</v>
      </c>
      <c r="AY1861" s="3" t="s">
        <v>22779</v>
      </c>
      <c r="AZ1861" s="3" t="s">
        <v>73</v>
      </c>
      <c r="BB1861" s="3" t="s">
        <v>22780</v>
      </c>
      <c r="BC1861" s="3" t="s">
        <v>22781</v>
      </c>
      <c r="BD1861" s="3" t="s">
        <v>22782</v>
      </c>
    </row>
    <row r="1862" spans="1:56" ht="51" customHeight="1" x14ac:dyDescent="0.25">
      <c r="A1862" s="7" t="s">
        <v>58</v>
      </c>
      <c r="B1862" s="2" t="s">
        <v>22783</v>
      </c>
      <c r="C1862" s="2" t="s">
        <v>22784</v>
      </c>
      <c r="D1862" s="2" t="s">
        <v>22785</v>
      </c>
      <c r="F1862" s="3" t="s">
        <v>58</v>
      </c>
      <c r="G1862" s="3" t="s">
        <v>59</v>
      </c>
      <c r="H1862" s="3" t="s">
        <v>58</v>
      </c>
      <c r="I1862" s="3" t="s">
        <v>58</v>
      </c>
      <c r="J1862" s="3" t="s">
        <v>60</v>
      </c>
      <c r="K1862" s="2" t="s">
        <v>22786</v>
      </c>
      <c r="L1862" s="2" t="s">
        <v>22787</v>
      </c>
      <c r="M1862" s="3" t="s">
        <v>1153</v>
      </c>
      <c r="N1862" s="2" t="s">
        <v>2091</v>
      </c>
      <c r="O1862" s="3" t="s">
        <v>63</v>
      </c>
      <c r="P1862" s="3" t="s">
        <v>816</v>
      </c>
      <c r="R1862" s="3" t="s">
        <v>65</v>
      </c>
      <c r="S1862" s="4">
        <v>2</v>
      </c>
      <c r="T1862" s="4">
        <v>2</v>
      </c>
      <c r="U1862" s="5" t="s">
        <v>22788</v>
      </c>
      <c r="V1862" s="5" t="s">
        <v>22788</v>
      </c>
      <c r="W1862" s="5" t="s">
        <v>2034</v>
      </c>
      <c r="X1862" s="5" t="s">
        <v>2034</v>
      </c>
      <c r="Y1862" s="4">
        <v>159</v>
      </c>
      <c r="Z1862" s="4">
        <v>149</v>
      </c>
      <c r="AA1862" s="4">
        <v>294</v>
      </c>
      <c r="AB1862" s="4">
        <v>1</v>
      </c>
      <c r="AC1862" s="4">
        <v>2</v>
      </c>
      <c r="AD1862" s="4">
        <v>0</v>
      </c>
      <c r="AE1862" s="4">
        <v>2</v>
      </c>
      <c r="AF1862" s="4">
        <v>0</v>
      </c>
      <c r="AG1862" s="4">
        <v>0</v>
      </c>
      <c r="AH1862" s="4">
        <v>0</v>
      </c>
      <c r="AI1862" s="4">
        <v>1</v>
      </c>
      <c r="AJ1862" s="4">
        <v>0</v>
      </c>
      <c r="AK1862" s="4">
        <v>0</v>
      </c>
      <c r="AL1862" s="4">
        <v>0</v>
      </c>
      <c r="AM1862" s="4">
        <v>1</v>
      </c>
      <c r="AN1862" s="4">
        <v>0</v>
      </c>
      <c r="AO1862" s="4">
        <v>0</v>
      </c>
      <c r="AP1862" s="3" t="s">
        <v>58</v>
      </c>
      <c r="AQ1862" s="3" t="s">
        <v>58</v>
      </c>
      <c r="AS1862" s="6" t="str">
        <f>HYPERLINK("https://creighton-primo.hosted.exlibrisgroup.com/primo-explore/search?tab=default_tab&amp;search_scope=EVERYTHING&amp;vid=01CRU&amp;lang=en_US&amp;offset=0&amp;query=any,contains,991003066849702656","Catalog Record")</f>
        <v>Catalog Record</v>
      </c>
      <c r="AT1862" s="6" t="str">
        <f>HYPERLINK("http://www.worldcat.org/oclc/622683","WorldCat Record")</f>
        <v>WorldCat Record</v>
      </c>
      <c r="AU1862" s="3" t="s">
        <v>22789</v>
      </c>
      <c r="AV1862" s="3" t="s">
        <v>22790</v>
      </c>
      <c r="AW1862" s="3" t="s">
        <v>22791</v>
      </c>
      <c r="AX1862" s="3" t="s">
        <v>22791</v>
      </c>
      <c r="AY1862" s="3" t="s">
        <v>22792</v>
      </c>
      <c r="AZ1862" s="3" t="s">
        <v>73</v>
      </c>
      <c r="BB1862" s="3" t="s">
        <v>22793</v>
      </c>
      <c r="BC1862" s="3" t="s">
        <v>22794</v>
      </c>
      <c r="BD1862" s="3" t="s">
        <v>22795</v>
      </c>
    </row>
    <row r="1863" spans="1:56" ht="51" customHeight="1" x14ac:dyDescent="0.25">
      <c r="A1863" s="7" t="s">
        <v>58</v>
      </c>
      <c r="B1863" s="2" t="s">
        <v>22796</v>
      </c>
      <c r="C1863" s="2" t="s">
        <v>22797</v>
      </c>
      <c r="D1863" s="2" t="s">
        <v>22798</v>
      </c>
      <c r="F1863" s="3" t="s">
        <v>58</v>
      </c>
      <c r="G1863" s="3" t="s">
        <v>59</v>
      </c>
      <c r="H1863" s="3" t="s">
        <v>58</v>
      </c>
      <c r="I1863" s="3" t="s">
        <v>58</v>
      </c>
      <c r="J1863" s="3" t="s">
        <v>60</v>
      </c>
      <c r="K1863" s="2" t="s">
        <v>22799</v>
      </c>
      <c r="L1863" s="2" t="s">
        <v>22800</v>
      </c>
      <c r="M1863" s="3" t="s">
        <v>951</v>
      </c>
      <c r="O1863" s="3" t="s">
        <v>63</v>
      </c>
      <c r="P1863" s="3" t="s">
        <v>214</v>
      </c>
      <c r="R1863" s="3" t="s">
        <v>65</v>
      </c>
      <c r="S1863" s="4">
        <v>4</v>
      </c>
      <c r="T1863" s="4">
        <v>4</v>
      </c>
      <c r="U1863" s="5" t="s">
        <v>22801</v>
      </c>
      <c r="V1863" s="5" t="s">
        <v>22801</v>
      </c>
      <c r="W1863" s="5" t="s">
        <v>22802</v>
      </c>
      <c r="X1863" s="5" t="s">
        <v>22802</v>
      </c>
      <c r="Y1863" s="4">
        <v>1021</v>
      </c>
      <c r="Z1863" s="4">
        <v>951</v>
      </c>
      <c r="AA1863" s="4">
        <v>1126</v>
      </c>
      <c r="AB1863" s="4">
        <v>5</v>
      </c>
      <c r="AC1863" s="4">
        <v>5</v>
      </c>
      <c r="AD1863" s="4">
        <v>21</v>
      </c>
      <c r="AE1863" s="4">
        <v>26</v>
      </c>
      <c r="AF1863" s="4">
        <v>5</v>
      </c>
      <c r="AG1863" s="4">
        <v>7</v>
      </c>
      <c r="AH1863" s="4">
        <v>5</v>
      </c>
      <c r="AI1863" s="4">
        <v>8</v>
      </c>
      <c r="AJ1863" s="4">
        <v>9</v>
      </c>
      <c r="AK1863" s="4">
        <v>12</v>
      </c>
      <c r="AL1863" s="4">
        <v>3</v>
      </c>
      <c r="AM1863" s="4">
        <v>3</v>
      </c>
      <c r="AN1863" s="4">
        <v>1</v>
      </c>
      <c r="AO1863" s="4">
        <v>1</v>
      </c>
      <c r="AP1863" s="3" t="s">
        <v>58</v>
      </c>
      <c r="AQ1863" s="3" t="s">
        <v>58</v>
      </c>
      <c r="AS1863" s="6" t="str">
        <f>HYPERLINK("https://creighton-primo.hosted.exlibrisgroup.com/primo-explore/search?tab=default_tab&amp;search_scope=EVERYTHING&amp;vid=01CRU&amp;lang=en_US&amp;offset=0&amp;query=any,contains,991003473359702656","Catalog Record")</f>
        <v>Catalog Record</v>
      </c>
      <c r="AT1863" s="6" t="str">
        <f>HYPERLINK("http://www.worldcat.org/oclc/44131814","WorldCat Record")</f>
        <v>WorldCat Record</v>
      </c>
      <c r="AU1863" s="3" t="s">
        <v>22803</v>
      </c>
      <c r="AV1863" s="3" t="s">
        <v>22804</v>
      </c>
      <c r="AW1863" s="3" t="s">
        <v>22805</v>
      </c>
      <c r="AX1863" s="3" t="s">
        <v>22805</v>
      </c>
      <c r="AY1863" s="3" t="s">
        <v>22806</v>
      </c>
      <c r="AZ1863" s="3" t="s">
        <v>73</v>
      </c>
      <c r="BB1863" s="3" t="s">
        <v>22807</v>
      </c>
      <c r="BC1863" s="3" t="s">
        <v>22808</v>
      </c>
      <c r="BD1863" s="3" t="s">
        <v>22809</v>
      </c>
    </row>
    <row r="1864" spans="1:56" ht="51" customHeight="1" x14ac:dyDescent="0.25">
      <c r="A1864" s="7" t="s">
        <v>58</v>
      </c>
      <c r="B1864" s="2" t="s">
        <v>22810</v>
      </c>
      <c r="C1864" s="2" t="s">
        <v>22811</v>
      </c>
      <c r="D1864" s="2" t="s">
        <v>22812</v>
      </c>
      <c r="F1864" s="3" t="s">
        <v>58</v>
      </c>
      <c r="G1864" s="3" t="s">
        <v>59</v>
      </c>
      <c r="H1864" s="3" t="s">
        <v>58</v>
      </c>
      <c r="I1864" s="3" t="s">
        <v>58</v>
      </c>
      <c r="J1864" s="3" t="s">
        <v>60</v>
      </c>
      <c r="K1864" s="2" t="s">
        <v>22799</v>
      </c>
      <c r="L1864" s="2" t="s">
        <v>22813</v>
      </c>
      <c r="M1864" s="3" t="s">
        <v>898</v>
      </c>
      <c r="O1864" s="3" t="s">
        <v>63</v>
      </c>
      <c r="P1864" s="3" t="s">
        <v>1837</v>
      </c>
      <c r="R1864" s="3" t="s">
        <v>65</v>
      </c>
      <c r="S1864" s="4">
        <v>2</v>
      </c>
      <c r="T1864" s="4">
        <v>2</v>
      </c>
      <c r="U1864" s="5" t="s">
        <v>22814</v>
      </c>
      <c r="V1864" s="5" t="s">
        <v>22814</v>
      </c>
      <c r="W1864" s="5" t="s">
        <v>22815</v>
      </c>
      <c r="X1864" s="5" t="s">
        <v>22815</v>
      </c>
      <c r="Y1864" s="4">
        <v>567</v>
      </c>
      <c r="Z1864" s="4">
        <v>476</v>
      </c>
      <c r="AA1864" s="4">
        <v>550</v>
      </c>
      <c r="AB1864" s="4">
        <v>4</v>
      </c>
      <c r="AC1864" s="4">
        <v>5</v>
      </c>
      <c r="AD1864" s="4">
        <v>10</v>
      </c>
      <c r="AE1864" s="4">
        <v>10</v>
      </c>
      <c r="AF1864" s="4">
        <v>3</v>
      </c>
      <c r="AG1864" s="4">
        <v>3</v>
      </c>
      <c r="AH1864" s="4">
        <v>3</v>
      </c>
      <c r="AI1864" s="4">
        <v>3</v>
      </c>
      <c r="AJ1864" s="4">
        <v>7</v>
      </c>
      <c r="AK1864" s="4">
        <v>7</v>
      </c>
      <c r="AL1864" s="4">
        <v>2</v>
      </c>
      <c r="AM1864" s="4">
        <v>2</v>
      </c>
      <c r="AN1864" s="4">
        <v>0</v>
      </c>
      <c r="AO1864" s="4">
        <v>0</v>
      </c>
      <c r="AP1864" s="3" t="s">
        <v>58</v>
      </c>
      <c r="AQ1864" s="3" t="s">
        <v>58</v>
      </c>
      <c r="AS1864" s="6" t="str">
        <f>HYPERLINK("https://creighton-primo.hosted.exlibrisgroup.com/primo-explore/search?tab=default_tab&amp;search_scope=EVERYTHING&amp;vid=01CRU&amp;lang=en_US&amp;offset=0&amp;query=any,contains,991005011849702656","Catalog Record")</f>
        <v>Catalog Record</v>
      </c>
      <c r="AT1864" s="6" t="str">
        <f>HYPERLINK("http://www.worldcat.org/oclc/70054394","WorldCat Record")</f>
        <v>WorldCat Record</v>
      </c>
      <c r="AU1864" s="3" t="s">
        <v>22816</v>
      </c>
      <c r="AV1864" s="3" t="s">
        <v>22817</v>
      </c>
      <c r="AW1864" s="3" t="s">
        <v>22818</v>
      </c>
      <c r="AX1864" s="3" t="s">
        <v>22818</v>
      </c>
      <c r="AY1864" s="3" t="s">
        <v>22819</v>
      </c>
      <c r="AZ1864" s="3" t="s">
        <v>73</v>
      </c>
      <c r="BB1864" s="3" t="s">
        <v>22820</v>
      </c>
      <c r="BC1864" s="3" t="s">
        <v>22821</v>
      </c>
      <c r="BD1864" s="3" t="s">
        <v>22822</v>
      </c>
    </row>
    <row r="1865" spans="1:56" ht="51" customHeight="1" x14ac:dyDescent="0.25">
      <c r="A1865" s="7" t="s">
        <v>58</v>
      </c>
      <c r="B1865" s="2" t="s">
        <v>22823</v>
      </c>
      <c r="C1865" s="2" t="s">
        <v>22824</v>
      </c>
      <c r="D1865" s="2" t="s">
        <v>22825</v>
      </c>
      <c r="F1865" s="3" t="s">
        <v>58</v>
      </c>
      <c r="G1865" s="3" t="s">
        <v>59</v>
      </c>
      <c r="H1865" s="3" t="s">
        <v>58</v>
      </c>
      <c r="I1865" s="3" t="s">
        <v>58</v>
      </c>
      <c r="J1865" s="3" t="s">
        <v>60</v>
      </c>
      <c r="K1865" s="2" t="s">
        <v>22826</v>
      </c>
      <c r="L1865" s="2" t="s">
        <v>22827</v>
      </c>
      <c r="M1865" s="3" t="s">
        <v>2186</v>
      </c>
      <c r="O1865" s="3" t="s">
        <v>63</v>
      </c>
      <c r="P1865" s="3" t="s">
        <v>214</v>
      </c>
      <c r="R1865" s="3" t="s">
        <v>65</v>
      </c>
      <c r="S1865" s="4">
        <v>3</v>
      </c>
      <c r="T1865" s="4">
        <v>3</v>
      </c>
      <c r="U1865" s="5" t="s">
        <v>22814</v>
      </c>
      <c r="V1865" s="5" t="s">
        <v>22814</v>
      </c>
      <c r="W1865" s="5" t="s">
        <v>22828</v>
      </c>
      <c r="X1865" s="5" t="s">
        <v>22828</v>
      </c>
      <c r="Y1865" s="4">
        <v>459</v>
      </c>
      <c r="Z1865" s="4">
        <v>377</v>
      </c>
      <c r="AA1865" s="4">
        <v>390</v>
      </c>
      <c r="AB1865" s="4">
        <v>1</v>
      </c>
      <c r="AC1865" s="4">
        <v>1</v>
      </c>
      <c r="AD1865" s="4">
        <v>14</v>
      </c>
      <c r="AE1865" s="4">
        <v>14</v>
      </c>
      <c r="AF1865" s="4">
        <v>5</v>
      </c>
      <c r="AG1865" s="4">
        <v>5</v>
      </c>
      <c r="AH1865" s="4">
        <v>4</v>
      </c>
      <c r="AI1865" s="4">
        <v>4</v>
      </c>
      <c r="AJ1865" s="4">
        <v>11</v>
      </c>
      <c r="AK1865" s="4">
        <v>11</v>
      </c>
      <c r="AL1865" s="4">
        <v>0</v>
      </c>
      <c r="AM1865" s="4">
        <v>0</v>
      </c>
      <c r="AN1865" s="4">
        <v>0</v>
      </c>
      <c r="AO1865" s="4">
        <v>0</v>
      </c>
      <c r="AP1865" s="3" t="s">
        <v>58</v>
      </c>
      <c r="AQ1865" s="3" t="s">
        <v>58</v>
      </c>
      <c r="AS1865" s="6" t="str">
        <f>HYPERLINK("https://creighton-primo.hosted.exlibrisgroup.com/primo-explore/search?tab=default_tab&amp;search_scope=EVERYTHING&amp;vid=01CRU&amp;lang=en_US&amp;offset=0&amp;query=any,contains,991005390579702656","Catalog Record")</f>
        <v>Catalog Record</v>
      </c>
      <c r="AT1865" s="6" t="str">
        <f>HYPERLINK("http://www.worldcat.org/oclc/166332441","WorldCat Record")</f>
        <v>WorldCat Record</v>
      </c>
      <c r="AU1865" s="3" t="s">
        <v>22829</v>
      </c>
      <c r="AV1865" s="3" t="s">
        <v>22830</v>
      </c>
      <c r="AW1865" s="3" t="s">
        <v>22831</v>
      </c>
      <c r="AX1865" s="3" t="s">
        <v>22831</v>
      </c>
      <c r="AY1865" s="3" t="s">
        <v>22832</v>
      </c>
      <c r="AZ1865" s="3" t="s">
        <v>73</v>
      </c>
      <c r="BB1865" s="3" t="s">
        <v>22833</v>
      </c>
      <c r="BC1865" s="3" t="s">
        <v>22834</v>
      </c>
      <c r="BD1865" s="3" t="s">
        <v>22835</v>
      </c>
    </row>
    <row r="1866" spans="1:56" ht="51" customHeight="1" x14ac:dyDescent="0.25">
      <c r="A1866" s="7" t="s">
        <v>58</v>
      </c>
      <c r="B1866" s="2" t="s">
        <v>22836</v>
      </c>
      <c r="C1866" s="2" t="s">
        <v>22837</v>
      </c>
      <c r="D1866" s="2" t="s">
        <v>22838</v>
      </c>
      <c r="F1866" s="3" t="s">
        <v>58</v>
      </c>
      <c r="G1866" s="3" t="s">
        <v>59</v>
      </c>
      <c r="H1866" s="3" t="s">
        <v>58</v>
      </c>
      <c r="I1866" s="3" t="s">
        <v>58</v>
      </c>
      <c r="J1866" s="3" t="s">
        <v>60</v>
      </c>
      <c r="L1866" s="2" t="s">
        <v>22839</v>
      </c>
      <c r="M1866" s="3" t="s">
        <v>261</v>
      </c>
      <c r="O1866" s="3" t="s">
        <v>63</v>
      </c>
      <c r="P1866" s="3" t="s">
        <v>2061</v>
      </c>
      <c r="Q1866" s="2" t="s">
        <v>22840</v>
      </c>
      <c r="R1866" s="3" t="s">
        <v>65</v>
      </c>
      <c r="S1866" s="4">
        <v>1</v>
      </c>
      <c r="T1866" s="4">
        <v>1</v>
      </c>
      <c r="U1866" s="5" t="s">
        <v>22841</v>
      </c>
      <c r="V1866" s="5" t="s">
        <v>22841</v>
      </c>
      <c r="W1866" s="5" t="s">
        <v>10717</v>
      </c>
      <c r="X1866" s="5" t="s">
        <v>10717</v>
      </c>
      <c r="Y1866" s="4">
        <v>260</v>
      </c>
      <c r="Z1866" s="4">
        <v>190</v>
      </c>
      <c r="AA1866" s="4">
        <v>194</v>
      </c>
      <c r="AB1866" s="4">
        <v>3</v>
      </c>
      <c r="AC1866" s="4">
        <v>3</v>
      </c>
      <c r="AD1866" s="4">
        <v>7</v>
      </c>
      <c r="AE1866" s="4">
        <v>8</v>
      </c>
      <c r="AF1866" s="4">
        <v>0</v>
      </c>
      <c r="AG1866" s="4">
        <v>0</v>
      </c>
      <c r="AH1866" s="4">
        <v>2</v>
      </c>
      <c r="AI1866" s="4">
        <v>2</v>
      </c>
      <c r="AJ1866" s="4">
        <v>4</v>
      </c>
      <c r="AK1866" s="4">
        <v>5</v>
      </c>
      <c r="AL1866" s="4">
        <v>2</v>
      </c>
      <c r="AM1866" s="4">
        <v>2</v>
      </c>
      <c r="AN1866" s="4">
        <v>0</v>
      </c>
      <c r="AO1866" s="4">
        <v>0</v>
      </c>
      <c r="AP1866" s="3" t="s">
        <v>58</v>
      </c>
      <c r="AQ1866" s="3" t="s">
        <v>68</v>
      </c>
      <c r="AR1866" s="6" t="str">
        <f>HYPERLINK("http://catalog.hathitrust.org/Record/000018589","HathiTrust Record")</f>
        <v>HathiTrust Record</v>
      </c>
      <c r="AS1866" s="6" t="str">
        <f>HYPERLINK("https://creighton-primo.hosted.exlibrisgroup.com/primo-explore/search?tab=default_tab&amp;search_scope=EVERYTHING&amp;vid=01CRU&amp;lang=en_US&amp;offset=0&amp;query=any,contains,991003805669702656","Catalog Record")</f>
        <v>Catalog Record</v>
      </c>
      <c r="AT1866" s="6" t="str">
        <f>HYPERLINK("http://www.worldcat.org/oclc/1530632","WorldCat Record")</f>
        <v>WorldCat Record</v>
      </c>
      <c r="AU1866" s="3" t="s">
        <v>22842</v>
      </c>
      <c r="AV1866" s="3" t="s">
        <v>22843</v>
      </c>
      <c r="AW1866" s="3" t="s">
        <v>22844</v>
      </c>
      <c r="AX1866" s="3" t="s">
        <v>22844</v>
      </c>
      <c r="AY1866" s="3" t="s">
        <v>22845</v>
      </c>
      <c r="AZ1866" s="3" t="s">
        <v>73</v>
      </c>
      <c r="BB1866" s="3" t="s">
        <v>22846</v>
      </c>
      <c r="BC1866" s="3" t="s">
        <v>22847</v>
      </c>
      <c r="BD1866" s="3" t="s">
        <v>22848</v>
      </c>
    </row>
    <row r="1867" spans="1:56" ht="51" customHeight="1" x14ac:dyDescent="0.25">
      <c r="A1867" s="7" t="s">
        <v>58</v>
      </c>
      <c r="B1867" s="2" t="s">
        <v>22849</v>
      </c>
      <c r="C1867" s="2" t="s">
        <v>22850</v>
      </c>
      <c r="D1867" s="2" t="s">
        <v>22851</v>
      </c>
      <c r="F1867" s="3" t="s">
        <v>58</v>
      </c>
      <c r="G1867" s="3" t="s">
        <v>59</v>
      </c>
      <c r="H1867" s="3" t="s">
        <v>58</v>
      </c>
      <c r="I1867" s="3" t="s">
        <v>58</v>
      </c>
      <c r="J1867" s="3" t="s">
        <v>60</v>
      </c>
      <c r="L1867" s="2" t="s">
        <v>22852</v>
      </c>
      <c r="M1867" s="3" t="s">
        <v>1091</v>
      </c>
      <c r="O1867" s="3" t="s">
        <v>63</v>
      </c>
      <c r="P1867" s="3" t="s">
        <v>20170</v>
      </c>
      <c r="R1867" s="3" t="s">
        <v>65</v>
      </c>
      <c r="S1867" s="4">
        <v>3</v>
      </c>
      <c r="T1867" s="4">
        <v>3</v>
      </c>
      <c r="U1867" s="5" t="s">
        <v>7028</v>
      </c>
      <c r="V1867" s="5" t="s">
        <v>7028</v>
      </c>
      <c r="W1867" s="5" t="s">
        <v>22853</v>
      </c>
      <c r="X1867" s="5" t="s">
        <v>22853</v>
      </c>
      <c r="Y1867" s="4">
        <v>293</v>
      </c>
      <c r="Z1867" s="4">
        <v>201</v>
      </c>
      <c r="AA1867" s="4">
        <v>208</v>
      </c>
      <c r="AB1867" s="4">
        <v>2</v>
      </c>
      <c r="AC1867" s="4">
        <v>2</v>
      </c>
      <c r="AD1867" s="4">
        <v>7</v>
      </c>
      <c r="AE1867" s="4">
        <v>7</v>
      </c>
      <c r="AF1867" s="4">
        <v>0</v>
      </c>
      <c r="AG1867" s="4">
        <v>0</v>
      </c>
      <c r="AH1867" s="4">
        <v>2</v>
      </c>
      <c r="AI1867" s="4">
        <v>2</v>
      </c>
      <c r="AJ1867" s="4">
        <v>6</v>
      </c>
      <c r="AK1867" s="4">
        <v>6</v>
      </c>
      <c r="AL1867" s="4">
        <v>1</v>
      </c>
      <c r="AM1867" s="4">
        <v>1</v>
      </c>
      <c r="AN1867" s="4">
        <v>0</v>
      </c>
      <c r="AO1867" s="4">
        <v>0</v>
      </c>
      <c r="AP1867" s="3" t="s">
        <v>58</v>
      </c>
      <c r="AQ1867" s="3" t="s">
        <v>68</v>
      </c>
      <c r="AR1867" s="6" t="str">
        <f>HYPERLINK("http://catalog.hathitrust.org/Record/004176086","HathiTrust Record")</f>
        <v>HathiTrust Record</v>
      </c>
      <c r="AS1867" s="6" t="str">
        <f>HYPERLINK("https://creighton-primo.hosted.exlibrisgroup.com/primo-explore/search?tab=default_tab&amp;search_scope=EVERYTHING&amp;vid=01CRU&amp;lang=en_US&amp;offset=0&amp;query=any,contains,991003587059702656","Catalog Record")</f>
        <v>Catalog Record</v>
      </c>
      <c r="AT1867" s="6" t="str">
        <f>HYPERLINK("http://www.worldcat.org/oclc/45506036","WorldCat Record")</f>
        <v>WorldCat Record</v>
      </c>
      <c r="AU1867" s="3" t="s">
        <v>22854</v>
      </c>
      <c r="AV1867" s="3" t="s">
        <v>22855</v>
      </c>
      <c r="AW1867" s="3" t="s">
        <v>22856</v>
      </c>
      <c r="AX1867" s="3" t="s">
        <v>22856</v>
      </c>
      <c r="AY1867" s="3" t="s">
        <v>22857</v>
      </c>
      <c r="AZ1867" s="3" t="s">
        <v>73</v>
      </c>
      <c r="BB1867" s="3" t="s">
        <v>22858</v>
      </c>
      <c r="BC1867" s="3" t="s">
        <v>22859</v>
      </c>
      <c r="BD1867" s="3" t="s">
        <v>22860</v>
      </c>
    </row>
    <row r="1868" spans="1:56" ht="51" customHeight="1" x14ac:dyDescent="0.25">
      <c r="A1868" s="7" t="s">
        <v>58</v>
      </c>
      <c r="B1868" s="2" t="s">
        <v>22861</v>
      </c>
      <c r="C1868" s="2" t="s">
        <v>22862</v>
      </c>
      <c r="D1868" s="2" t="s">
        <v>22863</v>
      </c>
      <c r="F1868" s="3" t="s">
        <v>58</v>
      </c>
      <c r="G1868" s="3" t="s">
        <v>59</v>
      </c>
      <c r="H1868" s="3" t="s">
        <v>58</v>
      </c>
      <c r="I1868" s="3" t="s">
        <v>58</v>
      </c>
      <c r="J1868" s="3" t="s">
        <v>60</v>
      </c>
      <c r="L1868" s="2" t="s">
        <v>22864</v>
      </c>
      <c r="M1868" s="3" t="s">
        <v>2186</v>
      </c>
      <c r="O1868" s="3" t="s">
        <v>63</v>
      </c>
      <c r="P1868" s="3" t="s">
        <v>3109</v>
      </c>
      <c r="Q1868" s="2" t="s">
        <v>22865</v>
      </c>
      <c r="R1868" s="3" t="s">
        <v>65</v>
      </c>
      <c r="S1868" s="4">
        <v>2</v>
      </c>
      <c r="T1868" s="4">
        <v>2</v>
      </c>
      <c r="U1868" s="5" t="s">
        <v>22866</v>
      </c>
      <c r="V1868" s="5" t="s">
        <v>22866</v>
      </c>
      <c r="W1868" s="5" t="s">
        <v>13976</v>
      </c>
      <c r="X1868" s="5" t="s">
        <v>13976</v>
      </c>
      <c r="Y1868" s="4">
        <v>518</v>
      </c>
      <c r="Z1868" s="4">
        <v>422</v>
      </c>
      <c r="AA1868" s="4">
        <v>581</v>
      </c>
      <c r="AB1868" s="4">
        <v>4</v>
      </c>
      <c r="AC1868" s="4">
        <v>5</v>
      </c>
      <c r="AD1868" s="4">
        <v>24</v>
      </c>
      <c r="AE1868" s="4">
        <v>31</v>
      </c>
      <c r="AF1868" s="4">
        <v>8</v>
      </c>
      <c r="AG1868" s="4">
        <v>14</v>
      </c>
      <c r="AH1868" s="4">
        <v>9</v>
      </c>
      <c r="AI1868" s="4">
        <v>9</v>
      </c>
      <c r="AJ1868" s="4">
        <v>10</v>
      </c>
      <c r="AK1868" s="4">
        <v>12</v>
      </c>
      <c r="AL1868" s="4">
        <v>3</v>
      </c>
      <c r="AM1868" s="4">
        <v>4</v>
      </c>
      <c r="AN1868" s="4">
        <v>0</v>
      </c>
      <c r="AO1868" s="4">
        <v>0</v>
      </c>
      <c r="AP1868" s="3" t="s">
        <v>58</v>
      </c>
      <c r="AQ1868" s="3" t="s">
        <v>68</v>
      </c>
      <c r="AR1868" s="6" t="str">
        <f>HYPERLINK("http://catalog.hathitrust.org/Record/005283911","HathiTrust Record")</f>
        <v>HathiTrust Record</v>
      </c>
      <c r="AS1868" s="6" t="str">
        <f>HYPERLINK("https://creighton-primo.hosted.exlibrisgroup.com/primo-explore/search?tab=default_tab&amp;search_scope=EVERYTHING&amp;vid=01CRU&amp;lang=en_US&amp;offset=0&amp;query=any,contains,991004954289702656","Catalog Record")</f>
        <v>Catalog Record</v>
      </c>
      <c r="AT1868" s="6" t="str">
        <f>HYPERLINK("http://www.worldcat.org/oclc/67405645","WorldCat Record")</f>
        <v>WorldCat Record</v>
      </c>
      <c r="AU1868" s="3" t="s">
        <v>22867</v>
      </c>
      <c r="AV1868" s="3" t="s">
        <v>22868</v>
      </c>
      <c r="AW1868" s="3" t="s">
        <v>22869</v>
      </c>
      <c r="AX1868" s="3" t="s">
        <v>22869</v>
      </c>
      <c r="AY1868" s="3" t="s">
        <v>22870</v>
      </c>
      <c r="AZ1868" s="3" t="s">
        <v>73</v>
      </c>
      <c r="BB1868" s="3" t="s">
        <v>22871</v>
      </c>
      <c r="BC1868" s="3" t="s">
        <v>22872</v>
      </c>
      <c r="BD1868" s="3" t="s">
        <v>22873</v>
      </c>
    </row>
    <row r="1869" spans="1:56" ht="51" customHeight="1" x14ac:dyDescent="0.25">
      <c r="A1869" s="7" t="s">
        <v>58</v>
      </c>
      <c r="B1869" s="2" t="s">
        <v>22874</v>
      </c>
      <c r="C1869" s="2" t="s">
        <v>22875</v>
      </c>
      <c r="D1869" s="2" t="s">
        <v>22876</v>
      </c>
      <c r="F1869" s="3" t="s">
        <v>58</v>
      </c>
      <c r="G1869" s="3" t="s">
        <v>59</v>
      </c>
      <c r="H1869" s="3" t="s">
        <v>58</v>
      </c>
      <c r="I1869" s="3" t="s">
        <v>58</v>
      </c>
      <c r="J1869" s="3" t="s">
        <v>60</v>
      </c>
      <c r="K1869" s="2" t="s">
        <v>22877</v>
      </c>
      <c r="L1869" s="2" t="s">
        <v>22878</v>
      </c>
      <c r="M1869" s="3" t="s">
        <v>2326</v>
      </c>
      <c r="N1869" s="2" t="s">
        <v>338</v>
      </c>
      <c r="O1869" s="3" t="s">
        <v>63</v>
      </c>
      <c r="P1869" s="3" t="s">
        <v>584</v>
      </c>
      <c r="R1869" s="3" t="s">
        <v>65</v>
      </c>
      <c r="S1869" s="4">
        <v>2</v>
      </c>
      <c r="T1869" s="4">
        <v>2</v>
      </c>
      <c r="U1869" s="5" t="s">
        <v>22879</v>
      </c>
      <c r="V1869" s="5" t="s">
        <v>22879</v>
      </c>
      <c r="W1869" s="5" t="s">
        <v>12559</v>
      </c>
      <c r="X1869" s="5" t="s">
        <v>12559</v>
      </c>
      <c r="Y1869" s="4">
        <v>374</v>
      </c>
      <c r="Z1869" s="4">
        <v>267</v>
      </c>
      <c r="AA1869" s="4">
        <v>366</v>
      </c>
      <c r="AB1869" s="4">
        <v>5</v>
      </c>
      <c r="AC1869" s="4">
        <v>5</v>
      </c>
      <c r="AD1869" s="4">
        <v>16</v>
      </c>
      <c r="AE1869" s="4">
        <v>19</v>
      </c>
      <c r="AF1869" s="4">
        <v>7</v>
      </c>
      <c r="AG1869" s="4">
        <v>7</v>
      </c>
      <c r="AH1869" s="4">
        <v>1</v>
      </c>
      <c r="AI1869" s="4">
        <v>2</v>
      </c>
      <c r="AJ1869" s="4">
        <v>6</v>
      </c>
      <c r="AK1869" s="4">
        <v>8</v>
      </c>
      <c r="AL1869" s="4">
        <v>4</v>
      </c>
      <c r="AM1869" s="4">
        <v>4</v>
      </c>
      <c r="AN1869" s="4">
        <v>1</v>
      </c>
      <c r="AO1869" s="4">
        <v>1</v>
      </c>
      <c r="AP1869" s="3" t="s">
        <v>58</v>
      </c>
      <c r="AQ1869" s="3" t="s">
        <v>58</v>
      </c>
      <c r="AS1869" s="6" t="str">
        <f>HYPERLINK("https://creighton-primo.hosted.exlibrisgroup.com/primo-explore/search?tab=default_tab&amp;search_scope=EVERYTHING&amp;vid=01CRU&amp;lang=en_US&amp;offset=0&amp;query=any,contains,991005320779702656","Catalog Record")</f>
        <v>Catalog Record</v>
      </c>
      <c r="AT1869" s="6" t="str">
        <f>HYPERLINK("http://www.worldcat.org/oclc/228427411","WorldCat Record")</f>
        <v>WorldCat Record</v>
      </c>
      <c r="AU1869" s="3" t="s">
        <v>22880</v>
      </c>
      <c r="AV1869" s="3" t="s">
        <v>22881</v>
      </c>
      <c r="AW1869" s="3" t="s">
        <v>22882</v>
      </c>
      <c r="AX1869" s="3" t="s">
        <v>22882</v>
      </c>
      <c r="AY1869" s="3" t="s">
        <v>22883</v>
      </c>
      <c r="AZ1869" s="3" t="s">
        <v>73</v>
      </c>
      <c r="BB1869" s="3" t="s">
        <v>22884</v>
      </c>
      <c r="BC1869" s="3" t="s">
        <v>22885</v>
      </c>
      <c r="BD1869" s="3" t="s">
        <v>22886</v>
      </c>
    </row>
    <row r="1870" spans="1:56" ht="51" customHeight="1" x14ac:dyDescent="0.25">
      <c r="A1870" s="7" t="s">
        <v>58</v>
      </c>
      <c r="B1870" s="2" t="s">
        <v>22887</v>
      </c>
      <c r="C1870" s="2" t="s">
        <v>22888</v>
      </c>
      <c r="D1870" s="2" t="s">
        <v>22889</v>
      </c>
      <c r="F1870" s="3" t="s">
        <v>58</v>
      </c>
      <c r="G1870" s="3" t="s">
        <v>59</v>
      </c>
      <c r="H1870" s="3" t="s">
        <v>58</v>
      </c>
      <c r="I1870" s="3" t="s">
        <v>58</v>
      </c>
      <c r="J1870" s="3" t="s">
        <v>60</v>
      </c>
      <c r="L1870" s="2" t="s">
        <v>22890</v>
      </c>
      <c r="M1870" s="3" t="s">
        <v>759</v>
      </c>
      <c r="O1870" s="3" t="s">
        <v>63</v>
      </c>
      <c r="P1870" s="3" t="s">
        <v>214</v>
      </c>
      <c r="Q1870" s="2" t="s">
        <v>22891</v>
      </c>
      <c r="R1870" s="3" t="s">
        <v>65</v>
      </c>
      <c r="S1870" s="4">
        <v>5</v>
      </c>
      <c r="T1870" s="4">
        <v>5</v>
      </c>
      <c r="U1870" s="5" t="s">
        <v>22814</v>
      </c>
      <c r="V1870" s="5" t="s">
        <v>22814</v>
      </c>
      <c r="W1870" s="5" t="s">
        <v>20121</v>
      </c>
      <c r="X1870" s="5" t="s">
        <v>20121</v>
      </c>
      <c r="Y1870" s="4">
        <v>1341</v>
      </c>
      <c r="Z1870" s="4">
        <v>1294</v>
      </c>
      <c r="AA1870" s="4">
        <v>1301</v>
      </c>
      <c r="AB1870" s="4">
        <v>10</v>
      </c>
      <c r="AC1870" s="4">
        <v>10</v>
      </c>
      <c r="AD1870" s="4">
        <v>40</v>
      </c>
      <c r="AE1870" s="4">
        <v>40</v>
      </c>
      <c r="AF1870" s="4">
        <v>15</v>
      </c>
      <c r="AG1870" s="4">
        <v>15</v>
      </c>
      <c r="AH1870" s="4">
        <v>8</v>
      </c>
      <c r="AI1870" s="4">
        <v>8</v>
      </c>
      <c r="AJ1870" s="4">
        <v>21</v>
      </c>
      <c r="AK1870" s="4">
        <v>21</v>
      </c>
      <c r="AL1870" s="4">
        <v>7</v>
      </c>
      <c r="AM1870" s="4">
        <v>7</v>
      </c>
      <c r="AN1870" s="4">
        <v>0</v>
      </c>
      <c r="AO1870" s="4">
        <v>0</v>
      </c>
      <c r="AP1870" s="3" t="s">
        <v>58</v>
      </c>
      <c r="AQ1870" s="3" t="s">
        <v>68</v>
      </c>
      <c r="AR1870" s="6" t="str">
        <f>HYPERLINK("http://catalog.hathitrust.org/Record/000037218","HathiTrust Record")</f>
        <v>HathiTrust Record</v>
      </c>
      <c r="AS1870" s="6" t="str">
        <f>HYPERLINK("https://creighton-primo.hosted.exlibrisgroup.com/primo-explore/search?tab=default_tab&amp;search_scope=EVERYTHING&amp;vid=01CRU&amp;lang=en_US&amp;offset=0&amp;query=any,contains,991004914769702656","Catalog Record")</f>
        <v>Catalog Record</v>
      </c>
      <c r="AT1870" s="6" t="str">
        <f>HYPERLINK("http://www.worldcat.org/oclc/6015707","WorldCat Record")</f>
        <v>WorldCat Record</v>
      </c>
      <c r="AU1870" s="3" t="s">
        <v>22892</v>
      </c>
      <c r="AV1870" s="3" t="s">
        <v>22893</v>
      </c>
      <c r="AW1870" s="3" t="s">
        <v>22894</v>
      </c>
      <c r="AX1870" s="3" t="s">
        <v>22894</v>
      </c>
      <c r="AY1870" s="3" t="s">
        <v>22895</v>
      </c>
      <c r="AZ1870" s="3" t="s">
        <v>73</v>
      </c>
      <c r="BB1870" s="3" t="s">
        <v>22896</v>
      </c>
      <c r="BC1870" s="3" t="s">
        <v>22897</v>
      </c>
      <c r="BD1870" s="3" t="s">
        <v>22898</v>
      </c>
    </row>
    <row r="1871" spans="1:56" ht="51" customHeight="1" x14ac:dyDescent="0.25">
      <c r="A1871" s="7" t="s">
        <v>58</v>
      </c>
      <c r="B1871" s="2" t="s">
        <v>22899</v>
      </c>
      <c r="C1871" s="2" t="s">
        <v>22900</v>
      </c>
      <c r="D1871" s="2" t="s">
        <v>22901</v>
      </c>
      <c r="F1871" s="3" t="s">
        <v>58</v>
      </c>
      <c r="G1871" s="3" t="s">
        <v>59</v>
      </c>
      <c r="H1871" s="3" t="s">
        <v>58</v>
      </c>
      <c r="I1871" s="3" t="s">
        <v>58</v>
      </c>
      <c r="J1871" s="3" t="s">
        <v>60</v>
      </c>
      <c r="K1871" s="2" t="s">
        <v>22902</v>
      </c>
      <c r="L1871" s="2" t="s">
        <v>22903</v>
      </c>
      <c r="M1871" s="3" t="s">
        <v>479</v>
      </c>
      <c r="O1871" s="3" t="s">
        <v>63</v>
      </c>
      <c r="P1871" s="3" t="s">
        <v>584</v>
      </c>
      <c r="R1871" s="3" t="s">
        <v>65</v>
      </c>
      <c r="S1871" s="4">
        <v>8</v>
      </c>
      <c r="T1871" s="4">
        <v>8</v>
      </c>
      <c r="U1871" s="5" t="s">
        <v>22904</v>
      </c>
      <c r="V1871" s="5" t="s">
        <v>22904</v>
      </c>
      <c r="W1871" s="5" t="s">
        <v>18957</v>
      </c>
      <c r="X1871" s="5" t="s">
        <v>18957</v>
      </c>
      <c r="Y1871" s="4">
        <v>212</v>
      </c>
      <c r="Z1871" s="4">
        <v>150</v>
      </c>
      <c r="AA1871" s="4">
        <v>155</v>
      </c>
      <c r="AB1871" s="4">
        <v>1</v>
      </c>
      <c r="AC1871" s="4">
        <v>1</v>
      </c>
      <c r="AD1871" s="4">
        <v>3</v>
      </c>
      <c r="AE1871" s="4">
        <v>3</v>
      </c>
      <c r="AF1871" s="4">
        <v>2</v>
      </c>
      <c r="AG1871" s="4">
        <v>2</v>
      </c>
      <c r="AH1871" s="4">
        <v>2</v>
      </c>
      <c r="AI1871" s="4">
        <v>2</v>
      </c>
      <c r="AJ1871" s="4">
        <v>1</v>
      </c>
      <c r="AK1871" s="4">
        <v>1</v>
      </c>
      <c r="AL1871" s="4">
        <v>0</v>
      </c>
      <c r="AM1871" s="4">
        <v>0</v>
      </c>
      <c r="AN1871" s="4">
        <v>0</v>
      </c>
      <c r="AO1871" s="4">
        <v>0</v>
      </c>
      <c r="AP1871" s="3" t="s">
        <v>58</v>
      </c>
      <c r="AQ1871" s="3" t="s">
        <v>58</v>
      </c>
      <c r="AS1871" s="6" t="str">
        <f>HYPERLINK("https://creighton-primo.hosted.exlibrisgroup.com/primo-explore/search?tab=default_tab&amp;search_scope=EVERYTHING&amp;vid=01CRU&amp;lang=en_US&amp;offset=0&amp;query=any,contains,991002380109702656","Catalog Record")</f>
        <v>Catalog Record</v>
      </c>
      <c r="AT1871" s="6" t="str">
        <f>HYPERLINK("http://www.worldcat.org/oclc/30916762","WorldCat Record")</f>
        <v>WorldCat Record</v>
      </c>
      <c r="AU1871" s="3" t="s">
        <v>22905</v>
      </c>
      <c r="AV1871" s="3" t="s">
        <v>22906</v>
      </c>
      <c r="AW1871" s="3" t="s">
        <v>22907</v>
      </c>
      <c r="AX1871" s="3" t="s">
        <v>22907</v>
      </c>
      <c r="AY1871" s="3" t="s">
        <v>22908</v>
      </c>
      <c r="AZ1871" s="3" t="s">
        <v>73</v>
      </c>
      <c r="BB1871" s="3" t="s">
        <v>22909</v>
      </c>
      <c r="BC1871" s="3" t="s">
        <v>22910</v>
      </c>
      <c r="BD1871" s="3" t="s">
        <v>22911</v>
      </c>
    </row>
    <row r="1872" spans="1:56" ht="51" customHeight="1" x14ac:dyDescent="0.25">
      <c r="A1872" s="7" t="s">
        <v>58</v>
      </c>
      <c r="B1872" s="2" t="s">
        <v>22912</v>
      </c>
      <c r="C1872" s="2" t="s">
        <v>22913</v>
      </c>
      <c r="D1872" s="2" t="s">
        <v>22914</v>
      </c>
      <c r="F1872" s="3" t="s">
        <v>58</v>
      </c>
      <c r="G1872" s="3" t="s">
        <v>59</v>
      </c>
      <c r="H1872" s="3" t="s">
        <v>58</v>
      </c>
      <c r="I1872" s="3" t="s">
        <v>58</v>
      </c>
      <c r="J1872" s="3" t="s">
        <v>60</v>
      </c>
      <c r="K1872" s="2" t="s">
        <v>22915</v>
      </c>
      <c r="L1872" s="2" t="s">
        <v>22916</v>
      </c>
      <c r="M1872" s="3" t="s">
        <v>231</v>
      </c>
      <c r="O1872" s="3" t="s">
        <v>63</v>
      </c>
      <c r="P1872" s="3" t="s">
        <v>510</v>
      </c>
      <c r="Q1872" s="2" t="s">
        <v>22917</v>
      </c>
      <c r="R1872" s="3" t="s">
        <v>65</v>
      </c>
      <c r="S1872" s="4">
        <v>10</v>
      </c>
      <c r="T1872" s="4">
        <v>10</v>
      </c>
      <c r="U1872" s="5" t="s">
        <v>22788</v>
      </c>
      <c r="V1872" s="5" t="s">
        <v>22788</v>
      </c>
      <c r="W1872" s="5" t="s">
        <v>22918</v>
      </c>
      <c r="X1872" s="5" t="s">
        <v>22918</v>
      </c>
      <c r="Y1872" s="4">
        <v>911</v>
      </c>
      <c r="Z1872" s="4">
        <v>801</v>
      </c>
      <c r="AA1872" s="4">
        <v>821</v>
      </c>
      <c r="AB1872" s="4">
        <v>3</v>
      </c>
      <c r="AC1872" s="4">
        <v>3</v>
      </c>
      <c r="AD1872" s="4">
        <v>37</v>
      </c>
      <c r="AE1872" s="4">
        <v>37</v>
      </c>
      <c r="AF1872" s="4">
        <v>18</v>
      </c>
      <c r="AG1872" s="4">
        <v>18</v>
      </c>
      <c r="AH1872" s="4">
        <v>6</v>
      </c>
      <c r="AI1872" s="4">
        <v>6</v>
      </c>
      <c r="AJ1872" s="4">
        <v>19</v>
      </c>
      <c r="AK1872" s="4">
        <v>19</v>
      </c>
      <c r="AL1872" s="4">
        <v>2</v>
      </c>
      <c r="AM1872" s="4">
        <v>2</v>
      </c>
      <c r="AN1872" s="4">
        <v>1</v>
      </c>
      <c r="AO1872" s="4">
        <v>1</v>
      </c>
      <c r="AP1872" s="3" t="s">
        <v>68</v>
      </c>
      <c r="AQ1872" s="3" t="s">
        <v>58</v>
      </c>
      <c r="AR1872" s="6" t="str">
        <f>HYPERLINK("http://catalog.hathitrust.org/Record/001257183","HathiTrust Record")</f>
        <v>HathiTrust Record</v>
      </c>
      <c r="AS1872" s="6" t="str">
        <f>HYPERLINK("https://creighton-primo.hosted.exlibrisgroup.com/primo-explore/search?tab=default_tab&amp;search_scope=EVERYTHING&amp;vid=01CRU&amp;lang=en_US&amp;offset=0&amp;query=any,contains,991002673569702656","Catalog Record")</f>
        <v>Catalog Record</v>
      </c>
      <c r="AT1872" s="6" t="str">
        <f>HYPERLINK("http://www.worldcat.org/oclc/396193","WorldCat Record")</f>
        <v>WorldCat Record</v>
      </c>
      <c r="AU1872" s="3" t="s">
        <v>22919</v>
      </c>
      <c r="AV1872" s="3" t="s">
        <v>22920</v>
      </c>
      <c r="AW1872" s="3" t="s">
        <v>22921</v>
      </c>
      <c r="AX1872" s="3" t="s">
        <v>22921</v>
      </c>
      <c r="AY1872" s="3" t="s">
        <v>22922</v>
      </c>
      <c r="AZ1872" s="3" t="s">
        <v>73</v>
      </c>
      <c r="BC1872" s="3" t="s">
        <v>22923</v>
      </c>
      <c r="BD1872" s="3" t="s">
        <v>22924</v>
      </c>
    </row>
    <row r="1873" spans="1:56" ht="51" customHeight="1" x14ac:dyDescent="0.25">
      <c r="A1873" s="7" t="s">
        <v>58</v>
      </c>
      <c r="B1873" s="2" t="s">
        <v>22925</v>
      </c>
      <c r="C1873" s="2" t="s">
        <v>22926</v>
      </c>
      <c r="D1873" s="2" t="s">
        <v>22927</v>
      </c>
      <c r="F1873" s="3" t="s">
        <v>58</v>
      </c>
      <c r="G1873" s="3" t="s">
        <v>59</v>
      </c>
      <c r="H1873" s="3" t="s">
        <v>58</v>
      </c>
      <c r="I1873" s="3" t="s">
        <v>58</v>
      </c>
      <c r="J1873" s="3" t="s">
        <v>60</v>
      </c>
      <c r="K1873" s="2" t="s">
        <v>22928</v>
      </c>
      <c r="L1873" s="2" t="s">
        <v>22929</v>
      </c>
      <c r="M1873" s="3" t="s">
        <v>1061</v>
      </c>
      <c r="O1873" s="3" t="s">
        <v>63</v>
      </c>
      <c r="P1873" s="3" t="s">
        <v>214</v>
      </c>
      <c r="R1873" s="3" t="s">
        <v>65</v>
      </c>
      <c r="S1873" s="4">
        <v>4</v>
      </c>
      <c r="T1873" s="4">
        <v>4</v>
      </c>
      <c r="U1873" s="5" t="s">
        <v>12917</v>
      </c>
      <c r="V1873" s="5" t="s">
        <v>12917</v>
      </c>
      <c r="W1873" s="5" t="s">
        <v>22930</v>
      </c>
      <c r="X1873" s="5" t="s">
        <v>22930</v>
      </c>
      <c r="Y1873" s="4">
        <v>794</v>
      </c>
      <c r="Z1873" s="4">
        <v>735</v>
      </c>
      <c r="AA1873" s="4">
        <v>904</v>
      </c>
      <c r="AB1873" s="4">
        <v>4</v>
      </c>
      <c r="AC1873" s="4">
        <v>6</v>
      </c>
      <c r="AD1873" s="4">
        <v>23</v>
      </c>
      <c r="AE1873" s="4">
        <v>29</v>
      </c>
      <c r="AF1873" s="4">
        <v>7</v>
      </c>
      <c r="AG1873" s="4">
        <v>8</v>
      </c>
      <c r="AH1873" s="4">
        <v>7</v>
      </c>
      <c r="AI1873" s="4">
        <v>9</v>
      </c>
      <c r="AJ1873" s="4">
        <v>10</v>
      </c>
      <c r="AK1873" s="4">
        <v>13</v>
      </c>
      <c r="AL1873" s="4">
        <v>2</v>
      </c>
      <c r="AM1873" s="4">
        <v>4</v>
      </c>
      <c r="AN1873" s="4">
        <v>1</v>
      </c>
      <c r="AO1873" s="4">
        <v>1</v>
      </c>
      <c r="AP1873" s="3" t="s">
        <v>58</v>
      </c>
      <c r="AQ1873" s="3" t="s">
        <v>68</v>
      </c>
      <c r="AR1873" s="6" t="str">
        <f>HYPERLINK("http://catalog.hathitrust.org/Record/003180836","HathiTrust Record")</f>
        <v>HathiTrust Record</v>
      </c>
      <c r="AS1873" s="6" t="str">
        <f>HYPERLINK("https://creighton-primo.hosted.exlibrisgroup.com/primo-explore/search?tab=default_tab&amp;search_scope=EVERYTHING&amp;vid=01CRU&amp;lang=en_US&amp;offset=0&amp;query=any,contains,991002820179702656","Catalog Record")</f>
        <v>Catalog Record</v>
      </c>
      <c r="AT1873" s="6" t="str">
        <f>HYPERLINK("http://www.worldcat.org/oclc/37106624","WorldCat Record")</f>
        <v>WorldCat Record</v>
      </c>
      <c r="AU1873" s="3" t="s">
        <v>22931</v>
      </c>
      <c r="AV1873" s="3" t="s">
        <v>22932</v>
      </c>
      <c r="AW1873" s="3" t="s">
        <v>22933</v>
      </c>
      <c r="AX1873" s="3" t="s">
        <v>22933</v>
      </c>
      <c r="AY1873" s="3" t="s">
        <v>22934</v>
      </c>
      <c r="AZ1873" s="3" t="s">
        <v>73</v>
      </c>
      <c r="BB1873" s="3" t="s">
        <v>22935</v>
      </c>
      <c r="BC1873" s="3" t="s">
        <v>22936</v>
      </c>
      <c r="BD1873" s="3" t="s">
        <v>22937</v>
      </c>
    </row>
    <row r="1874" spans="1:56" ht="51" customHeight="1" x14ac:dyDescent="0.25">
      <c r="A1874" s="7" t="s">
        <v>58</v>
      </c>
      <c r="B1874" s="2" t="s">
        <v>22938</v>
      </c>
      <c r="C1874" s="2" t="s">
        <v>22939</v>
      </c>
      <c r="D1874" s="2" t="s">
        <v>22940</v>
      </c>
      <c r="F1874" s="3" t="s">
        <v>58</v>
      </c>
      <c r="G1874" s="3" t="s">
        <v>59</v>
      </c>
      <c r="H1874" s="3" t="s">
        <v>58</v>
      </c>
      <c r="I1874" s="3" t="s">
        <v>58</v>
      </c>
      <c r="J1874" s="3" t="s">
        <v>60</v>
      </c>
      <c r="K1874" s="2" t="s">
        <v>22941</v>
      </c>
      <c r="L1874" s="2" t="s">
        <v>22942</v>
      </c>
      <c r="M1874" s="3" t="s">
        <v>1720</v>
      </c>
      <c r="O1874" s="3" t="s">
        <v>63</v>
      </c>
      <c r="P1874" s="3" t="s">
        <v>571</v>
      </c>
      <c r="Q1874" s="2" t="s">
        <v>22943</v>
      </c>
      <c r="R1874" s="3" t="s">
        <v>65</v>
      </c>
      <c r="S1874" s="4">
        <v>4</v>
      </c>
      <c r="T1874" s="4">
        <v>4</v>
      </c>
      <c r="U1874" s="5" t="s">
        <v>6157</v>
      </c>
      <c r="V1874" s="5" t="s">
        <v>6157</v>
      </c>
      <c r="W1874" s="5" t="s">
        <v>20121</v>
      </c>
      <c r="X1874" s="5" t="s">
        <v>20121</v>
      </c>
      <c r="Y1874" s="4">
        <v>173</v>
      </c>
      <c r="Z1874" s="4">
        <v>135</v>
      </c>
      <c r="AA1874" s="4">
        <v>146</v>
      </c>
      <c r="AB1874" s="4">
        <v>3</v>
      </c>
      <c r="AC1874" s="4">
        <v>3</v>
      </c>
      <c r="AD1874" s="4">
        <v>9</v>
      </c>
      <c r="AE1874" s="4">
        <v>9</v>
      </c>
      <c r="AF1874" s="4">
        <v>0</v>
      </c>
      <c r="AG1874" s="4">
        <v>0</v>
      </c>
      <c r="AH1874" s="4">
        <v>3</v>
      </c>
      <c r="AI1874" s="4">
        <v>3</v>
      </c>
      <c r="AJ1874" s="4">
        <v>6</v>
      </c>
      <c r="AK1874" s="4">
        <v>6</v>
      </c>
      <c r="AL1874" s="4">
        <v>2</v>
      </c>
      <c r="AM1874" s="4">
        <v>2</v>
      </c>
      <c r="AN1874" s="4">
        <v>0</v>
      </c>
      <c r="AO1874" s="4">
        <v>0</v>
      </c>
      <c r="AP1874" s="3" t="s">
        <v>58</v>
      </c>
      <c r="AQ1874" s="3" t="s">
        <v>68</v>
      </c>
      <c r="AR1874" s="6" t="str">
        <f>HYPERLINK("http://catalog.hathitrust.org/Record/006783954","HathiTrust Record")</f>
        <v>HathiTrust Record</v>
      </c>
      <c r="AS1874" s="6" t="str">
        <f>HYPERLINK("https://creighton-primo.hosted.exlibrisgroup.com/primo-explore/search?tab=default_tab&amp;search_scope=EVERYTHING&amp;vid=01CRU&amp;lang=en_US&amp;offset=0&amp;query=any,contains,991004432699702656","Catalog Record")</f>
        <v>Catalog Record</v>
      </c>
      <c r="AT1874" s="6" t="str">
        <f>HYPERLINK("http://www.worldcat.org/oclc/3431246","WorldCat Record")</f>
        <v>WorldCat Record</v>
      </c>
      <c r="AU1874" s="3" t="s">
        <v>22944</v>
      </c>
      <c r="AV1874" s="3" t="s">
        <v>22945</v>
      </c>
      <c r="AW1874" s="3" t="s">
        <v>22946</v>
      </c>
      <c r="AX1874" s="3" t="s">
        <v>22946</v>
      </c>
      <c r="AY1874" s="3" t="s">
        <v>22947</v>
      </c>
      <c r="AZ1874" s="3" t="s">
        <v>73</v>
      </c>
      <c r="BC1874" s="3" t="s">
        <v>22948</v>
      </c>
      <c r="BD1874" s="3" t="s">
        <v>22949</v>
      </c>
    </row>
    <row r="1875" spans="1:56" ht="51" customHeight="1" x14ac:dyDescent="0.25">
      <c r="A1875" s="7" t="s">
        <v>58</v>
      </c>
      <c r="B1875" s="2" t="s">
        <v>22950</v>
      </c>
      <c r="C1875" s="2" t="s">
        <v>22951</v>
      </c>
      <c r="D1875" s="2" t="s">
        <v>22952</v>
      </c>
      <c r="F1875" s="3" t="s">
        <v>58</v>
      </c>
      <c r="G1875" s="3" t="s">
        <v>59</v>
      </c>
      <c r="H1875" s="3" t="s">
        <v>58</v>
      </c>
      <c r="I1875" s="3" t="s">
        <v>68</v>
      </c>
      <c r="J1875" s="3" t="s">
        <v>60</v>
      </c>
      <c r="K1875" s="2" t="s">
        <v>16059</v>
      </c>
      <c r="L1875" s="2" t="s">
        <v>22953</v>
      </c>
      <c r="M1875" s="3" t="s">
        <v>15978</v>
      </c>
      <c r="N1875" s="2" t="s">
        <v>22954</v>
      </c>
      <c r="O1875" s="3" t="s">
        <v>63</v>
      </c>
      <c r="P1875" s="3" t="s">
        <v>214</v>
      </c>
      <c r="R1875" s="3" t="s">
        <v>65</v>
      </c>
      <c r="S1875" s="4">
        <v>2</v>
      </c>
      <c r="T1875" s="4">
        <v>2</v>
      </c>
      <c r="U1875" s="5" t="s">
        <v>22955</v>
      </c>
      <c r="V1875" s="5" t="s">
        <v>22955</v>
      </c>
      <c r="W1875" s="5" t="s">
        <v>17547</v>
      </c>
      <c r="X1875" s="5" t="s">
        <v>17547</v>
      </c>
      <c r="Y1875" s="4">
        <v>250</v>
      </c>
      <c r="Z1875" s="4">
        <v>222</v>
      </c>
      <c r="AA1875" s="4">
        <v>1856</v>
      </c>
      <c r="AB1875" s="4">
        <v>4</v>
      </c>
      <c r="AC1875" s="4">
        <v>20</v>
      </c>
      <c r="AD1875" s="4">
        <v>10</v>
      </c>
      <c r="AE1875" s="4">
        <v>55</v>
      </c>
      <c r="AF1875" s="4">
        <v>1</v>
      </c>
      <c r="AG1875" s="4">
        <v>23</v>
      </c>
      <c r="AH1875" s="4">
        <v>2</v>
      </c>
      <c r="AI1875" s="4">
        <v>9</v>
      </c>
      <c r="AJ1875" s="4">
        <v>5</v>
      </c>
      <c r="AK1875" s="4">
        <v>23</v>
      </c>
      <c r="AL1875" s="4">
        <v>3</v>
      </c>
      <c r="AM1875" s="4">
        <v>13</v>
      </c>
      <c r="AN1875" s="4">
        <v>0</v>
      </c>
      <c r="AO1875" s="4">
        <v>0</v>
      </c>
      <c r="AP1875" s="3" t="s">
        <v>58</v>
      </c>
      <c r="AQ1875" s="3" t="s">
        <v>58</v>
      </c>
      <c r="AS1875" s="6" t="str">
        <f>HYPERLINK("https://creighton-primo.hosted.exlibrisgroup.com/primo-explore/search?tab=default_tab&amp;search_scope=EVERYTHING&amp;vid=01CRU&amp;lang=en_US&amp;offset=0&amp;query=any,contains,991004162899702656","Catalog Record")</f>
        <v>Catalog Record</v>
      </c>
      <c r="AT1875" s="6" t="str">
        <f>HYPERLINK("http://www.worldcat.org/oclc/2556704","WorldCat Record")</f>
        <v>WorldCat Record</v>
      </c>
      <c r="AU1875" s="3" t="s">
        <v>22956</v>
      </c>
      <c r="AV1875" s="3" t="s">
        <v>22957</v>
      </c>
      <c r="AW1875" s="3" t="s">
        <v>22958</v>
      </c>
      <c r="AX1875" s="3" t="s">
        <v>22958</v>
      </c>
      <c r="AY1875" s="3" t="s">
        <v>22959</v>
      </c>
      <c r="AZ1875" s="3" t="s">
        <v>73</v>
      </c>
      <c r="BC1875" s="3" t="s">
        <v>22960</v>
      </c>
      <c r="BD1875" s="3" t="s">
        <v>22961</v>
      </c>
    </row>
    <row r="1876" spans="1:56" ht="51" customHeight="1" x14ac:dyDescent="0.25">
      <c r="A1876" s="7" t="s">
        <v>58</v>
      </c>
      <c r="B1876" s="2" t="s">
        <v>22962</v>
      </c>
      <c r="C1876" s="2" t="s">
        <v>22963</v>
      </c>
      <c r="D1876" s="2" t="s">
        <v>22964</v>
      </c>
      <c r="F1876" s="3" t="s">
        <v>58</v>
      </c>
      <c r="G1876" s="3" t="s">
        <v>59</v>
      </c>
      <c r="H1876" s="3" t="s">
        <v>58</v>
      </c>
      <c r="I1876" s="3" t="s">
        <v>68</v>
      </c>
      <c r="J1876" s="3" t="s">
        <v>60</v>
      </c>
      <c r="K1876" s="2" t="s">
        <v>16059</v>
      </c>
      <c r="L1876" s="2" t="s">
        <v>7117</v>
      </c>
      <c r="M1876" s="3" t="s">
        <v>2132</v>
      </c>
      <c r="N1876" s="2" t="s">
        <v>22965</v>
      </c>
      <c r="O1876" s="3" t="s">
        <v>63</v>
      </c>
      <c r="P1876" s="3" t="s">
        <v>214</v>
      </c>
      <c r="R1876" s="3" t="s">
        <v>65</v>
      </c>
      <c r="S1876" s="4">
        <v>19</v>
      </c>
      <c r="T1876" s="4">
        <v>19</v>
      </c>
      <c r="U1876" s="5" t="s">
        <v>11596</v>
      </c>
      <c r="V1876" s="5" t="s">
        <v>11596</v>
      </c>
      <c r="W1876" s="5" t="s">
        <v>22918</v>
      </c>
      <c r="X1876" s="5" t="s">
        <v>22918</v>
      </c>
      <c r="Y1876" s="4">
        <v>1414</v>
      </c>
      <c r="Z1876" s="4">
        <v>1290</v>
      </c>
      <c r="AA1876" s="4">
        <v>1856</v>
      </c>
      <c r="AB1876" s="4">
        <v>10</v>
      </c>
      <c r="AC1876" s="4">
        <v>20</v>
      </c>
      <c r="AD1876" s="4">
        <v>41</v>
      </c>
      <c r="AE1876" s="4">
        <v>55</v>
      </c>
      <c r="AF1876" s="4">
        <v>19</v>
      </c>
      <c r="AG1876" s="4">
        <v>23</v>
      </c>
      <c r="AH1876" s="4">
        <v>6</v>
      </c>
      <c r="AI1876" s="4">
        <v>9</v>
      </c>
      <c r="AJ1876" s="4">
        <v>18</v>
      </c>
      <c r="AK1876" s="4">
        <v>23</v>
      </c>
      <c r="AL1876" s="4">
        <v>8</v>
      </c>
      <c r="AM1876" s="4">
        <v>13</v>
      </c>
      <c r="AN1876" s="4">
        <v>0</v>
      </c>
      <c r="AO1876" s="4">
        <v>0</v>
      </c>
      <c r="AP1876" s="3" t="s">
        <v>58</v>
      </c>
      <c r="AQ1876" s="3" t="s">
        <v>68</v>
      </c>
      <c r="AR1876" s="6" t="str">
        <f>HYPERLINK("http://catalog.hathitrust.org/Record/001257187","HathiTrust Record")</f>
        <v>HathiTrust Record</v>
      </c>
      <c r="AS1876" s="6" t="str">
        <f>HYPERLINK("https://creighton-primo.hosted.exlibrisgroup.com/primo-explore/search?tab=default_tab&amp;search_scope=EVERYTHING&amp;vid=01CRU&amp;lang=en_US&amp;offset=0&amp;query=any,contains,991005356599702656","Catalog Record")</f>
        <v>Catalog Record</v>
      </c>
      <c r="AT1876" s="6" t="str">
        <f>HYPERLINK("http://www.worldcat.org/oclc/722633","WorldCat Record")</f>
        <v>WorldCat Record</v>
      </c>
      <c r="AU1876" s="3" t="s">
        <v>22956</v>
      </c>
      <c r="AV1876" s="3" t="s">
        <v>22966</v>
      </c>
      <c r="AW1876" s="3" t="s">
        <v>22967</v>
      </c>
      <c r="AX1876" s="3" t="s">
        <v>22967</v>
      </c>
      <c r="AY1876" s="3" t="s">
        <v>22968</v>
      </c>
      <c r="AZ1876" s="3" t="s">
        <v>73</v>
      </c>
      <c r="BC1876" s="3" t="s">
        <v>22969</v>
      </c>
      <c r="BD1876" s="3" t="s">
        <v>22970</v>
      </c>
    </row>
    <row r="1877" spans="1:56" ht="51" customHeight="1" x14ac:dyDescent="0.25">
      <c r="A1877" s="7" t="s">
        <v>58</v>
      </c>
      <c r="B1877" s="2" t="s">
        <v>22971</v>
      </c>
      <c r="C1877" s="2" t="s">
        <v>22972</v>
      </c>
      <c r="D1877" s="2" t="s">
        <v>22973</v>
      </c>
      <c r="F1877" s="3" t="s">
        <v>58</v>
      </c>
      <c r="G1877" s="3" t="s">
        <v>59</v>
      </c>
      <c r="H1877" s="3" t="s">
        <v>58</v>
      </c>
      <c r="I1877" s="3" t="s">
        <v>58</v>
      </c>
      <c r="J1877" s="3" t="s">
        <v>60</v>
      </c>
      <c r="L1877" s="2" t="s">
        <v>22974</v>
      </c>
      <c r="M1877" s="3" t="s">
        <v>2295</v>
      </c>
      <c r="O1877" s="3" t="s">
        <v>63</v>
      </c>
      <c r="P1877" s="3" t="s">
        <v>584</v>
      </c>
      <c r="R1877" s="3" t="s">
        <v>65</v>
      </c>
      <c r="S1877" s="4">
        <v>4</v>
      </c>
      <c r="T1877" s="4">
        <v>4</v>
      </c>
      <c r="U1877" s="5" t="s">
        <v>6844</v>
      </c>
      <c r="V1877" s="5" t="s">
        <v>6844</v>
      </c>
      <c r="W1877" s="5" t="s">
        <v>22975</v>
      </c>
      <c r="X1877" s="5" t="s">
        <v>22975</v>
      </c>
      <c r="Y1877" s="4">
        <v>544</v>
      </c>
      <c r="Z1877" s="4">
        <v>447</v>
      </c>
      <c r="AA1877" s="4">
        <v>478</v>
      </c>
      <c r="AB1877" s="4">
        <v>3</v>
      </c>
      <c r="AC1877" s="4">
        <v>3</v>
      </c>
      <c r="AD1877" s="4">
        <v>23</v>
      </c>
      <c r="AE1877" s="4">
        <v>23</v>
      </c>
      <c r="AF1877" s="4">
        <v>9</v>
      </c>
      <c r="AG1877" s="4">
        <v>9</v>
      </c>
      <c r="AH1877" s="4">
        <v>6</v>
      </c>
      <c r="AI1877" s="4">
        <v>6</v>
      </c>
      <c r="AJ1877" s="4">
        <v>13</v>
      </c>
      <c r="AK1877" s="4">
        <v>13</v>
      </c>
      <c r="AL1877" s="4">
        <v>2</v>
      </c>
      <c r="AM1877" s="4">
        <v>2</v>
      </c>
      <c r="AN1877" s="4">
        <v>0</v>
      </c>
      <c r="AO1877" s="4">
        <v>0</v>
      </c>
      <c r="AP1877" s="3" t="s">
        <v>58</v>
      </c>
      <c r="AQ1877" s="3" t="s">
        <v>68</v>
      </c>
      <c r="AR1877" s="6" t="str">
        <f>HYPERLINK("http://catalog.hathitrust.org/Record/004350550","HathiTrust Record")</f>
        <v>HathiTrust Record</v>
      </c>
      <c r="AS1877" s="6" t="str">
        <f>HYPERLINK("https://creighton-primo.hosted.exlibrisgroup.com/primo-explore/search?tab=default_tab&amp;search_scope=EVERYTHING&amp;vid=01CRU&amp;lang=en_US&amp;offset=0&amp;query=any,contains,991004284619702656","Catalog Record")</f>
        <v>Catalog Record</v>
      </c>
      <c r="AT1877" s="6" t="str">
        <f>HYPERLINK("http://www.worldcat.org/oclc/52395979","WorldCat Record")</f>
        <v>WorldCat Record</v>
      </c>
      <c r="AU1877" s="3" t="s">
        <v>22976</v>
      </c>
      <c r="AV1877" s="3" t="s">
        <v>22977</v>
      </c>
      <c r="AW1877" s="3" t="s">
        <v>22978</v>
      </c>
      <c r="AX1877" s="3" t="s">
        <v>22978</v>
      </c>
      <c r="AY1877" s="3" t="s">
        <v>22979</v>
      </c>
      <c r="AZ1877" s="3" t="s">
        <v>73</v>
      </c>
      <c r="BB1877" s="3" t="s">
        <v>22980</v>
      </c>
      <c r="BC1877" s="3" t="s">
        <v>22981</v>
      </c>
      <c r="BD1877" s="3" t="s">
        <v>22982</v>
      </c>
    </row>
    <row r="1878" spans="1:56" ht="51" customHeight="1" x14ac:dyDescent="0.25">
      <c r="A1878" s="7" t="s">
        <v>58</v>
      </c>
      <c r="B1878" s="2" t="s">
        <v>22983</v>
      </c>
      <c r="C1878" s="2" t="s">
        <v>22984</v>
      </c>
      <c r="D1878" s="2" t="s">
        <v>22985</v>
      </c>
      <c r="F1878" s="3" t="s">
        <v>58</v>
      </c>
      <c r="G1878" s="3" t="s">
        <v>59</v>
      </c>
      <c r="H1878" s="3" t="s">
        <v>58</v>
      </c>
      <c r="I1878" s="3" t="s">
        <v>58</v>
      </c>
      <c r="J1878" s="3" t="s">
        <v>60</v>
      </c>
      <c r="L1878" s="2" t="s">
        <v>9595</v>
      </c>
      <c r="M1878" s="3" t="s">
        <v>1784</v>
      </c>
      <c r="O1878" s="3" t="s">
        <v>63</v>
      </c>
      <c r="P1878" s="3" t="s">
        <v>2630</v>
      </c>
      <c r="R1878" s="3" t="s">
        <v>65</v>
      </c>
      <c r="S1878" s="4">
        <v>3</v>
      </c>
      <c r="T1878" s="4">
        <v>3</v>
      </c>
      <c r="U1878" s="5" t="s">
        <v>22986</v>
      </c>
      <c r="V1878" s="5" t="s">
        <v>22986</v>
      </c>
      <c r="W1878" s="5" t="s">
        <v>20121</v>
      </c>
      <c r="X1878" s="5" t="s">
        <v>20121</v>
      </c>
      <c r="Y1878" s="4">
        <v>913</v>
      </c>
      <c r="Z1878" s="4">
        <v>763</v>
      </c>
      <c r="AA1878" s="4">
        <v>773</v>
      </c>
      <c r="AB1878" s="4">
        <v>5</v>
      </c>
      <c r="AC1878" s="4">
        <v>5</v>
      </c>
      <c r="AD1878" s="4">
        <v>22</v>
      </c>
      <c r="AE1878" s="4">
        <v>23</v>
      </c>
      <c r="AF1878" s="4">
        <v>9</v>
      </c>
      <c r="AG1878" s="4">
        <v>9</v>
      </c>
      <c r="AH1878" s="4">
        <v>4</v>
      </c>
      <c r="AI1878" s="4">
        <v>5</v>
      </c>
      <c r="AJ1878" s="4">
        <v>7</v>
      </c>
      <c r="AK1878" s="4">
        <v>8</v>
      </c>
      <c r="AL1878" s="4">
        <v>4</v>
      </c>
      <c r="AM1878" s="4">
        <v>4</v>
      </c>
      <c r="AN1878" s="4">
        <v>0</v>
      </c>
      <c r="AO1878" s="4">
        <v>0</v>
      </c>
      <c r="AP1878" s="3" t="s">
        <v>58</v>
      </c>
      <c r="AQ1878" s="3" t="s">
        <v>68</v>
      </c>
      <c r="AR1878" s="6" t="str">
        <f>HYPERLINK("http://catalog.hathitrust.org/Record/000256466","HathiTrust Record")</f>
        <v>HathiTrust Record</v>
      </c>
      <c r="AS1878" s="6" t="str">
        <f>HYPERLINK("https://creighton-primo.hosted.exlibrisgroup.com/primo-explore/search?tab=default_tab&amp;search_scope=EVERYTHING&amp;vid=01CRU&amp;lang=en_US&amp;offset=0&amp;query=any,contains,991004659759702656","Catalog Record")</f>
        <v>Catalog Record</v>
      </c>
      <c r="AT1878" s="6" t="str">
        <f>HYPERLINK("http://www.worldcat.org/oclc/4496454","WorldCat Record")</f>
        <v>WorldCat Record</v>
      </c>
      <c r="AU1878" s="3" t="s">
        <v>22987</v>
      </c>
      <c r="AV1878" s="3" t="s">
        <v>22988</v>
      </c>
      <c r="AW1878" s="3" t="s">
        <v>22989</v>
      </c>
      <c r="AX1878" s="3" t="s">
        <v>22989</v>
      </c>
      <c r="AY1878" s="3" t="s">
        <v>22990</v>
      </c>
      <c r="AZ1878" s="3" t="s">
        <v>73</v>
      </c>
      <c r="BB1878" s="3" t="s">
        <v>22991</v>
      </c>
      <c r="BC1878" s="3" t="s">
        <v>22992</v>
      </c>
      <c r="BD1878" s="3" t="s">
        <v>22993</v>
      </c>
    </row>
    <row r="1879" spans="1:56" ht="51" customHeight="1" x14ac:dyDescent="0.25">
      <c r="A1879" s="7" t="s">
        <v>58</v>
      </c>
      <c r="B1879" s="2" t="s">
        <v>22994</v>
      </c>
      <c r="C1879" s="2" t="s">
        <v>22995</v>
      </c>
      <c r="D1879" s="2" t="s">
        <v>22996</v>
      </c>
      <c r="F1879" s="3" t="s">
        <v>58</v>
      </c>
      <c r="G1879" s="3" t="s">
        <v>59</v>
      </c>
      <c r="H1879" s="3" t="s">
        <v>58</v>
      </c>
      <c r="I1879" s="3" t="s">
        <v>58</v>
      </c>
      <c r="J1879" s="3" t="s">
        <v>60</v>
      </c>
      <c r="K1879" s="2" t="s">
        <v>22997</v>
      </c>
      <c r="L1879" s="2" t="s">
        <v>22998</v>
      </c>
      <c r="M1879" s="3" t="s">
        <v>382</v>
      </c>
      <c r="O1879" s="3" t="s">
        <v>63</v>
      </c>
      <c r="P1879" s="3" t="s">
        <v>3109</v>
      </c>
      <c r="R1879" s="3" t="s">
        <v>65</v>
      </c>
      <c r="S1879" s="4">
        <v>1</v>
      </c>
      <c r="T1879" s="4">
        <v>1</v>
      </c>
      <c r="U1879" s="5" t="s">
        <v>4011</v>
      </c>
      <c r="V1879" s="5" t="s">
        <v>4011</v>
      </c>
      <c r="W1879" s="5" t="s">
        <v>4011</v>
      </c>
      <c r="X1879" s="5" t="s">
        <v>4011</v>
      </c>
      <c r="Y1879" s="4">
        <v>445</v>
      </c>
      <c r="Z1879" s="4">
        <v>385</v>
      </c>
      <c r="AA1879" s="4">
        <v>413</v>
      </c>
      <c r="AB1879" s="4">
        <v>3</v>
      </c>
      <c r="AC1879" s="4">
        <v>3</v>
      </c>
      <c r="AD1879" s="4">
        <v>20</v>
      </c>
      <c r="AE1879" s="4">
        <v>22</v>
      </c>
      <c r="AF1879" s="4">
        <v>5</v>
      </c>
      <c r="AG1879" s="4">
        <v>7</v>
      </c>
      <c r="AH1879" s="4">
        <v>6</v>
      </c>
      <c r="AI1879" s="4">
        <v>6</v>
      </c>
      <c r="AJ1879" s="4">
        <v>12</v>
      </c>
      <c r="AK1879" s="4">
        <v>14</v>
      </c>
      <c r="AL1879" s="4">
        <v>2</v>
      </c>
      <c r="AM1879" s="4">
        <v>2</v>
      </c>
      <c r="AN1879" s="4">
        <v>0</v>
      </c>
      <c r="AO1879" s="4">
        <v>0</v>
      </c>
      <c r="AP1879" s="3" t="s">
        <v>58</v>
      </c>
      <c r="AQ1879" s="3" t="s">
        <v>68</v>
      </c>
      <c r="AR1879" s="6" t="str">
        <f>HYPERLINK("http://catalog.hathitrust.org/Record/004053237","HathiTrust Record")</f>
        <v>HathiTrust Record</v>
      </c>
      <c r="AS1879" s="6" t="str">
        <f>HYPERLINK("https://creighton-primo.hosted.exlibrisgroup.com/primo-explore/search?tab=default_tab&amp;search_scope=EVERYTHING&amp;vid=01CRU&amp;lang=en_US&amp;offset=0&amp;query=any,contains,991003338389702656","Catalog Record")</f>
        <v>Catalog Record</v>
      </c>
      <c r="AT1879" s="6" t="str">
        <f>HYPERLINK("http://www.worldcat.org/oclc/40602867","WorldCat Record")</f>
        <v>WorldCat Record</v>
      </c>
      <c r="AU1879" s="3" t="s">
        <v>22999</v>
      </c>
      <c r="AV1879" s="3" t="s">
        <v>23000</v>
      </c>
      <c r="AW1879" s="3" t="s">
        <v>23001</v>
      </c>
      <c r="AX1879" s="3" t="s">
        <v>23001</v>
      </c>
      <c r="AY1879" s="3" t="s">
        <v>23002</v>
      </c>
      <c r="AZ1879" s="3" t="s">
        <v>73</v>
      </c>
      <c r="BB1879" s="3" t="s">
        <v>23003</v>
      </c>
      <c r="BC1879" s="3" t="s">
        <v>23004</v>
      </c>
      <c r="BD1879" s="3" t="s">
        <v>23005</v>
      </c>
    </row>
    <row r="1880" spans="1:56" ht="51" customHeight="1" x14ac:dyDescent="0.25">
      <c r="A1880" s="7" t="s">
        <v>58</v>
      </c>
      <c r="B1880" s="2" t="s">
        <v>23006</v>
      </c>
      <c r="C1880" s="2" t="s">
        <v>23007</v>
      </c>
      <c r="D1880" s="2" t="s">
        <v>23008</v>
      </c>
      <c r="E1880" s="3" t="s">
        <v>210</v>
      </c>
      <c r="F1880" s="3" t="s">
        <v>68</v>
      </c>
      <c r="G1880" s="3" t="s">
        <v>59</v>
      </c>
      <c r="H1880" s="3" t="s">
        <v>58</v>
      </c>
      <c r="I1880" s="3" t="s">
        <v>58</v>
      </c>
      <c r="J1880" s="3" t="s">
        <v>60</v>
      </c>
      <c r="L1880" s="2" t="s">
        <v>23009</v>
      </c>
      <c r="M1880" s="3" t="s">
        <v>249</v>
      </c>
      <c r="O1880" s="3" t="s">
        <v>63</v>
      </c>
      <c r="P1880" s="3" t="s">
        <v>214</v>
      </c>
      <c r="R1880" s="3" t="s">
        <v>65</v>
      </c>
      <c r="S1880" s="4">
        <v>4</v>
      </c>
      <c r="T1880" s="4">
        <v>6</v>
      </c>
      <c r="U1880" s="5" t="s">
        <v>2632</v>
      </c>
      <c r="V1880" s="5" t="s">
        <v>2632</v>
      </c>
      <c r="W1880" s="5" t="s">
        <v>9007</v>
      </c>
      <c r="X1880" s="5" t="s">
        <v>540</v>
      </c>
      <c r="Y1880" s="4">
        <v>190</v>
      </c>
      <c r="Z1880" s="4">
        <v>175</v>
      </c>
      <c r="AA1880" s="4">
        <v>180</v>
      </c>
      <c r="AB1880" s="4">
        <v>2</v>
      </c>
      <c r="AC1880" s="4">
        <v>2</v>
      </c>
      <c r="AD1880" s="4">
        <v>4</v>
      </c>
      <c r="AE1880" s="4">
        <v>4</v>
      </c>
      <c r="AF1880" s="4">
        <v>2</v>
      </c>
      <c r="AG1880" s="4">
        <v>2</v>
      </c>
      <c r="AH1880" s="4">
        <v>0</v>
      </c>
      <c r="AI1880" s="4">
        <v>0</v>
      </c>
      <c r="AJ1880" s="4">
        <v>3</v>
      </c>
      <c r="AK1880" s="4">
        <v>3</v>
      </c>
      <c r="AL1880" s="4">
        <v>0</v>
      </c>
      <c r="AM1880" s="4">
        <v>0</v>
      </c>
      <c r="AN1880" s="4">
        <v>0</v>
      </c>
      <c r="AO1880" s="4">
        <v>0</v>
      </c>
      <c r="AP1880" s="3" t="s">
        <v>58</v>
      </c>
      <c r="AQ1880" s="3" t="s">
        <v>58</v>
      </c>
      <c r="AS1880" s="6" t="str">
        <f>HYPERLINK("https://creighton-primo.hosted.exlibrisgroup.com/primo-explore/search?tab=default_tab&amp;search_scope=EVERYTHING&amp;vid=01CRU&amp;lang=en_US&amp;offset=0&amp;query=any,contains,991002719079702656","Catalog Record")</f>
        <v>Catalog Record</v>
      </c>
      <c r="AT1880" s="6" t="str">
        <f>HYPERLINK("http://www.worldcat.org/oclc/412110","WorldCat Record")</f>
        <v>WorldCat Record</v>
      </c>
      <c r="AU1880" s="3" t="s">
        <v>23010</v>
      </c>
      <c r="AV1880" s="3" t="s">
        <v>23011</v>
      </c>
      <c r="AW1880" s="3" t="s">
        <v>23012</v>
      </c>
      <c r="AX1880" s="3" t="s">
        <v>23012</v>
      </c>
      <c r="AY1880" s="3" t="s">
        <v>23013</v>
      </c>
      <c r="AZ1880" s="3" t="s">
        <v>73</v>
      </c>
      <c r="BC1880" s="3" t="s">
        <v>23014</v>
      </c>
      <c r="BD1880" s="3" t="s">
        <v>23015</v>
      </c>
    </row>
    <row r="1881" spans="1:56" ht="51" customHeight="1" x14ac:dyDescent="0.25">
      <c r="A1881" s="7" t="s">
        <v>58</v>
      </c>
      <c r="B1881" s="2" t="s">
        <v>23006</v>
      </c>
      <c r="C1881" s="2" t="s">
        <v>23007</v>
      </c>
      <c r="D1881" s="2" t="s">
        <v>23008</v>
      </c>
      <c r="E1881" s="3" t="s">
        <v>223</v>
      </c>
      <c r="F1881" s="3" t="s">
        <v>68</v>
      </c>
      <c r="G1881" s="3" t="s">
        <v>59</v>
      </c>
      <c r="H1881" s="3" t="s">
        <v>58</v>
      </c>
      <c r="I1881" s="3" t="s">
        <v>58</v>
      </c>
      <c r="J1881" s="3" t="s">
        <v>60</v>
      </c>
      <c r="L1881" s="2" t="s">
        <v>23009</v>
      </c>
      <c r="M1881" s="3" t="s">
        <v>249</v>
      </c>
      <c r="O1881" s="3" t="s">
        <v>63</v>
      </c>
      <c r="P1881" s="3" t="s">
        <v>214</v>
      </c>
      <c r="R1881" s="3" t="s">
        <v>65</v>
      </c>
      <c r="S1881" s="4">
        <v>2</v>
      </c>
      <c r="T1881" s="4">
        <v>6</v>
      </c>
      <c r="V1881" s="5" t="s">
        <v>2632</v>
      </c>
      <c r="W1881" s="5" t="s">
        <v>540</v>
      </c>
      <c r="X1881" s="5" t="s">
        <v>540</v>
      </c>
      <c r="Y1881" s="4">
        <v>190</v>
      </c>
      <c r="Z1881" s="4">
        <v>175</v>
      </c>
      <c r="AA1881" s="4">
        <v>180</v>
      </c>
      <c r="AB1881" s="4">
        <v>2</v>
      </c>
      <c r="AC1881" s="4">
        <v>2</v>
      </c>
      <c r="AD1881" s="4">
        <v>4</v>
      </c>
      <c r="AE1881" s="4">
        <v>4</v>
      </c>
      <c r="AF1881" s="4">
        <v>2</v>
      </c>
      <c r="AG1881" s="4">
        <v>2</v>
      </c>
      <c r="AH1881" s="4">
        <v>0</v>
      </c>
      <c r="AI1881" s="4">
        <v>0</v>
      </c>
      <c r="AJ1881" s="4">
        <v>3</v>
      </c>
      <c r="AK1881" s="4">
        <v>3</v>
      </c>
      <c r="AL1881" s="4">
        <v>0</v>
      </c>
      <c r="AM1881" s="4">
        <v>0</v>
      </c>
      <c r="AN1881" s="4">
        <v>0</v>
      </c>
      <c r="AO1881" s="4">
        <v>0</v>
      </c>
      <c r="AP1881" s="3" t="s">
        <v>58</v>
      </c>
      <c r="AQ1881" s="3" t="s">
        <v>58</v>
      </c>
      <c r="AS1881" s="6" t="str">
        <f>HYPERLINK("https://creighton-primo.hosted.exlibrisgroup.com/primo-explore/search?tab=default_tab&amp;search_scope=EVERYTHING&amp;vid=01CRU&amp;lang=en_US&amp;offset=0&amp;query=any,contains,991002719079702656","Catalog Record")</f>
        <v>Catalog Record</v>
      </c>
      <c r="AT1881" s="6" t="str">
        <f>HYPERLINK("http://www.worldcat.org/oclc/412110","WorldCat Record")</f>
        <v>WorldCat Record</v>
      </c>
      <c r="AU1881" s="3" t="s">
        <v>23010</v>
      </c>
      <c r="AV1881" s="3" t="s">
        <v>23011</v>
      </c>
      <c r="AW1881" s="3" t="s">
        <v>23012</v>
      </c>
      <c r="AX1881" s="3" t="s">
        <v>23012</v>
      </c>
      <c r="AY1881" s="3" t="s">
        <v>23013</v>
      </c>
      <c r="AZ1881" s="3" t="s">
        <v>73</v>
      </c>
      <c r="BC1881" s="3" t="s">
        <v>23016</v>
      </c>
      <c r="BD1881" s="3" t="s">
        <v>23017</v>
      </c>
    </row>
    <row r="1882" spans="1:56" ht="51" customHeight="1" x14ac:dyDescent="0.25">
      <c r="A1882" s="7" t="s">
        <v>58</v>
      </c>
      <c r="B1882" s="2" t="s">
        <v>23018</v>
      </c>
      <c r="C1882" s="2" t="s">
        <v>23019</v>
      </c>
      <c r="D1882" s="2" t="s">
        <v>23020</v>
      </c>
      <c r="E1882" s="3" t="s">
        <v>691</v>
      </c>
      <c r="F1882" s="3" t="s">
        <v>68</v>
      </c>
      <c r="G1882" s="3" t="s">
        <v>59</v>
      </c>
      <c r="H1882" s="3" t="s">
        <v>58</v>
      </c>
      <c r="I1882" s="3" t="s">
        <v>58</v>
      </c>
      <c r="J1882" s="3" t="s">
        <v>60</v>
      </c>
      <c r="K1882" s="2" t="s">
        <v>23021</v>
      </c>
      <c r="L1882" s="2" t="s">
        <v>23022</v>
      </c>
      <c r="M1882" s="3" t="s">
        <v>2295</v>
      </c>
      <c r="N1882" s="2" t="s">
        <v>23023</v>
      </c>
      <c r="O1882" s="3" t="s">
        <v>16605</v>
      </c>
      <c r="P1882" s="3" t="s">
        <v>23024</v>
      </c>
      <c r="Q1882" s="2" t="s">
        <v>23025</v>
      </c>
      <c r="R1882" s="3" t="s">
        <v>65</v>
      </c>
      <c r="S1882" s="4">
        <v>1</v>
      </c>
      <c r="T1882" s="4">
        <v>2</v>
      </c>
      <c r="U1882" s="5" t="s">
        <v>16608</v>
      </c>
      <c r="V1882" s="5" t="s">
        <v>16608</v>
      </c>
      <c r="W1882" s="5" t="s">
        <v>16608</v>
      </c>
      <c r="X1882" s="5" t="s">
        <v>16608</v>
      </c>
      <c r="Y1882" s="4">
        <v>6</v>
      </c>
      <c r="Z1882" s="4">
        <v>5</v>
      </c>
      <c r="AA1882" s="4">
        <v>10</v>
      </c>
      <c r="AB1882" s="4">
        <v>1</v>
      </c>
      <c r="AC1882" s="4">
        <v>1</v>
      </c>
      <c r="AD1882" s="4">
        <v>0</v>
      </c>
      <c r="AE1882" s="4">
        <v>0</v>
      </c>
      <c r="AF1882" s="4">
        <v>0</v>
      </c>
      <c r="AG1882" s="4">
        <v>0</v>
      </c>
      <c r="AH1882" s="4">
        <v>0</v>
      </c>
      <c r="AI1882" s="4">
        <v>0</v>
      </c>
      <c r="AJ1882" s="4">
        <v>0</v>
      </c>
      <c r="AK1882" s="4">
        <v>0</v>
      </c>
      <c r="AL1882" s="4">
        <v>0</v>
      </c>
      <c r="AM1882" s="4">
        <v>0</v>
      </c>
      <c r="AN1882" s="4">
        <v>0</v>
      </c>
      <c r="AO1882" s="4">
        <v>0</v>
      </c>
      <c r="AP1882" s="3" t="s">
        <v>58</v>
      </c>
      <c r="AQ1882" s="3" t="s">
        <v>58</v>
      </c>
      <c r="AS1882" s="6" t="str">
        <f>HYPERLINK("https://creighton-primo.hosted.exlibrisgroup.com/primo-explore/search?tab=default_tab&amp;search_scope=EVERYTHING&amp;vid=01CRU&amp;lang=en_US&amp;offset=0&amp;query=any,contains,991005074709702656","Catalog Record")</f>
        <v>Catalog Record</v>
      </c>
      <c r="AT1882" s="6" t="str">
        <f>HYPERLINK("http://www.worldcat.org/oclc/55501836","WorldCat Record")</f>
        <v>WorldCat Record</v>
      </c>
      <c r="AU1882" s="3" t="s">
        <v>23026</v>
      </c>
      <c r="AV1882" s="3" t="s">
        <v>23027</v>
      </c>
      <c r="AW1882" s="3" t="s">
        <v>23028</v>
      </c>
      <c r="AX1882" s="3" t="s">
        <v>23028</v>
      </c>
      <c r="AY1882" s="3" t="s">
        <v>23029</v>
      </c>
      <c r="AZ1882" s="3" t="s">
        <v>73</v>
      </c>
      <c r="BB1882" s="3" t="s">
        <v>23030</v>
      </c>
      <c r="BC1882" s="3" t="s">
        <v>23031</v>
      </c>
      <c r="BD1882" s="3" t="s">
        <v>23032</v>
      </c>
    </row>
    <row r="1883" spans="1:56" ht="51" customHeight="1" x14ac:dyDescent="0.25">
      <c r="A1883" s="7" t="s">
        <v>58</v>
      </c>
      <c r="B1883" s="2" t="s">
        <v>23018</v>
      </c>
      <c r="C1883" s="2" t="s">
        <v>23019</v>
      </c>
      <c r="D1883" s="2" t="s">
        <v>23020</v>
      </c>
      <c r="E1883" s="3" t="s">
        <v>1412</v>
      </c>
      <c r="F1883" s="3" t="s">
        <v>68</v>
      </c>
      <c r="G1883" s="3" t="s">
        <v>59</v>
      </c>
      <c r="H1883" s="3" t="s">
        <v>58</v>
      </c>
      <c r="I1883" s="3" t="s">
        <v>58</v>
      </c>
      <c r="J1883" s="3" t="s">
        <v>60</v>
      </c>
      <c r="K1883" s="2" t="s">
        <v>23021</v>
      </c>
      <c r="L1883" s="2" t="s">
        <v>23022</v>
      </c>
      <c r="M1883" s="3" t="s">
        <v>2295</v>
      </c>
      <c r="N1883" s="2" t="s">
        <v>23023</v>
      </c>
      <c r="O1883" s="3" t="s">
        <v>16605</v>
      </c>
      <c r="P1883" s="3" t="s">
        <v>23024</v>
      </c>
      <c r="Q1883" s="2" t="s">
        <v>23025</v>
      </c>
      <c r="R1883" s="3" t="s">
        <v>65</v>
      </c>
      <c r="S1883" s="4">
        <v>1</v>
      </c>
      <c r="T1883" s="4">
        <v>2</v>
      </c>
      <c r="U1883" s="5" t="s">
        <v>16608</v>
      </c>
      <c r="V1883" s="5" t="s">
        <v>16608</v>
      </c>
      <c r="W1883" s="5" t="s">
        <v>16608</v>
      </c>
      <c r="X1883" s="5" t="s">
        <v>16608</v>
      </c>
      <c r="Y1883" s="4">
        <v>6</v>
      </c>
      <c r="Z1883" s="4">
        <v>5</v>
      </c>
      <c r="AA1883" s="4">
        <v>10</v>
      </c>
      <c r="AB1883" s="4">
        <v>1</v>
      </c>
      <c r="AC1883" s="4">
        <v>1</v>
      </c>
      <c r="AD1883" s="4">
        <v>0</v>
      </c>
      <c r="AE1883" s="4">
        <v>0</v>
      </c>
      <c r="AF1883" s="4">
        <v>0</v>
      </c>
      <c r="AG1883" s="4">
        <v>0</v>
      </c>
      <c r="AH1883" s="4">
        <v>0</v>
      </c>
      <c r="AI1883" s="4">
        <v>0</v>
      </c>
      <c r="AJ1883" s="4">
        <v>0</v>
      </c>
      <c r="AK1883" s="4">
        <v>0</v>
      </c>
      <c r="AL1883" s="4">
        <v>0</v>
      </c>
      <c r="AM1883" s="4">
        <v>0</v>
      </c>
      <c r="AN1883" s="4">
        <v>0</v>
      </c>
      <c r="AO1883" s="4">
        <v>0</v>
      </c>
      <c r="AP1883" s="3" t="s">
        <v>58</v>
      </c>
      <c r="AQ1883" s="3" t="s">
        <v>58</v>
      </c>
      <c r="AS1883" s="6" t="str">
        <f>HYPERLINK("https://creighton-primo.hosted.exlibrisgroup.com/primo-explore/search?tab=default_tab&amp;search_scope=EVERYTHING&amp;vid=01CRU&amp;lang=en_US&amp;offset=0&amp;query=any,contains,991005074709702656","Catalog Record")</f>
        <v>Catalog Record</v>
      </c>
      <c r="AT1883" s="6" t="str">
        <f>HYPERLINK("http://www.worldcat.org/oclc/55501836","WorldCat Record")</f>
        <v>WorldCat Record</v>
      </c>
      <c r="AU1883" s="3" t="s">
        <v>23026</v>
      </c>
      <c r="AV1883" s="3" t="s">
        <v>23027</v>
      </c>
      <c r="AW1883" s="3" t="s">
        <v>23028</v>
      </c>
      <c r="AX1883" s="3" t="s">
        <v>23028</v>
      </c>
      <c r="AY1883" s="3" t="s">
        <v>23029</v>
      </c>
      <c r="AZ1883" s="3" t="s">
        <v>73</v>
      </c>
      <c r="BB1883" s="3" t="s">
        <v>23030</v>
      </c>
      <c r="BC1883" s="3" t="s">
        <v>23033</v>
      </c>
      <c r="BD1883" s="3" t="s">
        <v>23034</v>
      </c>
    </row>
    <row r="1884" spans="1:56" ht="51" customHeight="1" x14ac:dyDescent="0.25">
      <c r="A1884" s="7" t="s">
        <v>58</v>
      </c>
      <c r="B1884" s="2" t="s">
        <v>23035</v>
      </c>
      <c r="C1884" s="2" t="s">
        <v>23036</v>
      </c>
      <c r="D1884" s="2" t="s">
        <v>23037</v>
      </c>
      <c r="F1884" s="3" t="s">
        <v>58</v>
      </c>
      <c r="G1884" s="3" t="s">
        <v>59</v>
      </c>
      <c r="H1884" s="3" t="s">
        <v>58</v>
      </c>
      <c r="I1884" s="3" t="s">
        <v>58</v>
      </c>
      <c r="J1884" s="3" t="s">
        <v>60</v>
      </c>
      <c r="K1884" s="2" t="s">
        <v>23038</v>
      </c>
      <c r="L1884" s="2" t="s">
        <v>23039</v>
      </c>
      <c r="M1884" s="3" t="s">
        <v>855</v>
      </c>
      <c r="O1884" s="3" t="s">
        <v>63</v>
      </c>
      <c r="P1884" s="3" t="s">
        <v>584</v>
      </c>
      <c r="Q1884" s="2" t="s">
        <v>23040</v>
      </c>
      <c r="R1884" s="3" t="s">
        <v>65</v>
      </c>
      <c r="S1884" s="4">
        <v>6</v>
      </c>
      <c r="T1884" s="4">
        <v>6</v>
      </c>
      <c r="U1884" s="5" t="s">
        <v>11209</v>
      </c>
      <c r="V1884" s="5" t="s">
        <v>11209</v>
      </c>
      <c r="W1884" s="5" t="s">
        <v>13790</v>
      </c>
      <c r="X1884" s="5" t="s">
        <v>13790</v>
      </c>
      <c r="Y1884" s="4">
        <v>467</v>
      </c>
      <c r="Z1884" s="4">
        <v>320</v>
      </c>
      <c r="AA1884" s="4">
        <v>350</v>
      </c>
      <c r="AB1884" s="4">
        <v>4</v>
      </c>
      <c r="AC1884" s="4">
        <v>4</v>
      </c>
      <c r="AD1884" s="4">
        <v>19</v>
      </c>
      <c r="AE1884" s="4">
        <v>20</v>
      </c>
      <c r="AF1884" s="4">
        <v>6</v>
      </c>
      <c r="AG1884" s="4">
        <v>7</v>
      </c>
      <c r="AH1884" s="4">
        <v>5</v>
      </c>
      <c r="AI1884" s="4">
        <v>5</v>
      </c>
      <c r="AJ1884" s="4">
        <v>9</v>
      </c>
      <c r="AK1884" s="4">
        <v>10</v>
      </c>
      <c r="AL1884" s="4">
        <v>3</v>
      </c>
      <c r="AM1884" s="4">
        <v>3</v>
      </c>
      <c r="AN1884" s="4">
        <v>0</v>
      </c>
      <c r="AO1884" s="4">
        <v>0</v>
      </c>
      <c r="AP1884" s="3" t="s">
        <v>58</v>
      </c>
      <c r="AQ1884" s="3" t="s">
        <v>58</v>
      </c>
      <c r="AS1884" s="6" t="str">
        <f>HYPERLINK("https://creighton-primo.hosted.exlibrisgroup.com/primo-explore/search?tab=default_tab&amp;search_scope=EVERYTHING&amp;vid=01CRU&amp;lang=en_US&amp;offset=0&amp;query=any,contains,991002031699702656","Catalog Record")</f>
        <v>Catalog Record</v>
      </c>
      <c r="AT1884" s="6" t="str">
        <f>HYPERLINK("http://www.worldcat.org/oclc/25872550","WorldCat Record")</f>
        <v>WorldCat Record</v>
      </c>
      <c r="AU1884" s="3" t="s">
        <v>23041</v>
      </c>
      <c r="AV1884" s="3" t="s">
        <v>23042</v>
      </c>
      <c r="AW1884" s="3" t="s">
        <v>23043</v>
      </c>
      <c r="AX1884" s="3" t="s">
        <v>23043</v>
      </c>
      <c r="AY1884" s="3" t="s">
        <v>23044</v>
      </c>
      <c r="AZ1884" s="3" t="s">
        <v>73</v>
      </c>
      <c r="BB1884" s="3" t="s">
        <v>23045</v>
      </c>
      <c r="BC1884" s="3" t="s">
        <v>23046</v>
      </c>
      <c r="BD1884" s="3" t="s">
        <v>23047</v>
      </c>
    </row>
    <row r="1885" spans="1:56" ht="51" customHeight="1" x14ac:dyDescent="0.25">
      <c r="A1885" s="7" t="s">
        <v>58</v>
      </c>
      <c r="B1885" s="2" t="s">
        <v>23048</v>
      </c>
      <c r="C1885" s="2" t="s">
        <v>23049</v>
      </c>
      <c r="D1885" s="2" t="s">
        <v>23050</v>
      </c>
      <c r="F1885" s="3" t="s">
        <v>58</v>
      </c>
      <c r="G1885" s="3" t="s">
        <v>59</v>
      </c>
      <c r="H1885" s="3" t="s">
        <v>58</v>
      </c>
      <c r="I1885" s="3" t="s">
        <v>58</v>
      </c>
      <c r="J1885" s="3" t="s">
        <v>60</v>
      </c>
      <c r="K1885" s="2" t="s">
        <v>23051</v>
      </c>
      <c r="L1885" s="2" t="s">
        <v>20938</v>
      </c>
      <c r="M1885" s="3" t="s">
        <v>653</v>
      </c>
      <c r="O1885" s="3" t="s">
        <v>63</v>
      </c>
      <c r="P1885" s="3" t="s">
        <v>2630</v>
      </c>
      <c r="R1885" s="3" t="s">
        <v>65</v>
      </c>
      <c r="S1885" s="4">
        <v>11</v>
      </c>
      <c r="T1885" s="4">
        <v>11</v>
      </c>
      <c r="U1885" s="5" t="s">
        <v>11209</v>
      </c>
      <c r="V1885" s="5" t="s">
        <v>11209</v>
      </c>
      <c r="W1885" s="5" t="s">
        <v>23052</v>
      </c>
      <c r="X1885" s="5" t="s">
        <v>23052</v>
      </c>
      <c r="Y1885" s="4">
        <v>427</v>
      </c>
      <c r="Z1885" s="4">
        <v>329</v>
      </c>
      <c r="AA1885" s="4">
        <v>335</v>
      </c>
      <c r="AB1885" s="4">
        <v>5</v>
      </c>
      <c r="AC1885" s="4">
        <v>5</v>
      </c>
      <c r="AD1885" s="4">
        <v>15</v>
      </c>
      <c r="AE1885" s="4">
        <v>15</v>
      </c>
      <c r="AF1885" s="4">
        <v>4</v>
      </c>
      <c r="AG1885" s="4">
        <v>4</v>
      </c>
      <c r="AH1885" s="4">
        <v>4</v>
      </c>
      <c r="AI1885" s="4">
        <v>4</v>
      </c>
      <c r="AJ1885" s="4">
        <v>6</v>
      </c>
      <c r="AK1885" s="4">
        <v>6</v>
      </c>
      <c r="AL1885" s="4">
        <v>4</v>
      </c>
      <c r="AM1885" s="4">
        <v>4</v>
      </c>
      <c r="AN1885" s="4">
        <v>0</v>
      </c>
      <c r="AO1885" s="4">
        <v>0</v>
      </c>
      <c r="AP1885" s="3" t="s">
        <v>58</v>
      </c>
      <c r="AQ1885" s="3" t="s">
        <v>68</v>
      </c>
      <c r="AR1885" s="6" t="str">
        <f>HYPERLINK("http://catalog.hathitrust.org/Record/002439501","HathiTrust Record")</f>
        <v>HathiTrust Record</v>
      </c>
      <c r="AS1885" s="6" t="str">
        <f>HYPERLINK("https://creighton-primo.hosted.exlibrisgroup.com/primo-explore/search?tab=default_tab&amp;search_scope=EVERYTHING&amp;vid=01CRU&amp;lang=en_US&amp;offset=0&amp;query=any,contains,991001773009702656","Catalog Record")</f>
        <v>Catalog Record</v>
      </c>
      <c r="AT1885" s="6" t="str">
        <f>HYPERLINK("http://www.worldcat.org/oclc/22386903","WorldCat Record")</f>
        <v>WorldCat Record</v>
      </c>
      <c r="AU1885" s="3" t="s">
        <v>23053</v>
      </c>
      <c r="AV1885" s="3" t="s">
        <v>23054</v>
      </c>
      <c r="AW1885" s="3" t="s">
        <v>23055</v>
      </c>
      <c r="AX1885" s="3" t="s">
        <v>23055</v>
      </c>
      <c r="AY1885" s="3" t="s">
        <v>23056</v>
      </c>
      <c r="AZ1885" s="3" t="s">
        <v>73</v>
      </c>
      <c r="BB1885" s="3" t="s">
        <v>23057</v>
      </c>
      <c r="BC1885" s="3" t="s">
        <v>23058</v>
      </c>
      <c r="BD1885" s="3" t="s">
        <v>23059</v>
      </c>
    </row>
    <row r="1886" spans="1:56" ht="51" customHeight="1" x14ac:dyDescent="0.25">
      <c r="A1886" s="7" t="s">
        <v>58</v>
      </c>
      <c r="B1886" s="2" t="s">
        <v>23060</v>
      </c>
      <c r="C1886" s="2" t="s">
        <v>23061</v>
      </c>
      <c r="D1886" s="2" t="s">
        <v>23062</v>
      </c>
      <c r="E1886" s="3" t="s">
        <v>210</v>
      </c>
      <c r="F1886" s="3" t="s">
        <v>68</v>
      </c>
      <c r="G1886" s="3" t="s">
        <v>59</v>
      </c>
      <c r="H1886" s="3" t="s">
        <v>58</v>
      </c>
      <c r="I1886" s="3" t="s">
        <v>58</v>
      </c>
      <c r="J1886" s="3" t="s">
        <v>60</v>
      </c>
      <c r="K1886" s="2" t="s">
        <v>23063</v>
      </c>
      <c r="L1886" s="2" t="s">
        <v>23064</v>
      </c>
      <c r="M1886" s="3" t="s">
        <v>996</v>
      </c>
      <c r="O1886" s="3" t="s">
        <v>63</v>
      </c>
      <c r="P1886" s="3" t="s">
        <v>16203</v>
      </c>
      <c r="R1886" s="3" t="s">
        <v>65</v>
      </c>
      <c r="S1886" s="4">
        <v>2</v>
      </c>
      <c r="T1886" s="4">
        <v>4</v>
      </c>
      <c r="U1886" s="5" t="s">
        <v>23065</v>
      </c>
      <c r="V1886" s="5" t="s">
        <v>23065</v>
      </c>
      <c r="W1886" s="5" t="s">
        <v>17547</v>
      </c>
      <c r="X1886" s="5" t="s">
        <v>17547</v>
      </c>
      <c r="Y1886" s="4">
        <v>106</v>
      </c>
      <c r="Z1886" s="4">
        <v>85</v>
      </c>
      <c r="AA1886" s="4">
        <v>369</v>
      </c>
      <c r="AB1886" s="4">
        <v>2</v>
      </c>
      <c r="AC1886" s="4">
        <v>3</v>
      </c>
      <c r="AD1886" s="4">
        <v>2</v>
      </c>
      <c r="AE1886" s="4">
        <v>21</v>
      </c>
      <c r="AF1886" s="4">
        <v>0</v>
      </c>
      <c r="AG1886" s="4">
        <v>6</v>
      </c>
      <c r="AH1886" s="4">
        <v>1</v>
      </c>
      <c r="AI1886" s="4">
        <v>7</v>
      </c>
      <c r="AJ1886" s="4">
        <v>0</v>
      </c>
      <c r="AK1886" s="4">
        <v>11</v>
      </c>
      <c r="AL1886" s="4">
        <v>1</v>
      </c>
      <c r="AM1886" s="4">
        <v>2</v>
      </c>
      <c r="AN1886" s="4">
        <v>0</v>
      </c>
      <c r="AO1886" s="4">
        <v>0</v>
      </c>
      <c r="AP1886" s="3" t="s">
        <v>58</v>
      </c>
      <c r="AQ1886" s="3" t="s">
        <v>68</v>
      </c>
      <c r="AR1886" s="6" t="str">
        <f>HYPERLINK("http://catalog.hathitrust.org/Record/100783755","HathiTrust Record")</f>
        <v>HathiTrust Record</v>
      </c>
      <c r="AS1886" s="6" t="str">
        <f>HYPERLINK("https://creighton-primo.hosted.exlibrisgroup.com/primo-explore/search?tab=default_tab&amp;search_scope=EVERYTHING&amp;vid=01CRU&amp;lang=en_US&amp;offset=0&amp;query=any,contains,991003271069702656","Catalog Record")</f>
        <v>Catalog Record</v>
      </c>
      <c r="AT1886" s="6" t="str">
        <f>HYPERLINK("http://www.worldcat.org/oclc/796857","WorldCat Record")</f>
        <v>WorldCat Record</v>
      </c>
      <c r="AU1886" s="3" t="s">
        <v>23066</v>
      </c>
      <c r="AV1886" s="3" t="s">
        <v>23067</v>
      </c>
      <c r="AW1886" s="3" t="s">
        <v>23068</v>
      </c>
      <c r="AX1886" s="3" t="s">
        <v>23068</v>
      </c>
      <c r="AY1886" s="3" t="s">
        <v>23069</v>
      </c>
      <c r="AZ1886" s="3" t="s">
        <v>73</v>
      </c>
      <c r="BB1886" s="3" t="s">
        <v>23070</v>
      </c>
      <c r="BC1886" s="3" t="s">
        <v>23071</v>
      </c>
      <c r="BD1886" s="3" t="s">
        <v>23072</v>
      </c>
    </row>
    <row r="1887" spans="1:56" ht="51" customHeight="1" x14ac:dyDescent="0.25">
      <c r="A1887" s="7" t="s">
        <v>58</v>
      </c>
      <c r="B1887" s="2" t="s">
        <v>23060</v>
      </c>
      <c r="C1887" s="2" t="s">
        <v>23061</v>
      </c>
      <c r="D1887" s="2" t="s">
        <v>23062</v>
      </c>
      <c r="E1887" s="3" t="s">
        <v>223</v>
      </c>
      <c r="F1887" s="3" t="s">
        <v>68</v>
      </c>
      <c r="G1887" s="3" t="s">
        <v>59</v>
      </c>
      <c r="H1887" s="3" t="s">
        <v>58</v>
      </c>
      <c r="I1887" s="3" t="s">
        <v>58</v>
      </c>
      <c r="J1887" s="3" t="s">
        <v>60</v>
      </c>
      <c r="K1887" s="2" t="s">
        <v>23063</v>
      </c>
      <c r="L1887" s="2" t="s">
        <v>23064</v>
      </c>
      <c r="M1887" s="3" t="s">
        <v>996</v>
      </c>
      <c r="O1887" s="3" t="s">
        <v>63</v>
      </c>
      <c r="P1887" s="3" t="s">
        <v>16203</v>
      </c>
      <c r="R1887" s="3" t="s">
        <v>65</v>
      </c>
      <c r="S1887" s="4">
        <v>2</v>
      </c>
      <c r="T1887" s="4">
        <v>4</v>
      </c>
      <c r="U1887" s="5" t="s">
        <v>23065</v>
      </c>
      <c r="V1887" s="5" t="s">
        <v>23065</v>
      </c>
      <c r="W1887" s="5" t="s">
        <v>17547</v>
      </c>
      <c r="X1887" s="5" t="s">
        <v>17547</v>
      </c>
      <c r="Y1887" s="4">
        <v>106</v>
      </c>
      <c r="Z1887" s="4">
        <v>85</v>
      </c>
      <c r="AA1887" s="4">
        <v>369</v>
      </c>
      <c r="AB1887" s="4">
        <v>2</v>
      </c>
      <c r="AC1887" s="4">
        <v>3</v>
      </c>
      <c r="AD1887" s="4">
        <v>2</v>
      </c>
      <c r="AE1887" s="4">
        <v>21</v>
      </c>
      <c r="AF1887" s="4">
        <v>0</v>
      </c>
      <c r="AG1887" s="4">
        <v>6</v>
      </c>
      <c r="AH1887" s="4">
        <v>1</v>
      </c>
      <c r="AI1887" s="4">
        <v>7</v>
      </c>
      <c r="AJ1887" s="4">
        <v>0</v>
      </c>
      <c r="AK1887" s="4">
        <v>11</v>
      </c>
      <c r="AL1887" s="4">
        <v>1</v>
      </c>
      <c r="AM1887" s="4">
        <v>2</v>
      </c>
      <c r="AN1887" s="4">
        <v>0</v>
      </c>
      <c r="AO1887" s="4">
        <v>0</v>
      </c>
      <c r="AP1887" s="3" t="s">
        <v>58</v>
      </c>
      <c r="AQ1887" s="3" t="s">
        <v>68</v>
      </c>
      <c r="AR1887" s="6" t="str">
        <f>HYPERLINK("http://catalog.hathitrust.org/Record/100783755","HathiTrust Record")</f>
        <v>HathiTrust Record</v>
      </c>
      <c r="AS1887" s="6" t="str">
        <f>HYPERLINK("https://creighton-primo.hosted.exlibrisgroup.com/primo-explore/search?tab=default_tab&amp;search_scope=EVERYTHING&amp;vid=01CRU&amp;lang=en_US&amp;offset=0&amp;query=any,contains,991003271069702656","Catalog Record")</f>
        <v>Catalog Record</v>
      </c>
      <c r="AT1887" s="6" t="str">
        <f>HYPERLINK("http://www.worldcat.org/oclc/796857","WorldCat Record")</f>
        <v>WorldCat Record</v>
      </c>
      <c r="AU1887" s="3" t="s">
        <v>23066</v>
      </c>
      <c r="AV1887" s="3" t="s">
        <v>23067</v>
      </c>
      <c r="AW1887" s="3" t="s">
        <v>23068</v>
      </c>
      <c r="AX1887" s="3" t="s">
        <v>23068</v>
      </c>
      <c r="AY1887" s="3" t="s">
        <v>23069</v>
      </c>
      <c r="AZ1887" s="3" t="s">
        <v>73</v>
      </c>
      <c r="BB1887" s="3" t="s">
        <v>23070</v>
      </c>
      <c r="BC1887" s="3" t="s">
        <v>23073</v>
      </c>
      <c r="BD1887" s="3" t="s">
        <v>23074</v>
      </c>
    </row>
    <row r="1888" spans="1:56" ht="51" customHeight="1" x14ac:dyDescent="0.25">
      <c r="A1888" s="7" t="s">
        <v>58</v>
      </c>
      <c r="B1888" s="2" t="s">
        <v>23075</v>
      </c>
      <c r="C1888" s="2" t="s">
        <v>23076</v>
      </c>
      <c r="D1888" s="2" t="s">
        <v>23077</v>
      </c>
      <c r="F1888" s="3" t="s">
        <v>58</v>
      </c>
      <c r="G1888" s="3" t="s">
        <v>59</v>
      </c>
      <c r="H1888" s="3" t="s">
        <v>58</v>
      </c>
      <c r="I1888" s="3" t="s">
        <v>58</v>
      </c>
      <c r="J1888" s="3" t="s">
        <v>60</v>
      </c>
      <c r="K1888" s="2" t="s">
        <v>23078</v>
      </c>
      <c r="L1888" s="2" t="s">
        <v>23079</v>
      </c>
      <c r="M1888" s="3" t="s">
        <v>196</v>
      </c>
      <c r="O1888" s="3" t="s">
        <v>63</v>
      </c>
      <c r="P1888" s="3" t="s">
        <v>2061</v>
      </c>
      <c r="R1888" s="3" t="s">
        <v>65</v>
      </c>
      <c r="S1888" s="4">
        <v>2</v>
      </c>
      <c r="T1888" s="4">
        <v>2</v>
      </c>
      <c r="U1888" s="5" t="s">
        <v>9424</v>
      </c>
      <c r="V1888" s="5" t="s">
        <v>9424</v>
      </c>
      <c r="W1888" s="5" t="s">
        <v>18245</v>
      </c>
      <c r="X1888" s="5" t="s">
        <v>18245</v>
      </c>
      <c r="Y1888" s="4">
        <v>324</v>
      </c>
      <c r="Z1888" s="4">
        <v>233</v>
      </c>
      <c r="AA1888" s="4">
        <v>233</v>
      </c>
      <c r="AB1888" s="4">
        <v>3</v>
      </c>
      <c r="AC1888" s="4">
        <v>3</v>
      </c>
      <c r="AD1888" s="4">
        <v>13</v>
      </c>
      <c r="AE1888" s="4">
        <v>13</v>
      </c>
      <c r="AF1888" s="4">
        <v>2</v>
      </c>
      <c r="AG1888" s="4">
        <v>2</v>
      </c>
      <c r="AH1888" s="4">
        <v>6</v>
      </c>
      <c r="AI1888" s="4">
        <v>6</v>
      </c>
      <c r="AJ1888" s="4">
        <v>6</v>
      </c>
      <c r="AK1888" s="4">
        <v>6</v>
      </c>
      <c r="AL1888" s="4">
        <v>2</v>
      </c>
      <c r="AM1888" s="4">
        <v>2</v>
      </c>
      <c r="AN1888" s="4">
        <v>0</v>
      </c>
      <c r="AO1888" s="4">
        <v>0</v>
      </c>
      <c r="AP1888" s="3" t="s">
        <v>58</v>
      </c>
      <c r="AQ1888" s="3" t="s">
        <v>58</v>
      </c>
      <c r="AS1888" s="6" t="str">
        <f>HYPERLINK("https://creighton-primo.hosted.exlibrisgroup.com/primo-explore/search?tab=default_tab&amp;search_scope=EVERYTHING&amp;vid=01CRU&amp;lang=en_US&amp;offset=0&amp;query=any,contains,991002509609702656","Catalog Record")</f>
        <v>Catalog Record</v>
      </c>
      <c r="AT1888" s="6" t="str">
        <f>HYPERLINK("http://www.worldcat.org/oclc/32626862","WorldCat Record")</f>
        <v>WorldCat Record</v>
      </c>
      <c r="AU1888" s="3" t="s">
        <v>23080</v>
      </c>
      <c r="AV1888" s="3" t="s">
        <v>23081</v>
      </c>
      <c r="AW1888" s="3" t="s">
        <v>23082</v>
      </c>
      <c r="AX1888" s="3" t="s">
        <v>23082</v>
      </c>
      <c r="AY1888" s="3" t="s">
        <v>23083</v>
      </c>
      <c r="AZ1888" s="3" t="s">
        <v>73</v>
      </c>
      <c r="BB1888" s="3" t="s">
        <v>23084</v>
      </c>
      <c r="BC1888" s="3" t="s">
        <v>23085</v>
      </c>
      <c r="BD1888" s="3" t="s">
        <v>23086</v>
      </c>
    </row>
    <row r="1889" spans="1:56" ht="51" customHeight="1" x14ac:dyDescent="0.25">
      <c r="A1889" s="7" t="s">
        <v>58</v>
      </c>
      <c r="B1889" s="2" t="s">
        <v>23087</v>
      </c>
      <c r="C1889" s="2" t="s">
        <v>23088</v>
      </c>
      <c r="D1889" s="2" t="s">
        <v>23089</v>
      </c>
      <c r="F1889" s="3" t="s">
        <v>58</v>
      </c>
      <c r="G1889" s="3" t="s">
        <v>59</v>
      </c>
      <c r="H1889" s="3" t="s">
        <v>58</v>
      </c>
      <c r="I1889" s="3" t="s">
        <v>58</v>
      </c>
      <c r="J1889" s="3" t="s">
        <v>60</v>
      </c>
      <c r="K1889" s="2" t="s">
        <v>23090</v>
      </c>
      <c r="L1889" s="2" t="s">
        <v>23064</v>
      </c>
      <c r="M1889" s="3" t="s">
        <v>996</v>
      </c>
      <c r="O1889" s="3" t="s">
        <v>63</v>
      </c>
      <c r="P1889" s="3" t="s">
        <v>16203</v>
      </c>
      <c r="R1889" s="3" t="s">
        <v>65</v>
      </c>
      <c r="S1889" s="4">
        <v>3</v>
      </c>
      <c r="T1889" s="4">
        <v>3</v>
      </c>
      <c r="U1889" s="5" t="s">
        <v>22788</v>
      </c>
      <c r="V1889" s="5" t="s">
        <v>22788</v>
      </c>
      <c r="W1889" s="5" t="s">
        <v>17547</v>
      </c>
      <c r="X1889" s="5" t="s">
        <v>17547</v>
      </c>
      <c r="Y1889" s="4">
        <v>77</v>
      </c>
      <c r="Z1889" s="4">
        <v>70</v>
      </c>
      <c r="AA1889" s="4">
        <v>129</v>
      </c>
      <c r="AB1889" s="4">
        <v>1</v>
      </c>
      <c r="AC1889" s="4">
        <v>1</v>
      </c>
      <c r="AD1889" s="4">
        <v>2</v>
      </c>
      <c r="AE1889" s="4">
        <v>6</v>
      </c>
      <c r="AF1889" s="4">
        <v>0</v>
      </c>
      <c r="AG1889" s="4">
        <v>1</v>
      </c>
      <c r="AH1889" s="4">
        <v>2</v>
      </c>
      <c r="AI1889" s="4">
        <v>3</v>
      </c>
      <c r="AJ1889" s="4">
        <v>1</v>
      </c>
      <c r="AK1889" s="4">
        <v>4</v>
      </c>
      <c r="AL1889" s="4">
        <v>0</v>
      </c>
      <c r="AM1889" s="4">
        <v>0</v>
      </c>
      <c r="AN1889" s="4">
        <v>0</v>
      </c>
      <c r="AO1889" s="4">
        <v>0</v>
      </c>
      <c r="AP1889" s="3" t="s">
        <v>58</v>
      </c>
      <c r="AQ1889" s="3" t="s">
        <v>68</v>
      </c>
      <c r="AR1889" s="6" t="str">
        <f>HYPERLINK("http://catalog.hathitrust.org/Record/012503526","HathiTrust Record")</f>
        <v>HathiTrust Record</v>
      </c>
      <c r="AS1889" s="6" t="str">
        <f>HYPERLINK("https://creighton-primo.hosted.exlibrisgroup.com/primo-explore/search?tab=default_tab&amp;search_scope=EVERYTHING&amp;vid=01CRU&amp;lang=en_US&amp;offset=0&amp;query=any,contains,991004202529702656","Catalog Record")</f>
        <v>Catalog Record</v>
      </c>
      <c r="AT1889" s="6" t="str">
        <f>HYPERLINK("http://www.worldcat.org/oclc/2656172","WorldCat Record")</f>
        <v>WorldCat Record</v>
      </c>
      <c r="AU1889" s="3" t="s">
        <v>23091</v>
      </c>
      <c r="AV1889" s="3" t="s">
        <v>23092</v>
      </c>
      <c r="AW1889" s="3" t="s">
        <v>23093</v>
      </c>
      <c r="AX1889" s="3" t="s">
        <v>23093</v>
      </c>
      <c r="AY1889" s="3" t="s">
        <v>23094</v>
      </c>
      <c r="AZ1889" s="3" t="s">
        <v>73</v>
      </c>
      <c r="BB1889" s="3" t="s">
        <v>23095</v>
      </c>
      <c r="BC1889" s="3" t="s">
        <v>23096</v>
      </c>
      <c r="BD1889" s="3" t="s">
        <v>23097</v>
      </c>
    </row>
    <row r="1890" spans="1:56" ht="51" customHeight="1" x14ac:dyDescent="0.25">
      <c r="A1890" s="7" t="s">
        <v>58</v>
      </c>
      <c r="B1890" s="2" t="s">
        <v>23098</v>
      </c>
      <c r="C1890" s="2" t="s">
        <v>23099</v>
      </c>
      <c r="D1890" s="2" t="s">
        <v>23100</v>
      </c>
      <c r="F1890" s="3" t="s">
        <v>58</v>
      </c>
      <c r="G1890" s="3" t="s">
        <v>59</v>
      </c>
      <c r="H1890" s="3" t="s">
        <v>58</v>
      </c>
      <c r="I1890" s="3" t="s">
        <v>58</v>
      </c>
      <c r="J1890" s="3" t="s">
        <v>60</v>
      </c>
      <c r="K1890" s="2" t="s">
        <v>23101</v>
      </c>
      <c r="L1890" s="2" t="s">
        <v>23102</v>
      </c>
      <c r="M1890" s="3" t="s">
        <v>1153</v>
      </c>
      <c r="O1890" s="3" t="s">
        <v>63</v>
      </c>
      <c r="P1890" s="3" t="s">
        <v>16203</v>
      </c>
      <c r="R1890" s="3" t="s">
        <v>65</v>
      </c>
      <c r="S1890" s="4">
        <v>4</v>
      </c>
      <c r="T1890" s="4">
        <v>4</v>
      </c>
      <c r="U1890" s="5" t="s">
        <v>23103</v>
      </c>
      <c r="V1890" s="5" t="s">
        <v>23103</v>
      </c>
      <c r="W1890" s="5" t="s">
        <v>2034</v>
      </c>
      <c r="X1890" s="5" t="s">
        <v>2034</v>
      </c>
      <c r="Y1890" s="4">
        <v>109</v>
      </c>
      <c r="Z1890" s="4">
        <v>95</v>
      </c>
      <c r="AA1890" s="4">
        <v>108</v>
      </c>
      <c r="AB1890" s="4">
        <v>1</v>
      </c>
      <c r="AC1890" s="4">
        <v>1</v>
      </c>
      <c r="AD1890" s="4">
        <v>3</v>
      </c>
      <c r="AE1890" s="4">
        <v>3</v>
      </c>
      <c r="AF1890" s="4">
        <v>1</v>
      </c>
      <c r="AG1890" s="4">
        <v>1</v>
      </c>
      <c r="AH1890" s="4">
        <v>2</v>
      </c>
      <c r="AI1890" s="4">
        <v>2</v>
      </c>
      <c r="AJ1890" s="4">
        <v>1</v>
      </c>
      <c r="AK1890" s="4">
        <v>1</v>
      </c>
      <c r="AL1890" s="4">
        <v>0</v>
      </c>
      <c r="AM1890" s="4">
        <v>0</v>
      </c>
      <c r="AN1890" s="4">
        <v>0</v>
      </c>
      <c r="AO1890" s="4">
        <v>0</v>
      </c>
      <c r="AP1890" s="3" t="s">
        <v>58</v>
      </c>
      <c r="AQ1890" s="3" t="s">
        <v>68</v>
      </c>
      <c r="AR1890" s="6" t="str">
        <f>HYPERLINK("http://catalog.hathitrust.org/Record/102074403","HathiTrust Record")</f>
        <v>HathiTrust Record</v>
      </c>
      <c r="AS1890" s="6" t="str">
        <f>HYPERLINK("https://creighton-primo.hosted.exlibrisgroup.com/primo-explore/search?tab=default_tab&amp;search_scope=EVERYTHING&amp;vid=01CRU&amp;lang=en_US&amp;offset=0&amp;query=any,contains,991003271999702656","Catalog Record")</f>
        <v>Catalog Record</v>
      </c>
      <c r="AT1890" s="6" t="str">
        <f>HYPERLINK("http://www.worldcat.org/oclc/797638","WorldCat Record")</f>
        <v>WorldCat Record</v>
      </c>
      <c r="AU1890" s="3" t="s">
        <v>23104</v>
      </c>
      <c r="AV1890" s="3" t="s">
        <v>23105</v>
      </c>
      <c r="AW1890" s="3" t="s">
        <v>23106</v>
      </c>
      <c r="AX1890" s="3" t="s">
        <v>23106</v>
      </c>
      <c r="AY1890" s="3" t="s">
        <v>23107</v>
      </c>
      <c r="AZ1890" s="3" t="s">
        <v>73</v>
      </c>
      <c r="BB1890" s="3" t="s">
        <v>23108</v>
      </c>
      <c r="BC1890" s="3" t="s">
        <v>23109</v>
      </c>
      <c r="BD1890" s="3" t="s">
        <v>23110</v>
      </c>
    </row>
    <row r="1891" spans="1:56" ht="51" customHeight="1" x14ac:dyDescent="0.25">
      <c r="A1891" s="7" t="s">
        <v>58</v>
      </c>
      <c r="B1891" s="2" t="s">
        <v>23111</v>
      </c>
      <c r="C1891" s="2" t="s">
        <v>23112</v>
      </c>
      <c r="D1891" s="2" t="s">
        <v>23113</v>
      </c>
      <c r="F1891" s="3" t="s">
        <v>58</v>
      </c>
      <c r="G1891" s="3" t="s">
        <v>59</v>
      </c>
      <c r="H1891" s="3" t="s">
        <v>58</v>
      </c>
      <c r="I1891" s="3" t="s">
        <v>58</v>
      </c>
      <c r="J1891" s="3" t="s">
        <v>60</v>
      </c>
      <c r="K1891" s="2" t="s">
        <v>16190</v>
      </c>
      <c r="L1891" s="2" t="s">
        <v>23114</v>
      </c>
      <c r="M1891" s="3" t="s">
        <v>23115</v>
      </c>
      <c r="O1891" s="3" t="s">
        <v>63</v>
      </c>
      <c r="P1891" s="3" t="s">
        <v>411</v>
      </c>
      <c r="R1891" s="3" t="s">
        <v>65</v>
      </c>
      <c r="S1891" s="4">
        <v>13</v>
      </c>
      <c r="T1891" s="4">
        <v>13</v>
      </c>
      <c r="U1891" s="5" t="s">
        <v>23116</v>
      </c>
      <c r="V1891" s="5" t="s">
        <v>23116</v>
      </c>
      <c r="W1891" s="5" t="s">
        <v>23117</v>
      </c>
      <c r="X1891" s="5" t="s">
        <v>23117</v>
      </c>
      <c r="Y1891" s="4">
        <v>13</v>
      </c>
      <c r="Z1891" s="4">
        <v>12</v>
      </c>
      <c r="AA1891" s="4">
        <v>20</v>
      </c>
      <c r="AB1891" s="4">
        <v>1</v>
      </c>
      <c r="AC1891" s="4">
        <v>1</v>
      </c>
      <c r="AD1891" s="4">
        <v>0</v>
      </c>
      <c r="AE1891" s="4">
        <v>0</v>
      </c>
      <c r="AF1891" s="4">
        <v>0</v>
      </c>
      <c r="AG1891" s="4">
        <v>0</v>
      </c>
      <c r="AH1891" s="4">
        <v>0</v>
      </c>
      <c r="AI1891" s="4">
        <v>0</v>
      </c>
      <c r="AJ1891" s="4">
        <v>0</v>
      </c>
      <c r="AK1891" s="4">
        <v>0</v>
      </c>
      <c r="AL1891" s="4">
        <v>0</v>
      </c>
      <c r="AM1891" s="4">
        <v>0</v>
      </c>
      <c r="AN1891" s="4">
        <v>0</v>
      </c>
      <c r="AO1891" s="4">
        <v>0</v>
      </c>
      <c r="AP1891" s="3" t="s">
        <v>68</v>
      </c>
      <c r="AQ1891" s="3" t="s">
        <v>58</v>
      </c>
      <c r="AR1891" s="6" t="str">
        <f>HYPERLINK("http://catalog.hathitrust.org/Record/001871623","HathiTrust Record")</f>
        <v>HathiTrust Record</v>
      </c>
      <c r="AS1891" s="6" t="str">
        <f>HYPERLINK("https://creighton-primo.hosted.exlibrisgroup.com/primo-explore/search?tab=default_tab&amp;search_scope=EVERYTHING&amp;vid=01CRU&amp;lang=en_US&amp;offset=0&amp;query=any,contains,991000180889702656","Catalog Record")</f>
        <v>Catalog Record</v>
      </c>
      <c r="AT1891" s="6" t="str">
        <f>HYPERLINK("http://www.worldcat.org/oclc/9375822","WorldCat Record")</f>
        <v>WorldCat Record</v>
      </c>
      <c r="AU1891" s="3" t="s">
        <v>23118</v>
      </c>
      <c r="AV1891" s="3" t="s">
        <v>23119</v>
      </c>
      <c r="AW1891" s="3" t="s">
        <v>23120</v>
      </c>
      <c r="AX1891" s="3" t="s">
        <v>23120</v>
      </c>
      <c r="AY1891" s="3" t="s">
        <v>23121</v>
      </c>
      <c r="AZ1891" s="3" t="s">
        <v>73</v>
      </c>
      <c r="BC1891" s="3" t="s">
        <v>23122</v>
      </c>
      <c r="BD1891" s="3" t="s">
        <v>23123</v>
      </c>
    </row>
    <row r="1892" spans="1:56" ht="51" customHeight="1" x14ac:dyDescent="0.25">
      <c r="A1892" s="7" t="s">
        <v>58</v>
      </c>
      <c r="B1892" s="2" t="s">
        <v>23124</v>
      </c>
      <c r="C1892" s="2" t="s">
        <v>23125</v>
      </c>
      <c r="D1892" s="2" t="s">
        <v>23126</v>
      </c>
      <c r="E1892" s="3" t="s">
        <v>223</v>
      </c>
      <c r="F1892" s="3" t="s">
        <v>68</v>
      </c>
      <c r="G1892" s="3" t="s">
        <v>59</v>
      </c>
      <c r="H1892" s="3" t="s">
        <v>58</v>
      </c>
      <c r="I1892" s="3" t="s">
        <v>58</v>
      </c>
      <c r="J1892" s="3" t="s">
        <v>60</v>
      </c>
      <c r="K1892" s="2" t="s">
        <v>23127</v>
      </c>
      <c r="L1892" s="2" t="s">
        <v>23128</v>
      </c>
      <c r="M1892" s="3" t="s">
        <v>23129</v>
      </c>
      <c r="N1892" s="2" t="s">
        <v>2091</v>
      </c>
      <c r="O1892" s="3" t="s">
        <v>63</v>
      </c>
      <c r="P1892" s="3" t="s">
        <v>214</v>
      </c>
      <c r="R1892" s="3" t="s">
        <v>65</v>
      </c>
      <c r="S1892" s="4">
        <v>0</v>
      </c>
      <c r="T1892" s="4">
        <v>2</v>
      </c>
      <c r="V1892" s="5" t="s">
        <v>11596</v>
      </c>
      <c r="W1892" s="5" t="s">
        <v>17547</v>
      </c>
      <c r="X1892" s="5" t="s">
        <v>17547</v>
      </c>
      <c r="Y1892" s="4">
        <v>56</v>
      </c>
      <c r="Z1892" s="4">
        <v>54</v>
      </c>
      <c r="AA1892" s="4">
        <v>88</v>
      </c>
      <c r="AB1892" s="4">
        <v>1</v>
      </c>
      <c r="AC1892" s="4">
        <v>1</v>
      </c>
      <c r="AD1892" s="4">
        <v>4</v>
      </c>
      <c r="AE1892" s="4">
        <v>4</v>
      </c>
      <c r="AF1892" s="4">
        <v>1</v>
      </c>
      <c r="AG1892" s="4">
        <v>1</v>
      </c>
      <c r="AH1892" s="4">
        <v>4</v>
      </c>
      <c r="AI1892" s="4">
        <v>4</v>
      </c>
      <c r="AJ1892" s="4">
        <v>1</v>
      </c>
      <c r="AK1892" s="4">
        <v>1</v>
      </c>
      <c r="AL1892" s="4">
        <v>0</v>
      </c>
      <c r="AM1892" s="4">
        <v>0</v>
      </c>
      <c r="AN1892" s="4">
        <v>0</v>
      </c>
      <c r="AO1892" s="4">
        <v>0</v>
      </c>
      <c r="AP1892" s="3" t="s">
        <v>58</v>
      </c>
      <c r="AQ1892" s="3" t="s">
        <v>58</v>
      </c>
      <c r="AS1892" s="6" t="str">
        <f>HYPERLINK("https://creighton-primo.hosted.exlibrisgroup.com/primo-explore/search?tab=default_tab&amp;search_scope=EVERYTHING&amp;vid=01CRU&amp;lang=en_US&amp;offset=0&amp;query=any,contains,991004217079702656","Catalog Record")</f>
        <v>Catalog Record</v>
      </c>
      <c r="AT1892" s="6" t="str">
        <f>HYPERLINK("http://www.worldcat.org/oclc/2700557","WorldCat Record")</f>
        <v>WorldCat Record</v>
      </c>
      <c r="AU1892" s="3" t="s">
        <v>23130</v>
      </c>
      <c r="AV1892" s="3" t="s">
        <v>23131</v>
      </c>
      <c r="AW1892" s="3" t="s">
        <v>23132</v>
      </c>
      <c r="AX1892" s="3" t="s">
        <v>23132</v>
      </c>
      <c r="AY1892" s="3" t="s">
        <v>23133</v>
      </c>
      <c r="AZ1892" s="3" t="s">
        <v>73</v>
      </c>
      <c r="BC1892" s="3" t="s">
        <v>23134</v>
      </c>
      <c r="BD1892" s="3" t="s">
        <v>23135</v>
      </c>
    </row>
    <row r="1893" spans="1:56" ht="51" customHeight="1" x14ac:dyDescent="0.25">
      <c r="A1893" s="7" t="s">
        <v>58</v>
      </c>
      <c r="B1893" s="2" t="s">
        <v>23124</v>
      </c>
      <c r="C1893" s="2" t="s">
        <v>23125</v>
      </c>
      <c r="D1893" s="2" t="s">
        <v>23126</v>
      </c>
      <c r="E1893" s="3" t="s">
        <v>210</v>
      </c>
      <c r="F1893" s="3" t="s">
        <v>68</v>
      </c>
      <c r="G1893" s="3" t="s">
        <v>59</v>
      </c>
      <c r="H1893" s="3" t="s">
        <v>58</v>
      </c>
      <c r="I1893" s="3" t="s">
        <v>58</v>
      </c>
      <c r="J1893" s="3" t="s">
        <v>60</v>
      </c>
      <c r="K1893" s="2" t="s">
        <v>23127</v>
      </c>
      <c r="L1893" s="2" t="s">
        <v>23128</v>
      </c>
      <c r="M1893" s="3" t="s">
        <v>23129</v>
      </c>
      <c r="N1893" s="2" t="s">
        <v>2091</v>
      </c>
      <c r="O1893" s="3" t="s">
        <v>63</v>
      </c>
      <c r="P1893" s="3" t="s">
        <v>214</v>
      </c>
      <c r="R1893" s="3" t="s">
        <v>65</v>
      </c>
      <c r="S1893" s="4">
        <v>2</v>
      </c>
      <c r="T1893" s="4">
        <v>2</v>
      </c>
      <c r="U1893" s="5" t="s">
        <v>11596</v>
      </c>
      <c r="V1893" s="5" t="s">
        <v>11596</v>
      </c>
      <c r="W1893" s="5" t="s">
        <v>17547</v>
      </c>
      <c r="X1893" s="5" t="s">
        <v>17547</v>
      </c>
      <c r="Y1893" s="4">
        <v>56</v>
      </c>
      <c r="Z1893" s="4">
        <v>54</v>
      </c>
      <c r="AA1893" s="4">
        <v>88</v>
      </c>
      <c r="AB1893" s="4">
        <v>1</v>
      </c>
      <c r="AC1893" s="4">
        <v>1</v>
      </c>
      <c r="AD1893" s="4">
        <v>4</v>
      </c>
      <c r="AE1893" s="4">
        <v>4</v>
      </c>
      <c r="AF1893" s="4">
        <v>1</v>
      </c>
      <c r="AG1893" s="4">
        <v>1</v>
      </c>
      <c r="AH1893" s="4">
        <v>4</v>
      </c>
      <c r="AI1893" s="4">
        <v>4</v>
      </c>
      <c r="AJ1893" s="4">
        <v>1</v>
      </c>
      <c r="AK1893" s="4">
        <v>1</v>
      </c>
      <c r="AL1893" s="4">
        <v>0</v>
      </c>
      <c r="AM1893" s="4">
        <v>0</v>
      </c>
      <c r="AN1893" s="4">
        <v>0</v>
      </c>
      <c r="AO1893" s="4">
        <v>0</v>
      </c>
      <c r="AP1893" s="3" t="s">
        <v>58</v>
      </c>
      <c r="AQ1893" s="3" t="s">
        <v>58</v>
      </c>
      <c r="AS1893" s="6" t="str">
        <f>HYPERLINK("https://creighton-primo.hosted.exlibrisgroup.com/primo-explore/search?tab=default_tab&amp;search_scope=EVERYTHING&amp;vid=01CRU&amp;lang=en_US&amp;offset=0&amp;query=any,contains,991004217079702656","Catalog Record")</f>
        <v>Catalog Record</v>
      </c>
      <c r="AT1893" s="6" t="str">
        <f>HYPERLINK("http://www.worldcat.org/oclc/2700557","WorldCat Record")</f>
        <v>WorldCat Record</v>
      </c>
      <c r="AU1893" s="3" t="s">
        <v>23130</v>
      </c>
      <c r="AV1893" s="3" t="s">
        <v>23131</v>
      </c>
      <c r="AW1893" s="3" t="s">
        <v>23132</v>
      </c>
      <c r="AX1893" s="3" t="s">
        <v>23132</v>
      </c>
      <c r="AY1893" s="3" t="s">
        <v>23133</v>
      </c>
      <c r="AZ1893" s="3" t="s">
        <v>73</v>
      </c>
      <c r="BC1893" s="3" t="s">
        <v>23136</v>
      </c>
      <c r="BD1893" s="3" t="s">
        <v>23137</v>
      </c>
    </row>
    <row r="1894" spans="1:56" ht="51" customHeight="1" x14ac:dyDescent="0.25">
      <c r="A1894" s="7" t="s">
        <v>58</v>
      </c>
      <c r="B1894" s="2" t="s">
        <v>23138</v>
      </c>
      <c r="C1894" s="2" t="s">
        <v>23139</v>
      </c>
      <c r="D1894" s="2" t="s">
        <v>23140</v>
      </c>
      <c r="F1894" s="3" t="s">
        <v>58</v>
      </c>
      <c r="G1894" s="3" t="s">
        <v>59</v>
      </c>
      <c r="H1894" s="3" t="s">
        <v>58</v>
      </c>
      <c r="I1894" s="3" t="s">
        <v>58</v>
      </c>
      <c r="J1894" s="3" t="s">
        <v>60</v>
      </c>
      <c r="K1894" s="2" t="s">
        <v>23141</v>
      </c>
      <c r="L1894" s="2" t="s">
        <v>23064</v>
      </c>
      <c r="M1894" s="3" t="s">
        <v>996</v>
      </c>
      <c r="O1894" s="3" t="s">
        <v>63</v>
      </c>
      <c r="P1894" s="3" t="s">
        <v>16203</v>
      </c>
      <c r="R1894" s="3" t="s">
        <v>65</v>
      </c>
      <c r="S1894" s="4">
        <v>0</v>
      </c>
      <c r="T1894" s="4">
        <v>0</v>
      </c>
      <c r="U1894" s="5" t="s">
        <v>23142</v>
      </c>
      <c r="V1894" s="5" t="s">
        <v>23142</v>
      </c>
      <c r="W1894" s="5" t="s">
        <v>17547</v>
      </c>
      <c r="X1894" s="5" t="s">
        <v>17547</v>
      </c>
      <c r="Y1894" s="4">
        <v>115</v>
      </c>
      <c r="Z1894" s="4">
        <v>98</v>
      </c>
      <c r="AA1894" s="4">
        <v>254</v>
      </c>
      <c r="AB1894" s="4">
        <v>1</v>
      </c>
      <c r="AC1894" s="4">
        <v>1</v>
      </c>
      <c r="AD1894" s="4">
        <v>4</v>
      </c>
      <c r="AE1894" s="4">
        <v>12</v>
      </c>
      <c r="AF1894" s="4">
        <v>1</v>
      </c>
      <c r="AG1894" s="4">
        <v>3</v>
      </c>
      <c r="AH1894" s="4">
        <v>3</v>
      </c>
      <c r="AI1894" s="4">
        <v>5</v>
      </c>
      <c r="AJ1894" s="4">
        <v>2</v>
      </c>
      <c r="AK1894" s="4">
        <v>7</v>
      </c>
      <c r="AL1894" s="4">
        <v>0</v>
      </c>
      <c r="AM1894" s="4">
        <v>0</v>
      </c>
      <c r="AN1894" s="4">
        <v>0</v>
      </c>
      <c r="AO1894" s="4">
        <v>0</v>
      </c>
      <c r="AP1894" s="3" t="s">
        <v>58</v>
      </c>
      <c r="AQ1894" s="3" t="s">
        <v>68</v>
      </c>
      <c r="AR1894" s="6" t="str">
        <f>HYPERLINK("http://catalog.hathitrust.org/Record/000168120","HathiTrust Record")</f>
        <v>HathiTrust Record</v>
      </c>
      <c r="AS1894" s="6" t="str">
        <f>HYPERLINK("https://creighton-primo.hosted.exlibrisgroup.com/primo-explore/search?tab=default_tab&amp;search_scope=EVERYTHING&amp;vid=01CRU&amp;lang=en_US&amp;offset=0&amp;query=any,contains,991002852869702656","Catalog Record")</f>
        <v>Catalog Record</v>
      </c>
      <c r="AT1894" s="6" t="str">
        <f>HYPERLINK("http://www.worldcat.org/oclc/488042","WorldCat Record")</f>
        <v>WorldCat Record</v>
      </c>
      <c r="AU1894" s="3" t="s">
        <v>23143</v>
      </c>
      <c r="AV1894" s="3" t="s">
        <v>23144</v>
      </c>
      <c r="AW1894" s="3" t="s">
        <v>23145</v>
      </c>
      <c r="AX1894" s="3" t="s">
        <v>23145</v>
      </c>
      <c r="AY1894" s="3" t="s">
        <v>23146</v>
      </c>
      <c r="AZ1894" s="3" t="s">
        <v>73</v>
      </c>
      <c r="BB1894" s="3" t="s">
        <v>23147</v>
      </c>
      <c r="BC1894" s="3" t="s">
        <v>23148</v>
      </c>
      <c r="BD1894" s="3" t="s">
        <v>23149</v>
      </c>
    </row>
    <row r="1895" spans="1:56" ht="51" customHeight="1" x14ac:dyDescent="0.25">
      <c r="A1895" s="7" t="s">
        <v>58</v>
      </c>
      <c r="B1895" s="2" t="s">
        <v>23150</v>
      </c>
      <c r="C1895" s="2" t="s">
        <v>23151</v>
      </c>
      <c r="D1895" s="2" t="s">
        <v>23152</v>
      </c>
      <c r="F1895" s="3" t="s">
        <v>58</v>
      </c>
      <c r="G1895" s="3" t="s">
        <v>59</v>
      </c>
      <c r="H1895" s="3" t="s">
        <v>58</v>
      </c>
      <c r="I1895" s="3" t="s">
        <v>58</v>
      </c>
      <c r="J1895" s="3" t="s">
        <v>60</v>
      </c>
      <c r="K1895" s="2" t="s">
        <v>23153</v>
      </c>
      <c r="L1895" s="2" t="s">
        <v>23154</v>
      </c>
      <c r="M1895" s="3" t="s">
        <v>1499</v>
      </c>
      <c r="O1895" s="3" t="s">
        <v>63</v>
      </c>
      <c r="P1895" s="3" t="s">
        <v>584</v>
      </c>
      <c r="R1895" s="3" t="s">
        <v>65</v>
      </c>
      <c r="S1895" s="4">
        <v>3</v>
      </c>
      <c r="T1895" s="4">
        <v>3</v>
      </c>
      <c r="U1895" s="5" t="s">
        <v>23155</v>
      </c>
      <c r="V1895" s="5" t="s">
        <v>23155</v>
      </c>
      <c r="W1895" s="5" t="s">
        <v>20416</v>
      </c>
      <c r="X1895" s="5" t="s">
        <v>20416</v>
      </c>
      <c r="Y1895" s="4">
        <v>331</v>
      </c>
      <c r="Z1895" s="4">
        <v>260</v>
      </c>
      <c r="AA1895" s="4">
        <v>287</v>
      </c>
      <c r="AB1895" s="4">
        <v>3</v>
      </c>
      <c r="AC1895" s="4">
        <v>3</v>
      </c>
      <c r="AD1895" s="4">
        <v>10</v>
      </c>
      <c r="AE1895" s="4">
        <v>11</v>
      </c>
      <c r="AF1895" s="4">
        <v>0</v>
      </c>
      <c r="AG1895" s="4">
        <v>0</v>
      </c>
      <c r="AH1895" s="4">
        <v>2</v>
      </c>
      <c r="AI1895" s="4">
        <v>3</v>
      </c>
      <c r="AJ1895" s="4">
        <v>7</v>
      </c>
      <c r="AK1895" s="4">
        <v>7</v>
      </c>
      <c r="AL1895" s="4">
        <v>2</v>
      </c>
      <c r="AM1895" s="4">
        <v>2</v>
      </c>
      <c r="AN1895" s="4">
        <v>0</v>
      </c>
      <c r="AO1895" s="4">
        <v>0</v>
      </c>
      <c r="AP1895" s="3" t="s">
        <v>58</v>
      </c>
      <c r="AQ1895" s="3" t="s">
        <v>58</v>
      </c>
      <c r="AS1895" s="6" t="str">
        <f>HYPERLINK("https://creighton-primo.hosted.exlibrisgroup.com/primo-explore/search?tab=default_tab&amp;search_scope=EVERYTHING&amp;vid=01CRU&amp;lang=en_US&amp;offset=0&amp;query=any,contains,991002815679702656","Catalog Record")</f>
        <v>Catalog Record</v>
      </c>
      <c r="AT1895" s="6" t="str">
        <f>HYPERLINK("http://www.worldcat.org/oclc/458715","WorldCat Record")</f>
        <v>WorldCat Record</v>
      </c>
      <c r="AU1895" s="3" t="s">
        <v>23156</v>
      </c>
      <c r="AV1895" s="3" t="s">
        <v>23157</v>
      </c>
      <c r="AW1895" s="3" t="s">
        <v>23158</v>
      </c>
      <c r="AX1895" s="3" t="s">
        <v>23158</v>
      </c>
      <c r="AY1895" s="3" t="s">
        <v>23159</v>
      </c>
      <c r="AZ1895" s="3" t="s">
        <v>73</v>
      </c>
      <c r="BC1895" s="3" t="s">
        <v>23160</v>
      </c>
      <c r="BD1895" s="3" t="s">
        <v>23161</v>
      </c>
    </row>
    <row r="1896" spans="1:56" ht="51" customHeight="1" x14ac:dyDescent="0.25">
      <c r="A1896" s="7" t="s">
        <v>58</v>
      </c>
      <c r="B1896" s="2" t="s">
        <v>23162</v>
      </c>
      <c r="C1896" s="2" t="s">
        <v>23163</v>
      </c>
      <c r="D1896" s="2" t="s">
        <v>23164</v>
      </c>
      <c r="F1896" s="3" t="s">
        <v>58</v>
      </c>
      <c r="G1896" s="3" t="s">
        <v>59</v>
      </c>
      <c r="H1896" s="3" t="s">
        <v>58</v>
      </c>
      <c r="I1896" s="3" t="s">
        <v>58</v>
      </c>
      <c r="J1896" s="3" t="s">
        <v>60</v>
      </c>
      <c r="K1896" s="2" t="s">
        <v>23165</v>
      </c>
      <c r="L1896" s="2" t="s">
        <v>23166</v>
      </c>
      <c r="M1896" s="3" t="s">
        <v>281</v>
      </c>
      <c r="O1896" s="3" t="s">
        <v>63</v>
      </c>
      <c r="P1896" s="3" t="s">
        <v>214</v>
      </c>
      <c r="Q1896" s="2" t="s">
        <v>23167</v>
      </c>
      <c r="R1896" s="3" t="s">
        <v>65</v>
      </c>
      <c r="S1896" s="4">
        <v>4</v>
      </c>
      <c r="T1896" s="4">
        <v>4</v>
      </c>
      <c r="U1896" s="5" t="s">
        <v>23155</v>
      </c>
      <c r="V1896" s="5" t="s">
        <v>23155</v>
      </c>
      <c r="W1896" s="5" t="s">
        <v>3255</v>
      </c>
      <c r="X1896" s="5" t="s">
        <v>3255</v>
      </c>
      <c r="Y1896" s="4">
        <v>13</v>
      </c>
      <c r="Z1896" s="4">
        <v>13</v>
      </c>
      <c r="AA1896" s="4">
        <v>97</v>
      </c>
      <c r="AB1896" s="4">
        <v>1</v>
      </c>
      <c r="AC1896" s="4">
        <v>2</v>
      </c>
      <c r="AD1896" s="4">
        <v>1</v>
      </c>
      <c r="AE1896" s="4">
        <v>6</v>
      </c>
      <c r="AF1896" s="4">
        <v>0</v>
      </c>
      <c r="AG1896" s="4">
        <v>1</v>
      </c>
      <c r="AH1896" s="4">
        <v>0</v>
      </c>
      <c r="AI1896" s="4">
        <v>1</v>
      </c>
      <c r="AJ1896" s="4">
        <v>1</v>
      </c>
      <c r="AK1896" s="4">
        <v>3</v>
      </c>
      <c r="AL1896" s="4">
        <v>0</v>
      </c>
      <c r="AM1896" s="4">
        <v>1</v>
      </c>
      <c r="AN1896" s="4">
        <v>0</v>
      </c>
      <c r="AO1896" s="4">
        <v>0</v>
      </c>
      <c r="AP1896" s="3" t="s">
        <v>58</v>
      </c>
      <c r="AQ1896" s="3" t="s">
        <v>58</v>
      </c>
      <c r="AS1896" s="6" t="str">
        <f>HYPERLINK("https://creighton-primo.hosted.exlibrisgroup.com/primo-explore/search?tab=default_tab&amp;search_scope=EVERYTHING&amp;vid=01CRU&amp;lang=en_US&amp;offset=0&amp;query=any,contains,991000899339702656","Catalog Record")</f>
        <v>Catalog Record</v>
      </c>
      <c r="AT1896" s="6" t="str">
        <f>HYPERLINK("http://www.worldcat.org/oclc/14013189","WorldCat Record")</f>
        <v>WorldCat Record</v>
      </c>
      <c r="AU1896" s="3" t="s">
        <v>23168</v>
      </c>
      <c r="AV1896" s="3" t="s">
        <v>23169</v>
      </c>
      <c r="AW1896" s="3" t="s">
        <v>23170</v>
      </c>
      <c r="AX1896" s="3" t="s">
        <v>23170</v>
      </c>
      <c r="AY1896" s="3" t="s">
        <v>23171</v>
      </c>
      <c r="AZ1896" s="3" t="s">
        <v>73</v>
      </c>
      <c r="BC1896" s="3" t="s">
        <v>23172</v>
      </c>
      <c r="BD1896" s="3" t="s">
        <v>23173</v>
      </c>
    </row>
    <row r="1897" spans="1:56" ht="51" customHeight="1" x14ac:dyDescent="0.25">
      <c r="A1897" s="7" t="s">
        <v>58</v>
      </c>
      <c r="B1897" s="2" t="s">
        <v>23174</v>
      </c>
      <c r="C1897" s="2" t="s">
        <v>23175</v>
      </c>
      <c r="D1897" s="2" t="s">
        <v>23176</v>
      </c>
      <c r="F1897" s="3" t="s">
        <v>58</v>
      </c>
      <c r="G1897" s="3" t="s">
        <v>59</v>
      </c>
      <c r="H1897" s="3" t="s">
        <v>58</v>
      </c>
      <c r="I1897" s="3" t="s">
        <v>58</v>
      </c>
      <c r="J1897" s="3" t="s">
        <v>60</v>
      </c>
      <c r="K1897" s="2" t="s">
        <v>23177</v>
      </c>
      <c r="L1897" s="2" t="s">
        <v>23178</v>
      </c>
      <c r="M1897" s="3" t="s">
        <v>759</v>
      </c>
      <c r="N1897" s="2" t="s">
        <v>1611</v>
      </c>
      <c r="O1897" s="3" t="s">
        <v>63</v>
      </c>
      <c r="P1897" s="3" t="s">
        <v>584</v>
      </c>
      <c r="Q1897" s="2" t="s">
        <v>16072</v>
      </c>
      <c r="R1897" s="3" t="s">
        <v>65</v>
      </c>
      <c r="S1897" s="4">
        <v>4</v>
      </c>
      <c r="T1897" s="4">
        <v>4</v>
      </c>
      <c r="U1897" s="5" t="s">
        <v>23155</v>
      </c>
      <c r="V1897" s="5" t="s">
        <v>23155</v>
      </c>
      <c r="W1897" s="5" t="s">
        <v>12406</v>
      </c>
      <c r="X1897" s="5" t="s">
        <v>12406</v>
      </c>
      <c r="Y1897" s="4">
        <v>313</v>
      </c>
      <c r="Z1897" s="4">
        <v>233</v>
      </c>
      <c r="AA1897" s="4">
        <v>1411</v>
      </c>
      <c r="AB1897" s="4">
        <v>2</v>
      </c>
      <c r="AC1897" s="4">
        <v>10</v>
      </c>
      <c r="AD1897" s="4">
        <v>10</v>
      </c>
      <c r="AE1897" s="4">
        <v>43</v>
      </c>
      <c r="AF1897" s="4">
        <v>4</v>
      </c>
      <c r="AG1897" s="4">
        <v>17</v>
      </c>
      <c r="AH1897" s="4">
        <v>1</v>
      </c>
      <c r="AI1897" s="4">
        <v>7</v>
      </c>
      <c r="AJ1897" s="4">
        <v>5</v>
      </c>
      <c r="AK1897" s="4">
        <v>21</v>
      </c>
      <c r="AL1897" s="4">
        <v>1</v>
      </c>
      <c r="AM1897" s="4">
        <v>7</v>
      </c>
      <c r="AN1897" s="4">
        <v>0</v>
      </c>
      <c r="AO1897" s="4">
        <v>0</v>
      </c>
      <c r="AP1897" s="3" t="s">
        <v>58</v>
      </c>
      <c r="AQ1897" s="3" t="s">
        <v>68</v>
      </c>
      <c r="AR1897" s="6" t="str">
        <f>HYPERLINK("http://catalog.hathitrust.org/Record/007116245","HathiTrust Record")</f>
        <v>HathiTrust Record</v>
      </c>
      <c r="AS1897" s="6" t="str">
        <f>HYPERLINK("https://creighton-primo.hosted.exlibrisgroup.com/primo-explore/search?tab=default_tab&amp;search_scope=EVERYTHING&amp;vid=01CRU&amp;lang=en_US&amp;offset=0&amp;query=any,contains,991005056239702656","Catalog Record")</f>
        <v>Catalog Record</v>
      </c>
      <c r="AT1897" s="6" t="str">
        <f>HYPERLINK("http://www.worldcat.org/oclc/6896516","WorldCat Record")</f>
        <v>WorldCat Record</v>
      </c>
      <c r="AU1897" s="3" t="s">
        <v>23179</v>
      </c>
      <c r="AV1897" s="3" t="s">
        <v>23180</v>
      </c>
      <c r="AW1897" s="3" t="s">
        <v>23181</v>
      </c>
      <c r="AX1897" s="3" t="s">
        <v>23181</v>
      </c>
      <c r="AY1897" s="3" t="s">
        <v>23182</v>
      </c>
      <c r="AZ1897" s="3" t="s">
        <v>73</v>
      </c>
      <c r="BB1897" s="3" t="s">
        <v>23183</v>
      </c>
      <c r="BC1897" s="3" t="s">
        <v>23184</v>
      </c>
      <c r="BD1897" s="3" t="s">
        <v>23185</v>
      </c>
    </row>
    <row r="1898" spans="1:56" ht="51" customHeight="1" x14ac:dyDescent="0.25">
      <c r="A1898" s="7" t="s">
        <v>58</v>
      </c>
      <c r="B1898" s="2" t="s">
        <v>23186</v>
      </c>
      <c r="C1898" s="2" t="s">
        <v>23187</v>
      </c>
      <c r="D1898" s="2" t="s">
        <v>23188</v>
      </c>
      <c r="F1898" s="3" t="s">
        <v>58</v>
      </c>
      <c r="G1898" s="3" t="s">
        <v>59</v>
      </c>
      <c r="H1898" s="3" t="s">
        <v>58</v>
      </c>
      <c r="I1898" s="3" t="s">
        <v>58</v>
      </c>
      <c r="J1898" s="3" t="s">
        <v>60</v>
      </c>
      <c r="K1898" s="2" t="s">
        <v>22625</v>
      </c>
      <c r="L1898" s="2" t="s">
        <v>23189</v>
      </c>
      <c r="M1898" s="3" t="s">
        <v>800</v>
      </c>
      <c r="O1898" s="3" t="s">
        <v>63</v>
      </c>
      <c r="P1898" s="3" t="s">
        <v>8753</v>
      </c>
      <c r="Q1898" s="2" t="s">
        <v>23190</v>
      </c>
      <c r="R1898" s="3" t="s">
        <v>65</v>
      </c>
      <c r="S1898" s="4">
        <v>2</v>
      </c>
      <c r="T1898" s="4">
        <v>2</v>
      </c>
      <c r="U1898" s="5" t="s">
        <v>23191</v>
      </c>
      <c r="V1898" s="5" t="s">
        <v>23191</v>
      </c>
      <c r="W1898" s="5" t="s">
        <v>23192</v>
      </c>
      <c r="X1898" s="5" t="s">
        <v>23192</v>
      </c>
      <c r="Y1898" s="4">
        <v>482</v>
      </c>
      <c r="Z1898" s="4">
        <v>442</v>
      </c>
      <c r="AA1898" s="4">
        <v>675</v>
      </c>
      <c r="AB1898" s="4">
        <v>2</v>
      </c>
      <c r="AC1898" s="4">
        <v>5</v>
      </c>
      <c r="AD1898" s="4">
        <v>15</v>
      </c>
      <c r="AE1898" s="4">
        <v>23</v>
      </c>
      <c r="AF1898" s="4">
        <v>7</v>
      </c>
      <c r="AG1898" s="4">
        <v>9</v>
      </c>
      <c r="AH1898" s="4">
        <v>4</v>
      </c>
      <c r="AI1898" s="4">
        <v>6</v>
      </c>
      <c r="AJ1898" s="4">
        <v>10</v>
      </c>
      <c r="AK1898" s="4">
        <v>12</v>
      </c>
      <c r="AL1898" s="4">
        <v>0</v>
      </c>
      <c r="AM1898" s="4">
        <v>3</v>
      </c>
      <c r="AN1898" s="4">
        <v>0</v>
      </c>
      <c r="AO1898" s="4">
        <v>0</v>
      </c>
      <c r="AP1898" s="3" t="s">
        <v>58</v>
      </c>
      <c r="AQ1898" s="3" t="s">
        <v>58</v>
      </c>
      <c r="AS1898" s="6" t="str">
        <f>HYPERLINK("https://creighton-primo.hosted.exlibrisgroup.com/primo-explore/search?tab=default_tab&amp;search_scope=EVERYTHING&amp;vid=01CRU&amp;lang=en_US&amp;offset=0&amp;query=any,contains,991002452419702656","Catalog Record")</f>
        <v>Catalog Record</v>
      </c>
      <c r="AT1898" s="6" t="str">
        <f>HYPERLINK("http://www.worldcat.org/oclc/31971453","WorldCat Record")</f>
        <v>WorldCat Record</v>
      </c>
      <c r="AU1898" s="3" t="s">
        <v>23193</v>
      </c>
      <c r="AV1898" s="3" t="s">
        <v>23194</v>
      </c>
      <c r="AW1898" s="3" t="s">
        <v>23195</v>
      </c>
      <c r="AX1898" s="3" t="s">
        <v>23195</v>
      </c>
      <c r="AY1898" s="3" t="s">
        <v>23196</v>
      </c>
      <c r="AZ1898" s="3" t="s">
        <v>73</v>
      </c>
      <c r="BB1898" s="3" t="s">
        <v>23197</v>
      </c>
      <c r="BC1898" s="3" t="s">
        <v>23198</v>
      </c>
      <c r="BD1898" s="3" t="s">
        <v>23199</v>
      </c>
    </row>
    <row r="1899" spans="1:56" ht="51" customHeight="1" x14ac:dyDescent="0.25">
      <c r="A1899" s="7" t="s">
        <v>58</v>
      </c>
      <c r="B1899" s="2" t="s">
        <v>23200</v>
      </c>
      <c r="C1899" s="2" t="s">
        <v>23201</v>
      </c>
      <c r="D1899" s="2" t="s">
        <v>23202</v>
      </c>
      <c r="F1899" s="3" t="s">
        <v>58</v>
      </c>
      <c r="G1899" s="3" t="s">
        <v>59</v>
      </c>
      <c r="H1899" s="3" t="s">
        <v>58</v>
      </c>
      <c r="I1899" s="3" t="s">
        <v>58</v>
      </c>
      <c r="J1899" s="3" t="s">
        <v>60</v>
      </c>
      <c r="K1899" s="2" t="s">
        <v>23203</v>
      </c>
      <c r="L1899" s="2" t="s">
        <v>23204</v>
      </c>
      <c r="M1899" s="3" t="s">
        <v>382</v>
      </c>
      <c r="O1899" s="3" t="s">
        <v>63</v>
      </c>
      <c r="P1899" s="3" t="s">
        <v>584</v>
      </c>
      <c r="Q1899" s="2" t="s">
        <v>23205</v>
      </c>
      <c r="R1899" s="3" t="s">
        <v>65</v>
      </c>
      <c r="S1899" s="4">
        <v>3</v>
      </c>
      <c r="T1899" s="4">
        <v>3</v>
      </c>
      <c r="U1899" s="5" t="s">
        <v>2852</v>
      </c>
      <c r="V1899" s="5" t="s">
        <v>2852</v>
      </c>
      <c r="W1899" s="5" t="s">
        <v>23206</v>
      </c>
      <c r="X1899" s="5" t="s">
        <v>23206</v>
      </c>
      <c r="Y1899" s="4">
        <v>353</v>
      </c>
      <c r="Z1899" s="4">
        <v>240</v>
      </c>
      <c r="AA1899" s="4">
        <v>267</v>
      </c>
      <c r="AB1899" s="4">
        <v>1</v>
      </c>
      <c r="AC1899" s="4">
        <v>1</v>
      </c>
      <c r="AD1899" s="4">
        <v>12</v>
      </c>
      <c r="AE1899" s="4">
        <v>12</v>
      </c>
      <c r="AF1899" s="4">
        <v>3</v>
      </c>
      <c r="AG1899" s="4">
        <v>3</v>
      </c>
      <c r="AH1899" s="4">
        <v>3</v>
      </c>
      <c r="AI1899" s="4">
        <v>3</v>
      </c>
      <c r="AJ1899" s="4">
        <v>9</v>
      </c>
      <c r="AK1899" s="4">
        <v>9</v>
      </c>
      <c r="AL1899" s="4">
        <v>0</v>
      </c>
      <c r="AM1899" s="4">
        <v>0</v>
      </c>
      <c r="AN1899" s="4">
        <v>0</v>
      </c>
      <c r="AO1899" s="4">
        <v>0</v>
      </c>
      <c r="AP1899" s="3" t="s">
        <v>58</v>
      </c>
      <c r="AQ1899" s="3" t="s">
        <v>58</v>
      </c>
      <c r="AS1899" s="6" t="str">
        <f>HYPERLINK("https://creighton-primo.hosted.exlibrisgroup.com/primo-explore/search?tab=default_tab&amp;search_scope=EVERYTHING&amp;vid=01CRU&amp;lang=en_US&amp;offset=0&amp;query=any,contains,991004099249702656","Catalog Record")</f>
        <v>Catalog Record</v>
      </c>
      <c r="AT1899" s="6" t="str">
        <f>HYPERLINK("http://www.worldcat.org/oclc/40180227","WorldCat Record")</f>
        <v>WorldCat Record</v>
      </c>
      <c r="AU1899" s="3" t="s">
        <v>23207</v>
      </c>
      <c r="AV1899" s="3" t="s">
        <v>23208</v>
      </c>
      <c r="AW1899" s="3" t="s">
        <v>23209</v>
      </c>
      <c r="AX1899" s="3" t="s">
        <v>23209</v>
      </c>
      <c r="AY1899" s="3" t="s">
        <v>23210</v>
      </c>
      <c r="AZ1899" s="3" t="s">
        <v>73</v>
      </c>
      <c r="BB1899" s="3" t="s">
        <v>23211</v>
      </c>
      <c r="BC1899" s="3" t="s">
        <v>23212</v>
      </c>
      <c r="BD1899" s="3" t="s">
        <v>23213</v>
      </c>
    </row>
    <row r="1900" spans="1:56" ht="51" customHeight="1" x14ac:dyDescent="0.25">
      <c r="A1900" s="7" t="s">
        <v>58</v>
      </c>
      <c r="B1900" s="2" t="s">
        <v>23214</v>
      </c>
      <c r="C1900" s="2" t="s">
        <v>23215</v>
      </c>
      <c r="D1900" s="2" t="s">
        <v>23216</v>
      </c>
      <c r="F1900" s="3" t="s">
        <v>58</v>
      </c>
      <c r="G1900" s="3" t="s">
        <v>59</v>
      </c>
      <c r="H1900" s="3" t="s">
        <v>58</v>
      </c>
      <c r="I1900" s="3" t="s">
        <v>58</v>
      </c>
      <c r="J1900" s="3" t="s">
        <v>60</v>
      </c>
      <c r="K1900" s="2" t="s">
        <v>23217</v>
      </c>
      <c r="L1900" s="2" t="s">
        <v>23218</v>
      </c>
      <c r="M1900" s="3" t="s">
        <v>23129</v>
      </c>
      <c r="O1900" s="3" t="s">
        <v>63</v>
      </c>
      <c r="P1900" s="3" t="s">
        <v>214</v>
      </c>
      <c r="Q1900" s="2" t="s">
        <v>23219</v>
      </c>
      <c r="R1900" s="3" t="s">
        <v>65</v>
      </c>
      <c r="S1900" s="4">
        <v>3</v>
      </c>
      <c r="T1900" s="4">
        <v>3</v>
      </c>
      <c r="U1900" s="5" t="s">
        <v>23155</v>
      </c>
      <c r="V1900" s="5" t="s">
        <v>23155</v>
      </c>
      <c r="W1900" s="5" t="s">
        <v>18562</v>
      </c>
      <c r="X1900" s="5" t="s">
        <v>18562</v>
      </c>
      <c r="Y1900" s="4">
        <v>12</v>
      </c>
      <c r="Z1900" s="4">
        <v>12</v>
      </c>
      <c r="AA1900" s="4">
        <v>54</v>
      </c>
      <c r="AB1900" s="4">
        <v>1</v>
      </c>
      <c r="AC1900" s="4">
        <v>3</v>
      </c>
      <c r="AD1900" s="4">
        <v>0</v>
      </c>
      <c r="AE1900" s="4">
        <v>3</v>
      </c>
      <c r="AF1900" s="4">
        <v>0</v>
      </c>
      <c r="AG1900" s="4">
        <v>0</v>
      </c>
      <c r="AH1900" s="4">
        <v>0</v>
      </c>
      <c r="AI1900" s="4">
        <v>1</v>
      </c>
      <c r="AJ1900" s="4">
        <v>0</v>
      </c>
      <c r="AK1900" s="4">
        <v>0</v>
      </c>
      <c r="AL1900" s="4">
        <v>0</v>
      </c>
      <c r="AM1900" s="4">
        <v>2</v>
      </c>
      <c r="AN1900" s="4">
        <v>0</v>
      </c>
      <c r="AO1900" s="4">
        <v>0</v>
      </c>
      <c r="AP1900" s="3" t="s">
        <v>68</v>
      </c>
      <c r="AQ1900" s="3" t="s">
        <v>58</v>
      </c>
      <c r="AR1900" s="6" t="str">
        <f>HYPERLINK("http://catalog.hathitrust.org/Record/100495053","HathiTrust Record")</f>
        <v>HathiTrust Record</v>
      </c>
      <c r="AS1900" s="6" t="str">
        <f>HYPERLINK("https://creighton-primo.hosted.exlibrisgroup.com/primo-explore/search?tab=default_tab&amp;search_scope=EVERYTHING&amp;vid=01CRU&amp;lang=en_US&amp;offset=0&amp;query=any,contains,991001891829702656","Catalog Record")</f>
        <v>Catalog Record</v>
      </c>
      <c r="AT1900" s="6" t="str">
        <f>HYPERLINK("http://www.worldcat.org/oclc/23887418","WorldCat Record")</f>
        <v>WorldCat Record</v>
      </c>
      <c r="AU1900" s="3" t="s">
        <v>23220</v>
      </c>
      <c r="AV1900" s="3" t="s">
        <v>23221</v>
      </c>
      <c r="AW1900" s="3" t="s">
        <v>23222</v>
      </c>
      <c r="AX1900" s="3" t="s">
        <v>23222</v>
      </c>
      <c r="AY1900" s="3" t="s">
        <v>23223</v>
      </c>
      <c r="AZ1900" s="3" t="s">
        <v>73</v>
      </c>
      <c r="BC1900" s="3" t="s">
        <v>23224</v>
      </c>
      <c r="BD1900" s="3" t="s">
        <v>23225</v>
      </c>
    </row>
    <row r="1901" spans="1:56" ht="51" customHeight="1" x14ac:dyDescent="0.25">
      <c r="A1901" s="7" t="s">
        <v>58</v>
      </c>
      <c r="B1901" s="2" t="s">
        <v>23226</v>
      </c>
      <c r="C1901" s="2" t="s">
        <v>23227</v>
      </c>
      <c r="D1901" s="2" t="s">
        <v>23228</v>
      </c>
      <c r="F1901" s="3" t="s">
        <v>58</v>
      </c>
      <c r="G1901" s="3" t="s">
        <v>59</v>
      </c>
      <c r="H1901" s="3" t="s">
        <v>58</v>
      </c>
      <c r="I1901" s="3" t="s">
        <v>58</v>
      </c>
      <c r="J1901" s="3" t="s">
        <v>60</v>
      </c>
      <c r="K1901" s="2" t="s">
        <v>23229</v>
      </c>
      <c r="L1901" s="2" t="s">
        <v>23230</v>
      </c>
      <c r="M1901" s="3" t="s">
        <v>1153</v>
      </c>
      <c r="O1901" s="3" t="s">
        <v>63</v>
      </c>
      <c r="P1901" s="3" t="s">
        <v>510</v>
      </c>
      <c r="R1901" s="3" t="s">
        <v>65</v>
      </c>
      <c r="S1901" s="4">
        <v>2</v>
      </c>
      <c r="T1901" s="4">
        <v>2</v>
      </c>
      <c r="U1901" s="5" t="s">
        <v>23231</v>
      </c>
      <c r="V1901" s="5" t="s">
        <v>23231</v>
      </c>
      <c r="W1901" s="5" t="s">
        <v>17547</v>
      </c>
      <c r="X1901" s="5" t="s">
        <v>17547</v>
      </c>
      <c r="Y1901" s="4">
        <v>97</v>
      </c>
      <c r="Z1901" s="4">
        <v>77</v>
      </c>
      <c r="AA1901" s="4">
        <v>712</v>
      </c>
      <c r="AB1901" s="4">
        <v>1</v>
      </c>
      <c r="AC1901" s="4">
        <v>2</v>
      </c>
      <c r="AD1901" s="4">
        <v>3</v>
      </c>
      <c r="AE1901" s="4">
        <v>22</v>
      </c>
      <c r="AF1901" s="4">
        <v>2</v>
      </c>
      <c r="AG1901" s="4">
        <v>10</v>
      </c>
      <c r="AH1901" s="4">
        <v>1</v>
      </c>
      <c r="AI1901" s="4">
        <v>7</v>
      </c>
      <c r="AJ1901" s="4">
        <v>1</v>
      </c>
      <c r="AK1901" s="4">
        <v>11</v>
      </c>
      <c r="AL1901" s="4">
        <v>0</v>
      </c>
      <c r="AM1901" s="4">
        <v>1</v>
      </c>
      <c r="AN1901" s="4">
        <v>0</v>
      </c>
      <c r="AO1901" s="4">
        <v>0</v>
      </c>
      <c r="AP1901" s="3" t="s">
        <v>58</v>
      </c>
      <c r="AQ1901" s="3" t="s">
        <v>58</v>
      </c>
      <c r="AS1901" s="6" t="str">
        <f>HYPERLINK("https://creighton-primo.hosted.exlibrisgroup.com/primo-explore/search?tab=default_tab&amp;search_scope=EVERYTHING&amp;vid=01CRU&amp;lang=en_US&amp;offset=0&amp;query=any,contains,991003011949702656","Catalog Record")</f>
        <v>Catalog Record</v>
      </c>
      <c r="AT1901" s="6" t="str">
        <f>HYPERLINK("http://www.worldcat.org/oclc/578765","WorldCat Record")</f>
        <v>WorldCat Record</v>
      </c>
      <c r="AU1901" s="3" t="s">
        <v>23232</v>
      </c>
      <c r="AV1901" s="3" t="s">
        <v>23233</v>
      </c>
      <c r="AW1901" s="3" t="s">
        <v>23234</v>
      </c>
      <c r="AX1901" s="3" t="s">
        <v>23234</v>
      </c>
      <c r="AY1901" s="3" t="s">
        <v>23235</v>
      </c>
      <c r="AZ1901" s="3" t="s">
        <v>73</v>
      </c>
      <c r="BB1901" s="3" t="s">
        <v>23236</v>
      </c>
      <c r="BC1901" s="3" t="s">
        <v>23237</v>
      </c>
      <c r="BD1901" s="3" t="s">
        <v>23238</v>
      </c>
    </row>
    <row r="1902" spans="1:56" ht="51" customHeight="1" x14ac:dyDescent="0.25">
      <c r="A1902" s="7" t="s">
        <v>58</v>
      </c>
      <c r="B1902" s="2" t="s">
        <v>23239</v>
      </c>
      <c r="C1902" s="2" t="s">
        <v>23240</v>
      </c>
      <c r="D1902" s="2" t="s">
        <v>23241</v>
      </c>
      <c r="F1902" s="3" t="s">
        <v>58</v>
      </c>
      <c r="G1902" s="3" t="s">
        <v>59</v>
      </c>
      <c r="H1902" s="3" t="s">
        <v>58</v>
      </c>
      <c r="I1902" s="3" t="s">
        <v>58</v>
      </c>
      <c r="J1902" s="3" t="s">
        <v>60</v>
      </c>
      <c r="K1902" s="2" t="s">
        <v>23242</v>
      </c>
      <c r="L1902" s="2" t="s">
        <v>23243</v>
      </c>
      <c r="M1902" s="3" t="s">
        <v>759</v>
      </c>
      <c r="O1902" s="3" t="s">
        <v>63</v>
      </c>
      <c r="P1902" s="3" t="s">
        <v>16606</v>
      </c>
      <c r="R1902" s="3" t="s">
        <v>65</v>
      </c>
      <c r="S1902" s="4">
        <v>3</v>
      </c>
      <c r="T1902" s="4">
        <v>3</v>
      </c>
      <c r="U1902" s="5" t="s">
        <v>23244</v>
      </c>
      <c r="V1902" s="5" t="s">
        <v>23244</v>
      </c>
      <c r="W1902" s="5" t="s">
        <v>20121</v>
      </c>
      <c r="X1902" s="5" t="s">
        <v>20121</v>
      </c>
      <c r="Y1902" s="4">
        <v>154</v>
      </c>
      <c r="Z1902" s="4">
        <v>122</v>
      </c>
      <c r="AA1902" s="4">
        <v>137</v>
      </c>
      <c r="AB1902" s="4">
        <v>2</v>
      </c>
      <c r="AC1902" s="4">
        <v>2</v>
      </c>
      <c r="AD1902" s="4">
        <v>5</v>
      </c>
      <c r="AE1902" s="4">
        <v>6</v>
      </c>
      <c r="AF1902" s="4">
        <v>0</v>
      </c>
      <c r="AG1902" s="4">
        <v>1</v>
      </c>
      <c r="AH1902" s="4">
        <v>3</v>
      </c>
      <c r="AI1902" s="4">
        <v>3</v>
      </c>
      <c r="AJ1902" s="4">
        <v>1</v>
      </c>
      <c r="AK1902" s="4">
        <v>1</v>
      </c>
      <c r="AL1902" s="4">
        <v>1</v>
      </c>
      <c r="AM1902" s="4">
        <v>1</v>
      </c>
      <c r="AN1902" s="4">
        <v>0</v>
      </c>
      <c r="AO1902" s="4">
        <v>0</v>
      </c>
      <c r="AP1902" s="3" t="s">
        <v>58</v>
      </c>
      <c r="AQ1902" s="3" t="s">
        <v>58</v>
      </c>
      <c r="AS1902" s="6" t="str">
        <f>HYPERLINK("https://creighton-primo.hosted.exlibrisgroup.com/primo-explore/search?tab=default_tab&amp;search_scope=EVERYTHING&amp;vid=01CRU&amp;lang=en_US&amp;offset=0&amp;query=any,contains,991005149099702656","Catalog Record")</f>
        <v>Catalog Record</v>
      </c>
      <c r="AT1902" s="6" t="str">
        <f>HYPERLINK("http://www.worldcat.org/oclc/10857263","WorldCat Record")</f>
        <v>WorldCat Record</v>
      </c>
      <c r="AU1902" s="3" t="s">
        <v>23245</v>
      </c>
      <c r="AV1902" s="3" t="s">
        <v>23246</v>
      </c>
      <c r="AW1902" s="3" t="s">
        <v>23247</v>
      </c>
      <c r="AX1902" s="3" t="s">
        <v>23247</v>
      </c>
      <c r="AY1902" s="3" t="s">
        <v>23248</v>
      </c>
      <c r="AZ1902" s="3" t="s">
        <v>73</v>
      </c>
      <c r="BC1902" s="3" t="s">
        <v>23249</v>
      </c>
      <c r="BD1902" s="3" t="s">
        <v>23250</v>
      </c>
    </row>
    <row r="1903" spans="1:56" ht="51" customHeight="1" x14ac:dyDescent="0.25">
      <c r="A1903" s="7" t="s">
        <v>58</v>
      </c>
      <c r="B1903" s="2" t="s">
        <v>23251</v>
      </c>
      <c r="C1903" s="2" t="s">
        <v>23252</v>
      </c>
      <c r="D1903" s="2" t="s">
        <v>23253</v>
      </c>
      <c r="F1903" s="3" t="s">
        <v>58</v>
      </c>
      <c r="G1903" s="3" t="s">
        <v>59</v>
      </c>
      <c r="H1903" s="3" t="s">
        <v>58</v>
      </c>
      <c r="I1903" s="3" t="s">
        <v>58</v>
      </c>
      <c r="J1903" s="3" t="s">
        <v>60</v>
      </c>
      <c r="K1903" s="2" t="s">
        <v>23254</v>
      </c>
      <c r="L1903" s="2" t="s">
        <v>23255</v>
      </c>
      <c r="M1903" s="3" t="s">
        <v>1153</v>
      </c>
      <c r="O1903" s="3" t="s">
        <v>63</v>
      </c>
      <c r="P1903" s="3" t="s">
        <v>214</v>
      </c>
      <c r="R1903" s="3" t="s">
        <v>65</v>
      </c>
      <c r="S1903" s="4">
        <v>3</v>
      </c>
      <c r="T1903" s="4">
        <v>3</v>
      </c>
      <c r="U1903" s="5" t="s">
        <v>23256</v>
      </c>
      <c r="V1903" s="5" t="s">
        <v>23256</v>
      </c>
      <c r="W1903" s="5" t="s">
        <v>20121</v>
      </c>
      <c r="X1903" s="5" t="s">
        <v>20121</v>
      </c>
      <c r="Y1903" s="4">
        <v>982</v>
      </c>
      <c r="Z1903" s="4">
        <v>889</v>
      </c>
      <c r="AA1903" s="4">
        <v>946</v>
      </c>
      <c r="AB1903" s="4">
        <v>6</v>
      </c>
      <c r="AC1903" s="4">
        <v>6</v>
      </c>
      <c r="AD1903" s="4">
        <v>32</v>
      </c>
      <c r="AE1903" s="4">
        <v>34</v>
      </c>
      <c r="AF1903" s="4">
        <v>13</v>
      </c>
      <c r="AG1903" s="4">
        <v>14</v>
      </c>
      <c r="AH1903" s="4">
        <v>8</v>
      </c>
      <c r="AI1903" s="4">
        <v>8</v>
      </c>
      <c r="AJ1903" s="4">
        <v>17</v>
      </c>
      <c r="AK1903" s="4">
        <v>18</v>
      </c>
      <c r="AL1903" s="4">
        <v>5</v>
      </c>
      <c r="AM1903" s="4">
        <v>5</v>
      </c>
      <c r="AN1903" s="4">
        <v>0</v>
      </c>
      <c r="AO1903" s="4">
        <v>0</v>
      </c>
      <c r="AP1903" s="3" t="s">
        <v>58</v>
      </c>
      <c r="AQ1903" s="3" t="s">
        <v>68</v>
      </c>
      <c r="AR1903" s="6" t="str">
        <f>HYPERLINK("http://catalog.hathitrust.org/Record/001257399","HathiTrust Record")</f>
        <v>HathiTrust Record</v>
      </c>
      <c r="AS1903" s="6" t="str">
        <f>HYPERLINK("https://creighton-primo.hosted.exlibrisgroup.com/primo-explore/search?tab=default_tab&amp;search_scope=EVERYTHING&amp;vid=01CRU&amp;lang=en_US&amp;offset=0&amp;query=any,contains,991003033019702656","Catalog Record")</f>
        <v>Catalog Record</v>
      </c>
      <c r="AT1903" s="6" t="str">
        <f>HYPERLINK("http://www.worldcat.org/oclc/595471","WorldCat Record")</f>
        <v>WorldCat Record</v>
      </c>
      <c r="AU1903" s="3" t="s">
        <v>23257</v>
      </c>
      <c r="AV1903" s="3" t="s">
        <v>23258</v>
      </c>
      <c r="AW1903" s="3" t="s">
        <v>23259</v>
      </c>
      <c r="AX1903" s="3" t="s">
        <v>23259</v>
      </c>
      <c r="AY1903" s="3" t="s">
        <v>23260</v>
      </c>
      <c r="AZ1903" s="3" t="s">
        <v>73</v>
      </c>
      <c r="BB1903" s="3" t="s">
        <v>23261</v>
      </c>
      <c r="BC1903" s="3" t="s">
        <v>23262</v>
      </c>
      <c r="BD1903" s="3" t="s">
        <v>23263</v>
      </c>
    </row>
    <row r="1904" spans="1:56" ht="51" customHeight="1" x14ac:dyDescent="0.25">
      <c r="A1904" s="7" t="s">
        <v>58</v>
      </c>
      <c r="B1904" s="2" t="s">
        <v>23264</v>
      </c>
      <c r="C1904" s="2" t="s">
        <v>23265</v>
      </c>
      <c r="D1904" s="2" t="s">
        <v>23266</v>
      </c>
      <c r="F1904" s="3" t="s">
        <v>58</v>
      </c>
      <c r="G1904" s="3" t="s">
        <v>59</v>
      </c>
      <c r="H1904" s="3" t="s">
        <v>58</v>
      </c>
      <c r="I1904" s="3" t="s">
        <v>58</v>
      </c>
      <c r="J1904" s="3" t="s">
        <v>60</v>
      </c>
      <c r="K1904" s="2" t="s">
        <v>23267</v>
      </c>
      <c r="L1904" s="2" t="s">
        <v>23268</v>
      </c>
      <c r="M1904" s="3" t="s">
        <v>996</v>
      </c>
      <c r="N1904" s="2" t="s">
        <v>1470</v>
      </c>
      <c r="O1904" s="3" t="s">
        <v>63</v>
      </c>
      <c r="P1904" s="3" t="s">
        <v>214</v>
      </c>
      <c r="R1904" s="3" t="s">
        <v>65</v>
      </c>
      <c r="S1904" s="4">
        <v>1</v>
      </c>
      <c r="T1904" s="4">
        <v>1</v>
      </c>
      <c r="U1904" s="5" t="s">
        <v>23269</v>
      </c>
      <c r="V1904" s="5" t="s">
        <v>23269</v>
      </c>
      <c r="W1904" s="5" t="s">
        <v>17547</v>
      </c>
      <c r="X1904" s="5" t="s">
        <v>17547</v>
      </c>
      <c r="Y1904" s="4">
        <v>1210</v>
      </c>
      <c r="Z1904" s="4">
        <v>1102</v>
      </c>
      <c r="AA1904" s="4">
        <v>1225</v>
      </c>
      <c r="AB1904" s="4">
        <v>7</v>
      </c>
      <c r="AC1904" s="4">
        <v>7</v>
      </c>
      <c r="AD1904" s="4">
        <v>32</v>
      </c>
      <c r="AE1904" s="4">
        <v>35</v>
      </c>
      <c r="AF1904" s="4">
        <v>11</v>
      </c>
      <c r="AG1904" s="4">
        <v>13</v>
      </c>
      <c r="AH1904" s="4">
        <v>7</v>
      </c>
      <c r="AI1904" s="4">
        <v>9</v>
      </c>
      <c r="AJ1904" s="4">
        <v>17</v>
      </c>
      <c r="AK1904" s="4">
        <v>18</v>
      </c>
      <c r="AL1904" s="4">
        <v>5</v>
      </c>
      <c r="AM1904" s="4">
        <v>5</v>
      </c>
      <c r="AN1904" s="4">
        <v>0</v>
      </c>
      <c r="AO1904" s="4">
        <v>0</v>
      </c>
      <c r="AP1904" s="3" t="s">
        <v>58</v>
      </c>
      <c r="AQ1904" s="3" t="s">
        <v>68</v>
      </c>
      <c r="AR1904" s="6" t="str">
        <f>HYPERLINK("http://catalog.hathitrust.org/Record/000223594","HathiTrust Record")</f>
        <v>HathiTrust Record</v>
      </c>
      <c r="AS1904" s="6" t="str">
        <f>HYPERLINK("https://creighton-primo.hosted.exlibrisgroup.com/primo-explore/search?tab=default_tab&amp;search_scope=EVERYTHING&amp;vid=01CRU&amp;lang=en_US&amp;offset=0&amp;query=any,contains,991002412959702656","Catalog Record")</f>
        <v>Catalog Record</v>
      </c>
      <c r="AT1904" s="6" t="str">
        <f>HYPERLINK("http://www.worldcat.org/oclc/340479","WorldCat Record")</f>
        <v>WorldCat Record</v>
      </c>
      <c r="AU1904" s="3" t="s">
        <v>23270</v>
      </c>
      <c r="AV1904" s="3" t="s">
        <v>23271</v>
      </c>
      <c r="AW1904" s="3" t="s">
        <v>23272</v>
      </c>
      <c r="AX1904" s="3" t="s">
        <v>23272</v>
      </c>
      <c r="AY1904" s="3" t="s">
        <v>23273</v>
      </c>
      <c r="AZ1904" s="3" t="s">
        <v>73</v>
      </c>
      <c r="BB1904" s="3" t="s">
        <v>23274</v>
      </c>
      <c r="BC1904" s="3" t="s">
        <v>23275</v>
      </c>
      <c r="BD1904" s="3" t="s">
        <v>23276</v>
      </c>
    </row>
    <row r="1905" spans="1:56" ht="51" customHeight="1" x14ac:dyDescent="0.25">
      <c r="A1905" s="7" t="s">
        <v>58</v>
      </c>
      <c r="B1905" s="2" t="s">
        <v>23277</v>
      </c>
      <c r="C1905" s="2" t="s">
        <v>23278</v>
      </c>
      <c r="D1905" s="2" t="s">
        <v>23279</v>
      </c>
      <c r="F1905" s="3" t="s">
        <v>58</v>
      </c>
      <c r="G1905" s="3" t="s">
        <v>59</v>
      </c>
      <c r="H1905" s="3" t="s">
        <v>58</v>
      </c>
      <c r="I1905" s="3" t="s">
        <v>58</v>
      </c>
      <c r="J1905" s="3" t="s">
        <v>60</v>
      </c>
      <c r="K1905" s="2" t="s">
        <v>23280</v>
      </c>
      <c r="L1905" s="2" t="s">
        <v>23281</v>
      </c>
      <c r="M1905" s="3" t="s">
        <v>2757</v>
      </c>
      <c r="O1905" s="3" t="s">
        <v>63</v>
      </c>
      <c r="P1905" s="3" t="s">
        <v>411</v>
      </c>
      <c r="R1905" s="3" t="s">
        <v>65</v>
      </c>
      <c r="S1905" s="4">
        <v>1</v>
      </c>
      <c r="T1905" s="4">
        <v>1</v>
      </c>
      <c r="U1905" s="5" t="s">
        <v>22866</v>
      </c>
      <c r="V1905" s="5" t="s">
        <v>22866</v>
      </c>
      <c r="W1905" s="5" t="s">
        <v>17547</v>
      </c>
      <c r="X1905" s="5" t="s">
        <v>17547</v>
      </c>
      <c r="Y1905" s="4">
        <v>647</v>
      </c>
      <c r="Z1905" s="4">
        <v>612</v>
      </c>
      <c r="AA1905" s="4">
        <v>830</v>
      </c>
      <c r="AB1905" s="4">
        <v>7</v>
      </c>
      <c r="AC1905" s="4">
        <v>8</v>
      </c>
      <c r="AD1905" s="4">
        <v>25</v>
      </c>
      <c r="AE1905" s="4">
        <v>35</v>
      </c>
      <c r="AF1905" s="4">
        <v>10</v>
      </c>
      <c r="AG1905" s="4">
        <v>14</v>
      </c>
      <c r="AH1905" s="4">
        <v>3</v>
      </c>
      <c r="AI1905" s="4">
        <v>5</v>
      </c>
      <c r="AJ1905" s="4">
        <v>9</v>
      </c>
      <c r="AK1905" s="4">
        <v>15</v>
      </c>
      <c r="AL1905" s="4">
        <v>5</v>
      </c>
      <c r="AM1905" s="4">
        <v>6</v>
      </c>
      <c r="AN1905" s="4">
        <v>0</v>
      </c>
      <c r="AO1905" s="4">
        <v>0</v>
      </c>
      <c r="AP1905" s="3" t="s">
        <v>58</v>
      </c>
      <c r="AQ1905" s="3" t="s">
        <v>58</v>
      </c>
      <c r="AS1905" s="6" t="str">
        <f>HYPERLINK("https://creighton-primo.hosted.exlibrisgroup.com/primo-explore/search?tab=default_tab&amp;search_scope=EVERYTHING&amp;vid=01CRU&amp;lang=en_US&amp;offset=0&amp;query=any,contains,991001931409702656","Catalog Record")</f>
        <v>Catalog Record</v>
      </c>
      <c r="AT1905" s="6" t="str">
        <f>HYPERLINK("http://www.worldcat.org/oclc/248972","WorldCat Record")</f>
        <v>WorldCat Record</v>
      </c>
      <c r="AU1905" s="3" t="s">
        <v>23282</v>
      </c>
      <c r="AV1905" s="3" t="s">
        <v>23283</v>
      </c>
      <c r="AW1905" s="3" t="s">
        <v>23284</v>
      </c>
      <c r="AX1905" s="3" t="s">
        <v>23284</v>
      </c>
      <c r="AY1905" s="3" t="s">
        <v>23285</v>
      </c>
      <c r="AZ1905" s="3" t="s">
        <v>73</v>
      </c>
      <c r="BC1905" s="3" t="s">
        <v>23286</v>
      </c>
      <c r="BD1905" s="3" t="s">
        <v>23287</v>
      </c>
    </row>
    <row r="1906" spans="1:56" ht="51" customHeight="1" x14ac:dyDescent="0.25">
      <c r="A1906" s="7" t="s">
        <v>58</v>
      </c>
      <c r="B1906" s="2" t="s">
        <v>23288</v>
      </c>
      <c r="C1906" s="2" t="s">
        <v>23289</v>
      </c>
      <c r="D1906" s="2" t="s">
        <v>23290</v>
      </c>
      <c r="F1906" s="3" t="s">
        <v>58</v>
      </c>
      <c r="G1906" s="3" t="s">
        <v>59</v>
      </c>
      <c r="H1906" s="3" t="s">
        <v>58</v>
      </c>
      <c r="I1906" s="3" t="s">
        <v>58</v>
      </c>
      <c r="J1906" s="3" t="s">
        <v>60</v>
      </c>
      <c r="K1906" s="2" t="s">
        <v>23291</v>
      </c>
      <c r="L1906" s="2" t="s">
        <v>23292</v>
      </c>
      <c r="M1906" s="3" t="s">
        <v>1061</v>
      </c>
      <c r="N1906" s="2" t="s">
        <v>338</v>
      </c>
      <c r="O1906" s="3" t="s">
        <v>63</v>
      </c>
      <c r="P1906" s="3" t="s">
        <v>1584</v>
      </c>
      <c r="R1906" s="3" t="s">
        <v>65</v>
      </c>
      <c r="S1906" s="4">
        <v>2</v>
      </c>
      <c r="T1906" s="4">
        <v>2</v>
      </c>
      <c r="U1906" s="5" t="s">
        <v>17972</v>
      </c>
      <c r="V1906" s="5" t="s">
        <v>17972</v>
      </c>
      <c r="W1906" s="5" t="s">
        <v>23293</v>
      </c>
      <c r="X1906" s="5" t="s">
        <v>23293</v>
      </c>
      <c r="Y1906" s="4">
        <v>400</v>
      </c>
      <c r="Z1906" s="4">
        <v>359</v>
      </c>
      <c r="AA1906" s="4">
        <v>365</v>
      </c>
      <c r="AB1906" s="4">
        <v>3</v>
      </c>
      <c r="AC1906" s="4">
        <v>3</v>
      </c>
      <c r="AD1906" s="4">
        <v>7</v>
      </c>
      <c r="AE1906" s="4">
        <v>7</v>
      </c>
      <c r="AF1906" s="4">
        <v>0</v>
      </c>
      <c r="AG1906" s="4">
        <v>0</v>
      </c>
      <c r="AH1906" s="4">
        <v>3</v>
      </c>
      <c r="AI1906" s="4">
        <v>3</v>
      </c>
      <c r="AJ1906" s="4">
        <v>3</v>
      </c>
      <c r="AK1906" s="4">
        <v>3</v>
      </c>
      <c r="AL1906" s="4">
        <v>2</v>
      </c>
      <c r="AM1906" s="4">
        <v>2</v>
      </c>
      <c r="AN1906" s="4">
        <v>0</v>
      </c>
      <c r="AO1906" s="4">
        <v>0</v>
      </c>
      <c r="AP1906" s="3" t="s">
        <v>58</v>
      </c>
      <c r="AQ1906" s="3" t="s">
        <v>68</v>
      </c>
      <c r="AR1906" s="6" t="str">
        <f>HYPERLINK("http://catalog.hathitrust.org/Record/003137779","HathiTrust Record")</f>
        <v>HathiTrust Record</v>
      </c>
      <c r="AS1906" s="6" t="str">
        <f>HYPERLINK("https://creighton-primo.hosted.exlibrisgroup.com/primo-explore/search?tab=default_tab&amp;search_scope=EVERYTHING&amp;vid=01CRU&amp;lang=en_US&amp;offset=0&amp;query=any,contains,991002694839702656","Catalog Record")</f>
        <v>Catalog Record</v>
      </c>
      <c r="AT1906" s="6" t="str">
        <f>HYPERLINK("http://www.worldcat.org/oclc/35192194","WorldCat Record")</f>
        <v>WorldCat Record</v>
      </c>
      <c r="AU1906" s="3" t="s">
        <v>23294</v>
      </c>
      <c r="AV1906" s="3" t="s">
        <v>23295</v>
      </c>
      <c r="AW1906" s="3" t="s">
        <v>23296</v>
      </c>
      <c r="AX1906" s="3" t="s">
        <v>23296</v>
      </c>
      <c r="AY1906" s="3" t="s">
        <v>23297</v>
      </c>
      <c r="AZ1906" s="3" t="s">
        <v>73</v>
      </c>
      <c r="BB1906" s="3" t="s">
        <v>23298</v>
      </c>
      <c r="BC1906" s="3" t="s">
        <v>23299</v>
      </c>
      <c r="BD1906" s="3" t="s">
        <v>23300</v>
      </c>
    </row>
    <row r="1907" spans="1:56" ht="51" customHeight="1" x14ac:dyDescent="0.25">
      <c r="A1907" s="7" t="s">
        <v>58</v>
      </c>
      <c r="B1907" s="2" t="s">
        <v>23301</v>
      </c>
      <c r="C1907" s="2" t="s">
        <v>23302</v>
      </c>
      <c r="D1907" s="2" t="s">
        <v>23303</v>
      </c>
      <c r="F1907" s="3" t="s">
        <v>58</v>
      </c>
      <c r="G1907" s="3" t="s">
        <v>59</v>
      </c>
      <c r="H1907" s="3" t="s">
        <v>58</v>
      </c>
      <c r="I1907" s="3" t="s">
        <v>58</v>
      </c>
      <c r="J1907" s="3" t="s">
        <v>60</v>
      </c>
      <c r="L1907" s="2" t="s">
        <v>23304</v>
      </c>
      <c r="M1907" s="3" t="s">
        <v>154</v>
      </c>
      <c r="O1907" s="3" t="s">
        <v>63</v>
      </c>
      <c r="P1907" s="3" t="s">
        <v>2061</v>
      </c>
      <c r="R1907" s="3" t="s">
        <v>65</v>
      </c>
      <c r="S1907" s="4">
        <v>16</v>
      </c>
      <c r="T1907" s="4">
        <v>16</v>
      </c>
      <c r="U1907" s="5" t="s">
        <v>23305</v>
      </c>
      <c r="V1907" s="5" t="s">
        <v>23305</v>
      </c>
      <c r="W1907" s="5" t="s">
        <v>6065</v>
      </c>
      <c r="X1907" s="5" t="s">
        <v>6065</v>
      </c>
      <c r="Y1907" s="4">
        <v>1017</v>
      </c>
      <c r="Z1907" s="4">
        <v>956</v>
      </c>
      <c r="AA1907" s="4">
        <v>966</v>
      </c>
      <c r="AB1907" s="4">
        <v>8</v>
      </c>
      <c r="AC1907" s="4">
        <v>8</v>
      </c>
      <c r="AD1907" s="4">
        <v>17</v>
      </c>
      <c r="AE1907" s="4">
        <v>17</v>
      </c>
      <c r="AF1907" s="4">
        <v>6</v>
      </c>
      <c r="AG1907" s="4">
        <v>6</v>
      </c>
      <c r="AH1907" s="4">
        <v>3</v>
      </c>
      <c r="AI1907" s="4">
        <v>3</v>
      </c>
      <c r="AJ1907" s="4">
        <v>8</v>
      </c>
      <c r="AK1907" s="4">
        <v>8</v>
      </c>
      <c r="AL1907" s="4">
        <v>3</v>
      </c>
      <c r="AM1907" s="4">
        <v>3</v>
      </c>
      <c r="AN1907" s="4">
        <v>0</v>
      </c>
      <c r="AO1907" s="4">
        <v>0</v>
      </c>
      <c r="AP1907" s="3" t="s">
        <v>58</v>
      </c>
      <c r="AQ1907" s="3" t="s">
        <v>68</v>
      </c>
      <c r="AR1907" s="6" t="str">
        <f>HYPERLINK("http://catalog.hathitrust.org/Record/002218240","HathiTrust Record")</f>
        <v>HathiTrust Record</v>
      </c>
      <c r="AS1907" s="6" t="str">
        <f>HYPERLINK("https://creighton-primo.hosted.exlibrisgroup.com/primo-explore/search?tab=default_tab&amp;search_scope=EVERYTHING&amp;vid=01CRU&amp;lang=en_US&amp;offset=0&amp;query=any,contains,991001505749702656","Catalog Record")</f>
        <v>Catalog Record</v>
      </c>
      <c r="AT1907" s="6" t="str">
        <f>HYPERLINK("http://www.worldcat.org/oclc/19845449","WorldCat Record")</f>
        <v>WorldCat Record</v>
      </c>
      <c r="AU1907" s="3" t="s">
        <v>23306</v>
      </c>
      <c r="AV1907" s="3" t="s">
        <v>23307</v>
      </c>
      <c r="AW1907" s="3" t="s">
        <v>23308</v>
      </c>
      <c r="AX1907" s="3" t="s">
        <v>23308</v>
      </c>
      <c r="AY1907" s="3" t="s">
        <v>23309</v>
      </c>
      <c r="AZ1907" s="3" t="s">
        <v>73</v>
      </c>
      <c r="BB1907" s="3" t="s">
        <v>23310</v>
      </c>
      <c r="BC1907" s="3" t="s">
        <v>23311</v>
      </c>
      <c r="BD1907" s="3" t="s">
        <v>23312</v>
      </c>
    </row>
    <row r="1908" spans="1:56" ht="51" customHeight="1" x14ac:dyDescent="0.25">
      <c r="A1908" s="7" t="s">
        <v>58</v>
      </c>
      <c r="B1908" s="2" t="s">
        <v>23313</v>
      </c>
      <c r="C1908" s="2" t="s">
        <v>23314</v>
      </c>
      <c r="D1908" s="2" t="s">
        <v>23315</v>
      </c>
      <c r="F1908" s="3" t="s">
        <v>58</v>
      </c>
      <c r="G1908" s="3" t="s">
        <v>59</v>
      </c>
      <c r="H1908" s="3" t="s">
        <v>58</v>
      </c>
      <c r="I1908" s="3" t="s">
        <v>58</v>
      </c>
      <c r="J1908" s="3" t="s">
        <v>60</v>
      </c>
      <c r="K1908" s="2" t="s">
        <v>23316</v>
      </c>
      <c r="L1908" s="2" t="s">
        <v>23317</v>
      </c>
      <c r="M1908" s="3" t="s">
        <v>2295</v>
      </c>
      <c r="N1908" s="2" t="s">
        <v>23023</v>
      </c>
      <c r="O1908" s="3" t="s">
        <v>16605</v>
      </c>
      <c r="P1908" s="3" t="s">
        <v>23024</v>
      </c>
      <c r="Q1908" s="2" t="s">
        <v>23318</v>
      </c>
      <c r="R1908" s="3" t="s">
        <v>65</v>
      </c>
      <c r="S1908" s="4">
        <v>1</v>
      </c>
      <c r="T1908" s="4">
        <v>1</v>
      </c>
      <c r="U1908" s="5" t="s">
        <v>16608</v>
      </c>
      <c r="V1908" s="5" t="s">
        <v>16608</v>
      </c>
      <c r="W1908" s="5" t="s">
        <v>16608</v>
      </c>
      <c r="X1908" s="5" t="s">
        <v>16608</v>
      </c>
      <c r="Y1908" s="4">
        <v>3</v>
      </c>
      <c r="Z1908" s="4">
        <v>1</v>
      </c>
      <c r="AA1908" s="4">
        <v>8</v>
      </c>
      <c r="AB1908" s="4">
        <v>1</v>
      </c>
      <c r="AC1908" s="4">
        <v>1</v>
      </c>
      <c r="AD1908" s="4">
        <v>0</v>
      </c>
      <c r="AE1908" s="4">
        <v>0</v>
      </c>
      <c r="AF1908" s="4">
        <v>0</v>
      </c>
      <c r="AG1908" s="4">
        <v>0</v>
      </c>
      <c r="AH1908" s="4">
        <v>0</v>
      </c>
      <c r="AI1908" s="4">
        <v>0</v>
      </c>
      <c r="AJ1908" s="4">
        <v>0</v>
      </c>
      <c r="AK1908" s="4">
        <v>0</v>
      </c>
      <c r="AL1908" s="4">
        <v>0</v>
      </c>
      <c r="AM1908" s="4">
        <v>0</v>
      </c>
      <c r="AN1908" s="4">
        <v>0</v>
      </c>
      <c r="AO1908" s="4">
        <v>0</v>
      </c>
      <c r="AP1908" s="3" t="s">
        <v>58</v>
      </c>
      <c r="AQ1908" s="3" t="s">
        <v>58</v>
      </c>
      <c r="AS1908" s="6" t="str">
        <f>HYPERLINK("https://creighton-primo.hosted.exlibrisgroup.com/primo-explore/search?tab=default_tab&amp;search_scope=EVERYTHING&amp;vid=01CRU&amp;lang=en_US&amp;offset=0&amp;query=any,contains,991005074559702656","Catalog Record")</f>
        <v>Catalog Record</v>
      </c>
      <c r="AT1908" s="6" t="str">
        <f>HYPERLINK("http://www.worldcat.org/oclc/71289316","WorldCat Record")</f>
        <v>WorldCat Record</v>
      </c>
      <c r="AU1908" s="3" t="s">
        <v>23319</v>
      </c>
      <c r="AV1908" s="3" t="s">
        <v>23320</v>
      </c>
      <c r="AW1908" s="3" t="s">
        <v>23321</v>
      </c>
      <c r="AX1908" s="3" t="s">
        <v>23321</v>
      </c>
      <c r="AY1908" s="3" t="s">
        <v>23322</v>
      </c>
      <c r="AZ1908" s="3" t="s">
        <v>73</v>
      </c>
      <c r="BB1908" s="3" t="s">
        <v>23323</v>
      </c>
      <c r="BC1908" s="3" t="s">
        <v>23324</v>
      </c>
      <c r="BD1908" s="3" t="s">
        <v>23325</v>
      </c>
    </row>
    <row r="1909" spans="1:56" ht="51" customHeight="1" x14ac:dyDescent="0.25">
      <c r="A1909" s="7" t="s">
        <v>58</v>
      </c>
      <c r="B1909" s="2" t="s">
        <v>23326</v>
      </c>
      <c r="C1909" s="2" t="s">
        <v>23327</v>
      </c>
      <c r="D1909" s="2" t="s">
        <v>23328</v>
      </c>
      <c r="F1909" s="3" t="s">
        <v>58</v>
      </c>
      <c r="G1909" s="3" t="s">
        <v>59</v>
      </c>
      <c r="H1909" s="3" t="s">
        <v>58</v>
      </c>
      <c r="I1909" s="3" t="s">
        <v>58</v>
      </c>
      <c r="J1909" s="3" t="s">
        <v>60</v>
      </c>
      <c r="K1909" s="2" t="s">
        <v>23329</v>
      </c>
      <c r="L1909" s="2" t="s">
        <v>23330</v>
      </c>
      <c r="M1909" s="3" t="s">
        <v>524</v>
      </c>
      <c r="N1909" s="2" t="s">
        <v>338</v>
      </c>
      <c r="O1909" s="3" t="s">
        <v>63</v>
      </c>
      <c r="P1909" s="3" t="s">
        <v>214</v>
      </c>
      <c r="R1909" s="3" t="s">
        <v>65</v>
      </c>
      <c r="S1909" s="4">
        <v>16</v>
      </c>
      <c r="T1909" s="4">
        <v>16</v>
      </c>
      <c r="U1909" s="5" t="s">
        <v>23331</v>
      </c>
      <c r="V1909" s="5" t="s">
        <v>23331</v>
      </c>
      <c r="W1909" s="5" t="s">
        <v>20121</v>
      </c>
      <c r="X1909" s="5" t="s">
        <v>20121</v>
      </c>
      <c r="Y1909" s="4">
        <v>1171</v>
      </c>
      <c r="Z1909" s="4">
        <v>1118</v>
      </c>
      <c r="AA1909" s="4">
        <v>1679</v>
      </c>
      <c r="AB1909" s="4">
        <v>6</v>
      </c>
      <c r="AC1909" s="4">
        <v>10</v>
      </c>
      <c r="AD1909" s="4">
        <v>20</v>
      </c>
      <c r="AE1909" s="4">
        <v>29</v>
      </c>
      <c r="AF1909" s="4">
        <v>9</v>
      </c>
      <c r="AG1909" s="4">
        <v>13</v>
      </c>
      <c r="AH1909" s="4">
        <v>4</v>
      </c>
      <c r="AI1909" s="4">
        <v>5</v>
      </c>
      <c r="AJ1909" s="4">
        <v>10</v>
      </c>
      <c r="AK1909" s="4">
        <v>14</v>
      </c>
      <c r="AL1909" s="4">
        <v>1</v>
      </c>
      <c r="AM1909" s="4">
        <v>4</v>
      </c>
      <c r="AN1909" s="4">
        <v>1</v>
      </c>
      <c r="AO1909" s="4">
        <v>1</v>
      </c>
      <c r="AP1909" s="3" t="s">
        <v>58</v>
      </c>
      <c r="AQ1909" s="3" t="s">
        <v>68</v>
      </c>
      <c r="AR1909" s="6" t="str">
        <f>HYPERLINK("http://catalog.hathitrust.org/Record/000444701","HathiTrust Record")</f>
        <v>HathiTrust Record</v>
      </c>
      <c r="AS1909" s="6" t="str">
        <f>HYPERLINK("https://creighton-primo.hosted.exlibrisgroup.com/primo-explore/search?tab=default_tab&amp;search_scope=EVERYTHING&amp;vid=01CRU&amp;lang=en_US&amp;offset=0&amp;query=any,contains,991000848609702656","Catalog Record")</f>
        <v>Catalog Record</v>
      </c>
      <c r="AT1909" s="6" t="str">
        <f>HYPERLINK("http://www.worldcat.org/oclc/13580691","WorldCat Record")</f>
        <v>WorldCat Record</v>
      </c>
      <c r="AU1909" s="3" t="s">
        <v>23332</v>
      </c>
      <c r="AV1909" s="3" t="s">
        <v>23333</v>
      </c>
      <c r="AW1909" s="3" t="s">
        <v>23334</v>
      </c>
      <c r="AX1909" s="3" t="s">
        <v>23334</v>
      </c>
      <c r="AY1909" s="3" t="s">
        <v>23335</v>
      </c>
      <c r="AZ1909" s="3" t="s">
        <v>73</v>
      </c>
      <c r="BB1909" s="3" t="s">
        <v>23336</v>
      </c>
      <c r="BC1909" s="3" t="s">
        <v>23337</v>
      </c>
      <c r="BD1909" s="3" t="s">
        <v>23338</v>
      </c>
    </row>
    <row r="1910" spans="1:56" ht="51" customHeight="1" x14ac:dyDescent="0.25">
      <c r="A1910" s="7" t="s">
        <v>58</v>
      </c>
      <c r="B1910" s="2" t="s">
        <v>23339</v>
      </c>
      <c r="C1910" s="2" t="s">
        <v>23340</v>
      </c>
      <c r="D1910" s="2" t="s">
        <v>23341</v>
      </c>
      <c r="F1910" s="3" t="s">
        <v>58</v>
      </c>
      <c r="G1910" s="3" t="s">
        <v>59</v>
      </c>
      <c r="H1910" s="3" t="s">
        <v>58</v>
      </c>
      <c r="I1910" s="3" t="s">
        <v>58</v>
      </c>
      <c r="J1910" s="3" t="s">
        <v>60</v>
      </c>
      <c r="K1910" s="2" t="s">
        <v>23342</v>
      </c>
      <c r="L1910" s="2" t="s">
        <v>23343</v>
      </c>
      <c r="M1910" s="3" t="s">
        <v>1499</v>
      </c>
      <c r="O1910" s="3" t="s">
        <v>63</v>
      </c>
      <c r="P1910" s="3" t="s">
        <v>214</v>
      </c>
      <c r="R1910" s="3" t="s">
        <v>65</v>
      </c>
      <c r="S1910" s="4">
        <v>3</v>
      </c>
      <c r="T1910" s="4">
        <v>3</v>
      </c>
      <c r="U1910" s="5" t="s">
        <v>15920</v>
      </c>
      <c r="V1910" s="5" t="s">
        <v>15920</v>
      </c>
      <c r="W1910" s="5" t="s">
        <v>4607</v>
      </c>
      <c r="X1910" s="5" t="s">
        <v>4607</v>
      </c>
      <c r="Y1910" s="4">
        <v>239</v>
      </c>
      <c r="Z1910" s="4">
        <v>219</v>
      </c>
      <c r="AA1910" s="4">
        <v>413</v>
      </c>
      <c r="AB1910" s="4">
        <v>2</v>
      </c>
      <c r="AC1910" s="4">
        <v>3</v>
      </c>
      <c r="AD1910" s="4">
        <v>12</v>
      </c>
      <c r="AE1910" s="4">
        <v>15</v>
      </c>
      <c r="AF1910" s="4">
        <v>4</v>
      </c>
      <c r="AG1910" s="4">
        <v>4</v>
      </c>
      <c r="AH1910" s="4">
        <v>4</v>
      </c>
      <c r="AI1910" s="4">
        <v>6</v>
      </c>
      <c r="AJ1910" s="4">
        <v>6</v>
      </c>
      <c r="AK1910" s="4">
        <v>6</v>
      </c>
      <c r="AL1910" s="4">
        <v>1</v>
      </c>
      <c r="AM1910" s="4">
        <v>2</v>
      </c>
      <c r="AN1910" s="4">
        <v>0</v>
      </c>
      <c r="AO1910" s="4">
        <v>0</v>
      </c>
      <c r="AP1910" s="3" t="s">
        <v>58</v>
      </c>
      <c r="AQ1910" s="3" t="s">
        <v>58</v>
      </c>
      <c r="AS1910" s="6" t="str">
        <f>HYPERLINK("https://creighton-primo.hosted.exlibrisgroup.com/primo-explore/search?tab=default_tab&amp;search_scope=EVERYTHING&amp;vid=01CRU&amp;lang=en_US&amp;offset=0&amp;query=any,contains,991000051369702656","Catalog Record")</f>
        <v>Catalog Record</v>
      </c>
      <c r="AT1910" s="6" t="str">
        <f>HYPERLINK("http://www.worldcat.org/oclc/22873","WorldCat Record")</f>
        <v>WorldCat Record</v>
      </c>
      <c r="AU1910" s="3" t="s">
        <v>23344</v>
      </c>
      <c r="AV1910" s="3" t="s">
        <v>23345</v>
      </c>
      <c r="AW1910" s="3" t="s">
        <v>23346</v>
      </c>
      <c r="AX1910" s="3" t="s">
        <v>23346</v>
      </c>
      <c r="AY1910" s="3" t="s">
        <v>23347</v>
      </c>
      <c r="AZ1910" s="3" t="s">
        <v>73</v>
      </c>
      <c r="BC1910" s="3" t="s">
        <v>23348</v>
      </c>
      <c r="BD1910" s="3" t="s">
        <v>23349</v>
      </c>
    </row>
    <row r="1911" spans="1:56" ht="51" customHeight="1" x14ac:dyDescent="0.25">
      <c r="A1911" s="7" t="s">
        <v>58</v>
      </c>
      <c r="B1911" s="2" t="s">
        <v>23350</v>
      </c>
      <c r="C1911" s="2" t="s">
        <v>23351</v>
      </c>
      <c r="D1911" s="2" t="s">
        <v>23352</v>
      </c>
      <c r="F1911" s="3" t="s">
        <v>58</v>
      </c>
      <c r="G1911" s="3" t="s">
        <v>59</v>
      </c>
      <c r="H1911" s="3" t="s">
        <v>58</v>
      </c>
      <c r="I1911" s="3" t="s">
        <v>58</v>
      </c>
      <c r="J1911" s="3" t="s">
        <v>60</v>
      </c>
      <c r="K1911" s="2" t="s">
        <v>23353</v>
      </c>
      <c r="L1911" s="2" t="s">
        <v>17650</v>
      </c>
      <c r="M1911" s="3" t="s">
        <v>2132</v>
      </c>
      <c r="O1911" s="3" t="s">
        <v>63</v>
      </c>
      <c r="P1911" s="3" t="s">
        <v>510</v>
      </c>
      <c r="R1911" s="3" t="s">
        <v>65</v>
      </c>
      <c r="S1911" s="4">
        <v>4</v>
      </c>
      <c r="T1911" s="4">
        <v>4</v>
      </c>
      <c r="U1911" s="5" t="s">
        <v>23354</v>
      </c>
      <c r="V1911" s="5" t="s">
        <v>23354</v>
      </c>
      <c r="W1911" s="5" t="s">
        <v>23355</v>
      </c>
      <c r="X1911" s="5" t="s">
        <v>23355</v>
      </c>
      <c r="Y1911" s="4">
        <v>962</v>
      </c>
      <c r="Z1911" s="4">
        <v>795</v>
      </c>
      <c r="AA1911" s="4">
        <v>866</v>
      </c>
      <c r="AB1911" s="4">
        <v>3</v>
      </c>
      <c r="AC1911" s="4">
        <v>3</v>
      </c>
      <c r="AD1911" s="4">
        <v>33</v>
      </c>
      <c r="AE1911" s="4">
        <v>35</v>
      </c>
      <c r="AF1911" s="4">
        <v>13</v>
      </c>
      <c r="AG1911" s="4">
        <v>14</v>
      </c>
      <c r="AH1911" s="4">
        <v>7</v>
      </c>
      <c r="AI1911" s="4">
        <v>8</v>
      </c>
      <c r="AJ1911" s="4">
        <v>19</v>
      </c>
      <c r="AK1911" s="4">
        <v>20</v>
      </c>
      <c r="AL1911" s="4">
        <v>2</v>
      </c>
      <c r="AM1911" s="4">
        <v>2</v>
      </c>
      <c r="AN1911" s="4">
        <v>1</v>
      </c>
      <c r="AO1911" s="4">
        <v>1</v>
      </c>
      <c r="AP1911" s="3" t="s">
        <v>58</v>
      </c>
      <c r="AQ1911" s="3" t="s">
        <v>68</v>
      </c>
      <c r="AR1911" s="6" t="str">
        <f>HYPERLINK("http://catalog.hathitrust.org/Record/001871478","HathiTrust Record")</f>
        <v>HathiTrust Record</v>
      </c>
      <c r="AS1911" s="6" t="str">
        <f>HYPERLINK("https://creighton-primo.hosted.exlibrisgroup.com/primo-explore/search?tab=default_tab&amp;search_scope=EVERYTHING&amp;vid=01CRU&amp;lang=en_US&amp;offset=0&amp;query=any,contains,991001045939702656","Catalog Record")</f>
        <v>Catalog Record</v>
      </c>
      <c r="AT1911" s="6" t="str">
        <f>HYPERLINK("http://www.worldcat.org/oclc/176109","WorldCat Record")</f>
        <v>WorldCat Record</v>
      </c>
      <c r="AU1911" s="3" t="s">
        <v>23356</v>
      </c>
      <c r="AV1911" s="3" t="s">
        <v>23357</v>
      </c>
      <c r="AW1911" s="3" t="s">
        <v>23358</v>
      </c>
      <c r="AX1911" s="3" t="s">
        <v>23358</v>
      </c>
      <c r="AY1911" s="3" t="s">
        <v>23359</v>
      </c>
      <c r="AZ1911" s="3" t="s">
        <v>73</v>
      </c>
      <c r="BC1911" s="3" t="s">
        <v>23360</v>
      </c>
      <c r="BD1911" s="3" t="s">
        <v>23361</v>
      </c>
    </row>
    <row r="1912" spans="1:56" ht="51" customHeight="1" x14ac:dyDescent="0.25">
      <c r="A1912" s="7" t="s">
        <v>58</v>
      </c>
      <c r="B1912" s="2" t="s">
        <v>23362</v>
      </c>
      <c r="C1912" s="2" t="s">
        <v>23363</v>
      </c>
      <c r="D1912" s="2" t="s">
        <v>23364</v>
      </c>
      <c r="F1912" s="3" t="s">
        <v>58</v>
      </c>
      <c r="G1912" s="3" t="s">
        <v>59</v>
      </c>
      <c r="H1912" s="3" t="s">
        <v>58</v>
      </c>
      <c r="I1912" s="3" t="s">
        <v>58</v>
      </c>
      <c r="J1912" s="3" t="s">
        <v>60</v>
      </c>
      <c r="K1912" s="2" t="s">
        <v>23365</v>
      </c>
      <c r="L1912" s="2" t="s">
        <v>23366</v>
      </c>
      <c r="M1912" s="3" t="s">
        <v>626</v>
      </c>
      <c r="O1912" s="3" t="s">
        <v>63</v>
      </c>
      <c r="P1912" s="3" t="s">
        <v>214</v>
      </c>
      <c r="R1912" s="3" t="s">
        <v>65</v>
      </c>
      <c r="S1912" s="4">
        <v>9</v>
      </c>
      <c r="T1912" s="4">
        <v>9</v>
      </c>
      <c r="U1912" s="5" t="s">
        <v>10342</v>
      </c>
      <c r="V1912" s="5" t="s">
        <v>10342</v>
      </c>
      <c r="W1912" s="5" t="s">
        <v>23367</v>
      </c>
      <c r="X1912" s="5" t="s">
        <v>23367</v>
      </c>
      <c r="Y1912" s="4">
        <v>1481</v>
      </c>
      <c r="Z1912" s="4">
        <v>1401</v>
      </c>
      <c r="AA1912" s="4">
        <v>1463</v>
      </c>
      <c r="AB1912" s="4">
        <v>10</v>
      </c>
      <c r="AC1912" s="4">
        <v>10</v>
      </c>
      <c r="AD1912" s="4">
        <v>31</v>
      </c>
      <c r="AE1912" s="4">
        <v>33</v>
      </c>
      <c r="AF1912" s="4">
        <v>13</v>
      </c>
      <c r="AG1912" s="4">
        <v>15</v>
      </c>
      <c r="AH1912" s="4">
        <v>6</v>
      </c>
      <c r="AI1912" s="4">
        <v>6</v>
      </c>
      <c r="AJ1912" s="4">
        <v>10</v>
      </c>
      <c r="AK1912" s="4">
        <v>11</v>
      </c>
      <c r="AL1912" s="4">
        <v>7</v>
      </c>
      <c r="AM1912" s="4">
        <v>7</v>
      </c>
      <c r="AN1912" s="4">
        <v>0</v>
      </c>
      <c r="AO1912" s="4">
        <v>0</v>
      </c>
      <c r="AP1912" s="3" t="s">
        <v>58</v>
      </c>
      <c r="AQ1912" s="3" t="s">
        <v>58</v>
      </c>
      <c r="AS1912" s="6" t="str">
        <f>HYPERLINK("https://creighton-primo.hosted.exlibrisgroup.com/primo-explore/search?tab=default_tab&amp;search_scope=EVERYTHING&amp;vid=01CRU&amp;lang=en_US&amp;offset=0&amp;query=any,contains,991000116639702656","Catalog Record")</f>
        <v>Catalog Record</v>
      </c>
      <c r="AT1912" s="6" t="str">
        <f>HYPERLINK("http://www.worldcat.org/oclc/9042225","WorldCat Record")</f>
        <v>WorldCat Record</v>
      </c>
      <c r="AU1912" s="3" t="s">
        <v>23368</v>
      </c>
      <c r="AV1912" s="3" t="s">
        <v>23369</v>
      </c>
      <c r="AW1912" s="3" t="s">
        <v>23370</v>
      </c>
      <c r="AX1912" s="3" t="s">
        <v>23370</v>
      </c>
      <c r="AY1912" s="3" t="s">
        <v>23371</v>
      </c>
      <c r="AZ1912" s="3" t="s">
        <v>73</v>
      </c>
      <c r="BB1912" s="3" t="s">
        <v>23372</v>
      </c>
      <c r="BC1912" s="3" t="s">
        <v>23373</v>
      </c>
      <c r="BD1912" s="3" t="s">
        <v>23374</v>
      </c>
    </row>
    <row r="1913" spans="1:56" ht="51" customHeight="1" x14ac:dyDescent="0.25">
      <c r="A1913" s="7" t="s">
        <v>58</v>
      </c>
      <c r="B1913" s="2" t="s">
        <v>23375</v>
      </c>
      <c r="C1913" s="2" t="s">
        <v>23376</v>
      </c>
      <c r="D1913" s="2" t="s">
        <v>23377</v>
      </c>
      <c r="F1913" s="3" t="s">
        <v>58</v>
      </c>
      <c r="G1913" s="3" t="s">
        <v>59</v>
      </c>
      <c r="H1913" s="3" t="s">
        <v>58</v>
      </c>
      <c r="I1913" s="3" t="s">
        <v>58</v>
      </c>
      <c r="J1913" s="3" t="s">
        <v>60</v>
      </c>
      <c r="L1913" s="2" t="s">
        <v>23378</v>
      </c>
      <c r="M1913" s="3" t="s">
        <v>479</v>
      </c>
      <c r="O1913" s="3" t="s">
        <v>63</v>
      </c>
      <c r="P1913" s="3" t="s">
        <v>411</v>
      </c>
      <c r="R1913" s="3" t="s">
        <v>65</v>
      </c>
      <c r="S1913" s="4">
        <v>2</v>
      </c>
      <c r="T1913" s="4">
        <v>2</v>
      </c>
      <c r="U1913" s="5" t="s">
        <v>23379</v>
      </c>
      <c r="V1913" s="5" t="s">
        <v>23379</v>
      </c>
      <c r="W1913" s="5" t="s">
        <v>21241</v>
      </c>
      <c r="X1913" s="5" t="s">
        <v>21241</v>
      </c>
      <c r="Y1913" s="4">
        <v>450</v>
      </c>
      <c r="Z1913" s="4">
        <v>322</v>
      </c>
      <c r="AA1913" s="4">
        <v>323</v>
      </c>
      <c r="AB1913" s="4">
        <v>3</v>
      </c>
      <c r="AC1913" s="4">
        <v>3</v>
      </c>
      <c r="AD1913" s="4">
        <v>17</v>
      </c>
      <c r="AE1913" s="4">
        <v>17</v>
      </c>
      <c r="AF1913" s="4">
        <v>5</v>
      </c>
      <c r="AG1913" s="4">
        <v>5</v>
      </c>
      <c r="AH1913" s="4">
        <v>5</v>
      </c>
      <c r="AI1913" s="4">
        <v>5</v>
      </c>
      <c r="AJ1913" s="4">
        <v>8</v>
      </c>
      <c r="AK1913" s="4">
        <v>8</v>
      </c>
      <c r="AL1913" s="4">
        <v>2</v>
      </c>
      <c r="AM1913" s="4">
        <v>2</v>
      </c>
      <c r="AN1913" s="4">
        <v>0</v>
      </c>
      <c r="AO1913" s="4">
        <v>0</v>
      </c>
      <c r="AP1913" s="3" t="s">
        <v>58</v>
      </c>
      <c r="AQ1913" s="3" t="s">
        <v>58</v>
      </c>
      <c r="AS1913" s="6" t="str">
        <f>HYPERLINK("https://creighton-primo.hosted.exlibrisgroup.com/primo-explore/search?tab=default_tab&amp;search_scope=EVERYTHING&amp;vid=01CRU&amp;lang=en_US&amp;offset=0&amp;query=any,contains,991002169489702656","Catalog Record")</f>
        <v>Catalog Record</v>
      </c>
      <c r="AT1913" s="6" t="str">
        <f>HYPERLINK("http://www.worldcat.org/oclc/27934874","WorldCat Record")</f>
        <v>WorldCat Record</v>
      </c>
      <c r="AU1913" s="3" t="s">
        <v>23380</v>
      </c>
      <c r="AV1913" s="3" t="s">
        <v>23381</v>
      </c>
      <c r="AW1913" s="3" t="s">
        <v>23382</v>
      </c>
      <c r="AX1913" s="3" t="s">
        <v>23382</v>
      </c>
      <c r="AY1913" s="3" t="s">
        <v>23383</v>
      </c>
      <c r="AZ1913" s="3" t="s">
        <v>73</v>
      </c>
      <c r="BB1913" s="3" t="s">
        <v>23384</v>
      </c>
      <c r="BC1913" s="3" t="s">
        <v>23385</v>
      </c>
      <c r="BD1913" s="3" t="s">
        <v>23386</v>
      </c>
    </row>
    <row r="1914" spans="1:56" ht="51" customHeight="1" x14ac:dyDescent="0.25">
      <c r="A1914" s="7" t="s">
        <v>58</v>
      </c>
      <c r="B1914" s="2" t="s">
        <v>23387</v>
      </c>
      <c r="C1914" s="2" t="s">
        <v>23388</v>
      </c>
      <c r="D1914" s="2" t="s">
        <v>23389</v>
      </c>
      <c r="F1914" s="3" t="s">
        <v>58</v>
      </c>
      <c r="G1914" s="3" t="s">
        <v>59</v>
      </c>
      <c r="H1914" s="3" t="s">
        <v>58</v>
      </c>
      <c r="I1914" s="3" t="s">
        <v>58</v>
      </c>
      <c r="J1914" s="3" t="s">
        <v>60</v>
      </c>
      <c r="K1914" s="2" t="s">
        <v>23390</v>
      </c>
      <c r="L1914" s="2" t="s">
        <v>23391</v>
      </c>
      <c r="M1914" s="3" t="s">
        <v>653</v>
      </c>
      <c r="O1914" s="3" t="s">
        <v>63</v>
      </c>
      <c r="P1914" s="3" t="s">
        <v>23392</v>
      </c>
      <c r="R1914" s="3" t="s">
        <v>65</v>
      </c>
      <c r="S1914" s="4">
        <v>10</v>
      </c>
      <c r="T1914" s="4">
        <v>10</v>
      </c>
      <c r="U1914" s="5" t="s">
        <v>7041</v>
      </c>
      <c r="V1914" s="5" t="s">
        <v>7041</v>
      </c>
      <c r="W1914" s="5" t="s">
        <v>23393</v>
      </c>
      <c r="X1914" s="5" t="s">
        <v>23393</v>
      </c>
      <c r="Y1914" s="4">
        <v>370</v>
      </c>
      <c r="Z1914" s="4">
        <v>255</v>
      </c>
      <c r="AA1914" s="4">
        <v>259</v>
      </c>
      <c r="AB1914" s="4">
        <v>2</v>
      </c>
      <c r="AC1914" s="4">
        <v>2</v>
      </c>
      <c r="AD1914" s="4">
        <v>14</v>
      </c>
      <c r="AE1914" s="4">
        <v>14</v>
      </c>
      <c r="AF1914" s="4">
        <v>3</v>
      </c>
      <c r="AG1914" s="4">
        <v>3</v>
      </c>
      <c r="AH1914" s="4">
        <v>4</v>
      </c>
      <c r="AI1914" s="4">
        <v>4</v>
      </c>
      <c r="AJ1914" s="4">
        <v>11</v>
      </c>
      <c r="AK1914" s="4">
        <v>11</v>
      </c>
      <c r="AL1914" s="4">
        <v>1</v>
      </c>
      <c r="AM1914" s="4">
        <v>1</v>
      </c>
      <c r="AN1914" s="4">
        <v>0</v>
      </c>
      <c r="AO1914" s="4">
        <v>0</v>
      </c>
      <c r="AP1914" s="3" t="s">
        <v>58</v>
      </c>
      <c r="AQ1914" s="3" t="s">
        <v>68</v>
      </c>
      <c r="AR1914" s="6" t="str">
        <f>HYPERLINK("http://catalog.hathitrust.org/Record/002805890","HathiTrust Record")</f>
        <v>HathiTrust Record</v>
      </c>
      <c r="AS1914" s="6" t="str">
        <f>HYPERLINK("https://creighton-primo.hosted.exlibrisgroup.com/primo-explore/search?tab=default_tab&amp;search_scope=EVERYTHING&amp;vid=01CRU&amp;lang=en_US&amp;offset=0&amp;query=any,contains,991001902999702656","Catalog Record")</f>
        <v>Catalog Record</v>
      </c>
      <c r="AT1914" s="6" t="str">
        <f>HYPERLINK("http://www.worldcat.org/oclc/24064886","WorldCat Record")</f>
        <v>WorldCat Record</v>
      </c>
      <c r="AU1914" s="3" t="s">
        <v>23394</v>
      </c>
      <c r="AV1914" s="3" t="s">
        <v>23395</v>
      </c>
      <c r="AW1914" s="3" t="s">
        <v>23396</v>
      </c>
      <c r="AX1914" s="3" t="s">
        <v>23396</v>
      </c>
      <c r="AY1914" s="3" t="s">
        <v>23397</v>
      </c>
      <c r="AZ1914" s="3" t="s">
        <v>73</v>
      </c>
      <c r="BB1914" s="3" t="s">
        <v>23398</v>
      </c>
      <c r="BC1914" s="3" t="s">
        <v>23399</v>
      </c>
      <c r="BD1914" s="3" t="s">
        <v>23400</v>
      </c>
    </row>
    <row r="1915" spans="1:56" ht="51" customHeight="1" x14ac:dyDescent="0.25">
      <c r="A1915" s="7" t="s">
        <v>58</v>
      </c>
      <c r="B1915" s="2" t="s">
        <v>23401</v>
      </c>
      <c r="C1915" s="2" t="s">
        <v>23402</v>
      </c>
      <c r="D1915" s="2" t="s">
        <v>23403</v>
      </c>
      <c r="E1915" s="3" t="s">
        <v>279</v>
      </c>
      <c r="F1915" s="3" t="s">
        <v>68</v>
      </c>
      <c r="G1915" s="3" t="s">
        <v>59</v>
      </c>
      <c r="H1915" s="3" t="s">
        <v>58</v>
      </c>
      <c r="I1915" s="3" t="s">
        <v>58</v>
      </c>
      <c r="J1915" s="3" t="s">
        <v>60</v>
      </c>
      <c r="K1915" s="2" t="s">
        <v>23404</v>
      </c>
      <c r="L1915" s="2" t="s">
        <v>23405</v>
      </c>
      <c r="M1915" s="3" t="s">
        <v>325</v>
      </c>
      <c r="O1915" s="3" t="s">
        <v>63</v>
      </c>
      <c r="P1915" s="3" t="s">
        <v>23392</v>
      </c>
      <c r="R1915" s="3" t="s">
        <v>65</v>
      </c>
      <c r="S1915" s="4">
        <v>8</v>
      </c>
      <c r="T1915" s="4">
        <v>20</v>
      </c>
      <c r="U1915" s="5" t="s">
        <v>22788</v>
      </c>
      <c r="V1915" s="5" t="s">
        <v>23406</v>
      </c>
      <c r="W1915" s="5" t="s">
        <v>17664</v>
      </c>
      <c r="X1915" s="5" t="s">
        <v>17664</v>
      </c>
      <c r="Y1915" s="4">
        <v>21</v>
      </c>
      <c r="Z1915" s="4">
        <v>20</v>
      </c>
      <c r="AA1915" s="4">
        <v>240</v>
      </c>
      <c r="AB1915" s="4">
        <v>1</v>
      </c>
      <c r="AC1915" s="4">
        <v>1</v>
      </c>
      <c r="AD1915" s="4">
        <v>0</v>
      </c>
      <c r="AE1915" s="4">
        <v>4</v>
      </c>
      <c r="AF1915" s="4">
        <v>0</v>
      </c>
      <c r="AG1915" s="4">
        <v>0</v>
      </c>
      <c r="AH1915" s="4">
        <v>0</v>
      </c>
      <c r="AI1915" s="4">
        <v>1</v>
      </c>
      <c r="AJ1915" s="4">
        <v>0</v>
      </c>
      <c r="AK1915" s="4">
        <v>4</v>
      </c>
      <c r="AL1915" s="4">
        <v>0</v>
      </c>
      <c r="AM1915" s="4">
        <v>0</v>
      </c>
      <c r="AN1915" s="4">
        <v>0</v>
      </c>
      <c r="AO1915" s="4">
        <v>0</v>
      </c>
      <c r="AP1915" s="3" t="s">
        <v>58</v>
      </c>
      <c r="AQ1915" s="3" t="s">
        <v>58</v>
      </c>
      <c r="AS1915" s="6" t="str">
        <f>HYPERLINK("https://creighton-primo.hosted.exlibrisgroup.com/primo-explore/search?tab=default_tab&amp;search_scope=EVERYTHING&amp;vid=01CRU&amp;lang=en_US&amp;offset=0&amp;query=any,contains,991000726689702656","Catalog Record")</f>
        <v>Catalog Record</v>
      </c>
      <c r="AT1915" s="6" t="str">
        <f>HYPERLINK("http://www.worldcat.org/oclc/12698945","WorldCat Record")</f>
        <v>WorldCat Record</v>
      </c>
      <c r="AU1915" s="3" t="s">
        <v>23407</v>
      </c>
      <c r="AV1915" s="3" t="s">
        <v>23408</v>
      </c>
      <c r="AW1915" s="3" t="s">
        <v>23409</v>
      </c>
      <c r="AX1915" s="3" t="s">
        <v>23409</v>
      </c>
      <c r="AY1915" s="3" t="s">
        <v>23410</v>
      </c>
      <c r="AZ1915" s="3" t="s">
        <v>73</v>
      </c>
      <c r="BC1915" s="3" t="s">
        <v>23411</v>
      </c>
      <c r="BD1915" s="3" t="s">
        <v>23412</v>
      </c>
    </row>
    <row r="1916" spans="1:56" ht="51" customHeight="1" x14ac:dyDescent="0.25">
      <c r="A1916" s="7" t="s">
        <v>58</v>
      </c>
      <c r="B1916" s="2" t="s">
        <v>23401</v>
      </c>
      <c r="C1916" s="2" t="s">
        <v>23402</v>
      </c>
      <c r="D1916" s="2" t="s">
        <v>23403</v>
      </c>
      <c r="E1916" s="3" t="s">
        <v>210</v>
      </c>
      <c r="F1916" s="3" t="s">
        <v>68</v>
      </c>
      <c r="G1916" s="3" t="s">
        <v>59</v>
      </c>
      <c r="H1916" s="3" t="s">
        <v>58</v>
      </c>
      <c r="I1916" s="3" t="s">
        <v>58</v>
      </c>
      <c r="J1916" s="3" t="s">
        <v>60</v>
      </c>
      <c r="K1916" s="2" t="s">
        <v>23404</v>
      </c>
      <c r="L1916" s="2" t="s">
        <v>23405</v>
      </c>
      <c r="M1916" s="3" t="s">
        <v>325</v>
      </c>
      <c r="O1916" s="3" t="s">
        <v>63</v>
      </c>
      <c r="P1916" s="3" t="s">
        <v>23392</v>
      </c>
      <c r="R1916" s="3" t="s">
        <v>65</v>
      </c>
      <c r="S1916" s="4">
        <v>12</v>
      </c>
      <c r="T1916" s="4">
        <v>20</v>
      </c>
      <c r="U1916" s="5" t="s">
        <v>23406</v>
      </c>
      <c r="V1916" s="5" t="s">
        <v>23406</v>
      </c>
      <c r="W1916" s="5" t="s">
        <v>17664</v>
      </c>
      <c r="X1916" s="5" t="s">
        <v>17664</v>
      </c>
      <c r="Y1916" s="4">
        <v>21</v>
      </c>
      <c r="Z1916" s="4">
        <v>20</v>
      </c>
      <c r="AA1916" s="4">
        <v>240</v>
      </c>
      <c r="AB1916" s="4">
        <v>1</v>
      </c>
      <c r="AC1916" s="4">
        <v>1</v>
      </c>
      <c r="AD1916" s="4">
        <v>0</v>
      </c>
      <c r="AE1916" s="4">
        <v>4</v>
      </c>
      <c r="AF1916" s="4">
        <v>0</v>
      </c>
      <c r="AG1916" s="4">
        <v>0</v>
      </c>
      <c r="AH1916" s="4">
        <v>0</v>
      </c>
      <c r="AI1916" s="4">
        <v>1</v>
      </c>
      <c r="AJ1916" s="4">
        <v>0</v>
      </c>
      <c r="AK1916" s="4">
        <v>4</v>
      </c>
      <c r="AL1916" s="4">
        <v>0</v>
      </c>
      <c r="AM1916" s="4">
        <v>0</v>
      </c>
      <c r="AN1916" s="4">
        <v>0</v>
      </c>
      <c r="AO1916" s="4">
        <v>0</v>
      </c>
      <c r="AP1916" s="3" t="s">
        <v>58</v>
      </c>
      <c r="AQ1916" s="3" t="s">
        <v>58</v>
      </c>
      <c r="AS1916" s="6" t="str">
        <f>HYPERLINK("https://creighton-primo.hosted.exlibrisgroup.com/primo-explore/search?tab=default_tab&amp;search_scope=EVERYTHING&amp;vid=01CRU&amp;lang=en_US&amp;offset=0&amp;query=any,contains,991000726689702656","Catalog Record")</f>
        <v>Catalog Record</v>
      </c>
      <c r="AT1916" s="6" t="str">
        <f>HYPERLINK("http://www.worldcat.org/oclc/12698945","WorldCat Record")</f>
        <v>WorldCat Record</v>
      </c>
      <c r="AU1916" s="3" t="s">
        <v>23407</v>
      </c>
      <c r="AV1916" s="3" t="s">
        <v>23408</v>
      </c>
      <c r="AW1916" s="3" t="s">
        <v>23409</v>
      </c>
      <c r="AX1916" s="3" t="s">
        <v>23409</v>
      </c>
      <c r="AY1916" s="3" t="s">
        <v>23410</v>
      </c>
      <c r="AZ1916" s="3" t="s">
        <v>73</v>
      </c>
      <c r="BC1916" s="3" t="s">
        <v>23413</v>
      </c>
      <c r="BD1916" s="3" t="s">
        <v>23414</v>
      </c>
    </row>
    <row r="1917" spans="1:56" ht="51" customHeight="1" x14ac:dyDescent="0.25">
      <c r="A1917" s="7" t="s">
        <v>58</v>
      </c>
      <c r="B1917" s="2" t="s">
        <v>23415</v>
      </c>
      <c r="C1917" s="2" t="s">
        <v>23416</v>
      </c>
      <c r="D1917" s="2" t="s">
        <v>23417</v>
      </c>
      <c r="F1917" s="3" t="s">
        <v>58</v>
      </c>
      <c r="G1917" s="3" t="s">
        <v>59</v>
      </c>
      <c r="H1917" s="3" t="s">
        <v>58</v>
      </c>
      <c r="I1917" s="3" t="s">
        <v>58</v>
      </c>
      <c r="J1917" s="3" t="s">
        <v>60</v>
      </c>
      <c r="K1917" s="2" t="s">
        <v>23418</v>
      </c>
      <c r="L1917" s="2" t="s">
        <v>23419</v>
      </c>
      <c r="M1917" s="3" t="s">
        <v>1784</v>
      </c>
      <c r="O1917" s="3" t="s">
        <v>63</v>
      </c>
      <c r="P1917" s="3" t="s">
        <v>1299</v>
      </c>
      <c r="R1917" s="3" t="s">
        <v>65</v>
      </c>
      <c r="S1917" s="4">
        <v>8</v>
      </c>
      <c r="T1917" s="4">
        <v>8</v>
      </c>
      <c r="U1917" s="5" t="s">
        <v>3998</v>
      </c>
      <c r="V1917" s="5" t="s">
        <v>3998</v>
      </c>
      <c r="W1917" s="5" t="s">
        <v>20121</v>
      </c>
      <c r="X1917" s="5" t="s">
        <v>20121</v>
      </c>
      <c r="Y1917" s="4">
        <v>682</v>
      </c>
      <c r="Z1917" s="4">
        <v>632</v>
      </c>
      <c r="AA1917" s="4">
        <v>685</v>
      </c>
      <c r="AB1917" s="4">
        <v>3</v>
      </c>
      <c r="AC1917" s="4">
        <v>4</v>
      </c>
      <c r="AD1917" s="4">
        <v>27</v>
      </c>
      <c r="AE1917" s="4">
        <v>29</v>
      </c>
      <c r="AF1917" s="4">
        <v>11</v>
      </c>
      <c r="AG1917" s="4">
        <v>11</v>
      </c>
      <c r="AH1917" s="4">
        <v>9</v>
      </c>
      <c r="AI1917" s="4">
        <v>9</v>
      </c>
      <c r="AJ1917" s="4">
        <v>12</v>
      </c>
      <c r="AK1917" s="4">
        <v>13</v>
      </c>
      <c r="AL1917" s="4">
        <v>2</v>
      </c>
      <c r="AM1917" s="4">
        <v>3</v>
      </c>
      <c r="AN1917" s="4">
        <v>1</v>
      </c>
      <c r="AO1917" s="4">
        <v>1</v>
      </c>
      <c r="AP1917" s="3" t="s">
        <v>58</v>
      </c>
      <c r="AQ1917" s="3" t="s">
        <v>68</v>
      </c>
      <c r="AR1917" s="6" t="str">
        <f>HYPERLINK("http://catalog.hathitrust.org/Record/000028615","HathiTrust Record")</f>
        <v>HathiTrust Record</v>
      </c>
      <c r="AS1917" s="6" t="str">
        <f>HYPERLINK("https://creighton-primo.hosted.exlibrisgroup.com/primo-explore/search?tab=default_tab&amp;search_scope=EVERYTHING&amp;vid=01CRU&amp;lang=en_US&amp;offset=0&amp;query=any,contains,991004793159702656","Catalog Record")</f>
        <v>Catalog Record</v>
      </c>
      <c r="AT1917" s="6" t="str">
        <f>HYPERLINK("http://www.worldcat.org/oclc/5171918","WorldCat Record")</f>
        <v>WorldCat Record</v>
      </c>
      <c r="AU1917" s="3" t="s">
        <v>23420</v>
      </c>
      <c r="AV1917" s="3" t="s">
        <v>23421</v>
      </c>
      <c r="AW1917" s="3" t="s">
        <v>23422</v>
      </c>
      <c r="AX1917" s="3" t="s">
        <v>23422</v>
      </c>
      <c r="AY1917" s="3" t="s">
        <v>23423</v>
      </c>
      <c r="AZ1917" s="3" t="s">
        <v>73</v>
      </c>
      <c r="BB1917" s="3" t="s">
        <v>23424</v>
      </c>
      <c r="BC1917" s="3" t="s">
        <v>23425</v>
      </c>
      <c r="BD1917" s="3" t="s">
        <v>23426</v>
      </c>
    </row>
    <row r="1918" spans="1:56" ht="51" customHeight="1" x14ac:dyDescent="0.25">
      <c r="A1918" s="7" t="s">
        <v>58</v>
      </c>
      <c r="B1918" s="2" t="s">
        <v>23427</v>
      </c>
      <c r="C1918" s="2" t="s">
        <v>23428</v>
      </c>
      <c r="D1918" s="2" t="s">
        <v>23429</v>
      </c>
      <c r="F1918" s="3" t="s">
        <v>58</v>
      </c>
      <c r="G1918" s="3" t="s">
        <v>59</v>
      </c>
      <c r="H1918" s="3" t="s">
        <v>58</v>
      </c>
      <c r="I1918" s="3" t="s">
        <v>58</v>
      </c>
      <c r="J1918" s="3" t="s">
        <v>60</v>
      </c>
      <c r="L1918" s="2" t="s">
        <v>23430</v>
      </c>
      <c r="M1918" s="3" t="s">
        <v>2186</v>
      </c>
      <c r="O1918" s="3" t="s">
        <v>63</v>
      </c>
      <c r="P1918" s="3" t="s">
        <v>2061</v>
      </c>
      <c r="R1918" s="3" t="s">
        <v>65</v>
      </c>
      <c r="S1918" s="4">
        <v>5</v>
      </c>
      <c r="T1918" s="4">
        <v>5</v>
      </c>
      <c r="U1918" s="5" t="s">
        <v>23431</v>
      </c>
      <c r="V1918" s="5" t="s">
        <v>23431</v>
      </c>
      <c r="W1918" s="5" t="s">
        <v>5601</v>
      </c>
      <c r="X1918" s="5" t="s">
        <v>5601</v>
      </c>
      <c r="Y1918" s="4">
        <v>352</v>
      </c>
      <c r="Z1918" s="4">
        <v>284</v>
      </c>
      <c r="AA1918" s="4">
        <v>286</v>
      </c>
      <c r="AB1918" s="4">
        <v>2</v>
      </c>
      <c r="AC1918" s="4">
        <v>2</v>
      </c>
      <c r="AD1918" s="4">
        <v>15</v>
      </c>
      <c r="AE1918" s="4">
        <v>15</v>
      </c>
      <c r="AF1918" s="4">
        <v>6</v>
      </c>
      <c r="AG1918" s="4">
        <v>6</v>
      </c>
      <c r="AH1918" s="4">
        <v>3</v>
      </c>
      <c r="AI1918" s="4">
        <v>3</v>
      </c>
      <c r="AJ1918" s="4">
        <v>8</v>
      </c>
      <c r="AK1918" s="4">
        <v>8</v>
      </c>
      <c r="AL1918" s="4">
        <v>1</v>
      </c>
      <c r="AM1918" s="4">
        <v>1</v>
      </c>
      <c r="AN1918" s="4">
        <v>0</v>
      </c>
      <c r="AO1918" s="4">
        <v>0</v>
      </c>
      <c r="AP1918" s="3" t="s">
        <v>58</v>
      </c>
      <c r="AQ1918" s="3" t="s">
        <v>58</v>
      </c>
      <c r="AS1918" s="6" t="str">
        <f>HYPERLINK("https://creighton-primo.hosted.exlibrisgroup.com/primo-explore/search?tab=default_tab&amp;search_scope=EVERYTHING&amp;vid=01CRU&amp;lang=en_US&amp;offset=0&amp;query=any,contains,991005272249702656","Catalog Record")</f>
        <v>Catalog Record</v>
      </c>
      <c r="AT1918" s="6" t="str">
        <f>HYPERLINK("http://www.worldcat.org/oclc/76937359","WorldCat Record")</f>
        <v>WorldCat Record</v>
      </c>
      <c r="AU1918" s="3" t="s">
        <v>23432</v>
      </c>
      <c r="AV1918" s="3" t="s">
        <v>23433</v>
      </c>
      <c r="AW1918" s="3" t="s">
        <v>23434</v>
      </c>
      <c r="AX1918" s="3" t="s">
        <v>23434</v>
      </c>
      <c r="AY1918" s="3" t="s">
        <v>23435</v>
      </c>
      <c r="AZ1918" s="3" t="s">
        <v>73</v>
      </c>
      <c r="BB1918" s="3" t="s">
        <v>23436</v>
      </c>
      <c r="BC1918" s="3" t="s">
        <v>23437</v>
      </c>
      <c r="BD1918" s="3" t="s">
        <v>23438</v>
      </c>
    </row>
    <row r="1919" spans="1:56" ht="51" customHeight="1" x14ac:dyDescent="0.25">
      <c r="A1919" s="7" t="s">
        <v>58</v>
      </c>
      <c r="B1919" s="2" t="s">
        <v>23439</v>
      </c>
      <c r="C1919" s="2" t="s">
        <v>23440</v>
      </c>
      <c r="D1919" s="2" t="s">
        <v>23441</v>
      </c>
      <c r="F1919" s="3" t="s">
        <v>58</v>
      </c>
      <c r="G1919" s="3" t="s">
        <v>59</v>
      </c>
      <c r="H1919" s="3" t="s">
        <v>58</v>
      </c>
      <c r="I1919" s="3" t="s">
        <v>58</v>
      </c>
      <c r="J1919" s="3" t="s">
        <v>60</v>
      </c>
      <c r="K1919" s="2" t="s">
        <v>23442</v>
      </c>
      <c r="L1919" s="2" t="s">
        <v>23443</v>
      </c>
      <c r="M1919" s="3" t="s">
        <v>9295</v>
      </c>
      <c r="O1919" s="3" t="s">
        <v>63</v>
      </c>
      <c r="P1919" s="3" t="s">
        <v>571</v>
      </c>
      <c r="R1919" s="3" t="s">
        <v>65</v>
      </c>
      <c r="S1919" s="4">
        <v>3</v>
      </c>
      <c r="T1919" s="4">
        <v>3</v>
      </c>
      <c r="U1919" s="5" t="s">
        <v>23444</v>
      </c>
      <c r="V1919" s="5" t="s">
        <v>23444</v>
      </c>
      <c r="W1919" s="5" t="s">
        <v>17547</v>
      </c>
      <c r="X1919" s="5" t="s">
        <v>17547</v>
      </c>
      <c r="Y1919" s="4">
        <v>47</v>
      </c>
      <c r="Z1919" s="4">
        <v>39</v>
      </c>
      <c r="AA1919" s="4">
        <v>168</v>
      </c>
      <c r="AB1919" s="4">
        <v>1</v>
      </c>
      <c r="AC1919" s="4">
        <v>3</v>
      </c>
      <c r="AD1919" s="4">
        <v>1</v>
      </c>
      <c r="AE1919" s="4">
        <v>12</v>
      </c>
      <c r="AF1919" s="4">
        <v>0</v>
      </c>
      <c r="AG1919" s="4">
        <v>3</v>
      </c>
      <c r="AH1919" s="4">
        <v>1</v>
      </c>
      <c r="AI1919" s="4">
        <v>4</v>
      </c>
      <c r="AJ1919" s="4">
        <v>0</v>
      </c>
      <c r="AK1919" s="4">
        <v>1</v>
      </c>
      <c r="AL1919" s="4">
        <v>0</v>
      </c>
      <c r="AM1919" s="4">
        <v>1</v>
      </c>
      <c r="AN1919" s="4">
        <v>0</v>
      </c>
      <c r="AO1919" s="4">
        <v>5</v>
      </c>
      <c r="AP1919" s="3" t="s">
        <v>58</v>
      </c>
      <c r="AQ1919" s="3" t="s">
        <v>58</v>
      </c>
      <c r="AS1919" s="6" t="str">
        <f>HYPERLINK("https://creighton-primo.hosted.exlibrisgroup.com/primo-explore/search?tab=default_tab&amp;search_scope=EVERYTHING&amp;vid=01CRU&amp;lang=en_US&amp;offset=0&amp;query=any,contains,991003912039702656","Catalog Record")</f>
        <v>Catalog Record</v>
      </c>
      <c r="AT1919" s="6" t="str">
        <f>HYPERLINK("http://www.worldcat.org/oclc/1853785","WorldCat Record")</f>
        <v>WorldCat Record</v>
      </c>
      <c r="AU1919" s="3" t="s">
        <v>23445</v>
      </c>
      <c r="AV1919" s="3" t="s">
        <v>23446</v>
      </c>
      <c r="AW1919" s="3" t="s">
        <v>23447</v>
      </c>
      <c r="AX1919" s="3" t="s">
        <v>23447</v>
      </c>
      <c r="AY1919" s="3" t="s">
        <v>23448</v>
      </c>
      <c r="AZ1919" s="3" t="s">
        <v>73</v>
      </c>
      <c r="BC1919" s="3" t="s">
        <v>23449</v>
      </c>
      <c r="BD1919" s="3" t="s">
        <v>23450</v>
      </c>
    </row>
    <row r="1920" spans="1:56" ht="51" customHeight="1" x14ac:dyDescent="0.25">
      <c r="A1920" s="7" t="s">
        <v>58</v>
      </c>
      <c r="B1920" s="2" t="s">
        <v>23451</v>
      </c>
      <c r="C1920" s="2" t="s">
        <v>23452</v>
      </c>
      <c r="D1920" s="2" t="s">
        <v>23453</v>
      </c>
      <c r="F1920" s="3" t="s">
        <v>58</v>
      </c>
      <c r="G1920" s="3" t="s">
        <v>59</v>
      </c>
      <c r="H1920" s="3" t="s">
        <v>58</v>
      </c>
      <c r="I1920" s="3" t="s">
        <v>58</v>
      </c>
      <c r="J1920" s="3" t="s">
        <v>60</v>
      </c>
      <c r="K1920" s="2" t="s">
        <v>23454</v>
      </c>
      <c r="L1920" s="2" t="s">
        <v>23455</v>
      </c>
      <c r="M1920" s="3" t="s">
        <v>2132</v>
      </c>
      <c r="O1920" s="3" t="s">
        <v>63</v>
      </c>
      <c r="P1920" s="3" t="s">
        <v>584</v>
      </c>
      <c r="Q1920" s="2" t="s">
        <v>23456</v>
      </c>
      <c r="R1920" s="3" t="s">
        <v>65</v>
      </c>
      <c r="S1920" s="4">
        <v>3</v>
      </c>
      <c r="T1920" s="4">
        <v>3</v>
      </c>
      <c r="U1920" s="5" t="s">
        <v>23457</v>
      </c>
      <c r="V1920" s="5" t="s">
        <v>23457</v>
      </c>
      <c r="W1920" s="5" t="s">
        <v>23355</v>
      </c>
      <c r="X1920" s="5" t="s">
        <v>23355</v>
      </c>
      <c r="Y1920" s="4">
        <v>1128</v>
      </c>
      <c r="Z1920" s="4">
        <v>944</v>
      </c>
      <c r="AA1920" s="4">
        <v>982</v>
      </c>
      <c r="AB1920" s="4">
        <v>6</v>
      </c>
      <c r="AC1920" s="4">
        <v>6</v>
      </c>
      <c r="AD1920" s="4">
        <v>38</v>
      </c>
      <c r="AE1920" s="4">
        <v>40</v>
      </c>
      <c r="AF1920" s="4">
        <v>14</v>
      </c>
      <c r="AG1920" s="4">
        <v>16</v>
      </c>
      <c r="AH1920" s="4">
        <v>9</v>
      </c>
      <c r="AI1920" s="4">
        <v>9</v>
      </c>
      <c r="AJ1920" s="4">
        <v>19</v>
      </c>
      <c r="AK1920" s="4">
        <v>19</v>
      </c>
      <c r="AL1920" s="4">
        <v>5</v>
      </c>
      <c r="AM1920" s="4">
        <v>5</v>
      </c>
      <c r="AN1920" s="4">
        <v>0</v>
      </c>
      <c r="AO1920" s="4">
        <v>0</v>
      </c>
      <c r="AP1920" s="3" t="s">
        <v>58</v>
      </c>
      <c r="AQ1920" s="3" t="s">
        <v>68</v>
      </c>
      <c r="AR1920" s="6" t="str">
        <f>HYPERLINK("http://catalog.hathitrust.org/Record/001257454","HathiTrust Record")</f>
        <v>HathiTrust Record</v>
      </c>
      <c r="AS1920" s="6" t="str">
        <f>HYPERLINK("https://creighton-primo.hosted.exlibrisgroup.com/primo-explore/search?tab=default_tab&amp;search_scope=EVERYTHING&amp;vid=01CRU&amp;lang=en_US&amp;offset=0&amp;query=any,contains,991002262479702656","Catalog Record")</f>
        <v>Catalog Record</v>
      </c>
      <c r="AT1920" s="6" t="str">
        <f>HYPERLINK("http://www.worldcat.org/oclc/305061","WorldCat Record")</f>
        <v>WorldCat Record</v>
      </c>
      <c r="AU1920" s="3" t="s">
        <v>23458</v>
      </c>
      <c r="AV1920" s="3" t="s">
        <v>23459</v>
      </c>
      <c r="AW1920" s="3" t="s">
        <v>23460</v>
      </c>
      <c r="AX1920" s="3" t="s">
        <v>23460</v>
      </c>
      <c r="AY1920" s="3" t="s">
        <v>23461</v>
      </c>
      <c r="AZ1920" s="3" t="s">
        <v>73</v>
      </c>
      <c r="BC1920" s="3" t="s">
        <v>23462</v>
      </c>
      <c r="BD1920" s="3" t="s">
        <v>23463</v>
      </c>
    </row>
    <row r="1921" spans="1:56" ht="51" customHeight="1" x14ac:dyDescent="0.25">
      <c r="A1921" s="7" t="s">
        <v>58</v>
      </c>
      <c r="B1921" s="2" t="s">
        <v>23464</v>
      </c>
      <c r="C1921" s="2" t="s">
        <v>23465</v>
      </c>
      <c r="D1921" s="2" t="s">
        <v>23466</v>
      </c>
      <c r="F1921" s="3" t="s">
        <v>58</v>
      </c>
      <c r="G1921" s="3" t="s">
        <v>59</v>
      </c>
      <c r="H1921" s="3" t="s">
        <v>58</v>
      </c>
      <c r="I1921" s="3" t="s">
        <v>58</v>
      </c>
      <c r="J1921" s="3" t="s">
        <v>60</v>
      </c>
      <c r="K1921" s="2" t="s">
        <v>23467</v>
      </c>
      <c r="L1921" s="2" t="s">
        <v>23468</v>
      </c>
      <c r="M1921" s="3" t="s">
        <v>538</v>
      </c>
      <c r="O1921" s="3" t="s">
        <v>63</v>
      </c>
      <c r="P1921" s="3" t="s">
        <v>214</v>
      </c>
      <c r="R1921" s="3" t="s">
        <v>65</v>
      </c>
      <c r="S1921" s="4">
        <v>3</v>
      </c>
      <c r="T1921" s="4">
        <v>3</v>
      </c>
      <c r="U1921" s="5" t="s">
        <v>23469</v>
      </c>
      <c r="V1921" s="5" t="s">
        <v>23469</v>
      </c>
      <c r="W1921" s="5" t="s">
        <v>17547</v>
      </c>
      <c r="X1921" s="5" t="s">
        <v>17547</v>
      </c>
      <c r="Y1921" s="4">
        <v>590</v>
      </c>
      <c r="Z1921" s="4">
        <v>552</v>
      </c>
      <c r="AA1921" s="4">
        <v>598</v>
      </c>
      <c r="AB1921" s="4">
        <v>4</v>
      </c>
      <c r="AC1921" s="4">
        <v>4</v>
      </c>
      <c r="AD1921" s="4">
        <v>25</v>
      </c>
      <c r="AE1921" s="4">
        <v>26</v>
      </c>
      <c r="AF1921" s="4">
        <v>11</v>
      </c>
      <c r="AG1921" s="4">
        <v>11</v>
      </c>
      <c r="AH1921" s="4">
        <v>5</v>
      </c>
      <c r="AI1921" s="4">
        <v>5</v>
      </c>
      <c r="AJ1921" s="4">
        <v>12</v>
      </c>
      <c r="AK1921" s="4">
        <v>13</v>
      </c>
      <c r="AL1921" s="4">
        <v>3</v>
      </c>
      <c r="AM1921" s="4">
        <v>3</v>
      </c>
      <c r="AN1921" s="4">
        <v>0</v>
      </c>
      <c r="AO1921" s="4">
        <v>0</v>
      </c>
      <c r="AP1921" s="3" t="s">
        <v>58</v>
      </c>
      <c r="AQ1921" s="3" t="s">
        <v>68</v>
      </c>
      <c r="AR1921" s="6" t="str">
        <f>HYPERLINK("http://catalog.hathitrust.org/Record/001257460","HathiTrust Record")</f>
        <v>HathiTrust Record</v>
      </c>
      <c r="AS1921" s="6" t="str">
        <f>HYPERLINK("https://creighton-primo.hosted.exlibrisgroup.com/primo-explore/search?tab=default_tab&amp;search_scope=EVERYTHING&amp;vid=01CRU&amp;lang=en_US&amp;offset=0&amp;query=any,contains,991000038849702656","Catalog Record")</f>
        <v>Catalog Record</v>
      </c>
      <c r="AT1921" s="6" t="str">
        <f>HYPERLINK("http://www.worldcat.org/oclc/21358","WorldCat Record")</f>
        <v>WorldCat Record</v>
      </c>
      <c r="AU1921" s="3" t="s">
        <v>23470</v>
      </c>
      <c r="AV1921" s="3" t="s">
        <v>23471</v>
      </c>
      <c r="AW1921" s="3" t="s">
        <v>23472</v>
      </c>
      <c r="AX1921" s="3" t="s">
        <v>23472</v>
      </c>
      <c r="AY1921" s="3" t="s">
        <v>23473</v>
      </c>
      <c r="AZ1921" s="3" t="s">
        <v>73</v>
      </c>
      <c r="BC1921" s="3" t="s">
        <v>23474</v>
      </c>
      <c r="BD1921" s="3" t="s">
        <v>23475</v>
      </c>
    </row>
    <row r="1922" spans="1:56" ht="51" customHeight="1" x14ac:dyDescent="0.25">
      <c r="A1922" s="7" t="s">
        <v>58</v>
      </c>
      <c r="B1922" s="2" t="s">
        <v>23476</v>
      </c>
      <c r="C1922" s="2" t="s">
        <v>23477</v>
      </c>
      <c r="D1922" s="2" t="s">
        <v>23478</v>
      </c>
      <c r="F1922" s="3" t="s">
        <v>58</v>
      </c>
      <c r="G1922" s="3" t="s">
        <v>59</v>
      </c>
      <c r="H1922" s="3" t="s">
        <v>58</v>
      </c>
      <c r="I1922" s="3" t="s">
        <v>58</v>
      </c>
      <c r="J1922" s="3" t="s">
        <v>60</v>
      </c>
      <c r="K1922" s="2" t="s">
        <v>23479</v>
      </c>
      <c r="L1922" s="2" t="s">
        <v>23480</v>
      </c>
      <c r="M1922" s="3" t="s">
        <v>653</v>
      </c>
      <c r="O1922" s="3" t="s">
        <v>63</v>
      </c>
      <c r="P1922" s="3" t="s">
        <v>11582</v>
      </c>
      <c r="Q1922" s="2" t="s">
        <v>23481</v>
      </c>
      <c r="R1922" s="3" t="s">
        <v>65</v>
      </c>
      <c r="S1922" s="4">
        <v>13</v>
      </c>
      <c r="T1922" s="4">
        <v>13</v>
      </c>
      <c r="U1922" s="5" t="s">
        <v>23482</v>
      </c>
      <c r="V1922" s="5" t="s">
        <v>23482</v>
      </c>
      <c r="W1922" s="5" t="s">
        <v>23483</v>
      </c>
      <c r="X1922" s="5" t="s">
        <v>23483</v>
      </c>
      <c r="Y1922" s="4">
        <v>524</v>
      </c>
      <c r="Z1922" s="4">
        <v>473</v>
      </c>
      <c r="AA1922" s="4">
        <v>1148</v>
      </c>
      <c r="AB1922" s="4">
        <v>2</v>
      </c>
      <c r="AC1922" s="4">
        <v>28</v>
      </c>
      <c r="AD1922" s="4">
        <v>21</v>
      </c>
      <c r="AE1922" s="4">
        <v>47</v>
      </c>
      <c r="AF1922" s="4">
        <v>11</v>
      </c>
      <c r="AG1922" s="4">
        <v>18</v>
      </c>
      <c r="AH1922" s="4">
        <v>1</v>
      </c>
      <c r="AI1922" s="4">
        <v>5</v>
      </c>
      <c r="AJ1922" s="4">
        <v>11</v>
      </c>
      <c r="AK1922" s="4">
        <v>18</v>
      </c>
      <c r="AL1922" s="4">
        <v>1</v>
      </c>
      <c r="AM1922" s="4">
        <v>13</v>
      </c>
      <c r="AN1922" s="4">
        <v>1</v>
      </c>
      <c r="AO1922" s="4">
        <v>1</v>
      </c>
      <c r="AP1922" s="3" t="s">
        <v>58</v>
      </c>
      <c r="AQ1922" s="3" t="s">
        <v>58</v>
      </c>
      <c r="AS1922" s="6" t="str">
        <f>HYPERLINK("https://creighton-primo.hosted.exlibrisgroup.com/primo-explore/search?tab=default_tab&amp;search_scope=EVERYTHING&amp;vid=01CRU&amp;lang=en_US&amp;offset=0&amp;query=any,contains,991001869009702656","Catalog Record")</f>
        <v>Catalog Record</v>
      </c>
      <c r="AT1922" s="6" t="str">
        <f>HYPERLINK("http://www.worldcat.org/oclc/23582916","WorldCat Record")</f>
        <v>WorldCat Record</v>
      </c>
      <c r="AU1922" s="3" t="s">
        <v>23484</v>
      </c>
      <c r="AV1922" s="3" t="s">
        <v>23485</v>
      </c>
      <c r="AW1922" s="3" t="s">
        <v>23486</v>
      </c>
      <c r="AX1922" s="3" t="s">
        <v>23486</v>
      </c>
      <c r="AY1922" s="3" t="s">
        <v>23487</v>
      </c>
      <c r="AZ1922" s="3" t="s">
        <v>73</v>
      </c>
      <c r="BB1922" s="3" t="s">
        <v>23488</v>
      </c>
      <c r="BC1922" s="3" t="s">
        <v>23489</v>
      </c>
      <c r="BD1922" s="3" t="s">
        <v>23490</v>
      </c>
    </row>
    <row r="1923" spans="1:56" ht="51" customHeight="1" x14ac:dyDescent="0.25">
      <c r="A1923" s="7" t="s">
        <v>58</v>
      </c>
      <c r="B1923" s="2" t="s">
        <v>23491</v>
      </c>
      <c r="C1923" s="2" t="s">
        <v>23492</v>
      </c>
      <c r="D1923" s="2" t="s">
        <v>23493</v>
      </c>
      <c r="F1923" s="3" t="s">
        <v>58</v>
      </c>
      <c r="G1923" s="3" t="s">
        <v>59</v>
      </c>
      <c r="H1923" s="3" t="s">
        <v>58</v>
      </c>
      <c r="I1923" s="3" t="s">
        <v>58</v>
      </c>
      <c r="J1923" s="3" t="s">
        <v>60</v>
      </c>
      <c r="K1923" s="2" t="s">
        <v>23494</v>
      </c>
      <c r="L1923" s="2" t="s">
        <v>23495</v>
      </c>
      <c r="M1923" s="3" t="s">
        <v>261</v>
      </c>
      <c r="O1923" s="3" t="s">
        <v>63</v>
      </c>
      <c r="P1923" s="3" t="s">
        <v>2061</v>
      </c>
      <c r="R1923" s="3" t="s">
        <v>65</v>
      </c>
      <c r="S1923" s="4">
        <v>3</v>
      </c>
      <c r="T1923" s="4">
        <v>3</v>
      </c>
      <c r="U1923" s="5" t="s">
        <v>23496</v>
      </c>
      <c r="V1923" s="5" t="s">
        <v>23496</v>
      </c>
      <c r="W1923" s="5" t="s">
        <v>23497</v>
      </c>
      <c r="X1923" s="5" t="s">
        <v>23497</v>
      </c>
      <c r="Y1923" s="4">
        <v>1515</v>
      </c>
      <c r="Z1923" s="4">
        <v>1343</v>
      </c>
      <c r="AA1923" s="4">
        <v>1368</v>
      </c>
      <c r="AB1923" s="4">
        <v>8</v>
      </c>
      <c r="AC1923" s="4">
        <v>8</v>
      </c>
      <c r="AD1923" s="4">
        <v>47</v>
      </c>
      <c r="AE1923" s="4">
        <v>48</v>
      </c>
      <c r="AF1923" s="4">
        <v>15</v>
      </c>
      <c r="AG1923" s="4">
        <v>16</v>
      </c>
      <c r="AH1923" s="4">
        <v>11</v>
      </c>
      <c r="AI1923" s="4">
        <v>11</v>
      </c>
      <c r="AJ1923" s="4">
        <v>24</v>
      </c>
      <c r="AK1923" s="4">
        <v>24</v>
      </c>
      <c r="AL1923" s="4">
        <v>7</v>
      </c>
      <c r="AM1923" s="4">
        <v>7</v>
      </c>
      <c r="AN1923" s="4">
        <v>1</v>
      </c>
      <c r="AO1923" s="4">
        <v>1</v>
      </c>
      <c r="AP1923" s="3" t="s">
        <v>58</v>
      </c>
      <c r="AQ1923" s="3" t="s">
        <v>58</v>
      </c>
      <c r="AS1923" s="6" t="str">
        <f>HYPERLINK("https://creighton-primo.hosted.exlibrisgroup.com/primo-explore/search?tab=default_tab&amp;search_scope=EVERYTHING&amp;vid=01CRU&amp;lang=en_US&amp;offset=0&amp;query=any,contains,991003920129702656","Catalog Record")</f>
        <v>Catalog Record</v>
      </c>
      <c r="AT1923" s="6" t="str">
        <f>HYPERLINK("http://www.worldcat.org/oclc/1868549","WorldCat Record")</f>
        <v>WorldCat Record</v>
      </c>
      <c r="AU1923" s="3" t="s">
        <v>23498</v>
      </c>
      <c r="AV1923" s="3" t="s">
        <v>23499</v>
      </c>
      <c r="AW1923" s="3" t="s">
        <v>23500</v>
      </c>
      <c r="AX1923" s="3" t="s">
        <v>23500</v>
      </c>
      <c r="AY1923" s="3" t="s">
        <v>23501</v>
      </c>
      <c r="AZ1923" s="3" t="s">
        <v>73</v>
      </c>
      <c r="BB1923" s="3" t="s">
        <v>23502</v>
      </c>
      <c r="BC1923" s="3" t="s">
        <v>23503</v>
      </c>
      <c r="BD1923" s="3" t="s">
        <v>23504</v>
      </c>
    </row>
    <row r="1924" spans="1:56" ht="51" customHeight="1" x14ac:dyDescent="0.25">
      <c r="A1924" s="7" t="s">
        <v>58</v>
      </c>
      <c r="B1924" s="2" t="s">
        <v>23505</v>
      </c>
      <c r="C1924" s="2" t="s">
        <v>23506</v>
      </c>
      <c r="D1924" s="2" t="s">
        <v>23507</v>
      </c>
      <c r="F1924" s="3" t="s">
        <v>58</v>
      </c>
      <c r="G1924" s="3" t="s">
        <v>59</v>
      </c>
      <c r="H1924" s="3" t="s">
        <v>58</v>
      </c>
      <c r="I1924" s="3" t="s">
        <v>58</v>
      </c>
      <c r="J1924" s="3" t="s">
        <v>60</v>
      </c>
      <c r="L1924" s="2" t="s">
        <v>23508</v>
      </c>
      <c r="M1924" s="3" t="s">
        <v>552</v>
      </c>
      <c r="O1924" s="3" t="s">
        <v>63</v>
      </c>
      <c r="P1924" s="3" t="s">
        <v>816</v>
      </c>
      <c r="Q1924" s="2" t="s">
        <v>23509</v>
      </c>
      <c r="R1924" s="3" t="s">
        <v>65</v>
      </c>
      <c r="S1924" s="4">
        <v>5</v>
      </c>
      <c r="T1924" s="4">
        <v>5</v>
      </c>
      <c r="U1924" s="5" t="s">
        <v>20299</v>
      </c>
      <c r="V1924" s="5" t="s">
        <v>20299</v>
      </c>
      <c r="W1924" s="5" t="s">
        <v>23510</v>
      </c>
      <c r="X1924" s="5" t="s">
        <v>23510</v>
      </c>
      <c r="Y1924" s="4">
        <v>330</v>
      </c>
      <c r="Z1924" s="4">
        <v>243</v>
      </c>
      <c r="AA1924" s="4">
        <v>285</v>
      </c>
      <c r="AB1924" s="4">
        <v>2</v>
      </c>
      <c r="AC1924" s="4">
        <v>3</v>
      </c>
      <c r="AD1924" s="4">
        <v>10</v>
      </c>
      <c r="AE1924" s="4">
        <v>17</v>
      </c>
      <c r="AF1924" s="4">
        <v>3</v>
      </c>
      <c r="AG1924" s="4">
        <v>8</v>
      </c>
      <c r="AH1924" s="4">
        <v>4</v>
      </c>
      <c r="AI1924" s="4">
        <v>5</v>
      </c>
      <c r="AJ1924" s="4">
        <v>5</v>
      </c>
      <c r="AK1924" s="4">
        <v>6</v>
      </c>
      <c r="AL1924" s="4">
        <v>1</v>
      </c>
      <c r="AM1924" s="4">
        <v>2</v>
      </c>
      <c r="AN1924" s="4">
        <v>0</v>
      </c>
      <c r="AO1924" s="4">
        <v>0</v>
      </c>
      <c r="AP1924" s="3" t="s">
        <v>58</v>
      </c>
      <c r="AQ1924" s="3" t="s">
        <v>68</v>
      </c>
      <c r="AR1924" s="6" t="str">
        <f>HYPERLINK("http://catalog.hathitrust.org/Record/002205603","HathiTrust Record")</f>
        <v>HathiTrust Record</v>
      </c>
      <c r="AS1924" s="6" t="str">
        <f>HYPERLINK("https://creighton-primo.hosted.exlibrisgroup.com/primo-explore/search?tab=default_tab&amp;search_scope=EVERYTHING&amp;vid=01CRU&amp;lang=en_US&amp;offset=0&amp;query=any,contains,991001667099702656","Catalog Record")</f>
        <v>Catalog Record</v>
      </c>
      <c r="AT1924" s="6" t="str">
        <f>HYPERLINK("http://www.worldcat.org/oclc/21227823","WorldCat Record")</f>
        <v>WorldCat Record</v>
      </c>
      <c r="AU1924" s="3" t="s">
        <v>23511</v>
      </c>
      <c r="AV1924" s="3" t="s">
        <v>23512</v>
      </c>
      <c r="AW1924" s="3" t="s">
        <v>23513</v>
      </c>
      <c r="AX1924" s="3" t="s">
        <v>23513</v>
      </c>
      <c r="AY1924" s="3" t="s">
        <v>23514</v>
      </c>
      <c r="AZ1924" s="3" t="s">
        <v>73</v>
      </c>
      <c r="BB1924" s="3" t="s">
        <v>23515</v>
      </c>
      <c r="BC1924" s="3" t="s">
        <v>23516</v>
      </c>
      <c r="BD1924" s="3" t="s">
        <v>23517</v>
      </c>
    </row>
    <row r="1925" spans="1:56" ht="51" customHeight="1" x14ac:dyDescent="0.25">
      <c r="A1925" s="7" t="s">
        <v>58</v>
      </c>
      <c r="B1925" s="2" t="s">
        <v>23518</v>
      </c>
      <c r="C1925" s="2" t="s">
        <v>23519</v>
      </c>
      <c r="D1925" s="2" t="s">
        <v>23520</v>
      </c>
      <c r="F1925" s="3" t="s">
        <v>58</v>
      </c>
      <c r="G1925" s="3" t="s">
        <v>59</v>
      </c>
      <c r="H1925" s="3" t="s">
        <v>58</v>
      </c>
      <c r="I1925" s="3" t="s">
        <v>58</v>
      </c>
      <c r="J1925" s="3" t="s">
        <v>60</v>
      </c>
      <c r="K1925" s="2" t="s">
        <v>23521</v>
      </c>
      <c r="L1925" s="2" t="s">
        <v>23522</v>
      </c>
      <c r="M1925" s="3" t="s">
        <v>745</v>
      </c>
      <c r="O1925" s="3" t="s">
        <v>63</v>
      </c>
      <c r="P1925" s="3" t="s">
        <v>354</v>
      </c>
      <c r="R1925" s="3" t="s">
        <v>65</v>
      </c>
      <c r="S1925" s="4">
        <v>2</v>
      </c>
      <c r="T1925" s="4">
        <v>2</v>
      </c>
      <c r="U1925" s="5" t="s">
        <v>23457</v>
      </c>
      <c r="V1925" s="5" t="s">
        <v>23457</v>
      </c>
      <c r="W1925" s="5" t="s">
        <v>23497</v>
      </c>
      <c r="X1925" s="5" t="s">
        <v>23497</v>
      </c>
      <c r="Y1925" s="4">
        <v>661</v>
      </c>
      <c r="Z1925" s="4">
        <v>554</v>
      </c>
      <c r="AA1925" s="4">
        <v>557</v>
      </c>
      <c r="AB1925" s="4">
        <v>5</v>
      </c>
      <c r="AC1925" s="4">
        <v>5</v>
      </c>
      <c r="AD1925" s="4">
        <v>22</v>
      </c>
      <c r="AE1925" s="4">
        <v>22</v>
      </c>
      <c r="AF1925" s="4">
        <v>7</v>
      </c>
      <c r="AG1925" s="4">
        <v>7</v>
      </c>
      <c r="AH1925" s="4">
        <v>4</v>
      </c>
      <c r="AI1925" s="4">
        <v>4</v>
      </c>
      <c r="AJ1925" s="4">
        <v>13</v>
      </c>
      <c r="AK1925" s="4">
        <v>13</v>
      </c>
      <c r="AL1925" s="4">
        <v>4</v>
      </c>
      <c r="AM1925" s="4">
        <v>4</v>
      </c>
      <c r="AN1925" s="4">
        <v>0</v>
      </c>
      <c r="AO1925" s="4">
        <v>0</v>
      </c>
      <c r="AP1925" s="3" t="s">
        <v>58</v>
      </c>
      <c r="AQ1925" s="3" t="s">
        <v>68</v>
      </c>
      <c r="AR1925" s="6" t="str">
        <f>HYPERLINK("http://catalog.hathitrust.org/Record/001257506","HathiTrust Record")</f>
        <v>HathiTrust Record</v>
      </c>
      <c r="AS1925" s="6" t="str">
        <f>HYPERLINK("https://creighton-primo.hosted.exlibrisgroup.com/primo-explore/search?tab=default_tab&amp;search_scope=EVERYTHING&amp;vid=01CRU&amp;lang=en_US&amp;offset=0&amp;query=any,contains,991002715949702656","Catalog Record")</f>
        <v>Catalog Record</v>
      </c>
      <c r="AT1925" s="6" t="str">
        <f>HYPERLINK("http://www.worldcat.org/oclc/411286","WorldCat Record")</f>
        <v>WorldCat Record</v>
      </c>
      <c r="AU1925" s="3" t="s">
        <v>23523</v>
      </c>
      <c r="AV1925" s="3" t="s">
        <v>23524</v>
      </c>
      <c r="AW1925" s="3" t="s">
        <v>23525</v>
      </c>
      <c r="AX1925" s="3" t="s">
        <v>23525</v>
      </c>
      <c r="AY1925" s="3" t="s">
        <v>23526</v>
      </c>
      <c r="AZ1925" s="3" t="s">
        <v>73</v>
      </c>
      <c r="BC1925" s="3" t="s">
        <v>23527</v>
      </c>
      <c r="BD1925" s="3" t="s">
        <v>23528</v>
      </c>
    </row>
    <row r="1926" spans="1:56" ht="51" customHeight="1" x14ac:dyDescent="0.25">
      <c r="A1926" s="7" t="s">
        <v>58</v>
      </c>
      <c r="B1926" s="2" t="s">
        <v>23529</v>
      </c>
      <c r="C1926" s="2" t="s">
        <v>23530</v>
      </c>
      <c r="D1926" s="2" t="s">
        <v>23531</v>
      </c>
      <c r="F1926" s="3" t="s">
        <v>58</v>
      </c>
      <c r="G1926" s="3" t="s">
        <v>59</v>
      </c>
      <c r="H1926" s="3" t="s">
        <v>58</v>
      </c>
      <c r="I1926" s="3" t="s">
        <v>58</v>
      </c>
      <c r="J1926" s="3" t="s">
        <v>60</v>
      </c>
      <c r="K1926" s="2" t="s">
        <v>23532</v>
      </c>
      <c r="L1926" s="2" t="s">
        <v>23533</v>
      </c>
      <c r="M1926" s="3" t="s">
        <v>653</v>
      </c>
      <c r="O1926" s="3" t="s">
        <v>63</v>
      </c>
      <c r="P1926" s="3" t="s">
        <v>816</v>
      </c>
      <c r="R1926" s="3" t="s">
        <v>65</v>
      </c>
      <c r="S1926" s="4">
        <v>4</v>
      </c>
      <c r="T1926" s="4">
        <v>4</v>
      </c>
      <c r="U1926" s="5" t="s">
        <v>10342</v>
      </c>
      <c r="V1926" s="5" t="s">
        <v>10342</v>
      </c>
      <c r="W1926" s="5" t="s">
        <v>23534</v>
      </c>
      <c r="X1926" s="5" t="s">
        <v>23534</v>
      </c>
      <c r="Y1926" s="4">
        <v>446</v>
      </c>
      <c r="Z1926" s="4">
        <v>413</v>
      </c>
      <c r="AA1926" s="4">
        <v>420</v>
      </c>
      <c r="AB1926" s="4">
        <v>4</v>
      </c>
      <c r="AC1926" s="4">
        <v>4</v>
      </c>
      <c r="AD1926" s="4">
        <v>10</v>
      </c>
      <c r="AE1926" s="4">
        <v>10</v>
      </c>
      <c r="AF1926" s="4">
        <v>3</v>
      </c>
      <c r="AG1926" s="4">
        <v>3</v>
      </c>
      <c r="AH1926" s="4">
        <v>1</v>
      </c>
      <c r="AI1926" s="4">
        <v>1</v>
      </c>
      <c r="AJ1926" s="4">
        <v>6</v>
      </c>
      <c r="AK1926" s="4">
        <v>6</v>
      </c>
      <c r="AL1926" s="4">
        <v>3</v>
      </c>
      <c r="AM1926" s="4">
        <v>3</v>
      </c>
      <c r="AN1926" s="4">
        <v>0</v>
      </c>
      <c r="AO1926" s="4">
        <v>0</v>
      </c>
      <c r="AP1926" s="3" t="s">
        <v>58</v>
      </c>
      <c r="AQ1926" s="3" t="s">
        <v>68</v>
      </c>
      <c r="AR1926" s="6" t="str">
        <f>HYPERLINK("http://catalog.hathitrust.org/Record/007109505","HathiTrust Record")</f>
        <v>HathiTrust Record</v>
      </c>
      <c r="AS1926" s="6" t="str">
        <f>HYPERLINK("https://creighton-primo.hosted.exlibrisgroup.com/primo-explore/search?tab=default_tab&amp;search_scope=EVERYTHING&amp;vid=01CRU&amp;lang=en_US&amp;offset=0&amp;query=any,contains,991001908489702656","Catalog Record")</f>
        <v>Catalog Record</v>
      </c>
      <c r="AT1926" s="6" t="str">
        <f>HYPERLINK("http://www.worldcat.org/oclc/24106801","WorldCat Record")</f>
        <v>WorldCat Record</v>
      </c>
      <c r="AU1926" s="3" t="s">
        <v>23535</v>
      </c>
      <c r="AV1926" s="3" t="s">
        <v>23536</v>
      </c>
      <c r="AW1926" s="3" t="s">
        <v>23537</v>
      </c>
      <c r="AX1926" s="3" t="s">
        <v>23537</v>
      </c>
      <c r="AY1926" s="3" t="s">
        <v>23538</v>
      </c>
      <c r="AZ1926" s="3" t="s">
        <v>73</v>
      </c>
      <c r="BB1926" s="3" t="s">
        <v>23539</v>
      </c>
      <c r="BC1926" s="3" t="s">
        <v>23540</v>
      </c>
      <c r="BD1926" s="3" t="s">
        <v>23541</v>
      </c>
    </row>
    <row r="1927" spans="1:56" ht="51" customHeight="1" x14ac:dyDescent="0.25">
      <c r="A1927" s="7" t="s">
        <v>58</v>
      </c>
      <c r="B1927" s="2" t="s">
        <v>23542</v>
      </c>
      <c r="C1927" s="2" t="s">
        <v>23543</v>
      </c>
      <c r="D1927" s="2" t="s">
        <v>23544</v>
      </c>
      <c r="E1927" s="3" t="s">
        <v>223</v>
      </c>
      <c r="F1927" s="3" t="s">
        <v>58</v>
      </c>
      <c r="G1927" s="3" t="s">
        <v>59</v>
      </c>
      <c r="H1927" s="3" t="s">
        <v>58</v>
      </c>
      <c r="I1927" s="3" t="s">
        <v>58</v>
      </c>
      <c r="J1927" s="3" t="s">
        <v>60</v>
      </c>
      <c r="K1927" s="2" t="s">
        <v>23545</v>
      </c>
      <c r="L1927" s="2" t="s">
        <v>23546</v>
      </c>
      <c r="M1927" s="3" t="s">
        <v>83</v>
      </c>
      <c r="O1927" s="3" t="s">
        <v>63</v>
      </c>
      <c r="P1927" s="3" t="s">
        <v>816</v>
      </c>
      <c r="R1927" s="3" t="s">
        <v>65</v>
      </c>
      <c r="S1927" s="4">
        <v>13</v>
      </c>
      <c r="T1927" s="4">
        <v>13</v>
      </c>
      <c r="U1927" s="5" t="s">
        <v>10874</v>
      </c>
      <c r="V1927" s="5" t="s">
        <v>10874</v>
      </c>
      <c r="W1927" s="5" t="s">
        <v>20121</v>
      </c>
      <c r="X1927" s="5" t="s">
        <v>20121</v>
      </c>
      <c r="Y1927" s="4">
        <v>838</v>
      </c>
      <c r="Z1927" s="4">
        <v>683</v>
      </c>
      <c r="AA1927" s="4">
        <v>690</v>
      </c>
      <c r="AB1927" s="4">
        <v>6</v>
      </c>
      <c r="AC1927" s="4">
        <v>6</v>
      </c>
      <c r="AD1927" s="4">
        <v>25</v>
      </c>
      <c r="AE1927" s="4">
        <v>25</v>
      </c>
      <c r="AF1927" s="4">
        <v>7</v>
      </c>
      <c r="AG1927" s="4">
        <v>7</v>
      </c>
      <c r="AH1927" s="4">
        <v>5</v>
      </c>
      <c r="AI1927" s="4">
        <v>5</v>
      </c>
      <c r="AJ1927" s="4">
        <v>14</v>
      </c>
      <c r="AK1927" s="4">
        <v>14</v>
      </c>
      <c r="AL1927" s="4">
        <v>5</v>
      </c>
      <c r="AM1927" s="4">
        <v>5</v>
      </c>
      <c r="AN1927" s="4">
        <v>0</v>
      </c>
      <c r="AO1927" s="4">
        <v>0</v>
      </c>
      <c r="AP1927" s="3" t="s">
        <v>58</v>
      </c>
      <c r="AQ1927" s="3" t="s">
        <v>68</v>
      </c>
      <c r="AR1927" s="6" t="str">
        <f>HYPERLINK("http://catalog.hathitrust.org/Record/000186033","HathiTrust Record")</f>
        <v>HathiTrust Record</v>
      </c>
      <c r="AS1927" s="6" t="str">
        <f>HYPERLINK("https://creighton-primo.hosted.exlibrisgroup.com/primo-explore/search?tab=default_tab&amp;search_scope=EVERYTHING&amp;vid=01CRU&amp;lang=en_US&amp;offset=0&amp;query=any,contains,991005371029702656","Catalog Record")</f>
        <v>Catalog Record</v>
      </c>
      <c r="AT1927" s="6" t="str">
        <f>HYPERLINK("http://www.worldcat.org/oclc/3345021","WorldCat Record")</f>
        <v>WorldCat Record</v>
      </c>
      <c r="AU1927" s="3" t="s">
        <v>23547</v>
      </c>
      <c r="AV1927" s="3" t="s">
        <v>23548</v>
      </c>
      <c r="AW1927" s="3" t="s">
        <v>23549</v>
      </c>
      <c r="AX1927" s="3" t="s">
        <v>23549</v>
      </c>
      <c r="AY1927" s="3" t="s">
        <v>23550</v>
      </c>
      <c r="AZ1927" s="3" t="s">
        <v>73</v>
      </c>
      <c r="BB1927" s="3" t="s">
        <v>23551</v>
      </c>
      <c r="BC1927" s="3" t="s">
        <v>23552</v>
      </c>
      <c r="BD1927" s="3" t="s">
        <v>23553</v>
      </c>
    </row>
    <row r="1928" spans="1:56" ht="51" customHeight="1" x14ac:dyDescent="0.25">
      <c r="A1928" s="7" t="s">
        <v>58</v>
      </c>
      <c r="B1928" s="2" t="s">
        <v>23554</v>
      </c>
      <c r="C1928" s="2" t="s">
        <v>23555</v>
      </c>
      <c r="D1928" s="2" t="s">
        <v>23556</v>
      </c>
      <c r="F1928" s="3" t="s">
        <v>58</v>
      </c>
      <c r="G1928" s="3" t="s">
        <v>59</v>
      </c>
      <c r="H1928" s="3" t="s">
        <v>58</v>
      </c>
      <c r="I1928" s="3" t="s">
        <v>58</v>
      </c>
      <c r="J1928" s="3" t="s">
        <v>60</v>
      </c>
      <c r="K1928" s="2" t="s">
        <v>23557</v>
      </c>
      <c r="L1928" s="2" t="s">
        <v>23558</v>
      </c>
      <c r="M1928" s="3" t="s">
        <v>1385</v>
      </c>
      <c r="O1928" s="3" t="s">
        <v>63</v>
      </c>
      <c r="P1928" s="3" t="s">
        <v>214</v>
      </c>
      <c r="R1928" s="3" t="s">
        <v>65</v>
      </c>
      <c r="S1928" s="4">
        <v>2</v>
      </c>
      <c r="T1928" s="4">
        <v>2</v>
      </c>
      <c r="U1928" s="5" t="s">
        <v>22788</v>
      </c>
      <c r="V1928" s="5" t="s">
        <v>22788</v>
      </c>
      <c r="W1928" s="5" t="s">
        <v>22066</v>
      </c>
      <c r="X1928" s="5" t="s">
        <v>22066</v>
      </c>
      <c r="Y1928" s="4">
        <v>463</v>
      </c>
      <c r="Z1928" s="4">
        <v>373</v>
      </c>
      <c r="AA1928" s="4">
        <v>434</v>
      </c>
      <c r="AB1928" s="4">
        <v>2</v>
      </c>
      <c r="AC1928" s="4">
        <v>4</v>
      </c>
      <c r="AD1928" s="4">
        <v>10</v>
      </c>
      <c r="AE1928" s="4">
        <v>13</v>
      </c>
      <c r="AF1928" s="4">
        <v>4</v>
      </c>
      <c r="AG1928" s="4">
        <v>5</v>
      </c>
      <c r="AH1928" s="4">
        <v>2</v>
      </c>
      <c r="AI1928" s="4">
        <v>2</v>
      </c>
      <c r="AJ1928" s="4">
        <v>5</v>
      </c>
      <c r="AK1928" s="4">
        <v>5</v>
      </c>
      <c r="AL1928" s="4">
        <v>1</v>
      </c>
      <c r="AM1928" s="4">
        <v>3</v>
      </c>
      <c r="AN1928" s="4">
        <v>0</v>
      </c>
      <c r="AO1928" s="4">
        <v>0</v>
      </c>
      <c r="AP1928" s="3" t="s">
        <v>58</v>
      </c>
      <c r="AQ1928" s="3" t="s">
        <v>68</v>
      </c>
      <c r="AR1928" s="6" t="str">
        <f>HYPERLINK("http://catalog.hathitrust.org/Record/000012908","HathiTrust Record")</f>
        <v>HathiTrust Record</v>
      </c>
      <c r="AS1928" s="6" t="str">
        <f>HYPERLINK("https://creighton-primo.hosted.exlibrisgroup.com/primo-explore/search?tab=default_tab&amp;search_scope=EVERYTHING&amp;vid=01CRU&amp;lang=en_US&amp;offset=0&amp;query=any,contains,991003316359702656","Catalog Record")</f>
        <v>Catalog Record</v>
      </c>
      <c r="AT1928" s="6" t="str">
        <f>HYPERLINK("http://www.worldcat.org/oclc/841249","WorldCat Record")</f>
        <v>WorldCat Record</v>
      </c>
      <c r="AU1928" s="3" t="s">
        <v>23559</v>
      </c>
      <c r="AV1928" s="3" t="s">
        <v>23560</v>
      </c>
      <c r="AW1928" s="3" t="s">
        <v>23561</v>
      </c>
      <c r="AX1928" s="3" t="s">
        <v>23561</v>
      </c>
      <c r="AY1928" s="3" t="s">
        <v>23562</v>
      </c>
      <c r="AZ1928" s="3" t="s">
        <v>73</v>
      </c>
      <c r="BB1928" s="3" t="s">
        <v>23563</v>
      </c>
      <c r="BC1928" s="3" t="s">
        <v>23564</v>
      </c>
      <c r="BD1928" s="3" t="s">
        <v>23565</v>
      </c>
    </row>
    <row r="1929" spans="1:56" ht="51" customHeight="1" x14ac:dyDescent="0.25">
      <c r="A1929" s="7" t="s">
        <v>58</v>
      </c>
      <c r="B1929" s="2" t="s">
        <v>23566</v>
      </c>
      <c r="C1929" s="2" t="s">
        <v>23567</v>
      </c>
      <c r="D1929" s="2" t="s">
        <v>23568</v>
      </c>
      <c r="F1929" s="3" t="s">
        <v>58</v>
      </c>
      <c r="G1929" s="3" t="s">
        <v>59</v>
      </c>
      <c r="H1929" s="3" t="s">
        <v>58</v>
      </c>
      <c r="I1929" s="3" t="s">
        <v>58</v>
      </c>
      <c r="J1929" s="3" t="s">
        <v>60</v>
      </c>
      <c r="K1929" s="2" t="s">
        <v>23569</v>
      </c>
      <c r="L1929" s="2" t="s">
        <v>23570</v>
      </c>
      <c r="M1929" s="3" t="s">
        <v>353</v>
      </c>
      <c r="O1929" s="3" t="s">
        <v>63</v>
      </c>
      <c r="P1929" s="3" t="s">
        <v>214</v>
      </c>
      <c r="R1929" s="3" t="s">
        <v>65</v>
      </c>
      <c r="S1929" s="4">
        <v>8</v>
      </c>
      <c r="T1929" s="4">
        <v>8</v>
      </c>
      <c r="U1929" s="5" t="s">
        <v>23571</v>
      </c>
      <c r="V1929" s="5" t="s">
        <v>23571</v>
      </c>
      <c r="W1929" s="5" t="s">
        <v>20145</v>
      </c>
      <c r="X1929" s="5" t="s">
        <v>20145</v>
      </c>
      <c r="Y1929" s="4">
        <v>1593</v>
      </c>
      <c r="Z1929" s="4">
        <v>1501</v>
      </c>
      <c r="AA1929" s="4">
        <v>1738</v>
      </c>
      <c r="AB1929" s="4">
        <v>11</v>
      </c>
      <c r="AC1929" s="4">
        <v>13</v>
      </c>
      <c r="AD1929" s="4">
        <v>31</v>
      </c>
      <c r="AE1929" s="4">
        <v>35</v>
      </c>
      <c r="AF1929" s="4">
        <v>16</v>
      </c>
      <c r="AG1929" s="4">
        <v>17</v>
      </c>
      <c r="AH1929" s="4">
        <v>6</v>
      </c>
      <c r="AI1929" s="4">
        <v>6</v>
      </c>
      <c r="AJ1929" s="4">
        <v>14</v>
      </c>
      <c r="AK1929" s="4">
        <v>15</v>
      </c>
      <c r="AL1929" s="4">
        <v>5</v>
      </c>
      <c r="AM1929" s="4">
        <v>6</v>
      </c>
      <c r="AN1929" s="4">
        <v>0</v>
      </c>
      <c r="AO1929" s="4">
        <v>1</v>
      </c>
      <c r="AP1929" s="3" t="s">
        <v>58</v>
      </c>
      <c r="AQ1929" s="3" t="s">
        <v>68</v>
      </c>
      <c r="AR1929" s="6" t="str">
        <f>HYPERLINK("http://catalog.hathitrust.org/Record/000814407","HathiTrust Record")</f>
        <v>HathiTrust Record</v>
      </c>
      <c r="AS1929" s="6" t="str">
        <f>HYPERLINK("https://creighton-primo.hosted.exlibrisgroup.com/primo-explore/search?tab=default_tab&amp;search_scope=EVERYTHING&amp;vid=01CRU&amp;lang=en_US&amp;offset=0&amp;query=any,contains,991000883269702656","Catalog Record")</f>
        <v>Catalog Record</v>
      </c>
      <c r="AT1929" s="6" t="str">
        <f>HYPERLINK("http://www.worldcat.org/oclc/13859505","WorldCat Record")</f>
        <v>WorldCat Record</v>
      </c>
      <c r="AU1929" s="3" t="s">
        <v>23572</v>
      </c>
      <c r="AV1929" s="3" t="s">
        <v>23573</v>
      </c>
      <c r="AW1929" s="3" t="s">
        <v>23574</v>
      </c>
      <c r="AX1929" s="3" t="s">
        <v>23574</v>
      </c>
      <c r="AY1929" s="3" t="s">
        <v>23575</v>
      </c>
      <c r="AZ1929" s="3" t="s">
        <v>73</v>
      </c>
      <c r="BB1929" s="3" t="s">
        <v>23576</v>
      </c>
      <c r="BC1929" s="3" t="s">
        <v>23577</v>
      </c>
      <c r="BD1929" s="3" t="s">
        <v>23578</v>
      </c>
    </row>
    <row r="1930" spans="1:56" ht="51" customHeight="1" x14ac:dyDescent="0.25">
      <c r="A1930" s="7" t="s">
        <v>58</v>
      </c>
      <c r="B1930" s="2" t="s">
        <v>23579</v>
      </c>
      <c r="C1930" s="2" t="s">
        <v>23580</v>
      </c>
      <c r="D1930" s="2" t="s">
        <v>23581</v>
      </c>
      <c r="F1930" s="3" t="s">
        <v>58</v>
      </c>
      <c r="G1930" s="3" t="s">
        <v>59</v>
      </c>
      <c r="H1930" s="3" t="s">
        <v>58</v>
      </c>
      <c r="I1930" s="3" t="s">
        <v>58</v>
      </c>
      <c r="J1930" s="3" t="s">
        <v>60</v>
      </c>
      <c r="K1930" s="2" t="s">
        <v>23582</v>
      </c>
      <c r="L1930" s="2" t="s">
        <v>23583</v>
      </c>
      <c r="M1930" s="3" t="s">
        <v>1357</v>
      </c>
      <c r="O1930" s="3" t="s">
        <v>63</v>
      </c>
      <c r="P1930" s="3" t="s">
        <v>214</v>
      </c>
      <c r="R1930" s="3" t="s">
        <v>65</v>
      </c>
      <c r="S1930" s="4">
        <v>14</v>
      </c>
      <c r="T1930" s="4">
        <v>14</v>
      </c>
      <c r="U1930" s="5" t="s">
        <v>11149</v>
      </c>
      <c r="V1930" s="5" t="s">
        <v>11149</v>
      </c>
      <c r="W1930" s="5" t="s">
        <v>23584</v>
      </c>
      <c r="X1930" s="5" t="s">
        <v>23584</v>
      </c>
      <c r="Y1930" s="4">
        <v>131</v>
      </c>
      <c r="Z1930" s="4">
        <v>111</v>
      </c>
      <c r="AA1930" s="4">
        <v>421</v>
      </c>
      <c r="AB1930" s="4">
        <v>2</v>
      </c>
      <c r="AC1930" s="4">
        <v>4</v>
      </c>
      <c r="AD1930" s="4">
        <v>3</v>
      </c>
      <c r="AE1930" s="4">
        <v>16</v>
      </c>
      <c r="AF1930" s="4">
        <v>0</v>
      </c>
      <c r="AG1930" s="4">
        <v>4</v>
      </c>
      <c r="AH1930" s="4">
        <v>1</v>
      </c>
      <c r="AI1930" s="4">
        <v>4</v>
      </c>
      <c r="AJ1930" s="4">
        <v>2</v>
      </c>
      <c r="AK1930" s="4">
        <v>7</v>
      </c>
      <c r="AL1930" s="4">
        <v>1</v>
      </c>
      <c r="AM1930" s="4">
        <v>2</v>
      </c>
      <c r="AN1930" s="4">
        <v>0</v>
      </c>
      <c r="AO1930" s="4">
        <v>0</v>
      </c>
      <c r="AP1930" s="3" t="s">
        <v>58</v>
      </c>
      <c r="AQ1930" s="3" t="s">
        <v>58</v>
      </c>
      <c r="AS1930" s="6" t="str">
        <f>HYPERLINK("https://creighton-primo.hosted.exlibrisgroup.com/primo-explore/search?tab=default_tab&amp;search_scope=EVERYTHING&amp;vid=01CRU&amp;lang=en_US&amp;offset=0&amp;query=any,contains,991005353169702656","Catalog Record")</f>
        <v>Catalog Record</v>
      </c>
      <c r="AT1930" s="6" t="str">
        <f>HYPERLINK("http://www.worldcat.org/oclc/103477","WorldCat Record")</f>
        <v>WorldCat Record</v>
      </c>
      <c r="AU1930" s="3" t="s">
        <v>23585</v>
      </c>
      <c r="AV1930" s="3" t="s">
        <v>23586</v>
      </c>
      <c r="AW1930" s="3" t="s">
        <v>23587</v>
      </c>
      <c r="AX1930" s="3" t="s">
        <v>23587</v>
      </c>
      <c r="AY1930" s="3" t="s">
        <v>23588</v>
      </c>
      <c r="AZ1930" s="3" t="s">
        <v>73</v>
      </c>
      <c r="BB1930" s="3" t="s">
        <v>23589</v>
      </c>
      <c r="BC1930" s="3" t="s">
        <v>23590</v>
      </c>
      <c r="BD1930" s="3" t="s">
        <v>23591</v>
      </c>
    </row>
    <row r="1931" spans="1:56" ht="51" customHeight="1" x14ac:dyDescent="0.25">
      <c r="A1931" s="7" t="s">
        <v>58</v>
      </c>
      <c r="B1931" s="2" t="s">
        <v>23592</v>
      </c>
      <c r="C1931" s="2" t="s">
        <v>23593</v>
      </c>
      <c r="D1931" s="2" t="s">
        <v>23594</v>
      </c>
      <c r="F1931" s="3" t="s">
        <v>58</v>
      </c>
      <c r="G1931" s="3" t="s">
        <v>59</v>
      </c>
      <c r="H1931" s="3" t="s">
        <v>58</v>
      </c>
      <c r="I1931" s="3" t="s">
        <v>58</v>
      </c>
      <c r="J1931" s="3" t="s">
        <v>60</v>
      </c>
      <c r="K1931" s="2" t="s">
        <v>23595</v>
      </c>
      <c r="L1931" s="2" t="s">
        <v>23596</v>
      </c>
      <c r="M1931" s="3" t="s">
        <v>83</v>
      </c>
      <c r="O1931" s="3" t="s">
        <v>63</v>
      </c>
      <c r="P1931" s="3" t="s">
        <v>495</v>
      </c>
      <c r="Q1931" s="2" t="s">
        <v>23597</v>
      </c>
      <c r="R1931" s="3" t="s">
        <v>65</v>
      </c>
      <c r="S1931" s="4">
        <v>2</v>
      </c>
      <c r="T1931" s="4">
        <v>2</v>
      </c>
      <c r="U1931" s="5" t="s">
        <v>15883</v>
      </c>
      <c r="V1931" s="5" t="s">
        <v>15883</v>
      </c>
      <c r="W1931" s="5" t="s">
        <v>20121</v>
      </c>
      <c r="X1931" s="5" t="s">
        <v>20121</v>
      </c>
      <c r="Y1931" s="4">
        <v>49</v>
      </c>
      <c r="Z1931" s="4">
        <v>37</v>
      </c>
      <c r="AA1931" s="4">
        <v>198</v>
      </c>
      <c r="AB1931" s="4">
        <v>1</v>
      </c>
      <c r="AC1931" s="4">
        <v>3</v>
      </c>
      <c r="AD1931" s="4">
        <v>1</v>
      </c>
      <c r="AE1931" s="4">
        <v>4</v>
      </c>
      <c r="AF1931" s="4">
        <v>0</v>
      </c>
      <c r="AG1931" s="4">
        <v>1</v>
      </c>
      <c r="AH1931" s="4">
        <v>1</v>
      </c>
      <c r="AI1931" s="4">
        <v>2</v>
      </c>
      <c r="AJ1931" s="4">
        <v>1</v>
      </c>
      <c r="AK1931" s="4">
        <v>1</v>
      </c>
      <c r="AL1931" s="4">
        <v>0</v>
      </c>
      <c r="AM1931" s="4">
        <v>1</v>
      </c>
      <c r="AN1931" s="4">
        <v>0</v>
      </c>
      <c r="AO1931" s="4">
        <v>0</v>
      </c>
      <c r="AP1931" s="3" t="s">
        <v>58</v>
      </c>
      <c r="AQ1931" s="3" t="s">
        <v>58</v>
      </c>
      <c r="AS1931" s="6" t="str">
        <f>HYPERLINK("https://creighton-primo.hosted.exlibrisgroup.com/primo-explore/search?tab=default_tab&amp;search_scope=EVERYTHING&amp;vid=01CRU&amp;lang=en_US&amp;offset=0&amp;query=any,contains,991004593189702656","Catalog Record")</f>
        <v>Catalog Record</v>
      </c>
      <c r="AT1931" s="6" t="str">
        <f>HYPERLINK("http://www.worldcat.org/oclc/4135609","WorldCat Record")</f>
        <v>WorldCat Record</v>
      </c>
      <c r="AU1931" s="3" t="s">
        <v>23598</v>
      </c>
      <c r="AV1931" s="3" t="s">
        <v>23599</v>
      </c>
      <c r="AW1931" s="3" t="s">
        <v>23600</v>
      </c>
      <c r="AX1931" s="3" t="s">
        <v>23600</v>
      </c>
      <c r="AY1931" s="3" t="s">
        <v>23601</v>
      </c>
      <c r="AZ1931" s="3" t="s">
        <v>73</v>
      </c>
      <c r="BB1931" s="3" t="s">
        <v>23602</v>
      </c>
      <c r="BC1931" s="3" t="s">
        <v>23603</v>
      </c>
      <c r="BD1931" s="3" t="s">
        <v>23604</v>
      </c>
    </row>
    <row r="1932" spans="1:56" ht="51" customHeight="1" x14ac:dyDescent="0.25">
      <c r="A1932" s="7" t="s">
        <v>58</v>
      </c>
      <c r="B1932" s="2" t="s">
        <v>23605</v>
      </c>
      <c r="C1932" s="2" t="s">
        <v>23606</v>
      </c>
      <c r="D1932" s="2" t="s">
        <v>23607</v>
      </c>
      <c r="F1932" s="3" t="s">
        <v>58</v>
      </c>
      <c r="G1932" s="3" t="s">
        <v>59</v>
      </c>
      <c r="H1932" s="3" t="s">
        <v>58</v>
      </c>
      <c r="I1932" s="3" t="s">
        <v>58</v>
      </c>
      <c r="J1932" s="3" t="s">
        <v>60</v>
      </c>
      <c r="K1932" s="2" t="s">
        <v>23608</v>
      </c>
      <c r="L1932" s="2" t="s">
        <v>23609</v>
      </c>
      <c r="M1932" s="3" t="s">
        <v>996</v>
      </c>
      <c r="O1932" s="3" t="s">
        <v>63</v>
      </c>
      <c r="P1932" s="3" t="s">
        <v>571</v>
      </c>
      <c r="R1932" s="3" t="s">
        <v>65</v>
      </c>
      <c r="S1932" s="4">
        <v>2</v>
      </c>
      <c r="T1932" s="4">
        <v>2</v>
      </c>
      <c r="U1932" s="5" t="s">
        <v>2297</v>
      </c>
      <c r="V1932" s="5" t="s">
        <v>2297</v>
      </c>
      <c r="W1932" s="5" t="s">
        <v>23584</v>
      </c>
      <c r="X1932" s="5" t="s">
        <v>23584</v>
      </c>
      <c r="Y1932" s="4">
        <v>321</v>
      </c>
      <c r="Z1932" s="4">
        <v>287</v>
      </c>
      <c r="AA1932" s="4">
        <v>496</v>
      </c>
      <c r="AB1932" s="4">
        <v>2</v>
      </c>
      <c r="AC1932" s="4">
        <v>3</v>
      </c>
      <c r="AD1932" s="4">
        <v>8</v>
      </c>
      <c r="AE1932" s="4">
        <v>9</v>
      </c>
      <c r="AF1932" s="4">
        <v>3</v>
      </c>
      <c r="AG1932" s="4">
        <v>3</v>
      </c>
      <c r="AH1932" s="4">
        <v>5</v>
      </c>
      <c r="AI1932" s="4">
        <v>6</v>
      </c>
      <c r="AJ1932" s="4">
        <v>4</v>
      </c>
      <c r="AK1932" s="4">
        <v>4</v>
      </c>
      <c r="AL1932" s="4">
        <v>0</v>
      </c>
      <c r="AM1932" s="4">
        <v>0</v>
      </c>
      <c r="AN1932" s="4">
        <v>0</v>
      </c>
      <c r="AO1932" s="4">
        <v>0</v>
      </c>
      <c r="AP1932" s="3" t="s">
        <v>58</v>
      </c>
      <c r="AQ1932" s="3" t="s">
        <v>58</v>
      </c>
      <c r="AS1932" s="6" t="str">
        <f>HYPERLINK("https://creighton-primo.hosted.exlibrisgroup.com/primo-explore/search?tab=default_tab&amp;search_scope=EVERYTHING&amp;vid=01CRU&amp;lang=en_US&amp;offset=0&amp;query=any,contains,991003675719702656","Catalog Record")</f>
        <v>Catalog Record</v>
      </c>
      <c r="AT1932" s="6" t="str">
        <f>HYPERLINK("http://www.worldcat.org/oclc/773576","WorldCat Record")</f>
        <v>WorldCat Record</v>
      </c>
      <c r="AU1932" s="3" t="s">
        <v>23610</v>
      </c>
      <c r="AV1932" s="3" t="s">
        <v>23611</v>
      </c>
      <c r="AW1932" s="3" t="s">
        <v>23612</v>
      </c>
      <c r="AX1932" s="3" t="s">
        <v>23612</v>
      </c>
      <c r="AY1932" s="3" t="s">
        <v>23613</v>
      </c>
      <c r="AZ1932" s="3" t="s">
        <v>73</v>
      </c>
      <c r="BC1932" s="3" t="s">
        <v>23614</v>
      </c>
      <c r="BD1932" s="3" t="s">
        <v>23615</v>
      </c>
    </row>
    <row r="1933" spans="1:56" ht="51" customHeight="1" x14ac:dyDescent="0.25">
      <c r="A1933" s="7" t="s">
        <v>58</v>
      </c>
      <c r="B1933" s="2" t="s">
        <v>23616</v>
      </c>
      <c r="C1933" s="2" t="s">
        <v>23617</v>
      </c>
      <c r="D1933" s="2" t="s">
        <v>23618</v>
      </c>
      <c r="F1933" s="3" t="s">
        <v>58</v>
      </c>
      <c r="G1933" s="3" t="s">
        <v>59</v>
      </c>
      <c r="H1933" s="3" t="s">
        <v>68</v>
      </c>
      <c r="I1933" s="3" t="s">
        <v>58</v>
      </c>
      <c r="J1933" s="3" t="s">
        <v>60</v>
      </c>
      <c r="K1933" s="2" t="s">
        <v>23619</v>
      </c>
      <c r="L1933" s="2" t="s">
        <v>23620</v>
      </c>
      <c r="M1933" s="3" t="s">
        <v>12203</v>
      </c>
      <c r="O1933" s="3" t="s">
        <v>63</v>
      </c>
      <c r="P1933" s="3" t="s">
        <v>6817</v>
      </c>
      <c r="R1933" s="3" t="s">
        <v>65</v>
      </c>
      <c r="S1933" s="4">
        <v>2</v>
      </c>
      <c r="T1933" s="4">
        <v>2</v>
      </c>
      <c r="U1933" s="5" t="s">
        <v>23621</v>
      </c>
      <c r="V1933" s="5" t="s">
        <v>23621</v>
      </c>
      <c r="W1933" s="5" t="s">
        <v>23584</v>
      </c>
      <c r="X1933" s="5" t="s">
        <v>23584</v>
      </c>
      <c r="Y1933" s="4">
        <v>797</v>
      </c>
      <c r="Z1933" s="4">
        <v>692</v>
      </c>
      <c r="AA1933" s="4">
        <v>743</v>
      </c>
      <c r="AB1933" s="4">
        <v>5</v>
      </c>
      <c r="AC1933" s="4">
        <v>5</v>
      </c>
      <c r="AD1933" s="4">
        <v>33</v>
      </c>
      <c r="AE1933" s="4">
        <v>34</v>
      </c>
      <c r="AF1933" s="4">
        <v>13</v>
      </c>
      <c r="AG1933" s="4">
        <v>13</v>
      </c>
      <c r="AH1933" s="4">
        <v>7</v>
      </c>
      <c r="AI1933" s="4">
        <v>7</v>
      </c>
      <c r="AJ1933" s="4">
        <v>17</v>
      </c>
      <c r="AK1933" s="4">
        <v>18</v>
      </c>
      <c r="AL1933" s="4">
        <v>4</v>
      </c>
      <c r="AM1933" s="4">
        <v>4</v>
      </c>
      <c r="AN1933" s="4">
        <v>1</v>
      </c>
      <c r="AO1933" s="4">
        <v>1</v>
      </c>
      <c r="AP1933" s="3" t="s">
        <v>58</v>
      </c>
      <c r="AQ1933" s="3" t="s">
        <v>58</v>
      </c>
      <c r="AR1933" s="6" t="str">
        <f>HYPERLINK("http://catalog.hathitrust.org/Record/001257558","HathiTrust Record")</f>
        <v>HathiTrust Record</v>
      </c>
      <c r="AS1933" s="6" t="str">
        <f>HYPERLINK("https://creighton-primo.hosted.exlibrisgroup.com/primo-explore/search?tab=default_tab&amp;search_scope=EVERYTHING&amp;vid=01CRU&amp;lang=en_US&amp;offset=0&amp;query=any,contains,991002720109702656","Catalog Record")</f>
        <v>Catalog Record</v>
      </c>
      <c r="AT1933" s="6" t="str">
        <f>HYPERLINK("http://www.worldcat.org/oclc/412354","WorldCat Record")</f>
        <v>WorldCat Record</v>
      </c>
      <c r="AU1933" s="3" t="s">
        <v>23622</v>
      </c>
      <c r="AV1933" s="3" t="s">
        <v>23623</v>
      </c>
      <c r="AW1933" s="3" t="s">
        <v>23624</v>
      </c>
      <c r="AX1933" s="3" t="s">
        <v>23624</v>
      </c>
      <c r="AY1933" s="3" t="s">
        <v>23625</v>
      </c>
      <c r="AZ1933" s="3" t="s">
        <v>73</v>
      </c>
      <c r="BC1933" s="3" t="s">
        <v>23626</v>
      </c>
      <c r="BD1933" s="3" t="s">
        <v>23627</v>
      </c>
    </row>
    <row r="1934" spans="1:56" ht="51" customHeight="1" x14ac:dyDescent="0.25">
      <c r="A1934" s="7" t="s">
        <v>58</v>
      </c>
      <c r="B1934" s="2" t="s">
        <v>23616</v>
      </c>
      <c r="C1934" s="2" t="s">
        <v>23617</v>
      </c>
      <c r="D1934" s="2" t="s">
        <v>23618</v>
      </c>
      <c r="F1934" s="3" t="s">
        <v>58</v>
      </c>
      <c r="G1934" s="3" t="s">
        <v>59</v>
      </c>
      <c r="H1934" s="3" t="s">
        <v>68</v>
      </c>
      <c r="I1934" s="3" t="s">
        <v>58</v>
      </c>
      <c r="J1934" s="3" t="s">
        <v>60</v>
      </c>
      <c r="K1934" s="2" t="s">
        <v>23619</v>
      </c>
      <c r="L1934" s="2" t="s">
        <v>23620</v>
      </c>
      <c r="M1934" s="3" t="s">
        <v>12203</v>
      </c>
      <c r="O1934" s="3" t="s">
        <v>63</v>
      </c>
      <c r="P1934" s="3" t="s">
        <v>6817</v>
      </c>
      <c r="R1934" s="3" t="s">
        <v>65</v>
      </c>
      <c r="S1934" s="4">
        <v>0</v>
      </c>
      <c r="T1934" s="4">
        <v>2</v>
      </c>
      <c r="V1934" s="5" t="s">
        <v>23621</v>
      </c>
      <c r="W1934" s="5" t="s">
        <v>23584</v>
      </c>
      <c r="X1934" s="5" t="s">
        <v>23584</v>
      </c>
      <c r="Y1934" s="4">
        <v>797</v>
      </c>
      <c r="Z1934" s="4">
        <v>692</v>
      </c>
      <c r="AA1934" s="4">
        <v>743</v>
      </c>
      <c r="AB1934" s="4">
        <v>5</v>
      </c>
      <c r="AC1934" s="4">
        <v>5</v>
      </c>
      <c r="AD1934" s="4">
        <v>33</v>
      </c>
      <c r="AE1934" s="4">
        <v>34</v>
      </c>
      <c r="AF1934" s="4">
        <v>13</v>
      </c>
      <c r="AG1934" s="4">
        <v>13</v>
      </c>
      <c r="AH1934" s="4">
        <v>7</v>
      </c>
      <c r="AI1934" s="4">
        <v>7</v>
      </c>
      <c r="AJ1934" s="4">
        <v>17</v>
      </c>
      <c r="AK1934" s="4">
        <v>18</v>
      </c>
      <c r="AL1934" s="4">
        <v>4</v>
      </c>
      <c r="AM1934" s="4">
        <v>4</v>
      </c>
      <c r="AN1934" s="4">
        <v>1</v>
      </c>
      <c r="AO1934" s="4">
        <v>1</v>
      </c>
      <c r="AP1934" s="3" t="s">
        <v>58</v>
      </c>
      <c r="AQ1934" s="3" t="s">
        <v>58</v>
      </c>
      <c r="AR1934" s="6" t="str">
        <f>HYPERLINK("http://catalog.hathitrust.org/Record/001257558","HathiTrust Record")</f>
        <v>HathiTrust Record</v>
      </c>
      <c r="AS1934" s="6" t="str">
        <f>HYPERLINK("https://creighton-primo.hosted.exlibrisgroup.com/primo-explore/search?tab=default_tab&amp;search_scope=EVERYTHING&amp;vid=01CRU&amp;lang=en_US&amp;offset=0&amp;query=any,contains,991002720109702656","Catalog Record")</f>
        <v>Catalog Record</v>
      </c>
      <c r="AT1934" s="6" t="str">
        <f>HYPERLINK("http://www.worldcat.org/oclc/412354","WorldCat Record")</f>
        <v>WorldCat Record</v>
      </c>
      <c r="AU1934" s="3" t="s">
        <v>23622</v>
      </c>
      <c r="AV1934" s="3" t="s">
        <v>23623</v>
      </c>
      <c r="AW1934" s="3" t="s">
        <v>23624</v>
      </c>
      <c r="AX1934" s="3" t="s">
        <v>23624</v>
      </c>
      <c r="AY1934" s="3" t="s">
        <v>23625</v>
      </c>
      <c r="AZ1934" s="3" t="s">
        <v>73</v>
      </c>
      <c r="BC1934" s="3" t="s">
        <v>23628</v>
      </c>
      <c r="BD1934" s="3" t="s">
        <v>23629</v>
      </c>
    </row>
    <row r="1935" spans="1:56" ht="51" customHeight="1" x14ac:dyDescent="0.25">
      <c r="A1935" s="7" t="s">
        <v>58</v>
      </c>
      <c r="B1935" s="2" t="s">
        <v>23630</v>
      </c>
      <c r="C1935" s="2" t="s">
        <v>23631</v>
      </c>
      <c r="D1935" s="2" t="s">
        <v>23632</v>
      </c>
      <c r="F1935" s="3" t="s">
        <v>58</v>
      </c>
      <c r="G1935" s="3" t="s">
        <v>59</v>
      </c>
      <c r="H1935" s="3" t="s">
        <v>58</v>
      </c>
      <c r="I1935" s="3" t="s">
        <v>58</v>
      </c>
      <c r="J1935" s="3" t="s">
        <v>60</v>
      </c>
      <c r="K1935" s="2" t="s">
        <v>23633</v>
      </c>
      <c r="L1935" s="2" t="s">
        <v>23634</v>
      </c>
      <c r="M1935" s="3" t="s">
        <v>745</v>
      </c>
      <c r="O1935" s="3" t="s">
        <v>63</v>
      </c>
      <c r="P1935" s="3" t="s">
        <v>214</v>
      </c>
      <c r="Q1935" s="2" t="s">
        <v>23635</v>
      </c>
      <c r="R1935" s="3" t="s">
        <v>65</v>
      </c>
      <c r="S1935" s="4">
        <v>3</v>
      </c>
      <c r="T1935" s="4">
        <v>3</v>
      </c>
      <c r="U1935" s="5" t="s">
        <v>23636</v>
      </c>
      <c r="V1935" s="5" t="s">
        <v>23636</v>
      </c>
      <c r="W1935" s="5" t="s">
        <v>20121</v>
      </c>
      <c r="X1935" s="5" t="s">
        <v>20121</v>
      </c>
      <c r="Y1935" s="4">
        <v>2510</v>
      </c>
      <c r="Z1935" s="4">
        <v>2386</v>
      </c>
      <c r="AA1935" s="4">
        <v>2463</v>
      </c>
      <c r="AB1935" s="4">
        <v>19</v>
      </c>
      <c r="AC1935" s="4">
        <v>20</v>
      </c>
      <c r="AD1935" s="4">
        <v>44</v>
      </c>
      <c r="AE1935" s="4">
        <v>44</v>
      </c>
      <c r="AF1935" s="4">
        <v>18</v>
      </c>
      <c r="AG1935" s="4">
        <v>18</v>
      </c>
      <c r="AH1935" s="4">
        <v>10</v>
      </c>
      <c r="AI1935" s="4">
        <v>10</v>
      </c>
      <c r="AJ1935" s="4">
        <v>22</v>
      </c>
      <c r="AK1935" s="4">
        <v>22</v>
      </c>
      <c r="AL1935" s="4">
        <v>6</v>
      </c>
      <c r="AM1935" s="4">
        <v>6</v>
      </c>
      <c r="AN1935" s="4">
        <v>0</v>
      </c>
      <c r="AO1935" s="4">
        <v>0</v>
      </c>
      <c r="AP1935" s="3" t="s">
        <v>58</v>
      </c>
      <c r="AQ1935" s="3" t="s">
        <v>68</v>
      </c>
      <c r="AR1935" s="6" t="str">
        <f>HYPERLINK("http://catalog.hathitrust.org/Record/001257559","HathiTrust Record")</f>
        <v>HathiTrust Record</v>
      </c>
      <c r="AS1935" s="6" t="str">
        <f>HYPERLINK("https://creighton-primo.hosted.exlibrisgroup.com/primo-explore/search?tab=default_tab&amp;search_scope=EVERYTHING&amp;vid=01CRU&amp;lang=en_US&amp;offset=0&amp;query=any,contains,991002703679702656","Catalog Record")</f>
        <v>Catalog Record</v>
      </c>
      <c r="AT1935" s="6" t="str">
        <f>HYPERLINK("http://www.worldcat.org/oclc/406427","WorldCat Record")</f>
        <v>WorldCat Record</v>
      </c>
      <c r="AU1935" s="3" t="s">
        <v>23637</v>
      </c>
      <c r="AV1935" s="3" t="s">
        <v>23638</v>
      </c>
      <c r="AW1935" s="3" t="s">
        <v>23639</v>
      </c>
      <c r="AX1935" s="3" t="s">
        <v>23639</v>
      </c>
      <c r="AY1935" s="3" t="s">
        <v>23640</v>
      </c>
      <c r="AZ1935" s="3" t="s">
        <v>73</v>
      </c>
      <c r="BC1935" s="3" t="s">
        <v>23641</v>
      </c>
      <c r="BD1935" s="3" t="s">
        <v>23642</v>
      </c>
    </row>
    <row r="1936" spans="1:56" ht="51" customHeight="1" x14ac:dyDescent="0.25">
      <c r="A1936" s="7" t="s">
        <v>58</v>
      </c>
      <c r="B1936" s="2" t="s">
        <v>23643</v>
      </c>
      <c r="C1936" s="2" t="s">
        <v>23644</v>
      </c>
      <c r="D1936" s="2" t="s">
        <v>23645</v>
      </c>
      <c r="F1936" s="3" t="s">
        <v>58</v>
      </c>
      <c r="G1936" s="3" t="s">
        <v>59</v>
      </c>
      <c r="H1936" s="3" t="s">
        <v>58</v>
      </c>
      <c r="I1936" s="3" t="s">
        <v>58</v>
      </c>
      <c r="J1936" s="3" t="s">
        <v>60</v>
      </c>
      <c r="K1936" s="2" t="s">
        <v>23595</v>
      </c>
      <c r="L1936" s="2" t="s">
        <v>23646</v>
      </c>
      <c r="M1936" s="3" t="s">
        <v>4483</v>
      </c>
      <c r="O1936" s="3" t="s">
        <v>63</v>
      </c>
      <c r="P1936" s="3" t="s">
        <v>214</v>
      </c>
      <c r="R1936" s="3" t="s">
        <v>65</v>
      </c>
      <c r="S1936" s="4">
        <v>3</v>
      </c>
      <c r="T1936" s="4">
        <v>3</v>
      </c>
      <c r="U1936" s="5" t="s">
        <v>23647</v>
      </c>
      <c r="V1936" s="5" t="s">
        <v>23647</v>
      </c>
      <c r="W1936" s="5" t="s">
        <v>23648</v>
      </c>
      <c r="X1936" s="5" t="s">
        <v>23648</v>
      </c>
      <c r="Y1936" s="4">
        <v>777</v>
      </c>
      <c r="Z1936" s="4">
        <v>739</v>
      </c>
      <c r="AA1936" s="4">
        <v>1119</v>
      </c>
      <c r="AB1936" s="4">
        <v>3</v>
      </c>
      <c r="AC1936" s="4">
        <v>7</v>
      </c>
      <c r="AD1936" s="4">
        <v>33</v>
      </c>
      <c r="AE1936" s="4">
        <v>47</v>
      </c>
      <c r="AF1936" s="4">
        <v>18</v>
      </c>
      <c r="AG1936" s="4">
        <v>23</v>
      </c>
      <c r="AH1936" s="4">
        <v>6</v>
      </c>
      <c r="AI1936" s="4">
        <v>9</v>
      </c>
      <c r="AJ1936" s="4">
        <v>17</v>
      </c>
      <c r="AK1936" s="4">
        <v>23</v>
      </c>
      <c r="AL1936" s="4">
        <v>2</v>
      </c>
      <c r="AM1936" s="4">
        <v>5</v>
      </c>
      <c r="AN1936" s="4">
        <v>0</v>
      </c>
      <c r="AO1936" s="4">
        <v>0</v>
      </c>
      <c r="AP1936" s="3" t="s">
        <v>58</v>
      </c>
      <c r="AQ1936" s="3" t="s">
        <v>68</v>
      </c>
      <c r="AR1936" s="6" t="str">
        <f>HYPERLINK("http://catalog.hathitrust.org/Record/001257556","HathiTrust Record")</f>
        <v>HathiTrust Record</v>
      </c>
      <c r="AS1936" s="6" t="str">
        <f>HYPERLINK("https://creighton-primo.hosted.exlibrisgroup.com/primo-explore/search?tab=default_tab&amp;search_scope=EVERYTHING&amp;vid=01CRU&amp;lang=en_US&amp;offset=0&amp;query=any,contains,991002719929702656","Catalog Record")</f>
        <v>Catalog Record</v>
      </c>
      <c r="AT1936" s="6" t="str">
        <f>HYPERLINK("http://www.worldcat.org/oclc/412344","WorldCat Record")</f>
        <v>WorldCat Record</v>
      </c>
      <c r="AU1936" s="3" t="s">
        <v>23649</v>
      </c>
      <c r="AV1936" s="3" t="s">
        <v>23650</v>
      </c>
      <c r="AW1936" s="3" t="s">
        <v>23651</v>
      </c>
      <c r="AX1936" s="3" t="s">
        <v>23651</v>
      </c>
      <c r="AY1936" s="3" t="s">
        <v>23652</v>
      </c>
      <c r="AZ1936" s="3" t="s">
        <v>73</v>
      </c>
      <c r="BC1936" s="3" t="s">
        <v>23653</v>
      </c>
      <c r="BD1936" s="3" t="s">
        <v>23654</v>
      </c>
    </row>
    <row r="1937" spans="1:56" ht="51" customHeight="1" x14ac:dyDescent="0.25">
      <c r="A1937" s="7" t="s">
        <v>58</v>
      </c>
      <c r="B1937" s="2" t="s">
        <v>23655</v>
      </c>
      <c r="C1937" s="2" t="s">
        <v>23656</v>
      </c>
      <c r="D1937" s="2" t="s">
        <v>23657</v>
      </c>
      <c r="F1937" s="3" t="s">
        <v>58</v>
      </c>
      <c r="G1937" s="3" t="s">
        <v>59</v>
      </c>
      <c r="H1937" s="3" t="s">
        <v>58</v>
      </c>
      <c r="I1937" s="3" t="s">
        <v>58</v>
      </c>
      <c r="J1937" s="3" t="s">
        <v>60</v>
      </c>
      <c r="K1937" s="2" t="s">
        <v>23658</v>
      </c>
      <c r="L1937" s="2" t="s">
        <v>23659</v>
      </c>
      <c r="M1937" s="3" t="s">
        <v>759</v>
      </c>
      <c r="N1937" s="2" t="s">
        <v>338</v>
      </c>
      <c r="O1937" s="3" t="s">
        <v>63</v>
      </c>
      <c r="P1937" s="3" t="s">
        <v>214</v>
      </c>
      <c r="R1937" s="3" t="s">
        <v>65</v>
      </c>
      <c r="S1937" s="4">
        <v>4</v>
      </c>
      <c r="T1937" s="4">
        <v>4</v>
      </c>
      <c r="U1937" s="5" t="s">
        <v>23660</v>
      </c>
      <c r="V1937" s="5" t="s">
        <v>23660</v>
      </c>
      <c r="W1937" s="5" t="s">
        <v>20121</v>
      </c>
      <c r="X1937" s="5" t="s">
        <v>20121</v>
      </c>
      <c r="Y1937" s="4">
        <v>1009</v>
      </c>
      <c r="Z1937" s="4">
        <v>935</v>
      </c>
      <c r="AA1937" s="4">
        <v>1074</v>
      </c>
      <c r="AB1937" s="4">
        <v>5</v>
      </c>
      <c r="AC1937" s="4">
        <v>5</v>
      </c>
      <c r="AD1937" s="4">
        <v>28</v>
      </c>
      <c r="AE1937" s="4">
        <v>30</v>
      </c>
      <c r="AF1937" s="4">
        <v>12</v>
      </c>
      <c r="AG1937" s="4">
        <v>14</v>
      </c>
      <c r="AH1937" s="4">
        <v>9</v>
      </c>
      <c r="AI1937" s="4">
        <v>9</v>
      </c>
      <c r="AJ1937" s="4">
        <v>11</v>
      </c>
      <c r="AK1937" s="4">
        <v>12</v>
      </c>
      <c r="AL1937" s="4">
        <v>4</v>
      </c>
      <c r="AM1937" s="4">
        <v>4</v>
      </c>
      <c r="AN1937" s="4">
        <v>0</v>
      </c>
      <c r="AO1937" s="4">
        <v>0</v>
      </c>
      <c r="AP1937" s="3" t="s">
        <v>58</v>
      </c>
      <c r="AQ1937" s="3" t="s">
        <v>68</v>
      </c>
      <c r="AR1937" s="6" t="str">
        <f>HYPERLINK("http://catalog.hathitrust.org/Record/102471631","HathiTrust Record")</f>
        <v>HathiTrust Record</v>
      </c>
      <c r="AS1937" s="6" t="str">
        <f>HYPERLINK("https://creighton-primo.hosted.exlibrisgroup.com/primo-explore/search?tab=default_tab&amp;search_scope=EVERYTHING&amp;vid=01CRU&amp;lang=en_US&amp;offset=0&amp;query=any,contains,991004990029702656","Catalog Record")</f>
        <v>Catalog Record</v>
      </c>
      <c r="AT1937" s="6" t="str">
        <f>HYPERLINK("http://www.worldcat.org/oclc/6486624","WorldCat Record")</f>
        <v>WorldCat Record</v>
      </c>
      <c r="AU1937" s="3" t="s">
        <v>23661</v>
      </c>
      <c r="AV1937" s="3" t="s">
        <v>23662</v>
      </c>
      <c r="AW1937" s="3" t="s">
        <v>23663</v>
      </c>
      <c r="AX1937" s="3" t="s">
        <v>23663</v>
      </c>
      <c r="AY1937" s="3" t="s">
        <v>23664</v>
      </c>
      <c r="AZ1937" s="3" t="s">
        <v>73</v>
      </c>
      <c r="BB1937" s="3" t="s">
        <v>23665</v>
      </c>
      <c r="BC1937" s="3" t="s">
        <v>23666</v>
      </c>
      <c r="BD1937" s="3" t="s">
        <v>23667</v>
      </c>
    </row>
    <row r="1938" spans="1:56" ht="51" customHeight="1" x14ac:dyDescent="0.25">
      <c r="A1938" s="7" t="s">
        <v>58</v>
      </c>
      <c r="B1938" s="2" t="s">
        <v>23668</v>
      </c>
      <c r="C1938" s="2" t="s">
        <v>23669</v>
      </c>
      <c r="D1938" s="2" t="s">
        <v>23670</v>
      </c>
      <c r="F1938" s="3" t="s">
        <v>58</v>
      </c>
      <c r="G1938" s="3" t="s">
        <v>59</v>
      </c>
      <c r="H1938" s="3" t="s">
        <v>58</v>
      </c>
      <c r="I1938" s="3" t="s">
        <v>58</v>
      </c>
      <c r="J1938" s="3" t="s">
        <v>60</v>
      </c>
      <c r="K1938" s="2" t="s">
        <v>23671</v>
      </c>
      <c r="L1938" s="2" t="s">
        <v>23672</v>
      </c>
      <c r="M1938" s="3" t="s">
        <v>1385</v>
      </c>
      <c r="O1938" s="3" t="s">
        <v>63</v>
      </c>
      <c r="P1938" s="3" t="s">
        <v>3109</v>
      </c>
      <c r="R1938" s="3" t="s">
        <v>65</v>
      </c>
      <c r="S1938" s="4">
        <v>3</v>
      </c>
      <c r="T1938" s="4">
        <v>3</v>
      </c>
      <c r="U1938" s="5" t="s">
        <v>17677</v>
      </c>
      <c r="V1938" s="5" t="s">
        <v>17677</v>
      </c>
      <c r="W1938" s="5" t="s">
        <v>20121</v>
      </c>
      <c r="X1938" s="5" t="s">
        <v>20121</v>
      </c>
      <c r="Y1938" s="4">
        <v>421</v>
      </c>
      <c r="Z1938" s="4">
        <v>375</v>
      </c>
      <c r="AA1938" s="4">
        <v>443</v>
      </c>
      <c r="AB1938" s="4">
        <v>3</v>
      </c>
      <c r="AC1938" s="4">
        <v>3</v>
      </c>
      <c r="AD1938" s="4">
        <v>16</v>
      </c>
      <c r="AE1938" s="4">
        <v>18</v>
      </c>
      <c r="AF1938" s="4">
        <v>5</v>
      </c>
      <c r="AG1938" s="4">
        <v>5</v>
      </c>
      <c r="AH1938" s="4">
        <v>6</v>
      </c>
      <c r="AI1938" s="4">
        <v>7</v>
      </c>
      <c r="AJ1938" s="4">
        <v>7</v>
      </c>
      <c r="AK1938" s="4">
        <v>9</v>
      </c>
      <c r="AL1938" s="4">
        <v>2</v>
      </c>
      <c r="AM1938" s="4">
        <v>2</v>
      </c>
      <c r="AN1938" s="4">
        <v>0</v>
      </c>
      <c r="AO1938" s="4">
        <v>0</v>
      </c>
      <c r="AP1938" s="3" t="s">
        <v>58</v>
      </c>
      <c r="AQ1938" s="3" t="s">
        <v>68</v>
      </c>
      <c r="AR1938" s="6" t="str">
        <f>HYPERLINK("http://catalog.hathitrust.org/Record/001267460","HathiTrust Record")</f>
        <v>HathiTrust Record</v>
      </c>
      <c r="AS1938" s="6" t="str">
        <f>HYPERLINK("https://creighton-primo.hosted.exlibrisgroup.com/primo-explore/search?tab=default_tab&amp;search_scope=EVERYTHING&amp;vid=01CRU&amp;lang=en_US&amp;offset=0&amp;query=any,contains,991003565629702656","Catalog Record")</f>
        <v>Catalog Record</v>
      </c>
      <c r="AT1938" s="6" t="str">
        <f>HYPERLINK("http://www.worldcat.org/oclc/1138028","WorldCat Record")</f>
        <v>WorldCat Record</v>
      </c>
      <c r="AU1938" s="3" t="s">
        <v>23673</v>
      </c>
      <c r="AV1938" s="3" t="s">
        <v>23674</v>
      </c>
      <c r="AW1938" s="3" t="s">
        <v>23675</v>
      </c>
      <c r="AX1938" s="3" t="s">
        <v>23675</v>
      </c>
      <c r="AY1938" s="3" t="s">
        <v>23676</v>
      </c>
      <c r="AZ1938" s="3" t="s">
        <v>73</v>
      </c>
      <c r="BB1938" s="3" t="s">
        <v>23677</v>
      </c>
      <c r="BC1938" s="3" t="s">
        <v>23678</v>
      </c>
      <c r="BD1938" s="3" t="s">
        <v>23679</v>
      </c>
    </row>
    <row r="1939" spans="1:56" ht="51" customHeight="1" x14ac:dyDescent="0.25">
      <c r="A1939" s="7" t="s">
        <v>58</v>
      </c>
      <c r="B1939" s="2" t="s">
        <v>23680</v>
      </c>
      <c r="C1939" s="2" t="s">
        <v>23681</v>
      </c>
      <c r="D1939" s="2" t="s">
        <v>23682</v>
      </c>
      <c r="F1939" s="3" t="s">
        <v>58</v>
      </c>
      <c r="G1939" s="3" t="s">
        <v>59</v>
      </c>
      <c r="H1939" s="3" t="s">
        <v>58</v>
      </c>
      <c r="I1939" s="3" t="s">
        <v>58</v>
      </c>
      <c r="J1939" s="3" t="s">
        <v>60</v>
      </c>
      <c r="L1939" s="2" t="s">
        <v>23683</v>
      </c>
      <c r="M1939" s="3" t="s">
        <v>1784</v>
      </c>
      <c r="N1939" s="2" t="s">
        <v>338</v>
      </c>
      <c r="O1939" s="3" t="s">
        <v>63</v>
      </c>
      <c r="P1939" s="3" t="s">
        <v>214</v>
      </c>
      <c r="R1939" s="3" t="s">
        <v>65</v>
      </c>
      <c r="S1939" s="4">
        <v>2</v>
      </c>
      <c r="T1939" s="4">
        <v>2</v>
      </c>
      <c r="U1939" s="5" t="s">
        <v>23684</v>
      </c>
      <c r="V1939" s="5" t="s">
        <v>23684</v>
      </c>
      <c r="W1939" s="5" t="s">
        <v>20145</v>
      </c>
      <c r="X1939" s="5" t="s">
        <v>20145</v>
      </c>
      <c r="Y1939" s="4">
        <v>1208</v>
      </c>
      <c r="Z1939" s="4">
        <v>1068</v>
      </c>
      <c r="AA1939" s="4">
        <v>1114</v>
      </c>
      <c r="AB1939" s="4">
        <v>6</v>
      </c>
      <c r="AC1939" s="4">
        <v>8</v>
      </c>
      <c r="AD1939" s="4">
        <v>36</v>
      </c>
      <c r="AE1939" s="4">
        <v>40</v>
      </c>
      <c r="AF1939" s="4">
        <v>13</v>
      </c>
      <c r="AG1939" s="4">
        <v>13</v>
      </c>
      <c r="AH1939" s="4">
        <v>8</v>
      </c>
      <c r="AI1939" s="4">
        <v>8</v>
      </c>
      <c r="AJ1939" s="4">
        <v>14</v>
      </c>
      <c r="AK1939" s="4">
        <v>16</v>
      </c>
      <c r="AL1939" s="4">
        <v>5</v>
      </c>
      <c r="AM1939" s="4">
        <v>7</v>
      </c>
      <c r="AN1939" s="4">
        <v>2</v>
      </c>
      <c r="AO1939" s="4">
        <v>2</v>
      </c>
      <c r="AP1939" s="3" t="s">
        <v>58</v>
      </c>
      <c r="AQ1939" s="3" t="s">
        <v>68</v>
      </c>
      <c r="AR1939" s="6" t="str">
        <f>HYPERLINK("http://catalog.hathitrust.org/Record/000756711","HathiTrust Record")</f>
        <v>HathiTrust Record</v>
      </c>
      <c r="AS1939" s="6" t="str">
        <f>HYPERLINK("https://creighton-primo.hosted.exlibrisgroup.com/primo-explore/search?tab=default_tab&amp;search_scope=EVERYTHING&amp;vid=01CRU&amp;lang=en_US&amp;offset=0&amp;query=any,contains,991004818879702656","Catalog Record")</f>
        <v>Catalog Record</v>
      </c>
      <c r="AT1939" s="6" t="str">
        <f>HYPERLINK("http://www.worldcat.org/oclc/5316467","WorldCat Record")</f>
        <v>WorldCat Record</v>
      </c>
      <c r="AU1939" s="3" t="s">
        <v>23685</v>
      </c>
      <c r="AV1939" s="3" t="s">
        <v>23686</v>
      </c>
      <c r="AW1939" s="3" t="s">
        <v>23687</v>
      </c>
      <c r="AX1939" s="3" t="s">
        <v>23687</v>
      </c>
      <c r="AY1939" s="3" t="s">
        <v>23688</v>
      </c>
      <c r="AZ1939" s="3" t="s">
        <v>73</v>
      </c>
      <c r="BB1939" s="3" t="s">
        <v>23689</v>
      </c>
      <c r="BC1939" s="3" t="s">
        <v>23690</v>
      </c>
      <c r="BD1939" s="3" t="s">
        <v>23691</v>
      </c>
    </row>
    <row r="1940" spans="1:56" ht="51" customHeight="1" x14ac:dyDescent="0.25">
      <c r="A1940" s="7" t="s">
        <v>58</v>
      </c>
      <c r="B1940" s="2" t="s">
        <v>23692</v>
      </c>
      <c r="C1940" s="2" t="s">
        <v>23693</v>
      </c>
      <c r="D1940" s="2" t="s">
        <v>23694</v>
      </c>
      <c r="F1940" s="3" t="s">
        <v>58</v>
      </c>
      <c r="G1940" s="3" t="s">
        <v>59</v>
      </c>
      <c r="H1940" s="3" t="s">
        <v>58</v>
      </c>
      <c r="I1940" s="3" t="s">
        <v>58</v>
      </c>
      <c r="J1940" s="3" t="s">
        <v>60</v>
      </c>
      <c r="K1940" s="2" t="s">
        <v>23695</v>
      </c>
      <c r="L1940" s="2" t="s">
        <v>23696</v>
      </c>
      <c r="M1940" s="3" t="s">
        <v>1091</v>
      </c>
      <c r="O1940" s="3" t="s">
        <v>63</v>
      </c>
      <c r="P1940" s="3" t="s">
        <v>816</v>
      </c>
      <c r="Q1940" s="2" t="s">
        <v>23697</v>
      </c>
      <c r="R1940" s="3" t="s">
        <v>65</v>
      </c>
      <c r="S1940" s="4">
        <v>3</v>
      </c>
      <c r="T1940" s="4">
        <v>3</v>
      </c>
      <c r="U1940" s="5" t="s">
        <v>4409</v>
      </c>
      <c r="V1940" s="5" t="s">
        <v>4409</v>
      </c>
      <c r="W1940" s="5" t="s">
        <v>23698</v>
      </c>
      <c r="X1940" s="5" t="s">
        <v>23698</v>
      </c>
      <c r="Y1940" s="4">
        <v>334</v>
      </c>
      <c r="Z1940" s="4">
        <v>250</v>
      </c>
      <c r="AA1940" s="4">
        <v>298</v>
      </c>
      <c r="AB1940" s="4">
        <v>3</v>
      </c>
      <c r="AC1940" s="4">
        <v>3</v>
      </c>
      <c r="AD1940" s="4">
        <v>14</v>
      </c>
      <c r="AE1940" s="4">
        <v>20</v>
      </c>
      <c r="AF1940" s="4">
        <v>4</v>
      </c>
      <c r="AG1940" s="4">
        <v>9</v>
      </c>
      <c r="AH1940" s="4">
        <v>4</v>
      </c>
      <c r="AI1940" s="4">
        <v>5</v>
      </c>
      <c r="AJ1940" s="4">
        <v>9</v>
      </c>
      <c r="AK1940" s="4">
        <v>10</v>
      </c>
      <c r="AL1940" s="4">
        <v>2</v>
      </c>
      <c r="AM1940" s="4">
        <v>2</v>
      </c>
      <c r="AN1940" s="4">
        <v>0</v>
      </c>
      <c r="AO1940" s="4">
        <v>0</v>
      </c>
      <c r="AP1940" s="3" t="s">
        <v>58</v>
      </c>
      <c r="AQ1940" s="3" t="s">
        <v>68</v>
      </c>
      <c r="AR1940" s="6" t="str">
        <f>HYPERLINK("http://catalog.hathitrust.org/Record/003595433","HathiTrust Record")</f>
        <v>HathiTrust Record</v>
      </c>
      <c r="AS1940" s="6" t="str">
        <f>HYPERLINK("https://creighton-primo.hosted.exlibrisgroup.com/primo-explore/search?tab=default_tab&amp;search_scope=EVERYTHING&amp;vid=01CRU&amp;lang=en_US&amp;offset=0&amp;query=any,contains,991003990259702656","Catalog Record")</f>
        <v>Catalog Record</v>
      </c>
      <c r="AT1940" s="6" t="str">
        <f>HYPERLINK("http://www.worldcat.org/oclc/47716403","WorldCat Record")</f>
        <v>WorldCat Record</v>
      </c>
      <c r="AU1940" s="3" t="s">
        <v>23699</v>
      </c>
      <c r="AV1940" s="3" t="s">
        <v>23700</v>
      </c>
      <c r="AW1940" s="3" t="s">
        <v>23701</v>
      </c>
      <c r="AX1940" s="3" t="s">
        <v>23701</v>
      </c>
      <c r="AY1940" s="3" t="s">
        <v>23702</v>
      </c>
      <c r="AZ1940" s="3" t="s">
        <v>73</v>
      </c>
      <c r="BB1940" s="3" t="s">
        <v>23703</v>
      </c>
      <c r="BC1940" s="3" t="s">
        <v>23704</v>
      </c>
      <c r="BD1940" s="3" t="s">
        <v>23705</v>
      </c>
    </row>
    <row r="1941" spans="1:56" ht="51" customHeight="1" x14ac:dyDescent="0.25">
      <c r="A1941" s="7" t="s">
        <v>58</v>
      </c>
      <c r="B1941" s="2" t="s">
        <v>23706</v>
      </c>
      <c r="C1941" s="2" t="s">
        <v>23707</v>
      </c>
      <c r="D1941" s="2" t="s">
        <v>23708</v>
      </c>
      <c r="F1941" s="3" t="s">
        <v>58</v>
      </c>
      <c r="G1941" s="3" t="s">
        <v>59</v>
      </c>
      <c r="H1941" s="3" t="s">
        <v>58</v>
      </c>
      <c r="I1941" s="3" t="s">
        <v>58</v>
      </c>
      <c r="J1941" s="3" t="s">
        <v>60</v>
      </c>
      <c r="K1941" s="2" t="s">
        <v>23709</v>
      </c>
      <c r="L1941" s="2" t="s">
        <v>23710</v>
      </c>
      <c r="M1941" s="3" t="s">
        <v>261</v>
      </c>
      <c r="O1941" s="3" t="s">
        <v>63</v>
      </c>
      <c r="P1941" s="3" t="s">
        <v>2061</v>
      </c>
      <c r="R1941" s="3" t="s">
        <v>65</v>
      </c>
      <c r="S1941" s="4">
        <v>15</v>
      </c>
      <c r="T1941" s="4">
        <v>15</v>
      </c>
      <c r="U1941" s="5" t="s">
        <v>2297</v>
      </c>
      <c r="V1941" s="5" t="s">
        <v>2297</v>
      </c>
      <c r="W1941" s="5" t="s">
        <v>10929</v>
      </c>
      <c r="X1941" s="5" t="s">
        <v>10929</v>
      </c>
      <c r="Y1941" s="4">
        <v>258</v>
      </c>
      <c r="Z1941" s="4">
        <v>215</v>
      </c>
      <c r="AA1941" s="4">
        <v>215</v>
      </c>
      <c r="AB1941" s="4">
        <v>2</v>
      </c>
      <c r="AC1941" s="4">
        <v>2</v>
      </c>
      <c r="AD1941" s="4">
        <v>5</v>
      </c>
      <c r="AE1941" s="4">
        <v>5</v>
      </c>
      <c r="AF1941" s="4">
        <v>1</v>
      </c>
      <c r="AG1941" s="4">
        <v>1</v>
      </c>
      <c r="AH1941" s="4">
        <v>1</v>
      </c>
      <c r="AI1941" s="4">
        <v>1</v>
      </c>
      <c r="AJ1941" s="4">
        <v>3</v>
      </c>
      <c r="AK1941" s="4">
        <v>3</v>
      </c>
      <c r="AL1941" s="4">
        <v>1</v>
      </c>
      <c r="AM1941" s="4">
        <v>1</v>
      </c>
      <c r="AN1941" s="4">
        <v>0</v>
      </c>
      <c r="AO1941" s="4">
        <v>0</v>
      </c>
      <c r="AP1941" s="3" t="s">
        <v>58</v>
      </c>
      <c r="AQ1941" s="3" t="s">
        <v>58</v>
      </c>
      <c r="AS1941" s="6" t="str">
        <f>HYPERLINK("https://creighton-primo.hosted.exlibrisgroup.com/primo-explore/search?tab=default_tab&amp;search_scope=EVERYTHING&amp;vid=01CRU&amp;lang=en_US&amp;offset=0&amp;query=any,contains,991003849929702656","Catalog Record")</f>
        <v>Catalog Record</v>
      </c>
      <c r="AT1941" s="6" t="str">
        <f>HYPERLINK("http://www.worldcat.org/oclc/1637827","WorldCat Record")</f>
        <v>WorldCat Record</v>
      </c>
      <c r="AU1941" s="3" t="s">
        <v>23711</v>
      </c>
      <c r="AV1941" s="3" t="s">
        <v>23712</v>
      </c>
      <c r="AW1941" s="3" t="s">
        <v>23713</v>
      </c>
      <c r="AX1941" s="3" t="s">
        <v>23713</v>
      </c>
      <c r="AY1941" s="3" t="s">
        <v>23714</v>
      </c>
      <c r="AZ1941" s="3" t="s">
        <v>73</v>
      </c>
      <c r="BB1941" s="3" t="s">
        <v>23715</v>
      </c>
      <c r="BC1941" s="3" t="s">
        <v>23716</v>
      </c>
      <c r="BD1941" s="3" t="s">
        <v>23717</v>
      </c>
    </row>
    <row r="1942" spans="1:56" ht="51" customHeight="1" x14ac:dyDescent="0.25">
      <c r="A1942" s="7" t="s">
        <v>58</v>
      </c>
      <c r="B1942" s="2" t="s">
        <v>23718</v>
      </c>
      <c r="C1942" s="2" t="s">
        <v>23719</v>
      </c>
      <c r="D1942" s="2" t="s">
        <v>23720</v>
      </c>
      <c r="F1942" s="3" t="s">
        <v>58</v>
      </c>
      <c r="G1942" s="3" t="s">
        <v>59</v>
      </c>
      <c r="H1942" s="3" t="s">
        <v>58</v>
      </c>
      <c r="I1942" s="3" t="s">
        <v>58</v>
      </c>
      <c r="J1942" s="3" t="s">
        <v>60</v>
      </c>
      <c r="K1942" s="2" t="s">
        <v>23721</v>
      </c>
      <c r="L1942" s="2" t="s">
        <v>23722</v>
      </c>
      <c r="M1942" s="3" t="s">
        <v>951</v>
      </c>
      <c r="N1942" s="2" t="s">
        <v>23023</v>
      </c>
      <c r="O1942" s="3" t="s">
        <v>16605</v>
      </c>
      <c r="P1942" s="3" t="s">
        <v>23024</v>
      </c>
      <c r="Q1942" s="2" t="s">
        <v>23723</v>
      </c>
      <c r="R1942" s="3" t="s">
        <v>65</v>
      </c>
      <c r="S1942" s="4">
        <v>2</v>
      </c>
      <c r="T1942" s="4">
        <v>2</v>
      </c>
      <c r="U1942" s="5" t="s">
        <v>2422</v>
      </c>
      <c r="V1942" s="5" t="s">
        <v>2422</v>
      </c>
      <c r="W1942" s="5" t="s">
        <v>23724</v>
      </c>
      <c r="X1942" s="5" t="s">
        <v>23724</v>
      </c>
      <c r="Y1942" s="4">
        <v>12</v>
      </c>
      <c r="Z1942" s="4">
        <v>6</v>
      </c>
      <c r="AA1942" s="4">
        <v>6</v>
      </c>
      <c r="AB1942" s="4">
        <v>1</v>
      </c>
      <c r="AC1942" s="4">
        <v>1</v>
      </c>
      <c r="AD1942" s="4">
        <v>0</v>
      </c>
      <c r="AE1942" s="4">
        <v>0</v>
      </c>
      <c r="AF1942" s="4">
        <v>0</v>
      </c>
      <c r="AG1942" s="4">
        <v>0</v>
      </c>
      <c r="AH1942" s="4">
        <v>0</v>
      </c>
      <c r="AI1942" s="4">
        <v>0</v>
      </c>
      <c r="AJ1942" s="4">
        <v>0</v>
      </c>
      <c r="AK1942" s="4">
        <v>0</v>
      </c>
      <c r="AL1942" s="4">
        <v>0</v>
      </c>
      <c r="AM1942" s="4">
        <v>0</v>
      </c>
      <c r="AN1942" s="4">
        <v>0</v>
      </c>
      <c r="AO1942" s="4">
        <v>0</v>
      </c>
      <c r="AP1942" s="3" t="s">
        <v>58</v>
      </c>
      <c r="AQ1942" s="3" t="s">
        <v>58</v>
      </c>
      <c r="AS1942" s="6" t="str">
        <f>HYPERLINK("https://creighton-primo.hosted.exlibrisgroup.com/primo-explore/search?tab=default_tab&amp;search_scope=EVERYTHING&amp;vid=01CRU&amp;lang=en_US&amp;offset=0&amp;query=any,contains,991005258009702656","Catalog Record")</f>
        <v>Catalog Record</v>
      </c>
      <c r="AT1942" s="6" t="str">
        <f>HYPERLINK("http://www.worldcat.org/oclc/45269500","WorldCat Record")</f>
        <v>WorldCat Record</v>
      </c>
      <c r="AU1942" s="3" t="s">
        <v>23725</v>
      </c>
      <c r="AV1942" s="3" t="s">
        <v>23726</v>
      </c>
      <c r="AW1942" s="3" t="s">
        <v>23727</v>
      </c>
      <c r="AX1942" s="3" t="s">
        <v>23727</v>
      </c>
      <c r="AY1942" s="3" t="s">
        <v>23728</v>
      </c>
      <c r="AZ1942" s="3" t="s">
        <v>73</v>
      </c>
      <c r="BB1942" s="3" t="s">
        <v>23729</v>
      </c>
      <c r="BC1942" s="3" t="s">
        <v>23730</v>
      </c>
      <c r="BD1942" s="3" t="s">
        <v>23731</v>
      </c>
    </row>
    <row r="1943" spans="1:56" ht="51" customHeight="1" x14ac:dyDescent="0.25">
      <c r="A1943" s="7" t="s">
        <v>58</v>
      </c>
      <c r="B1943" s="2" t="s">
        <v>23732</v>
      </c>
      <c r="C1943" s="2" t="s">
        <v>23733</v>
      </c>
      <c r="D1943" s="2" t="s">
        <v>23734</v>
      </c>
      <c r="F1943" s="3" t="s">
        <v>58</v>
      </c>
      <c r="G1943" s="3" t="s">
        <v>59</v>
      </c>
      <c r="H1943" s="3" t="s">
        <v>58</v>
      </c>
      <c r="I1943" s="3" t="s">
        <v>58</v>
      </c>
      <c r="J1943" s="3" t="s">
        <v>60</v>
      </c>
      <c r="K1943" s="2" t="s">
        <v>23735</v>
      </c>
      <c r="L1943" s="2" t="s">
        <v>23736</v>
      </c>
      <c r="M1943" s="3" t="s">
        <v>855</v>
      </c>
      <c r="O1943" s="3" t="s">
        <v>63</v>
      </c>
      <c r="P1943" s="3" t="s">
        <v>411</v>
      </c>
      <c r="R1943" s="3" t="s">
        <v>65</v>
      </c>
      <c r="S1943" s="4">
        <v>1</v>
      </c>
      <c r="T1943" s="4">
        <v>1</v>
      </c>
      <c r="U1943" s="5" t="s">
        <v>23737</v>
      </c>
      <c r="V1943" s="5" t="s">
        <v>23737</v>
      </c>
      <c r="W1943" s="5" t="s">
        <v>1122</v>
      </c>
      <c r="X1943" s="5" t="s">
        <v>1122</v>
      </c>
      <c r="Y1943" s="4">
        <v>380</v>
      </c>
      <c r="Z1943" s="4">
        <v>293</v>
      </c>
      <c r="AA1943" s="4">
        <v>341</v>
      </c>
      <c r="AB1943" s="4">
        <v>4</v>
      </c>
      <c r="AC1943" s="4">
        <v>5</v>
      </c>
      <c r="AD1943" s="4">
        <v>14</v>
      </c>
      <c r="AE1943" s="4">
        <v>20</v>
      </c>
      <c r="AF1943" s="4">
        <v>4</v>
      </c>
      <c r="AG1943" s="4">
        <v>7</v>
      </c>
      <c r="AH1943" s="4">
        <v>5</v>
      </c>
      <c r="AI1943" s="4">
        <v>6</v>
      </c>
      <c r="AJ1943" s="4">
        <v>4</v>
      </c>
      <c r="AK1943" s="4">
        <v>8</v>
      </c>
      <c r="AL1943" s="4">
        <v>3</v>
      </c>
      <c r="AM1943" s="4">
        <v>4</v>
      </c>
      <c r="AN1943" s="4">
        <v>0</v>
      </c>
      <c r="AO1943" s="4">
        <v>0</v>
      </c>
      <c r="AP1943" s="3" t="s">
        <v>58</v>
      </c>
      <c r="AQ1943" s="3" t="s">
        <v>58</v>
      </c>
      <c r="AS1943" s="6" t="str">
        <f>HYPERLINK("https://creighton-primo.hosted.exlibrisgroup.com/primo-explore/search?tab=default_tab&amp;search_scope=EVERYTHING&amp;vid=01CRU&amp;lang=en_US&amp;offset=0&amp;query=any,contains,991002057249702656","Catalog Record")</f>
        <v>Catalog Record</v>
      </c>
      <c r="AT1943" s="6" t="str">
        <f>HYPERLINK("http://www.worldcat.org/oclc/26306576","WorldCat Record")</f>
        <v>WorldCat Record</v>
      </c>
      <c r="AU1943" s="3" t="s">
        <v>23738</v>
      </c>
      <c r="AV1943" s="3" t="s">
        <v>23739</v>
      </c>
      <c r="AW1943" s="3" t="s">
        <v>23740</v>
      </c>
      <c r="AX1943" s="3" t="s">
        <v>23740</v>
      </c>
      <c r="AY1943" s="3" t="s">
        <v>23741</v>
      </c>
      <c r="AZ1943" s="3" t="s">
        <v>73</v>
      </c>
      <c r="BB1943" s="3" t="s">
        <v>23742</v>
      </c>
      <c r="BC1943" s="3" t="s">
        <v>23743</v>
      </c>
      <c r="BD1943" s="3" t="s">
        <v>23744</v>
      </c>
    </row>
    <row r="1944" spans="1:56" ht="51" customHeight="1" x14ac:dyDescent="0.25">
      <c r="A1944" s="7" t="s">
        <v>58</v>
      </c>
      <c r="B1944" s="2" t="s">
        <v>23745</v>
      </c>
      <c r="C1944" s="2" t="s">
        <v>23746</v>
      </c>
      <c r="D1944" s="2" t="s">
        <v>23747</v>
      </c>
      <c r="F1944" s="3" t="s">
        <v>58</v>
      </c>
      <c r="G1944" s="3" t="s">
        <v>59</v>
      </c>
      <c r="H1944" s="3" t="s">
        <v>58</v>
      </c>
      <c r="I1944" s="3" t="s">
        <v>58</v>
      </c>
      <c r="J1944" s="3" t="s">
        <v>60</v>
      </c>
      <c r="K1944" s="2" t="s">
        <v>23748</v>
      </c>
      <c r="L1944" s="2" t="s">
        <v>23749</v>
      </c>
      <c r="M1944" s="3" t="s">
        <v>4023</v>
      </c>
      <c r="O1944" s="3" t="s">
        <v>63</v>
      </c>
      <c r="P1944" s="3" t="s">
        <v>437</v>
      </c>
      <c r="Q1944" s="2" t="s">
        <v>23750</v>
      </c>
      <c r="R1944" s="3" t="s">
        <v>65</v>
      </c>
      <c r="S1944" s="4">
        <v>2</v>
      </c>
      <c r="T1944" s="4">
        <v>2</v>
      </c>
      <c r="U1944" s="5" t="s">
        <v>23751</v>
      </c>
      <c r="V1944" s="5" t="s">
        <v>23751</v>
      </c>
      <c r="W1944" s="5" t="s">
        <v>23752</v>
      </c>
      <c r="X1944" s="5" t="s">
        <v>23752</v>
      </c>
      <c r="Y1944" s="4">
        <v>186</v>
      </c>
      <c r="Z1944" s="4">
        <v>134</v>
      </c>
      <c r="AA1944" s="4">
        <v>366</v>
      </c>
      <c r="AB1944" s="4">
        <v>1</v>
      </c>
      <c r="AC1944" s="4">
        <v>5</v>
      </c>
      <c r="AD1944" s="4">
        <v>10</v>
      </c>
      <c r="AE1944" s="4">
        <v>26</v>
      </c>
      <c r="AF1944" s="4">
        <v>4</v>
      </c>
      <c r="AG1944" s="4">
        <v>10</v>
      </c>
      <c r="AH1944" s="4">
        <v>3</v>
      </c>
      <c r="AI1944" s="4">
        <v>7</v>
      </c>
      <c r="AJ1944" s="4">
        <v>5</v>
      </c>
      <c r="AK1944" s="4">
        <v>11</v>
      </c>
      <c r="AL1944" s="4">
        <v>0</v>
      </c>
      <c r="AM1944" s="4">
        <v>4</v>
      </c>
      <c r="AN1944" s="4">
        <v>0</v>
      </c>
      <c r="AO1944" s="4">
        <v>0</v>
      </c>
      <c r="AP1944" s="3" t="s">
        <v>58</v>
      </c>
      <c r="AQ1944" s="3" t="s">
        <v>58</v>
      </c>
      <c r="AS1944" s="6" t="str">
        <f>HYPERLINK("https://creighton-primo.hosted.exlibrisgroup.com/primo-explore/search?tab=default_tab&amp;search_scope=EVERYTHING&amp;vid=01CRU&amp;lang=en_US&amp;offset=0&amp;query=any,contains,991005107719702656","Catalog Record")</f>
        <v>Catalog Record</v>
      </c>
      <c r="AT1944" s="6" t="str">
        <f>HYPERLINK("http://www.worldcat.org/oclc/55518370","WorldCat Record")</f>
        <v>WorldCat Record</v>
      </c>
      <c r="AU1944" s="3" t="s">
        <v>23753</v>
      </c>
      <c r="AV1944" s="3" t="s">
        <v>23754</v>
      </c>
      <c r="AW1944" s="3" t="s">
        <v>23755</v>
      </c>
      <c r="AX1944" s="3" t="s">
        <v>23755</v>
      </c>
      <c r="AY1944" s="3" t="s">
        <v>23756</v>
      </c>
      <c r="AZ1944" s="3" t="s">
        <v>73</v>
      </c>
      <c r="BB1944" s="3" t="s">
        <v>23757</v>
      </c>
      <c r="BC1944" s="3" t="s">
        <v>23758</v>
      </c>
      <c r="BD1944" s="3" t="s">
        <v>23759</v>
      </c>
    </row>
    <row r="1945" spans="1:56" ht="51" customHeight="1" x14ac:dyDescent="0.25">
      <c r="A1945" s="7" t="s">
        <v>58</v>
      </c>
      <c r="B1945" s="2" t="s">
        <v>23760</v>
      </c>
      <c r="C1945" s="2" t="s">
        <v>23761</v>
      </c>
      <c r="D1945" s="2" t="s">
        <v>23762</v>
      </c>
      <c r="F1945" s="3" t="s">
        <v>58</v>
      </c>
      <c r="G1945" s="3" t="s">
        <v>59</v>
      </c>
      <c r="H1945" s="3" t="s">
        <v>58</v>
      </c>
      <c r="I1945" s="3" t="s">
        <v>58</v>
      </c>
      <c r="J1945" s="3" t="s">
        <v>60</v>
      </c>
      <c r="K1945" s="2" t="s">
        <v>23763</v>
      </c>
      <c r="L1945" s="2" t="s">
        <v>23764</v>
      </c>
      <c r="M1945" s="3" t="s">
        <v>196</v>
      </c>
      <c r="O1945" s="3" t="s">
        <v>63</v>
      </c>
      <c r="P1945" s="3" t="s">
        <v>760</v>
      </c>
      <c r="R1945" s="3" t="s">
        <v>65</v>
      </c>
      <c r="S1945" s="4">
        <v>4</v>
      </c>
      <c r="T1945" s="4">
        <v>4</v>
      </c>
      <c r="U1945" s="5" t="s">
        <v>10038</v>
      </c>
      <c r="V1945" s="5" t="s">
        <v>10038</v>
      </c>
      <c r="W1945" s="5" t="s">
        <v>13471</v>
      </c>
      <c r="X1945" s="5" t="s">
        <v>13471</v>
      </c>
      <c r="Y1945" s="4">
        <v>261</v>
      </c>
      <c r="Z1945" s="4">
        <v>201</v>
      </c>
      <c r="AA1945" s="4">
        <v>239</v>
      </c>
      <c r="AB1945" s="4">
        <v>1</v>
      </c>
      <c r="AC1945" s="4">
        <v>1</v>
      </c>
      <c r="AD1945" s="4">
        <v>10</v>
      </c>
      <c r="AE1945" s="4">
        <v>12</v>
      </c>
      <c r="AF1945" s="4">
        <v>1</v>
      </c>
      <c r="AG1945" s="4">
        <v>2</v>
      </c>
      <c r="AH1945" s="4">
        <v>4</v>
      </c>
      <c r="AI1945" s="4">
        <v>4</v>
      </c>
      <c r="AJ1945" s="4">
        <v>8</v>
      </c>
      <c r="AK1945" s="4">
        <v>10</v>
      </c>
      <c r="AL1945" s="4">
        <v>0</v>
      </c>
      <c r="AM1945" s="4">
        <v>0</v>
      </c>
      <c r="AN1945" s="4">
        <v>0</v>
      </c>
      <c r="AO1945" s="4">
        <v>0</v>
      </c>
      <c r="AP1945" s="3" t="s">
        <v>68</v>
      </c>
      <c r="AQ1945" s="3" t="s">
        <v>58</v>
      </c>
      <c r="AR1945" s="6" t="str">
        <f>HYPERLINK("http://catalog.hathitrust.org/Record/003143853","HathiTrust Record")</f>
        <v>HathiTrust Record</v>
      </c>
      <c r="AS1945" s="6" t="str">
        <f>HYPERLINK("https://creighton-primo.hosted.exlibrisgroup.com/primo-explore/search?tab=default_tab&amp;search_scope=EVERYTHING&amp;vid=01CRU&amp;lang=en_US&amp;offset=0&amp;query=any,contains,991002604979702656","Catalog Record")</f>
        <v>Catalog Record</v>
      </c>
      <c r="AT1945" s="6" t="str">
        <f>HYPERLINK("http://www.worldcat.org/oclc/34117151","WorldCat Record")</f>
        <v>WorldCat Record</v>
      </c>
      <c r="AU1945" s="3" t="s">
        <v>23765</v>
      </c>
      <c r="AV1945" s="3" t="s">
        <v>23766</v>
      </c>
      <c r="AW1945" s="3" t="s">
        <v>23767</v>
      </c>
      <c r="AX1945" s="3" t="s">
        <v>23767</v>
      </c>
      <c r="AY1945" s="3" t="s">
        <v>23768</v>
      </c>
      <c r="AZ1945" s="3" t="s">
        <v>73</v>
      </c>
      <c r="BB1945" s="3" t="s">
        <v>23769</v>
      </c>
      <c r="BC1945" s="3" t="s">
        <v>23770</v>
      </c>
      <c r="BD1945" s="3" t="s">
        <v>23771</v>
      </c>
    </row>
    <row r="1946" spans="1:56" ht="51" customHeight="1" x14ac:dyDescent="0.25">
      <c r="A1946" s="7" t="s">
        <v>58</v>
      </c>
      <c r="B1946" s="2" t="s">
        <v>23772</v>
      </c>
      <c r="C1946" s="2" t="s">
        <v>23773</v>
      </c>
      <c r="D1946" s="2" t="s">
        <v>23774</v>
      </c>
      <c r="F1946" s="3" t="s">
        <v>58</v>
      </c>
      <c r="G1946" s="3" t="s">
        <v>59</v>
      </c>
      <c r="H1946" s="3" t="s">
        <v>58</v>
      </c>
      <c r="I1946" s="3" t="s">
        <v>58</v>
      </c>
      <c r="J1946" s="3" t="s">
        <v>60</v>
      </c>
      <c r="K1946" s="2" t="s">
        <v>23203</v>
      </c>
      <c r="L1946" s="2" t="s">
        <v>23775</v>
      </c>
      <c r="M1946" s="3" t="s">
        <v>2214</v>
      </c>
      <c r="O1946" s="3" t="s">
        <v>63</v>
      </c>
      <c r="P1946" s="3" t="s">
        <v>816</v>
      </c>
      <c r="Q1946" s="2" t="s">
        <v>23776</v>
      </c>
      <c r="R1946" s="3" t="s">
        <v>65</v>
      </c>
      <c r="S1946" s="4">
        <v>3</v>
      </c>
      <c r="T1946" s="4">
        <v>3</v>
      </c>
      <c r="U1946" s="5" t="s">
        <v>23777</v>
      </c>
      <c r="V1946" s="5" t="s">
        <v>23777</v>
      </c>
      <c r="W1946" s="5" t="s">
        <v>23778</v>
      </c>
      <c r="X1946" s="5" t="s">
        <v>23778</v>
      </c>
      <c r="Y1946" s="4">
        <v>511</v>
      </c>
      <c r="Z1946" s="4">
        <v>432</v>
      </c>
      <c r="AA1946" s="4">
        <v>801</v>
      </c>
      <c r="AB1946" s="4">
        <v>2</v>
      </c>
      <c r="AC1946" s="4">
        <v>6</v>
      </c>
      <c r="AD1946" s="4">
        <v>17</v>
      </c>
      <c r="AE1946" s="4">
        <v>34</v>
      </c>
      <c r="AF1946" s="4">
        <v>8</v>
      </c>
      <c r="AG1946" s="4">
        <v>13</v>
      </c>
      <c r="AH1946" s="4">
        <v>6</v>
      </c>
      <c r="AI1946" s="4">
        <v>9</v>
      </c>
      <c r="AJ1946" s="4">
        <v>8</v>
      </c>
      <c r="AK1946" s="4">
        <v>13</v>
      </c>
      <c r="AL1946" s="4">
        <v>1</v>
      </c>
      <c r="AM1946" s="4">
        <v>5</v>
      </c>
      <c r="AN1946" s="4">
        <v>0</v>
      </c>
      <c r="AO1946" s="4">
        <v>1</v>
      </c>
      <c r="AP1946" s="3" t="s">
        <v>58</v>
      </c>
      <c r="AQ1946" s="3" t="s">
        <v>58</v>
      </c>
      <c r="AS1946" s="6" t="str">
        <f>HYPERLINK("https://creighton-primo.hosted.exlibrisgroup.com/primo-explore/search?tab=default_tab&amp;search_scope=EVERYTHING&amp;vid=01CRU&amp;lang=en_US&amp;offset=0&amp;query=any,contains,991004965589702656","Catalog Record")</f>
        <v>Catalog Record</v>
      </c>
      <c r="AT1946" s="6" t="str">
        <f>HYPERLINK("http://www.worldcat.org/oclc/55645033","WorldCat Record")</f>
        <v>WorldCat Record</v>
      </c>
      <c r="AU1946" s="3" t="s">
        <v>23779</v>
      </c>
      <c r="AV1946" s="3" t="s">
        <v>23780</v>
      </c>
      <c r="AW1946" s="3" t="s">
        <v>23781</v>
      </c>
      <c r="AX1946" s="3" t="s">
        <v>23781</v>
      </c>
      <c r="AY1946" s="3" t="s">
        <v>23782</v>
      </c>
      <c r="AZ1946" s="3" t="s">
        <v>73</v>
      </c>
      <c r="BB1946" s="3" t="s">
        <v>23783</v>
      </c>
      <c r="BC1946" s="3" t="s">
        <v>23784</v>
      </c>
      <c r="BD1946" s="3" t="s">
        <v>23785</v>
      </c>
    </row>
    <row r="1947" spans="1:56" ht="51" customHeight="1" x14ac:dyDescent="0.25">
      <c r="A1947" s="7" t="s">
        <v>58</v>
      </c>
      <c r="B1947" s="2" t="s">
        <v>23786</v>
      </c>
      <c r="C1947" s="2" t="s">
        <v>23787</v>
      </c>
      <c r="D1947" s="2" t="s">
        <v>23788</v>
      </c>
      <c r="F1947" s="3" t="s">
        <v>58</v>
      </c>
      <c r="G1947" s="3" t="s">
        <v>59</v>
      </c>
      <c r="H1947" s="3" t="s">
        <v>58</v>
      </c>
      <c r="I1947" s="3" t="s">
        <v>58</v>
      </c>
      <c r="J1947" s="3" t="s">
        <v>60</v>
      </c>
      <c r="K1947" s="2" t="s">
        <v>23789</v>
      </c>
      <c r="L1947" s="2" t="s">
        <v>23790</v>
      </c>
      <c r="M1947" s="3" t="s">
        <v>1784</v>
      </c>
      <c r="O1947" s="3" t="s">
        <v>63</v>
      </c>
      <c r="P1947" s="3" t="s">
        <v>555</v>
      </c>
      <c r="R1947" s="3" t="s">
        <v>65</v>
      </c>
      <c r="S1947" s="4">
        <v>6</v>
      </c>
      <c r="T1947" s="4">
        <v>6</v>
      </c>
      <c r="U1947" s="5" t="s">
        <v>23791</v>
      </c>
      <c r="V1947" s="5" t="s">
        <v>23791</v>
      </c>
      <c r="W1947" s="5" t="s">
        <v>2799</v>
      </c>
      <c r="X1947" s="5" t="s">
        <v>2799</v>
      </c>
      <c r="Y1947" s="4">
        <v>165</v>
      </c>
      <c r="Z1947" s="4">
        <v>91</v>
      </c>
      <c r="AA1947" s="4">
        <v>91</v>
      </c>
      <c r="AB1947" s="4">
        <v>1</v>
      </c>
      <c r="AC1947" s="4">
        <v>1</v>
      </c>
      <c r="AD1947" s="4">
        <v>4</v>
      </c>
      <c r="AE1947" s="4">
        <v>4</v>
      </c>
      <c r="AF1947" s="4">
        <v>1</v>
      </c>
      <c r="AG1947" s="4">
        <v>1</v>
      </c>
      <c r="AH1947" s="4">
        <v>2</v>
      </c>
      <c r="AI1947" s="4">
        <v>2</v>
      </c>
      <c r="AJ1947" s="4">
        <v>2</v>
      </c>
      <c r="AK1947" s="4">
        <v>2</v>
      </c>
      <c r="AL1947" s="4">
        <v>0</v>
      </c>
      <c r="AM1947" s="4">
        <v>0</v>
      </c>
      <c r="AN1947" s="4">
        <v>0</v>
      </c>
      <c r="AO1947" s="4">
        <v>0</v>
      </c>
      <c r="AP1947" s="3" t="s">
        <v>58</v>
      </c>
      <c r="AQ1947" s="3" t="s">
        <v>58</v>
      </c>
      <c r="AS1947" s="6" t="str">
        <f>HYPERLINK("https://creighton-primo.hosted.exlibrisgroup.com/primo-explore/search?tab=default_tab&amp;search_scope=EVERYTHING&amp;vid=01CRU&amp;lang=en_US&amp;offset=0&amp;query=any,contains,991004970239702656","Catalog Record")</f>
        <v>Catalog Record</v>
      </c>
      <c r="AT1947" s="6" t="str">
        <f>HYPERLINK("http://www.worldcat.org/oclc/6357269","WorldCat Record")</f>
        <v>WorldCat Record</v>
      </c>
      <c r="AU1947" s="3" t="s">
        <v>23792</v>
      </c>
      <c r="AV1947" s="3" t="s">
        <v>23793</v>
      </c>
      <c r="AW1947" s="3" t="s">
        <v>23794</v>
      </c>
      <c r="AX1947" s="3" t="s">
        <v>23794</v>
      </c>
      <c r="AY1947" s="3" t="s">
        <v>23795</v>
      </c>
      <c r="AZ1947" s="3" t="s">
        <v>73</v>
      </c>
      <c r="BB1947" s="3" t="s">
        <v>23796</v>
      </c>
      <c r="BC1947" s="3" t="s">
        <v>23797</v>
      </c>
      <c r="BD1947" s="3" t="s">
        <v>23798</v>
      </c>
    </row>
    <row r="1948" spans="1:56" ht="51" customHeight="1" x14ac:dyDescent="0.25">
      <c r="A1948" s="7" t="s">
        <v>58</v>
      </c>
      <c r="B1948" s="2" t="s">
        <v>23799</v>
      </c>
      <c r="C1948" s="2" t="s">
        <v>23800</v>
      </c>
      <c r="D1948" s="2" t="s">
        <v>23801</v>
      </c>
      <c r="F1948" s="3" t="s">
        <v>58</v>
      </c>
      <c r="G1948" s="3" t="s">
        <v>59</v>
      </c>
      <c r="H1948" s="3" t="s">
        <v>58</v>
      </c>
      <c r="I1948" s="3" t="s">
        <v>58</v>
      </c>
      <c r="J1948" s="3" t="s">
        <v>60</v>
      </c>
      <c r="K1948" s="2" t="s">
        <v>23802</v>
      </c>
      <c r="L1948" s="2" t="s">
        <v>23803</v>
      </c>
      <c r="M1948" s="3" t="s">
        <v>745</v>
      </c>
      <c r="O1948" s="3" t="s">
        <v>63</v>
      </c>
      <c r="P1948" s="3" t="s">
        <v>571</v>
      </c>
      <c r="R1948" s="3" t="s">
        <v>65</v>
      </c>
      <c r="S1948" s="4">
        <v>4</v>
      </c>
      <c r="T1948" s="4">
        <v>4</v>
      </c>
      <c r="U1948" s="5" t="s">
        <v>23804</v>
      </c>
      <c r="V1948" s="5" t="s">
        <v>23804</v>
      </c>
      <c r="W1948" s="5" t="s">
        <v>2034</v>
      </c>
      <c r="X1948" s="5" t="s">
        <v>2034</v>
      </c>
      <c r="Y1948" s="4">
        <v>325</v>
      </c>
      <c r="Z1948" s="4">
        <v>280</v>
      </c>
      <c r="AA1948" s="4">
        <v>303</v>
      </c>
      <c r="AB1948" s="4">
        <v>3</v>
      </c>
      <c r="AC1948" s="4">
        <v>3</v>
      </c>
      <c r="AD1948" s="4">
        <v>13</v>
      </c>
      <c r="AE1948" s="4">
        <v>13</v>
      </c>
      <c r="AF1948" s="4">
        <v>4</v>
      </c>
      <c r="AG1948" s="4">
        <v>4</v>
      </c>
      <c r="AH1948" s="4">
        <v>4</v>
      </c>
      <c r="AI1948" s="4">
        <v>4</v>
      </c>
      <c r="AJ1948" s="4">
        <v>6</v>
      </c>
      <c r="AK1948" s="4">
        <v>6</v>
      </c>
      <c r="AL1948" s="4">
        <v>2</v>
      </c>
      <c r="AM1948" s="4">
        <v>2</v>
      </c>
      <c r="AN1948" s="4">
        <v>0</v>
      </c>
      <c r="AO1948" s="4">
        <v>0</v>
      </c>
      <c r="AP1948" s="3" t="s">
        <v>58</v>
      </c>
      <c r="AQ1948" s="3" t="s">
        <v>68</v>
      </c>
      <c r="AR1948" s="6" t="str">
        <f>HYPERLINK("http://catalog.hathitrust.org/Record/001257220","HathiTrust Record")</f>
        <v>HathiTrust Record</v>
      </c>
      <c r="AS1948" s="6" t="str">
        <f>HYPERLINK("https://creighton-primo.hosted.exlibrisgroup.com/primo-explore/search?tab=default_tab&amp;search_scope=EVERYTHING&amp;vid=01CRU&amp;lang=en_US&amp;offset=0&amp;query=any,contains,991003304009702656","Catalog Record")</f>
        <v>Catalog Record</v>
      </c>
      <c r="AT1948" s="6" t="str">
        <f>HYPERLINK("http://www.worldcat.org/oclc/827271","WorldCat Record")</f>
        <v>WorldCat Record</v>
      </c>
      <c r="AU1948" s="3" t="s">
        <v>23805</v>
      </c>
      <c r="AV1948" s="3" t="s">
        <v>23806</v>
      </c>
      <c r="AW1948" s="3" t="s">
        <v>23807</v>
      </c>
      <c r="AX1948" s="3" t="s">
        <v>23807</v>
      </c>
      <c r="AY1948" s="3" t="s">
        <v>23808</v>
      </c>
      <c r="AZ1948" s="3" t="s">
        <v>73</v>
      </c>
      <c r="BC1948" s="3" t="s">
        <v>23809</v>
      </c>
      <c r="BD1948" s="3" t="s">
        <v>23810</v>
      </c>
    </row>
    <row r="1949" spans="1:56" ht="51" customHeight="1" x14ac:dyDescent="0.25">
      <c r="A1949" s="7" t="s">
        <v>58</v>
      </c>
      <c r="B1949" s="2" t="s">
        <v>23811</v>
      </c>
      <c r="C1949" s="2" t="s">
        <v>23812</v>
      </c>
      <c r="D1949" s="2" t="s">
        <v>23813</v>
      </c>
      <c r="F1949" s="3" t="s">
        <v>58</v>
      </c>
      <c r="G1949" s="3" t="s">
        <v>59</v>
      </c>
      <c r="H1949" s="3" t="s">
        <v>58</v>
      </c>
      <c r="I1949" s="3" t="s">
        <v>58</v>
      </c>
      <c r="J1949" s="3" t="s">
        <v>60</v>
      </c>
      <c r="K1949" s="2" t="s">
        <v>23814</v>
      </c>
      <c r="L1949" s="2" t="s">
        <v>23815</v>
      </c>
      <c r="M1949" s="3" t="s">
        <v>653</v>
      </c>
      <c r="O1949" s="3" t="s">
        <v>63</v>
      </c>
      <c r="P1949" s="3" t="s">
        <v>495</v>
      </c>
      <c r="R1949" s="3" t="s">
        <v>65</v>
      </c>
      <c r="S1949" s="4">
        <v>6</v>
      </c>
      <c r="T1949" s="4">
        <v>6</v>
      </c>
      <c r="U1949" s="5" t="s">
        <v>384</v>
      </c>
      <c r="V1949" s="5" t="s">
        <v>384</v>
      </c>
      <c r="W1949" s="5" t="s">
        <v>22075</v>
      </c>
      <c r="X1949" s="5" t="s">
        <v>22075</v>
      </c>
      <c r="Y1949" s="4">
        <v>89</v>
      </c>
      <c r="Z1949" s="4">
        <v>64</v>
      </c>
      <c r="AA1949" s="4">
        <v>66</v>
      </c>
      <c r="AB1949" s="4">
        <v>1</v>
      </c>
      <c r="AC1949" s="4">
        <v>1</v>
      </c>
      <c r="AD1949" s="4">
        <v>1</v>
      </c>
      <c r="AE1949" s="4">
        <v>1</v>
      </c>
      <c r="AF1949" s="4">
        <v>0</v>
      </c>
      <c r="AG1949" s="4">
        <v>0</v>
      </c>
      <c r="AH1949" s="4">
        <v>1</v>
      </c>
      <c r="AI1949" s="4">
        <v>1</v>
      </c>
      <c r="AJ1949" s="4">
        <v>0</v>
      </c>
      <c r="AK1949" s="4">
        <v>0</v>
      </c>
      <c r="AL1949" s="4">
        <v>0</v>
      </c>
      <c r="AM1949" s="4">
        <v>0</v>
      </c>
      <c r="AN1949" s="4">
        <v>0</v>
      </c>
      <c r="AO1949" s="4">
        <v>0</v>
      </c>
      <c r="AP1949" s="3" t="s">
        <v>58</v>
      </c>
      <c r="AQ1949" s="3" t="s">
        <v>68</v>
      </c>
      <c r="AR1949" s="6" t="str">
        <f>HYPERLINK("http://catalog.hathitrust.org/Record/002561786","HathiTrust Record")</f>
        <v>HathiTrust Record</v>
      </c>
      <c r="AS1949" s="6" t="str">
        <f>HYPERLINK("https://creighton-primo.hosted.exlibrisgroup.com/primo-explore/search?tab=default_tab&amp;search_scope=EVERYTHING&amp;vid=01CRU&amp;lang=en_US&amp;offset=0&amp;query=any,contains,991001924529702656","Catalog Record")</f>
        <v>Catalog Record</v>
      </c>
      <c r="AT1949" s="6" t="str">
        <f>HYPERLINK("http://www.worldcat.org/oclc/24313304","WorldCat Record")</f>
        <v>WorldCat Record</v>
      </c>
      <c r="AU1949" s="3" t="s">
        <v>23816</v>
      </c>
      <c r="AV1949" s="3" t="s">
        <v>23817</v>
      </c>
      <c r="AW1949" s="3" t="s">
        <v>23818</v>
      </c>
      <c r="AX1949" s="3" t="s">
        <v>23818</v>
      </c>
      <c r="AY1949" s="3" t="s">
        <v>23819</v>
      </c>
      <c r="AZ1949" s="3" t="s">
        <v>73</v>
      </c>
      <c r="BB1949" s="3" t="s">
        <v>23820</v>
      </c>
      <c r="BC1949" s="3" t="s">
        <v>23821</v>
      </c>
      <c r="BD1949" s="3" t="s">
        <v>23822</v>
      </c>
    </row>
    <row r="1950" spans="1:56" ht="51" customHeight="1" x14ac:dyDescent="0.25">
      <c r="A1950" s="7" t="s">
        <v>58</v>
      </c>
      <c r="B1950" s="2" t="s">
        <v>23823</v>
      </c>
      <c r="C1950" s="2" t="s">
        <v>23824</v>
      </c>
      <c r="D1950" s="2" t="s">
        <v>23825</v>
      </c>
      <c r="F1950" s="3" t="s">
        <v>58</v>
      </c>
      <c r="G1950" s="3" t="s">
        <v>59</v>
      </c>
      <c r="H1950" s="3" t="s">
        <v>58</v>
      </c>
      <c r="I1950" s="3" t="s">
        <v>58</v>
      </c>
      <c r="J1950" s="3" t="s">
        <v>60</v>
      </c>
      <c r="K1950" s="2" t="s">
        <v>23826</v>
      </c>
      <c r="L1950" s="2" t="s">
        <v>23827</v>
      </c>
      <c r="M1950" s="3" t="s">
        <v>337</v>
      </c>
      <c r="O1950" s="3" t="s">
        <v>63</v>
      </c>
      <c r="P1950" s="3" t="s">
        <v>584</v>
      </c>
      <c r="Q1950" s="2" t="s">
        <v>23828</v>
      </c>
      <c r="R1950" s="3" t="s">
        <v>65</v>
      </c>
      <c r="S1950" s="4">
        <v>3</v>
      </c>
      <c r="T1950" s="4">
        <v>3</v>
      </c>
      <c r="U1950" s="5" t="s">
        <v>2852</v>
      </c>
      <c r="V1950" s="5" t="s">
        <v>2852</v>
      </c>
      <c r="W1950" s="5" t="s">
        <v>6633</v>
      </c>
      <c r="X1950" s="5" t="s">
        <v>6633</v>
      </c>
      <c r="Y1950" s="4">
        <v>78</v>
      </c>
      <c r="Z1950" s="4">
        <v>55</v>
      </c>
      <c r="AA1950" s="4">
        <v>449</v>
      </c>
      <c r="AB1950" s="4">
        <v>1</v>
      </c>
      <c r="AC1950" s="4">
        <v>3</v>
      </c>
      <c r="AD1950" s="4">
        <v>1</v>
      </c>
      <c r="AE1950" s="4">
        <v>18</v>
      </c>
      <c r="AF1950" s="4">
        <v>0</v>
      </c>
      <c r="AG1950" s="4">
        <v>7</v>
      </c>
      <c r="AH1950" s="4">
        <v>1</v>
      </c>
      <c r="AI1950" s="4">
        <v>7</v>
      </c>
      <c r="AJ1950" s="4">
        <v>0</v>
      </c>
      <c r="AK1950" s="4">
        <v>10</v>
      </c>
      <c r="AL1950" s="4">
        <v>0</v>
      </c>
      <c r="AM1950" s="4">
        <v>2</v>
      </c>
      <c r="AN1950" s="4">
        <v>0</v>
      </c>
      <c r="AO1950" s="4">
        <v>0</v>
      </c>
      <c r="AP1950" s="3" t="s">
        <v>58</v>
      </c>
      <c r="AQ1950" s="3" t="s">
        <v>58</v>
      </c>
      <c r="AS1950" s="6" t="str">
        <f>HYPERLINK("https://creighton-primo.hosted.exlibrisgroup.com/primo-explore/search?tab=default_tab&amp;search_scope=EVERYTHING&amp;vid=01CRU&amp;lang=en_US&amp;offset=0&amp;query=any,contains,991004019039702656","Catalog Record")</f>
        <v>Catalog Record</v>
      </c>
      <c r="AT1950" s="6" t="str">
        <f>HYPERLINK("http://www.worldcat.org/oclc/48883951","WorldCat Record")</f>
        <v>WorldCat Record</v>
      </c>
      <c r="AU1950" s="3" t="s">
        <v>23829</v>
      </c>
      <c r="AV1950" s="3" t="s">
        <v>23830</v>
      </c>
      <c r="AW1950" s="3" t="s">
        <v>23831</v>
      </c>
      <c r="AX1950" s="3" t="s">
        <v>23831</v>
      </c>
      <c r="AY1950" s="3" t="s">
        <v>23832</v>
      </c>
      <c r="AZ1950" s="3" t="s">
        <v>73</v>
      </c>
      <c r="BB1950" s="3" t="s">
        <v>23833</v>
      </c>
      <c r="BC1950" s="3" t="s">
        <v>23834</v>
      </c>
      <c r="BD1950" s="3" t="s">
        <v>23835</v>
      </c>
    </row>
    <row r="1951" spans="1:56" ht="51" customHeight="1" x14ac:dyDescent="0.25">
      <c r="A1951" s="7" t="s">
        <v>58</v>
      </c>
      <c r="B1951" s="2" t="s">
        <v>23836</v>
      </c>
      <c r="C1951" s="2" t="s">
        <v>23837</v>
      </c>
      <c r="D1951" s="2" t="s">
        <v>23838</v>
      </c>
      <c r="F1951" s="3" t="s">
        <v>58</v>
      </c>
      <c r="G1951" s="3" t="s">
        <v>59</v>
      </c>
      <c r="H1951" s="3" t="s">
        <v>58</v>
      </c>
      <c r="I1951" s="3" t="s">
        <v>58</v>
      </c>
      <c r="J1951" s="3" t="s">
        <v>60</v>
      </c>
      <c r="K1951" s="2" t="s">
        <v>23826</v>
      </c>
      <c r="L1951" s="2" t="s">
        <v>23839</v>
      </c>
      <c r="M1951" s="3" t="s">
        <v>552</v>
      </c>
      <c r="O1951" s="3" t="s">
        <v>63</v>
      </c>
      <c r="P1951" s="3" t="s">
        <v>354</v>
      </c>
      <c r="R1951" s="3" t="s">
        <v>65</v>
      </c>
      <c r="S1951" s="4">
        <v>2</v>
      </c>
      <c r="T1951" s="4">
        <v>2</v>
      </c>
      <c r="U1951" s="5" t="s">
        <v>23840</v>
      </c>
      <c r="V1951" s="5" t="s">
        <v>23840</v>
      </c>
      <c r="W1951" s="5" t="s">
        <v>23841</v>
      </c>
      <c r="X1951" s="5" t="s">
        <v>23841</v>
      </c>
      <c r="Y1951" s="4">
        <v>505</v>
      </c>
      <c r="Z1951" s="4">
        <v>407</v>
      </c>
      <c r="AA1951" s="4">
        <v>412</v>
      </c>
      <c r="AB1951" s="4">
        <v>3</v>
      </c>
      <c r="AC1951" s="4">
        <v>3</v>
      </c>
      <c r="AD1951" s="4">
        <v>23</v>
      </c>
      <c r="AE1951" s="4">
        <v>23</v>
      </c>
      <c r="AF1951" s="4">
        <v>9</v>
      </c>
      <c r="AG1951" s="4">
        <v>9</v>
      </c>
      <c r="AH1951" s="4">
        <v>6</v>
      </c>
      <c r="AI1951" s="4">
        <v>6</v>
      </c>
      <c r="AJ1951" s="4">
        <v>14</v>
      </c>
      <c r="AK1951" s="4">
        <v>14</v>
      </c>
      <c r="AL1951" s="4">
        <v>2</v>
      </c>
      <c r="AM1951" s="4">
        <v>2</v>
      </c>
      <c r="AN1951" s="4">
        <v>0</v>
      </c>
      <c r="AO1951" s="4">
        <v>0</v>
      </c>
      <c r="AP1951" s="3" t="s">
        <v>58</v>
      </c>
      <c r="AQ1951" s="3" t="s">
        <v>58</v>
      </c>
      <c r="AS1951" s="6" t="str">
        <f>HYPERLINK("https://creighton-primo.hosted.exlibrisgroup.com/primo-explore/search?tab=default_tab&amp;search_scope=EVERYTHING&amp;vid=01CRU&amp;lang=en_US&amp;offset=0&amp;query=any,contains,991001515089702656","Catalog Record")</f>
        <v>Catalog Record</v>
      </c>
      <c r="AT1951" s="6" t="str">
        <f>HYPERLINK("http://www.worldcat.org/oclc/19921564","WorldCat Record")</f>
        <v>WorldCat Record</v>
      </c>
      <c r="AU1951" s="3" t="s">
        <v>23842</v>
      </c>
      <c r="AV1951" s="3" t="s">
        <v>23843</v>
      </c>
      <c r="AW1951" s="3" t="s">
        <v>23844</v>
      </c>
      <c r="AX1951" s="3" t="s">
        <v>23844</v>
      </c>
      <c r="AY1951" s="3" t="s">
        <v>23845</v>
      </c>
      <c r="AZ1951" s="3" t="s">
        <v>73</v>
      </c>
      <c r="BB1951" s="3" t="s">
        <v>23846</v>
      </c>
      <c r="BC1951" s="3" t="s">
        <v>23847</v>
      </c>
      <c r="BD1951" s="3" t="s">
        <v>23848</v>
      </c>
    </row>
    <row r="1952" spans="1:56" ht="51" customHeight="1" x14ac:dyDescent="0.25">
      <c r="A1952" s="7" t="s">
        <v>58</v>
      </c>
      <c r="B1952" s="2" t="s">
        <v>23849</v>
      </c>
      <c r="C1952" s="2" t="s">
        <v>23850</v>
      </c>
      <c r="D1952" s="2" t="s">
        <v>23851</v>
      </c>
      <c r="F1952" s="3" t="s">
        <v>58</v>
      </c>
      <c r="G1952" s="3" t="s">
        <v>59</v>
      </c>
      <c r="H1952" s="3" t="s">
        <v>58</v>
      </c>
      <c r="I1952" s="3" t="s">
        <v>58</v>
      </c>
      <c r="J1952" s="3" t="s">
        <v>60</v>
      </c>
      <c r="K1952" s="2" t="s">
        <v>23852</v>
      </c>
      <c r="L1952" s="2" t="s">
        <v>23853</v>
      </c>
      <c r="M1952" s="3" t="s">
        <v>1091</v>
      </c>
      <c r="O1952" s="3" t="s">
        <v>63</v>
      </c>
      <c r="P1952" s="3" t="s">
        <v>2061</v>
      </c>
      <c r="R1952" s="3" t="s">
        <v>65</v>
      </c>
      <c r="S1952" s="4">
        <v>4</v>
      </c>
      <c r="T1952" s="4">
        <v>4</v>
      </c>
      <c r="U1952" s="5" t="s">
        <v>23804</v>
      </c>
      <c r="V1952" s="5" t="s">
        <v>23804</v>
      </c>
      <c r="W1952" s="5" t="s">
        <v>15615</v>
      </c>
      <c r="X1952" s="5" t="s">
        <v>15615</v>
      </c>
      <c r="Y1952" s="4">
        <v>481</v>
      </c>
      <c r="Z1952" s="4">
        <v>384</v>
      </c>
      <c r="AA1952" s="4">
        <v>389</v>
      </c>
      <c r="AB1952" s="4">
        <v>3</v>
      </c>
      <c r="AC1952" s="4">
        <v>3</v>
      </c>
      <c r="AD1952" s="4">
        <v>24</v>
      </c>
      <c r="AE1952" s="4">
        <v>24</v>
      </c>
      <c r="AF1952" s="4">
        <v>10</v>
      </c>
      <c r="AG1952" s="4">
        <v>10</v>
      </c>
      <c r="AH1952" s="4">
        <v>6</v>
      </c>
      <c r="AI1952" s="4">
        <v>6</v>
      </c>
      <c r="AJ1952" s="4">
        <v>13</v>
      </c>
      <c r="AK1952" s="4">
        <v>13</v>
      </c>
      <c r="AL1952" s="4">
        <v>2</v>
      </c>
      <c r="AM1952" s="4">
        <v>2</v>
      </c>
      <c r="AN1952" s="4">
        <v>0</v>
      </c>
      <c r="AO1952" s="4">
        <v>0</v>
      </c>
      <c r="AP1952" s="3" t="s">
        <v>58</v>
      </c>
      <c r="AQ1952" s="3" t="s">
        <v>58</v>
      </c>
      <c r="AS1952" s="6" t="str">
        <f>HYPERLINK("https://creighton-primo.hosted.exlibrisgroup.com/primo-explore/search?tab=default_tab&amp;search_scope=EVERYTHING&amp;vid=01CRU&amp;lang=en_US&amp;offset=0&amp;query=any,contains,991003696849702656","Catalog Record")</f>
        <v>Catalog Record</v>
      </c>
      <c r="AT1952" s="6" t="str">
        <f>HYPERLINK("http://www.worldcat.org/oclc/44818294","WorldCat Record")</f>
        <v>WorldCat Record</v>
      </c>
      <c r="AU1952" s="3" t="s">
        <v>23854</v>
      </c>
      <c r="AV1952" s="3" t="s">
        <v>23855</v>
      </c>
      <c r="AW1952" s="3" t="s">
        <v>23856</v>
      </c>
      <c r="AX1952" s="3" t="s">
        <v>23856</v>
      </c>
      <c r="AY1952" s="3" t="s">
        <v>23857</v>
      </c>
      <c r="AZ1952" s="3" t="s">
        <v>73</v>
      </c>
      <c r="BB1952" s="3" t="s">
        <v>23858</v>
      </c>
      <c r="BC1952" s="3" t="s">
        <v>23859</v>
      </c>
      <c r="BD1952" s="3" t="s">
        <v>23860</v>
      </c>
    </row>
    <row r="1953" spans="1:56" ht="51" customHeight="1" x14ac:dyDescent="0.25">
      <c r="A1953" s="7" t="s">
        <v>58</v>
      </c>
      <c r="B1953" s="2" t="s">
        <v>23861</v>
      </c>
      <c r="C1953" s="2" t="s">
        <v>23862</v>
      </c>
      <c r="D1953" s="2" t="s">
        <v>23863</v>
      </c>
      <c r="F1953" s="3" t="s">
        <v>58</v>
      </c>
      <c r="G1953" s="3" t="s">
        <v>59</v>
      </c>
      <c r="H1953" s="3" t="s">
        <v>58</v>
      </c>
      <c r="I1953" s="3" t="s">
        <v>58</v>
      </c>
      <c r="J1953" s="3" t="s">
        <v>60</v>
      </c>
      <c r="K1953" s="2" t="s">
        <v>23864</v>
      </c>
      <c r="L1953" s="2" t="s">
        <v>23865</v>
      </c>
      <c r="M1953" s="3" t="s">
        <v>996</v>
      </c>
      <c r="O1953" s="3" t="s">
        <v>63</v>
      </c>
      <c r="P1953" s="3" t="s">
        <v>584</v>
      </c>
      <c r="Q1953" s="2" t="s">
        <v>23866</v>
      </c>
      <c r="R1953" s="3" t="s">
        <v>65</v>
      </c>
      <c r="S1953" s="4">
        <v>3</v>
      </c>
      <c r="T1953" s="4">
        <v>3</v>
      </c>
      <c r="U1953" s="5" t="s">
        <v>7355</v>
      </c>
      <c r="V1953" s="5" t="s">
        <v>7355</v>
      </c>
      <c r="W1953" s="5" t="s">
        <v>16411</v>
      </c>
      <c r="X1953" s="5" t="s">
        <v>16411</v>
      </c>
      <c r="Y1953" s="4">
        <v>688</v>
      </c>
      <c r="Z1953" s="4">
        <v>512</v>
      </c>
      <c r="AA1953" s="4">
        <v>526</v>
      </c>
      <c r="AB1953" s="4">
        <v>5</v>
      </c>
      <c r="AC1953" s="4">
        <v>5</v>
      </c>
      <c r="AD1953" s="4">
        <v>22</v>
      </c>
      <c r="AE1953" s="4">
        <v>23</v>
      </c>
      <c r="AF1953" s="4">
        <v>5</v>
      </c>
      <c r="AG1953" s="4">
        <v>5</v>
      </c>
      <c r="AH1953" s="4">
        <v>7</v>
      </c>
      <c r="AI1953" s="4">
        <v>7</v>
      </c>
      <c r="AJ1953" s="4">
        <v>11</v>
      </c>
      <c r="AK1953" s="4">
        <v>12</v>
      </c>
      <c r="AL1953" s="4">
        <v>4</v>
      </c>
      <c r="AM1953" s="4">
        <v>4</v>
      </c>
      <c r="AN1953" s="4">
        <v>1</v>
      </c>
      <c r="AO1953" s="4">
        <v>1</v>
      </c>
      <c r="AP1953" s="3" t="s">
        <v>58</v>
      </c>
      <c r="AQ1953" s="3" t="s">
        <v>58</v>
      </c>
      <c r="AS1953" s="6" t="str">
        <f>HYPERLINK("https://creighton-primo.hosted.exlibrisgroup.com/primo-explore/search?tab=default_tab&amp;search_scope=EVERYTHING&amp;vid=01CRU&amp;lang=en_US&amp;offset=0&amp;query=any,contains,991002592089702656","Catalog Record")</f>
        <v>Catalog Record</v>
      </c>
      <c r="AT1953" s="6" t="str">
        <f>HYPERLINK("http://www.worldcat.org/oclc/376077","WorldCat Record")</f>
        <v>WorldCat Record</v>
      </c>
      <c r="AU1953" s="3" t="s">
        <v>23867</v>
      </c>
      <c r="AV1953" s="3" t="s">
        <v>23868</v>
      </c>
      <c r="AW1953" s="3" t="s">
        <v>23869</v>
      </c>
      <c r="AX1953" s="3" t="s">
        <v>23869</v>
      </c>
      <c r="AY1953" s="3" t="s">
        <v>23870</v>
      </c>
      <c r="AZ1953" s="3" t="s">
        <v>73</v>
      </c>
      <c r="BB1953" s="3" t="s">
        <v>23871</v>
      </c>
      <c r="BC1953" s="3" t="s">
        <v>23872</v>
      </c>
      <c r="BD1953" s="3" t="s">
        <v>23873</v>
      </c>
    </row>
    <row r="1954" spans="1:56" ht="51" customHeight="1" x14ac:dyDescent="0.25">
      <c r="A1954" s="7" t="s">
        <v>58</v>
      </c>
      <c r="B1954" s="2" t="s">
        <v>23874</v>
      </c>
      <c r="C1954" s="2" t="s">
        <v>23875</v>
      </c>
      <c r="D1954" s="2" t="s">
        <v>23876</v>
      </c>
      <c r="F1954" s="3" t="s">
        <v>58</v>
      </c>
      <c r="G1954" s="3" t="s">
        <v>59</v>
      </c>
      <c r="H1954" s="3" t="s">
        <v>58</v>
      </c>
      <c r="I1954" s="3" t="s">
        <v>58</v>
      </c>
      <c r="J1954" s="3" t="s">
        <v>60</v>
      </c>
      <c r="K1954" s="2" t="s">
        <v>23877</v>
      </c>
      <c r="L1954" s="2" t="s">
        <v>16873</v>
      </c>
      <c r="M1954" s="3" t="s">
        <v>479</v>
      </c>
      <c r="O1954" s="3" t="s">
        <v>63</v>
      </c>
      <c r="P1954" s="3" t="s">
        <v>214</v>
      </c>
      <c r="Q1954" s="2" t="s">
        <v>801</v>
      </c>
      <c r="R1954" s="3" t="s">
        <v>65</v>
      </c>
      <c r="S1954" s="4">
        <v>9</v>
      </c>
      <c r="T1954" s="4">
        <v>9</v>
      </c>
      <c r="U1954" s="5" t="s">
        <v>18143</v>
      </c>
      <c r="V1954" s="5" t="s">
        <v>18143</v>
      </c>
      <c r="W1954" s="5" t="s">
        <v>1194</v>
      </c>
      <c r="X1954" s="5" t="s">
        <v>1194</v>
      </c>
      <c r="Y1954" s="4">
        <v>238</v>
      </c>
      <c r="Z1954" s="4">
        <v>189</v>
      </c>
      <c r="AA1954" s="4">
        <v>935</v>
      </c>
      <c r="AB1954" s="4">
        <v>2</v>
      </c>
      <c r="AC1954" s="4">
        <v>6</v>
      </c>
      <c r="AD1954" s="4">
        <v>13</v>
      </c>
      <c r="AE1954" s="4">
        <v>31</v>
      </c>
      <c r="AF1954" s="4">
        <v>9</v>
      </c>
      <c r="AG1954" s="4">
        <v>14</v>
      </c>
      <c r="AH1954" s="4">
        <v>0</v>
      </c>
      <c r="AI1954" s="4">
        <v>7</v>
      </c>
      <c r="AJ1954" s="4">
        <v>7</v>
      </c>
      <c r="AK1954" s="4">
        <v>16</v>
      </c>
      <c r="AL1954" s="4">
        <v>1</v>
      </c>
      <c r="AM1954" s="4">
        <v>3</v>
      </c>
      <c r="AN1954" s="4">
        <v>0</v>
      </c>
      <c r="AO1954" s="4">
        <v>0</v>
      </c>
      <c r="AP1954" s="3" t="s">
        <v>58</v>
      </c>
      <c r="AQ1954" s="3" t="s">
        <v>58</v>
      </c>
      <c r="AS1954" s="6" t="str">
        <f>HYPERLINK("https://creighton-primo.hosted.exlibrisgroup.com/primo-explore/search?tab=default_tab&amp;search_scope=EVERYTHING&amp;vid=01CRU&amp;lang=en_US&amp;offset=0&amp;query=any,contains,991002324769702656","Catalog Record")</f>
        <v>Catalog Record</v>
      </c>
      <c r="AT1954" s="6" t="str">
        <f>HYPERLINK("http://www.worldcat.org/oclc/30155598","WorldCat Record")</f>
        <v>WorldCat Record</v>
      </c>
      <c r="AU1954" s="3" t="s">
        <v>23878</v>
      </c>
      <c r="AV1954" s="3" t="s">
        <v>23879</v>
      </c>
      <c r="AW1954" s="3" t="s">
        <v>23880</v>
      </c>
      <c r="AX1954" s="3" t="s">
        <v>23880</v>
      </c>
      <c r="AY1954" s="3" t="s">
        <v>23881</v>
      </c>
      <c r="AZ1954" s="3" t="s">
        <v>73</v>
      </c>
      <c r="BB1954" s="3" t="s">
        <v>23882</v>
      </c>
      <c r="BC1954" s="3" t="s">
        <v>23883</v>
      </c>
      <c r="BD1954" s="3" t="s">
        <v>23884</v>
      </c>
    </row>
    <row r="1955" spans="1:56" ht="51" customHeight="1" x14ac:dyDescent="0.25">
      <c r="A1955" s="7" t="s">
        <v>58</v>
      </c>
      <c r="B1955" s="2" t="s">
        <v>23885</v>
      </c>
      <c r="C1955" s="2" t="s">
        <v>23886</v>
      </c>
      <c r="D1955" s="2" t="s">
        <v>23887</v>
      </c>
      <c r="F1955" s="3" t="s">
        <v>58</v>
      </c>
      <c r="G1955" s="3" t="s">
        <v>59</v>
      </c>
      <c r="H1955" s="3" t="s">
        <v>58</v>
      </c>
      <c r="I1955" s="3" t="s">
        <v>58</v>
      </c>
      <c r="J1955" s="3" t="s">
        <v>60</v>
      </c>
      <c r="L1955" s="2" t="s">
        <v>23888</v>
      </c>
      <c r="M1955" s="3" t="s">
        <v>261</v>
      </c>
      <c r="O1955" s="3" t="s">
        <v>63</v>
      </c>
      <c r="P1955" s="3" t="s">
        <v>14063</v>
      </c>
      <c r="R1955" s="3" t="s">
        <v>65</v>
      </c>
      <c r="S1955" s="4">
        <v>3</v>
      </c>
      <c r="T1955" s="4">
        <v>3</v>
      </c>
      <c r="U1955" s="5" t="s">
        <v>23457</v>
      </c>
      <c r="V1955" s="5" t="s">
        <v>23457</v>
      </c>
      <c r="W1955" s="5" t="s">
        <v>23355</v>
      </c>
      <c r="X1955" s="5" t="s">
        <v>23355</v>
      </c>
      <c r="Y1955" s="4">
        <v>347</v>
      </c>
      <c r="Z1955" s="4">
        <v>308</v>
      </c>
      <c r="AA1955" s="4">
        <v>341</v>
      </c>
      <c r="AB1955" s="4">
        <v>1</v>
      </c>
      <c r="AC1955" s="4">
        <v>1</v>
      </c>
      <c r="AD1955" s="4">
        <v>11</v>
      </c>
      <c r="AE1955" s="4">
        <v>12</v>
      </c>
      <c r="AF1955" s="4">
        <v>1</v>
      </c>
      <c r="AG1955" s="4">
        <v>1</v>
      </c>
      <c r="AH1955" s="4">
        <v>5</v>
      </c>
      <c r="AI1955" s="4">
        <v>6</v>
      </c>
      <c r="AJ1955" s="4">
        <v>7</v>
      </c>
      <c r="AK1955" s="4">
        <v>8</v>
      </c>
      <c r="AL1955" s="4">
        <v>0</v>
      </c>
      <c r="AM1955" s="4">
        <v>0</v>
      </c>
      <c r="AN1955" s="4">
        <v>0</v>
      </c>
      <c r="AO1955" s="4">
        <v>0</v>
      </c>
      <c r="AP1955" s="3" t="s">
        <v>58</v>
      </c>
      <c r="AQ1955" s="3" t="s">
        <v>68</v>
      </c>
      <c r="AR1955" s="6" t="str">
        <f>HYPERLINK("http://catalog.hathitrust.org/Record/000014970","HathiTrust Record")</f>
        <v>HathiTrust Record</v>
      </c>
      <c r="AS1955" s="6" t="str">
        <f>HYPERLINK("https://creighton-primo.hosted.exlibrisgroup.com/primo-explore/search?tab=default_tab&amp;search_scope=EVERYTHING&amp;vid=01CRU&amp;lang=en_US&amp;offset=0&amp;query=any,contains,991003396239702656","Catalog Record")</f>
        <v>Catalog Record</v>
      </c>
      <c r="AT1955" s="6" t="str">
        <f>HYPERLINK("http://www.worldcat.org/oclc/934670","WorldCat Record")</f>
        <v>WorldCat Record</v>
      </c>
      <c r="AU1955" s="3" t="s">
        <v>23889</v>
      </c>
      <c r="AV1955" s="3" t="s">
        <v>23890</v>
      </c>
      <c r="AW1955" s="3" t="s">
        <v>23891</v>
      </c>
      <c r="AX1955" s="3" t="s">
        <v>23891</v>
      </c>
      <c r="AY1955" s="3" t="s">
        <v>23892</v>
      </c>
      <c r="AZ1955" s="3" t="s">
        <v>73</v>
      </c>
      <c r="BB1955" s="3" t="s">
        <v>23893</v>
      </c>
      <c r="BC1955" s="3" t="s">
        <v>23894</v>
      </c>
      <c r="BD1955" s="3" t="s">
        <v>23895</v>
      </c>
    </row>
    <row r="1956" spans="1:56" ht="51" customHeight="1" x14ac:dyDescent="0.25">
      <c r="A1956" s="7" t="s">
        <v>58</v>
      </c>
      <c r="B1956" s="2" t="s">
        <v>23896</v>
      </c>
      <c r="C1956" s="2" t="s">
        <v>23897</v>
      </c>
      <c r="D1956" s="2" t="s">
        <v>23898</v>
      </c>
      <c r="F1956" s="3" t="s">
        <v>58</v>
      </c>
      <c r="G1956" s="3" t="s">
        <v>59</v>
      </c>
      <c r="H1956" s="3" t="s">
        <v>58</v>
      </c>
      <c r="I1956" s="3" t="s">
        <v>58</v>
      </c>
      <c r="J1956" s="3" t="s">
        <v>60</v>
      </c>
      <c r="K1956" s="2" t="s">
        <v>23899</v>
      </c>
      <c r="L1956" s="2" t="s">
        <v>23900</v>
      </c>
      <c r="M1956" s="3" t="s">
        <v>2757</v>
      </c>
      <c r="O1956" s="3" t="s">
        <v>63</v>
      </c>
      <c r="P1956" s="3" t="s">
        <v>2061</v>
      </c>
      <c r="Q1956" s="2" t="s">
        <v>23901</v>
      </c>
      <c r="R1956" s="3" t="s">
        <v>65</v>
      </c>
      <c r="S1956" s="4">
        <v>1</v>
      </c>
      <c r="T1956" s="4">
        <v>1</v>
      </c>
      <c r="U1956" s="5" t="s">
        <v>23902</v>
      </c>
      <c r="V1956" s="5" t="s">
        <v>23902</v>
      </c>
      <c r="W1956" s="5" t="s">
        <v>16411</v>
      </c>
      <c r="X1956" s="5" t="s">
        <v>16411</v>
      </c>
      <c r="Y1956" s="4">
        <v>550</v>
      </c>
      <c r="Z1956" s="4">
        <v>464</v>
      </c>
      <c r="AA1956" s="4">
        <v>469</v>
      </c>
      <c r="AB1956" s="4">
        <v>3</v>
      </c>
      <c r="AC1956" s="4">
        <v>3</v>
      </c>
      <c r="AD1956" s="4">
        <v>25</v>
      </c>
      <c r="AE1956" s="4">
        <v>25</v>
      </c>
      <c r="AF1956" s="4">
        <v>9</v>
      </c>
      <c r="AG1956" s="4">
        <v>9</v>
      </c>
      <c r="AH1956" s="4">
        <v>6</v>
      </c>
      <c r="AI1956" s="4">
        <v>6</v>
      </c>
      <c r="AJ1956" s="4">
        <v>14</v>
      </c>
      <c r="AK1956" s="4">
        <v>14</v>
      </c>
      <c r="AL1956" s="4">
        <v>2</v>
      </c>
      <c r="AM1956" s="4">
        <v>2</v>
      </c>
      <c r="AN1956" s="4">
        <v>0</v>
      </c>
      <c r="AO1956" s="4">
        <v>0</v>
      </c>
      <c r="AP1956" s="3" t="s">
        <v>58</v>
      </c>
      <c r="AQ1956" s="3" t="s">
        <v>68</v>
      </c>
      <c r="AR1956" s="6" t="str">
        <f>HYPERLINK("http://catalog.hathitrust.org/Record/001257633","HathiTrust Record")</f>
        <v>HathiTrust Record</v>
      </c>
      <c r="AS1956" s="6" t="str">
        <f>HYPERLINK("https://creighton-primo.hosted.exlibrisgroup.com/primo-explore/search?tab=default_tab&amp;search_scope=EVERYTHING&amp;vid=01CRU&amp;lang=en_US&amp;offset=0&amp;query=any,contains,991002023129702656","Catalog Record")</f>
        <v>Catalog Record</v>
      </c>
      <c r="AT1956" s="6" t="str">
        <f>HYPERLINK("http://www.worldcat.org/oclc/259525","WorldCat Record")</f>
        <v>WorldCat Record</v>
      </c>
      <c r="AU1956" s="3" t="s">
        <v>23903</v>
      </c>
      <c r="AV1956" s="3" t="s">
        <v>23904</v>
      </c>
      <c r="AW1956" s="3" t="s">
        <v>23905</v>
      </c>
      <c r="AX1956" s="3" t="s">
        <v>23905</v>
      </c>
      <c r="AY1956" s="3" t="s">
        <v>23906</v>
      </c>
      <c r="AZ1956" s="3" t="s">
        <v>73</v>
      </c>
      <c r="BC1956" s="3" t="s">
        <v>23907</v>
      </c>
      <c r="BD1956" s="3" t="s">
        <v>23908</v>
      </c>
    </row>
    <row r="1957" spans="1:56" ht="51" customHeight="1" x14ac:dyDescent="0.25">
      <c r="A1957" s="7" t="s">
        <v>58</v>
      </c>
      <c r="B1957" s="2" t="s">
        <v>23909</v>
      </c>
      <c r="C1957" s="2" t="s">
        <v>23910</v>
      </c>
      <c r="D1957" s="2" t="s">
        <v>23911</v>
      </c>
      <c r="F1957" s="3" t="s">
        <v>58</v>
      </c>
      <c r="G1957" s="3" t="s">
        <v>59</v>
      </c>
      <c r="H1957" s="3" t="s">
        <v>58</v>
      </c>
      <c r="I1957" s="3" t="s">
        <v>58</v>
      </c>
      <c r="J1957" s="3" t="s">
        <v>60</v>
      </c>
      <c r="K1957" s="2" t="s">
        <v>23078</v>
      </c>
      <c r="L1957" s="2" t="s">
        <v>23912</v>
      </c>
      <c r="M1957" s="3" t="s">
        <v>154</v>
      </c>
      <c r="O1957" s="3" t="s">
        <v>63</v>
      </c>
      <c r="P1957" s="3" t="s">
        <v>816</v>
      </c>
      <c r="Q1957" s="2" t="s">
        <v>23913</v>
      </c>
      <c r="R1957" s="3" t="s">
        <v>65</v>
      </c>
      <c r="S1957" s="4">
        <v>2</v>
      </c>
      <c r="T1957" s="4">
        <v>2</v>
      </c>
      <c r="U1957" s="5" t="s">
        <v>23914</v>
      </c>
      <c r="V1957" s="5" t="s">
        <v>23914</v>
      </c>
      <c r="W1957" s="5" t="s">
        <v>23914</v>
      </c>
      <c r="X1957" s="5" t="s">
        <v>23914</v>
      </c>
      <c r="Y1957" s="4">
        <v>262</v>
      </c>
      <c r="Z1957" s="4">
        <v>184</v>
      </c>
      <c r="AA1957" s="4">
        <v>236</v>
      </c>
      <c r="AB1957" s="4">
        <v>2</v>
      </c>
      <c r="AC1957" s="4">
        <v>3</v>
      </c>
      <c r="AD1957" s="4">
        <v>9</v>
      </c>
      <c r="AE1957" s="4">
        <v>16</v>
      </c>
      <c r="AF1957" s="4">
        <v>3</v>
      </c>
      <c r="AG1957" s="4">
        <v>8</v>
      </c>
      <c r="AH1957" s="4">
        <v>3</v>
      </c>
      <c r="AI1957" s="4">
        <v>4</v>
      </c>
      <c r="AJ1957" s="4">
        <v>7</v>
      </c>
      <c r="AK1957" s="4">
        <v>8</v>
      </c>
      <c r="AL1957" s="4">
        <v>1</v>
      </c>
      <c r="AM1957" s="4">
        <v>2</v>
      </c>
      <c r="AN1957" s="4">
        <v>0</v>
      </c>
      <c r="AO1957" s="4">
        <v>0</v>
      </c>
      <c r="AP1957" s="3" t="s">
        <v>58</v>
      </c>
      <c r="AQ1957" s="3" t="s">
        <v>68</v>
      </c>
      <c r="AR1957" s="6" t="str">
        <f>HYPERLINK("http://catalog.hathitrust.org/Record/001831478","HathiTrust Record")</f>
        <v>HathiTrust Record</v>
      </c>
      <c r="AS1957" s="6" t="str">
        <f>HYPERLINK("https://creighton-primo.hosted.exlibrisgroup.com/primo-explore/search?tab=default_tab&amp;search_scope=EVERYTHING&amp;vid=01CRU&amp;lang=en_US&amp;offset=0&amp;query=any,contains,991003912029702656","Catalog Record")</f>
        <v>Catalog Record</v>
      </c>
      <c r="AT1957" s="6" t="str">
        <f>HYPERLINK("http://www.worldcat.org/oclc/19518308","WorldCat Record")</f>
        <v>WorldCat Record</v>
      </c>
      <c r="AU1957" s="3" t="s">
        <v>23915</v>
      </c>
      <c r="AV1957" s="3" t="s">
        <v>23916</v>
      </c>
      <c r="AW1957" s="3" t="s">
        <v>23917</v>
      </c>
      <c r="AX1957" s="3" t="s">
        <v>23917</v>
      </c>
      <c r="AY1957" s="3" t="s">
        <v>23918</v>
      </c>
      <c r="AZ1957" s="3" t="s">
        <v>73</v>
      </c>
      <c r="BB1957" s="3" t="s">
        <v>23919</v>
      </c>
      <c r="BC1957" s="3" t="s">
        <v>23920</v>
      </c>
      <c r="BD1957" s="3" t="s">
        <v>23921</v>
      </c>
    </row>
    <row r="1958" spans="1:56" ht="51" customHeight="1" x14ac:dyDescent="0.25">
      <c r="A1958" s="7" t="s">
        <v>58</v>
      </c>
      <c r="B1958" s="2" t="s">
        <v>23922</v>
      </c>
      <c r="C1958" s="2" t="s">
        <v>23923</v>
      </c>
      <c r="D1958" s="2" t="s">
        <v>23924</v>
      </c>
      <c r="F1958" s="3" t="s">
        <v>58</v>
      </c>
      <c r="G1958" s="3" t="s">
        <v>59</v>
      </c>
      <c r="H1958" s="3" t="s">
        <v>58</v>
      </c>
      <c r="I1958" s="3" t="s">
        <v>58</v>
      </c>
      <c r="J1958" s="3" t="s">
        <v>60</v>
      </c>
      <c r="K1958" s="2" t="s">
        <v>23925</v>
      </c>
      <c r="L1958" s="2" t="s">
        <v>23926</v>
      </c>
      <c r="M1958" s="3" t="s">
        <v>731</v>
      </c>
      <c r="O1958" s="3" t="s">
        <v>63</v>
      </c>
      <c r="P1958" s="3" t="s">
        <v>214</v>
      </c>
      <c r="R1958" s="3" t="s">
        <v>65</v>
      </c>
      <c r="S1958" s="4">
        <v>3</v>
      </c>
      <c r="T1958" s="4">
        <v>3</v>
      </c>
      <c r="U1958" s="5" t="s">
        <v>23496</v>
      </c>
      <c r="V1958" s="5" t="s">
        <v>23496</v>
      </c>
      <c r="W1958" s="5" t="s">
        <v>16411</v>
      </c>
      <c r="X1958" s="5" t="s">
        <v>16411</v>
      </c>
      <c r="Y1958" s="4">
        <v>565</v>
      </c>
      <c r="Z1958" s="4">
        <v>479</v>
      </c>
      <c r="AA1958" s="4">
        <v>488</v>
      </c>
      <c r="AB1958" s="4">
        <v>3</v>
      </c>
      <c r="AC1958" s="4">
        <v>3</v>
      </c>
      <c r="AD1958" s="4">
        <v>23</v>
      </c>
      <c r="AE1958" s="4">
        <v>23</v>
      </c>
      <c r="AF1958" s="4">
        <v>10</v>
      </c>
      <c r="AG1958" s="4">
        <v>10</v>
      </c>
      <c r="AH1958" s="4">
        <v>5</v>
      </c>
      <c r="AI1958" s="4">
        <v>5</v>
      </c>
      <c r="AJ1958" s="4">
        <v>12</v>
      </c>
      <c r="AK1958" s="4">
        <v>12</v>
      </c>
      <c r="AL1958" s="4">
        <v>2</v>
      </c>
      <c r="AM1958" s="4">
        <v>2</v>
      </c>
      <c r="AN1958" s="4">
        <v>0</v>
      </c>
      <c r="AO1958" s="4">
        <v>0</v>
      </c>
      <c r="AP1958" s="3" t="s">
        <v>58</v>
      </c>
      <c r="AQ1958" s="3" t="s">
        <v>68</v>
      </c>
      <c r="AR1958" s="6" t="str">
        <f>HYPERLINK("http://catalog.hathitrust.org/Record/001257637","HathiTrust Record")</f>
        <v>HathiTrust Record</v>
      </c>
      <c r="AS1958" s="6" t="str">
        <f>HYPERLINK("https://creighton-primo.hosted.exlibrisgroup.com/primo-explore/search?tab=default_tab&amp;search_scope=EVERYTHING&amp;vid=01CRU&amp;lang=en_US&amp;offset=0&amp;query=any,contains,991002717489702656","Catalog Record")</f>
        <v>Catalog Record</v>
      </c>
      <c r="AT1958" s="6" t="str">
        <f>HYPERLINK("http://www.worldcat.org/oclc/411698","WorldCat Record")</f>
        <v>WorldCat Record</v>
      </c>
      <c r="AU1958" s="3" t="s">
        <v>23927</v>
      </c>
      <c r="AV1958" s="3" t="s">
        <v>23928</v>
      </c>
      <c r="AW1958" s="3" t="s">
        <v>23929</v>
      </c>
      <c r="AX1958" s="3" t="s">
        <v>23929</v>
      </c>
      <c r="AY1958" s="3" t="s">
        <v>23930</v>
      </c>
      <c r="AZ1958" s="3" t="s">
        <v>73</v>
      </c>
      <c r="BC1958" s="3" t="s">
        <v>23931</v>
      </c>
      <c r="BD1958" s="3" t="s">
        <v>23932</v>
      </c>
    </row>
    <row r="1959" spans="1:56" ht="51" customHeight="1" x14ac:dyDescent="0.25">
      <c r="A1959" s="7" t="s">
        <v>58</v>
      </c>
      <c r="B1959" s="2" t="s">
        <v>23933</v>
      </c>
      <c r="C1959" s="2" t="s">
        <v>23934</v>
      </c>
      <c r="D1959" s="2" t="s">
        <v>23935</v>
      </c>
      <c r="F1959" s="3" t="s">
        <v>58</v>
      </c>
      <c r="G1959" s="3" t="s">
        <v>59</v>
      </c>
      <c r="H1959" s="3" t="s">
        <v>58</v>
      </c>
      <c r="I1959" s="3" t="s">
        <v>58</v>
      </c>
      <c r="J1959" s="3" t="s">
        <v>60</v>
      </c>
      <c r="K1959" s="2" t="s">
        <v>23936</v>
      </c>
      <c r="L1959" s="2" t="s">
        <v>23937</v>
      </c>
      <c r="M1959" s="3" t="s">
        <v>261</v>
      </c>
      <c r="O1959" s="3" t="s">
        <v>63</v>
      </c>
      <c r="P1959" s="3" t="s">
        <v>354</v>
      </c>
      <c r="R1959" s="3" t="s">
        <v>65</v>
      </c>
      <c r="S1959" s="4">
        <v>4</v>
      </c>
      <c r="T1959" s="4">
        <v>4</v>
      </c>
      <c r="U1959" s="5" t="s">
        <v>23938</v>
      </c>
      <c r="V1959" s="5" t="s">
        <v>23938</v>
      </c>
      <c r="W1959" s="5" t="s">
        <v>15035</v>
      </c>
      <c r="X1959" s="5" t="s">
        <v>15035</v>
      </c>
      <c r="Y1959" s="4">
        <v>401</v>
      </c>
      <c r="Z1959" s="4">
        <v>317</v>
      </c>
      <c r="AA1959" s="4">
        <v>319</v>
      </c>
      <c r="AB1959" s="4">
        <v>4</v>
      </c>
      <c r="AC1959" s="4">
        <v>4</v>
      </c>
      <c r="AD1959" s="4">
        <v>12</v>
      </c>
      <c r="AE1959" s="4">
        <v>12</v>
      </c>
      <c r="AF1959" s="4">
        <v>2</v>
      </c>
      <c r="AG1959" s="4">
        <v>2</v>
      </c>
      <c r="AH1959" s="4">
        <v>4</v>
      </c>
      <c r="AI1959" s="4">
        <v>4</v>
      </c>
      <c r="AJ1959" s="4">
        <v>6</v>
      </c>
      <c r="AK1959" s="4">
        <v>6</v>
      </c>
      <c r="AL1959" s="4">
        <v>3</v>
      </c>
      <c r="AM1959" s="4">
        <v>3</v>
      </c>
      <c r="AN1959" s="4">
        <v>0</v>
      </c>
      <c r="AO1959" s="4">
        <v>0</v>
      </c>
      <c r="AP1959" s="3" t="s">
        <v>58</v>
      </c>
      <c r="AQ1959" s="3" t="s">
        <v>68</v>
      </c>
      <c r="AR1959" s="6" t="str">
        <f>HYPERLINK("http://catalog.hathitrust.org/Record/000042060","HathiTrust Record")</f>
        <v>HathiTrust Record</v>
      </c>
      <c r="AS1959" s="6" t="str">
        <f>HYPERLINK("https://creighton-primo.hosted.exlibrisgroup.com/primo-explore/search?tab=default_tab&amp;search_scope=EVERYTHING&amp;vid=01CRU&amp;lang=en_US&amp;offset=0&amp;query=any,contains,991003598269702656","Catalog Record")</f>
        <v>Catalog Record</v>
      </c>
      <c r="AT1959" s="6" t="str">
        <f>HYPERLINK("http://www.worldcat.org/oclc/1176613","WorldCat Record")</f>
        <v>WorldCat Record</v>
      </c>
      <c r="AU1959" s="3" t="s">
        <v>23939</v>
      </c>
      <c r="AV1959" s="3" t="s">
        <v>23940</v>
      </c>
      <c r="AW1959" s="3" t="s">
        <v>23941</v>
      </c>
      <c r="AX1959" s="3" t="s">
        <v>23941</v>
      </c>
      <c r="AY1959" s="3" t="s">
        <v>23942</v>
      </c>
      <c r="AZ1959" s="3" t="s">
        <v>73</v>
      </c>
      <c r="BB1959" s="3" t="s">
        <v>23943</v>
      </c>
      <c r="BC1959" s="3" t="s">
        <v>23944</v>
      </c>
      <c r="BD1959" s="3" t="s">
        <v>23945</v>
      </c>
    </row>
    <row r="1960" spans="1:56" ht="51" customHeight="1" x14ac:dyDescent="0.25">
      <c r="A1960" s="7" t="s">
        <v>58</v>
      </c>
      <c r="B1960" s="2" t="s">
        <v>23946</v>
      </c>
      <c r="C1960" s="2" t="s">
        <v>23947</v>
      </c>
      <c r="D1960" s="2" t="s">
        <v>23948</v>
      </c>
      <c r="F1960" s="3" t="s">
        <v>58</v>
      </c>
      <c r="G1960" s="3" t="s">
        <v>59</v>
      </c>
      <c r="H1960" s="3" t="s">
        <v>58</v>
      </c>
      <c r="I1960" s="3" t="s">
        <v>58</v>
      </c>
      <c r="J1960" s="3" t="s">
        <v>60</v>
      </c>
      <c r="K1960" s="2" t="s">
        <v>23949</v>
      </c>
      <c r="L1960" s="2" t="s">
        <v>23950</v>
      </c>
      <c r="M1960" s="3" t="s">
        <v>353</v>
      </c>
      <c r="N1960" s="2" t="s">
        <v>23951</v>
      </c>
      <c r="O1960" s="3" t="s">
        <v>63</v>
      </c>
      <c r="P1960" s="3" t="s">
        <v>2061</v>
      </c>
      <c r="R1960" s="3" t="s">
        <v>65</v>
      </c>
      <c r="S1960" s="4">
        <v>16</v>
      </c>
      <c r="T1960" s="4">
        <v>16</v>
      </c>
      <c r="U1960" s="5" t="s">
        <v>9674</v>
      </c>
      <c r="V1960" s="5" t="s">
        <v>9674</v>
      </c>
      <c r="W1960" s="5" t="s">
        <v>23952</v>
      </c>
      <c r="X1960" s="5" t="s">
        <v>23952</v>
      </c>
      <c r="Y1960" s="4">
        <v>49</v>
      </c>
      <c r="Z1960" s="4">
        <v>45</v>
      </c>
      <c r="AA1960" s="4">
        <v>955</v>
      </c>
      <c r="AB1960" s="4">
        <v>1</v>
      </c>
      <c r="AC1960" s="4">
        <v>5</v>
      </c>
      <c r="AD1960" s="4">
        <v>3</v>
      </c>
      <c r="AE1960" s="4">
        <v>39</v>
      </c>
      <c r="AF1960" s="4">
        <v>1</v>
      </c>
      <c r="AG1960" s="4">
        <v>18</v>
      </c>
      <c r="AH1960" s="4">
        <v>1</v>
      </c>
      <c r="AI1960" s="4">
        <v>9</v>
      </c>
      <c r="AJ1960" s="4">
        <v>1</v>
      </c>
      <c r="AK1960" s="4">
        <v>19</v>
      </c>
      <c r="AL1960" s="4">
        <v>0</v>
      </c>
      <c r="AM1960" s="4">
        <v>3</v>
      </c>
      <c r="AN1960" s="4">
        <v>0</v>
      </c>
      <c r="AO1960" s="4">
        <v>0</v>
      </c>
      <c r="AP1960" s="3" t="s">
        <v>58</v>
      </c>
      <c r="AQ1960" s="3" t="s">
        <v>58</v>
      </c>
      <c r="AS1960" s="6" t="str">
        <f>HYPERLINK("https://creighton-primo.hosted.exlibrisgroup.com/primo-explore/search?tab=default_tab&amp;search_scope=EVERYTHING&amp;vid=01CRU&amp;lang=en_US&amp;offset=0&amp;query=any,contains,991001647419702656","Catalog Record")</f>
        <v>Catalog Record</v>
      </c>
      <c r="AT1960" s="6" t="str">
        <f>HYPERLINK("http://www.worldcat.org/oclc/21075055","WorldCat Record")</f>
        <v>WorldCat Record</v>
      </c>
      <c r="AU1960" s="3" t="s">
        <v>23953</v>
      </c>
      <c r="AV1960" s="3" t="s">
        <v>23954</v>
      </c>
      <c r="AW1960" s="3" t="s">
        <v>23955</v>
      </c>
      <c r="AX1960" s="3" t="s">
        <v>23955</v>
      </c>
      <c r="AY1960" s="3" t="s">
        <v>23956</v>
      </c>
      <c r="AZ1960" s="3" t="s">
        <v>73</v>
      </c>
      <c r="BB1960" s="3" t="s">
        <v>23957</v>
      </c>
      <c r="BC1960" s="3" t="s">
        <v>23958</v>
      </c>
      <c r="BD1960" s="3" t="s">
        <v>23959</v>
      </c>
    </row>
    <row r="1961" spans="1:56" ht="51" customHeight="1" x14ac:dyDescent="0.25">
      <c r="A1961" s="7" t="s">
        <v>58</v>
      </c>
      <c r="B1961" s="2" t="s">
        <v>23960</v>
      </c>
      <c r="C1961" s="2" t="s">
        <v>23961</v>
      </c>
      <c r="D1961" s="2" t="s">
        <v>23962</v>
      </c>
      <c r="F1961" s="3" t="s">
        <v>58</v>
      </c>
      <c r="G1961" s="3" t="s">
        <v>59</v>
      </c>
      <c r="H1961" s="3" t="s">
        <v>58</v>
      </c>
      <c r="I1961" s="3" t="s">
        <v>58</v>
      </c>
      <c r="J1961" s="3" t="s">
        <v>60</v>
      </c>
      <c r="K1961" s="2" t="s">
        <v>23963</v>
      </c>
      <c r="L1961" s="2" t="s">
        <v>23964</v>
      </c>
      <c r="M1961" s="3" t="s">
        <v>1153</v>
      </c>
      <c r="O1961" s="3" t="s">
        <v>63</v>
      </c>
      <c r="P1961" s="3" t="s">
        <v>2061</v>
      </c>
      <c r="R1961" s="3" t="s">
        <v>65</v>
      </c>
      <c r="S1961" s="4">
        <v>3</v>
      </c>
      <c r="T1961" s="4">
        <v>3</v>
      </c>
      <c r="U1961" s="5" t="s">
        <v>23938</v>
      </c>
      <c r="V1961" s="5" t="s">
        <v>23938</v>
      </c>
      <c r="W1961" s="5" t="s">
        <v>3630</v>
      </c>
      <c r="X1961" s="5" t="s">
        <v>3630</v>
      </c>
      <c r="Y1961" s="4">
        <v>868</v>
      </c>
      <c r="Z1961" s="4">
        <v>756</v>
      </c>
      <c r="AA1961" s="4">
        <v>767</v>
      </c>
      <c r="AB1961" s="4">
        <v>5</v>
      </c>
      <c r="AC1961" s="4">
        <v>5</v>
      </c>
      <c r="AD1961" s="4">
        <v>38</v>
      </c>
      <c r="AE1961" s="4">
        <v>38</v>
      </c>
      <c r="AF1961" s="4">
        <v>17</v>
      </c>
      <c r="AG1961" s="4">
        <v>17</v>
      </c>
      <c r="AH1961" s="4">
        <v>9</v>
      </c>
      <c r="AI1961" s="4">
        <v>9</v>
      </c>
      <c r="AJ1961" s="4">
        <v>17</v>
      </c>
      <c r="AK1961" s="4">
        <v>17</v>
      </c>
      <c r="AL1961" s="4">
        <v>4</v>
      </c>
      <c r="AM1961" s="4">
        <v>4</v>
      </c>
      <c r="AN1961" s="4">
        <v>0</v>
      </c>
      <c r="AO1961" s="4">
        <v>0</v>
      </c>
      <c r="AP1961" s="3" t="s">
        <v>58</v>
      </c>
      <c r="AQ1961" s="3" t="s">
        <v>58</v>
      </c>
      <c r="AS1961" s="6" t="str">
        <f>HYPERLINK("https://creighton-primo.hosted.exlibrisgroup.com/primo-explore/search?tab=default_tab&amp;search_scope=EVERYTHING&amp;vid=01CRU&amp;lang=en_US&amp;offset=0&amp;query=any,contains,991003089929702656","Catalog Record")</f>
        <v>Catalog Record</v>
      </c>
      <c r="AT1961" s="6" t="str">
        <f>HYPERLINK("http://www.worldcat.org/oclc/640275","WorldCat Record")</f>
        <v>WorldCat Record</v>
      </c>
      <c r="AU1961" s="3" t="s">
        <v>23965</v>
      </c>
      <c r="AV1961" s="3" t="s">
        <v>23966</v>
      </c>
      <c r="AW1961" s="3" t="s">
        <v>23967</v>
      </c>
      <c r="AX1961" s="3" t="s">
        <v>23967</v>
      </c>
      <c r="AY1961" s="3" t="s">
        <v>23968</v>
      </c>
      <c r="AZ1961" s="3" t="s">
        <v>73</v>
      </c>
      <c r="BB1961" s="3" t="s">
        <v>23969</v>
      </c>
      <c r="BC1961" s="3" t="s">
        <v>23970</v>
      </c>
      <c r="BD1961" s="3" t="s">
        <v>23971</v>
      </c>
    </row>
    <row r="1962" spans="1:56" ht="51" customHeight="1" x14ac:dyDescent="0.25">
      <c r="A1962" s="7" t="s">
        <v>58</v>
      </c>
      <c r="B1962" s="2" t="s">
        <v>23972</v>
      </c>
      <c r="C1962" s="2" t="s">
        <v>23973</v>
      </c>
      <c r="D1962" s="2" t="s">
        <v>23974</v>
      </c>
      <c r="F1962" s="3" t="s">
        <v>58</v>
      </c>
      <c r="G1962" s="3" t="s">
        <v>59</v>
      </c>
      <c r="H1962" s="3" t="s">
        <v>58</v>
      </c>
      <c r="I1962" s="3" t="s">
        <v>58</v>
      </c>
      <c r="J1962" s="3" t="s">
        <v>60</v>
      </c>
      <c r="K1962" s="2" t="s">
        <v>23975</v>
      </c>
      <c r="L1962" s="2" t="s">
        <v>23976</v>
      </c>
      <c r="M1962" s="3" t="s">
        <v>538</v>
      </c>
      <c r="O1962" s="3" t="s">
        <v>63</v>
      </c>
      <c r="P1962" s="3" t="s">
        <v>214</v>
      </c>
      <c r="R1962" s="3" t="s">
        <v>65</v>
      </c>
      <c r="S1962" s="4">
        <v>8</v>
      </c>
      <c r="T1962" s="4">
        <v>8</v>
      </c>
      <c r="U1962" s="5" t="s">
        <v>11149</v>
      </c>
      <c r="V1962" s="5" t="s">
        <v>11149</v>
      </c>
      <c r="W1962" s="5" t="s">
        <v>23977</v>
      </c>
      <c r="X1962" s="5" t="s">
        <v>23977</v>
      </c>
      <c r="Y1962" s="4">
        <v>1642</v>
      </c>
      <c r="Z1962" s="4">
        <v>1529</v>
      </c>
      <c r="AA1962" s="4">
        <v>1549</v>
      </c>
      <c r="AB1962" s="4">
        <v>15</v>
      </c>
      <c r="AC1962" s="4">
        <v>15</v>
      </c>
      <c r="AD1962" s="4">
        <v>48</v>
      </c>
      <c r="AE1962" s="4">
        <v>48</v>
      </c>
      <c r="AF1962" s="4">
        <v>19</v>
      </c>
      <c r="AG1962" s="4">
        <v>19</v>
      </c>
      <c r="AH1962" s="4">
        <v>9</v>
      </c>
      <c r="AI1962" s="4">
        <v>9</v>
      </c>
      <c r="AJ1962" s="4">
        <v>21</v>
      </c>
      <c r="AK1962" s="4">
        <v>21</v>
      </c>
      <c r="AL1962" s="4">
        <v>9</v>
      </c>
      <c r="AM1962" s="4">
        <v>9</v>
      </c>
      <c r="AN1962" s="4">
        <v>0</v>
      </c>
      <c r="AO1962" s="4">
        <v>0</v>
      </c>
      <c r="AP1962" s="3" t="s">
        <v>58</v>
      </c>
      <c r="AQ1962" s="3" t="s">
        <v>68</v>
      </c>
      <c r="AR1962" s="6" t="str">
        <f>HYPERLINK("http://catalog.hathitrust.org/Record/001257650","HathiTrust Record")</f>
        <v>HathiTrust Record</v>
      </c>
      <c r="AS1962" s="6" t="str">
        <f>HYPERLINK("https://creighton-primo.hosted.exlibrisgroup.com/primo-explore/search?tab=default_tab&amp;search_scope=EVERYTHING&amp;vid=01CRU&amp;lang=en_US&amp;offset=0&amp;query=any,contains,991005352839702656","Catalog Record")</f>
        <v>Catalog Record</v>
      </c>
      <c r="AT1962" s="6" t="str">
        <f>HYPERLINK("http://www.worldcat.org/oclc/49491","WorldCat Record")</f>
        <v>WorldCat Record</v>
      </c>
      <c r="AU1962" s="3" t="s">
        <v>23978</v>
      </c>
      <c r="AV1962" s="3" t="s">
        <v>23979</v>
      </c>
      <c r="AW1962" s="3" t="s">
        <v>23980</v>
      </c>
      <c r="AX1962" s="3" t="s">
        <v>23980</v>
      </c>
      <c r="AY1962" s="3" t="s">
        <v>23981</v>
      </c>
      <c r="AZ1962" s="3" t="s">
        <v>73</v>
      </c>
      <c r="BB1962" s="3" t="s">
        <v>23982</v>
      </c>
      <c r="BC1962" s="3" t="s">
        <v>23983</v>
      </c>
      <c r="BD1962" s="3" t="s">
        <v>23984</v>
      </c>
    </row>
    <row r="1963" spans="1:56" ht="51" customHeight="1" x14ac:dyDescent="0.25">
      <c r="A1963" s="7" t="s">
        <v>58</v>
      </c>
      <c r="B1963" s="2" t="s">
        <v>23985</v>
      </c>
      <c r="C1963" s="2" t="s">
        <v>23986</v>
      </c>
      <c r="D1963" s="2" t="s">
        <v>23987</v>
      </c>
      <c r="F1963" s="3" t="s">
        <v>58</v>
      </c>
      <c r="G1963" s="3" t="s">
        <v>59</v>
      </c>
      <c r="H1963" s="3" t="s">
        <v>58</v>
      </c>
      <c r="I1963" s="3" t="s">
        <v>58</v>
      </c>
      <c r="J1963" s="3" t="s">
        <v>60</v>
      </c>
      <c r="K1963" s="2" t="s">
        <v>23988</v>
      </c>
      <c r="L1963" s="2" t="s">
        <v>23989</v>
      </c>
      <c r="M1963" s="3" t="s">
        <v>23990</v>
      </c>
      <c r="O1963" s="3" t="s">
        <v>63</v>
      </c>
      <c r="P1963" s="3" t="s">
        <v>214</v>
      </c>
      <c r="R1963" s="3" t="s">
        <v>65</v>
      </c>
      <c r="S1963" s="4">
        <v>15</v>
      </c>
      <c r="T1963" s="4">
        <v>15</v>
      </c>
      <c r="U1963" s="5" t="s">
        <v>6753</v>
      </c>
      <c r="V1963" s="5" t="s">
        <v>6753</v>
      </c>
      <c r="W1963" s="5" t="s">
        <v>23991</v>
      </c>
      <c r="X1963" s="5" t="s">
        <v>23991</v>
      </c>
      <c r="Y1963" s="4">
        <v>351</v>
      </c>
      <c r="Z1963" s="4">
        <v>318</v>
      </c>
      <c r="AA1963" s="4">
        <v>331</v>
      </c>
      <c r="AB1963" s="4">
        <v>3</v>
      </c>
      <c r="AC1963" s="4">
        <v>3</v>
      </c>
      <c r="AD1963" s="4">
        <v>10</v>
      </c>
      <c r="AE1963" s="4">
        <v>10</v>
      </c>
      <c r="AF1963" s="4">
        <v>5</v>
      </c>
      <c r="AG1963" s="4">
        <v>5</v>
      </c>
      <c r="AH1963" s="4">
        <v>3</v>
      </c>
      <c r="AI1963" s="4">
        <v>3</v>
      </c>
      <c r="AJ1963" s="4">
        <v>1</v>
      </c>
      <c r="AK1963" s="4">
        <v>1</v>
      </c>
      <c r="AL1963" s="4">
        <v>2</v>
      </c>
      <c r="AM1963" s="4">
        <v>2</v>
      </c>
      <c r="AN1963" s="4">
        <v>0</v>
      </c>
      <c r="AO1963" s="4">
        <v>0</v>
      </c>
      <c r="AP1963" s="3" t="s">
        <v>58</v>
      </c>
      <c r="AQ1963" s="3" t="s">
        <v>68</v>
      </c>
      <c r="AR1963" s="6" t="str">
        <f>HYPERLINK("http://catalog.hathitrust.org/Record/001267474","HathiTrust Record")</f>
        <v>HathiTrust Record</v>
      </c>
      <c r="AS1963" s="6" t="str">
        <f>HYPERLINK("https://creighton-primo.hosted.exlibrisgroup.com/primo-explore/search?tab=default_tab&amp;search_scope=EVERYTHING&amp;vid=01CRU&amp;lang=en_US&amp;offset=0&amp;query=any,contains,991002719729702656","Catalog Record")</f>
        <v>Catalog Record</v>
      </c>
      <c r="AT1963" s="6" t="str">
        <f>HYPERLINK("http://www.worldcat.org/oclc/412280","WorldCat Record")</f>
        <v>WorldCat Record</v>
      </c>
      <c r="AU1963" s="3" t="s">
        <v>23992</v>
      </c>
      <c r="AV1963" s="3" t="s">
        <v>23993</v>
      </c>
      <c r="AW1963" s="3" t="s">
        <v>23994</v>
      </c>
      <c r="AX1963" s="3" t="s">
        <v>23994</v>
      </c>
      <c r="AY1963" s="3" t="s">
        <v>23995</v>
      </c>
      <c r="AZ1963" s="3" t="s">
        <v>73</v>
      </c>
      <c r="BC1963" s="3" t="s">
        <v>23996</v>
      </c>
      <c r="BD1963" s="3" t="s">
        <v>23997</v>
      </c>
    </row>
    <row r="1964" spans="1:56" ht="51" customHeight="1" x14ac:dyDescent="0.25">
      <c r="A1964" s="7" t="s">
        <v>58</v>
      </c>
      <c r="B1964" s="2" t="s">
        <v>23998</v>
      </c>
      <c r="C1964" s="2" t="s">
        <v>23999</v>
      </c>
      <c r="D1964" s="2" t="s">
        <v>24000</v>
      </c>
      <c r="F1964" s="3" t="s">
        <v>58</v>
      </c>
      <c r="G1964" s="3" t="s">
        <v>59</v>
      </c>
      <c r="H1964" s="3" t="s">
        <v>58</v>
      </c>
      <c r="I1964" s="3" t="s">
        <v>58</v>
      </c>
      <c r="J1964" s="3" t="s">
        <v>60</v>
      </c>
      <c r="K1964" s="2" t="s">
        <v>24001</v>
      </c>
      <c r="L1964" s="2" t="s">
        <v>24002</v>
      </c>
      <c r="M1964" s="3" t="s">
        <v>249</v>
      </c>
      <c r="O1964" s="3" t="s">
        <v>63</v>
      </c>
      <c r="P1964" s="3" t="s">
        <v>214</v>
      </c>
      <c r="R1964" s="3" t="s">
        <v>65</v>
      </c>
      <c r="S1964" s="4">
        <v>6</v>
      </c>
      <c r="T1964" s="4">
        <v>6</v>
      </c>
      <c r="U1964" s="5" t="s">
        <v>1036</v>
      </c>
      <c r="V1964" s="5" t="s">
        <v>1036</v>
      </c>
      <c r="W1964" s="5" t="s">
        <v>8036</v>
      </c>
      <c r="X1964" s="5" t="s">
        <v>8036</v>
      </c>
      <c r="Y1964" s="4">
        <v>920</v>
      </c>
      <c r="Z1964" s="4">
        <v>860</v>
      </c>
      <c r="AA1964" s="4">
        <v>1372</v>
      </c>
      <c r="AB1964" s="4">
        <v>9</v>
      </c>
      <c r="AC1964" s="4">
        <v>12</v>
      </c>
      <c r="AD1964" s="4">
        <v>30</v>
      </c>
      <c r="AE1964" s="4">
        <v>42</v>
      </c>
      <c r="AF1964" s="4">
        <v>9</v>
      </c>
      <c r="AG1964" s="4">
        <v>14</v>
      </c>
      <c r="AH1964" s="4">
        <v>6</v>
      </c>
      <c r="AI1964" s="4">
        <v>7</v>
      </c>
      <c r="AJ1964" s="4">
        <v>15</v>
      </c>
      <c r="AK1964" s="4">
        <v>21</v>
      </c>
      <c r="AL1964" s="4">
        <v>8</v>
      </c>
      <c r="AM1964" s="4">
        <v>10</v>
      </c>
      <c r="AN1964" s="4">
        <v>0</v>
      </c>
      <c r="AO1964" s="4">
        <v>0</v>
      </c>
      <c r="AP1964" s="3" t="s">
        <v>58</v>
      </c>
      <c r="AQ1964" s="3" t="s">
        <v>68</v>
      </c>
      <c r="AR1964" s="6" t="str">
        <f>HYPERLINK("http://catalog.hathitrust.org/Record/001257671","HathiTrust Record")</f>
        <v>HathiTrust Record</v>
      </c>
      <c r="AS1964" s="6" t="str">
        <f>HYPERLINK("https://creighton-primo.hosted.exlibrisgroup.com/primo-explore/search?tab=default_tab&amp;search_scope=EVERYTHING&amp;vid=01CRU&amp;lang=en_US&amp;offset=0&amp;query=any,contains,991002714669702656","Catalog Record")</f>
        <v>Catalog Record</v>
      </c>
      <c r="AT1964" s="6" t="str">
        <f>HYPERLINK("http://www.worldcat.org/oclc/410947","WorldCat Record")</f>
        <v>WorldCat Record</v>
      </c>
      <c r="AU1964" s="3" t="s">
        <v>24003</v>
      </c>
      <c r="AV1964" s="3" t="s">
        <v>24004</v>
      </c>
      <c r="AW1964" s="3" t="s">
        <v>24005</v>
      </c>
      <c r="AX1964" s="3" t="s">
        <v>24005</v>
      </c>
      <c r="AY1964" s="3" t="s">
        <v>24006</v>
      </c>
      <c r="AZ1964" s="3" t="s">
        <v>73</v>
      </c>
      <c r="BC1964" s="3" t="s">
        <v>24007</v>
      </c>
      <c r="BD1964" s="3" t="s">
        <v>24008</v>
      </c>
    </row>
    <row r="1965" spans="1:56" ht="51" customHeight="1" x14ac:dyDescent="0.25">
      <c r="A1965" s="7" t="s">
        <v>58</v>
      </c>
      <c r="B1965" s="2" t="s">
        <v>24009</v>
      </c>
      <c r="C1965" s="2" t="s">
        <v>24010</v>
      </c>
      <c r="D1965" s="2" t="s">
        <v>24011</v>
      </c>
      <c r="F1965" s="3" t="s">
        <v>58</v>
      </c>
      <c r="G1965" s="3" t="s">
        <v>59</v>
      </c>
      <c r="H1965" s="3" t="s">
        <v>58</v>
      </c>
      <c r="I1965" s="3" t="s">
        <v>58</v>
      </c>
      <c r="J1965" s="3" t="s">
        <v>60</v>
      </c>
      <c r="K1965" s="2" t="s">
        <v>24012</v>
      </c>
      <c r="L1965" s="2" t="s">
        <v>24013</v>
      </c>
      <c r="M1965" s="3" t="s">
        <v>2757</v>
      </c>
      <c r="O1965" s="3" t="s">
        <v>63</v>
      </c>
      <c r="P1965" s="3" t="s">
        <v>214</v>
      </c>
      <c r="R1965" s="3" t="s">
        <v>65</v>
      </c>
      <c r="S1965" s="4">
        <v>4</v>
      </c>
      <c r="T1965" s="4">
        <v>4</v>
      </c>
      <c r="U1965" s="5" t="s">
        <v>16279</v>
      </c>
      <c r="V1965" s="5" t="s">
        <v>16279</v>
      </c>
      <c r="W1965" s="5" t="s">
        <v>16411</v>
      </c>
      <c r="X1965" s="5" t="s">
        <v>16411</v>
      </c>
      <c r="Y1965" s="4">
        <v>671</v>
      </c>
      <c r="Z1965" s="4">
        <v>627</v>
      </c>
      <c r="AA1965" s="4">
        <v>699</v>
      </c>
      <c r="AB1965" s="4">
        <v>5</v>
      </c>
      <c r="AC1965" s="4">
        <v>6</v>
      </c>
      <c r="AD1965" s="4">
        <v>25</v>
      </c>
      <c r="AE1965" s="4">
        <v>29</v>
      </c>
      <c r="AF1965" s="4">
        <v>7</v>
      </c>
      <c r="AG1965" s="4">
        <v>7</v>
      </c>
      <c r="AH1965" s="4">
        <v>7</v>
      </c>
      <c r="AI1965" s="4">
        <v>7</v>
      </c>
      <c r="AJ1965" s="4">
        <v>12</v>
      </c>
      <c r="AK1965" s="4">
        <v>15</v>
      </c>
      <c r="AL1965" s="4">
        <v>4</v>
      </c>
      <c r="AM1965" s="4">
        <v>5</v>
      </c>
      <c r="AN1965" s="4">
        <v>0</v>
      </c>
      <c r="AO1965" s="4">
        <v>0</v>
      </c>
      <c r="AP1965" s="3" t="s">
        <v>58</v>
      </c>
      <c r="AQ1965" s="3" t="s">
        <v>68</v>
      </c>
      <c r="AR1965" s="6" t="str">
        <f>HYPERLINK("http://catalog.hathitrust.org/Record/102388633","HathiTrust Record")</f>
        <v>HathiTrust Record</v>
      </c>
      <c r="AS1965" s="6" t="str">
        <f>HYPERLINK("https://creighton-primo.hosted.exlibrisgroup.com/primo-explore/search?tab=default_tab&amp;search_scope=EVERYTHING&amp;vid=01CRU&amp;lang=en_US&amp;offset=0&amp;query=any,contains,991002229499702656","Catalog Record")</f>
        <v>Catalog Record</v>
      </c>
      <c r="AT1965" s="6" t="str">
        <f>HYPERLINK("http://www.worldcat.org/oclc/293493","WorldCat Record")</f>
        <v>WorldCat Record</v>
      </c>
      <c r="AU1965" s="3" t="s">
        <v>24014</v>
      </c>
      <c r="AV1965" s="3" t="s">
        <v>24015</v>
      </c>
      <c r="AW1965" s="3" t="s">
        <v>24016</v>
      </c>
      <c r="AX1965" s="3" t="s">
        <v>24016</v>
      </c>
      <c r="AY1965" s="3" t="s">
        <v>24017</v>
      </c>
      <c r="AZ1965" s="3" t="s">
        <v>73</v>
      </c>
      <c r="BC1965" s="3" t="s">
        <v>24018</v>
      </c>
      <c r="BD1965" s="3" t="s">
        <v>24019</v>
      </c>
    </row>
    <row r="1966" spans="1:56" ht="51" customHeight="1" x14ac:dyDescent="0.25">
      <c r="A1966" s="7" t="s">
        <v>58</v>
      </c>
      <c r="B1966" s="2" t="s">
        <v>24020</v>
      </c>
      <c r="C1966" s="2" t="s">
        <v>24021</v>
      </c>
      <c r="D1966" s="2" t="s">
        <v>24022</v>
      </c>
      <c r="F1966" s="3" t="s">
        <v>58</v>
      </c>
      <c r="G1966" s="3" t="s">
        <v>59</v>
      </c>
      <c r="H1966" s="3" t="s">
        <v>58</v>
      </c>
      <c r="I1966" s="3" t="s">
        <v>58</v>
      </c>
      <c r="J1966" s="3" t="s">
        <v>60</v>
      </c>
      <c r="K1966" s="2" t="s">
        <v>24023</v>
      </c>
      <c r="L1966" s="2" t="s">
        <v>24024</v>
      </c>
      <c r="M1966" s="3" t="s">
        <v>1153</v>
      </c>
      <c r="N1966" s="2" t="s">
        <v>13431</v>
      </c>
      <c r="O1966" s="3" t="s">
        <v>63</v>
      </c>
      <c r="P1966" s="3" t="s">
        <v>584</v>
      </c>
      <c r="Q1966" s="2" t="s">
        <v>14261</v>
      </c>
      <c r="R1966" s="3" t="s">
        <v>65</v>
      </c>
      <c r="S1966" s="4">
        <v>13</v>
      </c>
      <c r="T1966" s="4">
        <v>13</v>
      </c>
      <c r="U1966" s="5" t="s">
        <v>9674</v>
      </c>
      <c r="V1966" s="5" t="s">
        <v>9674</v>
      </c>
      <c r="W1966" s="5" t="s">
        <v>23355</v>
      </c>
      <c r="X1966" s="5" t="s">
        <v>23355</v>
      </c>
      <c r="Y1966" s="4">
        <v>203</v>
      </c>
      <c r="Z1966" s="4">
        <v>169</v>
      </c>
      <c r="AA1966" s="4">
        <v>278</v>
      </c>
      <c r="AB1966" s="4">
        <v>1</v>
      </c>
      <c r="AC1966" s="4">
        <v>2</v>
      </c>
      <c r="AD1966" s="4">
        <v>4</v>
      </c>
      <c r="AE1966" s="4">
        <v>7</v>
      </c>
      <c r="AF1966" s="4">
        <v>1</v>
      </c>
      <c r="AG1966" s="4">
        <v>2</v>
      </c>
      <c r="AH1966" s="4">
        <v>2</v>
      </c>
      <c r="AI1966" s="4">
        <v>3</v>
      </c>
      <c r="AJ1966" s="4">
        <v>2</v>
      </c>
      <c r="AK1966" s="4">
        <v>2</v>
      </c>
      <c r="AL1966" s="4">
        <v>0</v>
      </c>
      <c r="AM1966" s="4">
        <v>1</v>
      </c>
      <c r="AN1966" s="4">
        <v>0</v>
      </c>
      <c r="AO1966" s="4">
        <v>0</v>
      </c>
      <c r="AP1966" s="3" t="s">
        <v>58</v>
      </c>
      <c r="AQ1966" s="3" t="s">
        <v>58</v>
      </c>
      <c r="AS1966" s="6" t="str">
        <f>HYPERLINK("https://creighton-primo.hosted.exlibrisgroup.com/primo-explore/search?tab=default_tab&amp;search_scope=EVERYTHING&amp;vid=01CRU&amp;lang=en_US&amp;offset=0&amp;query=any,contains,991005356819702656","Catalog Record")</f>
        <v>Catalog Record</v>
      </c>
      <c r="AT1966" s="6" t="str">
        <f>HYPERLINK("http://www.worldcat.org/oclc/792813","WorldCat Record")</f>
        <v>WorldCat Record</v>
      </c>
      <c r="AU1966" s="3" t="s">
        <v>24025</v>
      </c>
      <c r="AV1966" s="3" t="s">
        <v>24026</v>
      </c>
      <c r="AW1966" s="3" t="s">
        <v>24027</v>
      </c>
      <c r="AX1966" s="3" t="s">
        <v>24027</v>
      </c>
      <c r="AY1966" s="3" t="s">
        <v>24028</v>
      </c>
      <c r="AZ1966" s="3" t="s">
        <v>73</v>
      </c>
      <c r="BB1966" s="3" t="s">
        <v>24029</v>
      </c>
      <c r="BC1966" s="3" t="s">
        <v>24030</v>
      </c>
      <c r="BD1966" s="3" t="s">
        <v>24031</v>
      </c>
    </row>
    <row r="1967" spans="1:56" ht="51" customHeight="1" x14ac:dyDescent="0.25">
      <c r="A1967" s="7" t="s">
        <v>58</v>
      </c>
      <c r="B1967" s="2" t="s">
        <v>24032</v>
      </c>
      <c r="C1967" s="2" t="s">
        <v>24033</v>
      </c>
      <c r="D1967" s="2" t="s">
        <v>24034</v>
      </c>
      <c r="F1967" s="3" t="s">
        <v>58</v>
      </c>
      <c r="G1967" s="3" t="s">
        <v>59</v>
      </c>
      <c r="H1967" s="3" t="s">
        <v>58</v>
      </c>
      <c r="I1967" s="3" t="s">
        <v>58</v>
      </c>
      <c r="J1967" s="3" t="s">
        <v>60</v>
      </c>
      <c r="K1967" s="2" t="s">
        <v>24035</v>
      </c>
      <c r="L1967" s="2" t="s">
        <v>24036</v>
      </c>
      <c r="M1967" s="3" t="s">
        <v>759</v>
      </c>
      <c r="O1967" s="3" t="s">
        <v>63</v>
      </c>
      <c r="P1967" s="3" t="s">
        <v>214</v>
      </c>
      <c r="Q1967" s="2" t="s">
        <v>24037</v>
      </c>
      <c r="R1967" s="3" t="s">
        <v>65</v>
      </c>
      <c r="S1967" s="4">
        <v>6</v>
      </c>
      <c r="T1967" s="4">
        <v>6</v>
      </c>
      <c r="U1967" s="5" t="s">
        <v>14298</v>
      </c>
      <c r="V1967" s="5" t="s">
        <v>14298</v>
      </c>
      <c r="W1967" s="5" t="s">
        <v>24038</v>
      </c>
      <c r="X1967" s="5" t="s">
        <v>24038</v>
      </c>
      <c r="Y1967" s="4">
        <v>164</v>
      </c>
      <c r="Z1967" s="4">
        <v>163</v>
      </c>
      <c r="AA1967" s="4">
        <v>246</v>
      </c>
      <c r="AB1967" s="4">
        <v>1</v>
      </c>
      <c r="AC1967" s="4">
        <v>2</v>
      </c>
      <c r="AD1967" s="4">
        <v>2</v>
      </c>
      <c r="AE1967" s="4">
        <v>2</v>
      </c>
      <c r="AF1967" s="4">
        <v>1</v>
      </c>
      <c r="AG1967" s="4">
        <v>1</v>
      </c>
      <c r="AH1967" s="4">
        <v>0</v>
      </c>
      <c r="AI1967" s="4">
        <v>0</v>
      </c>
      <c r="AJ1967" s="4">
        <v>1</v>
      </c>
      <c r="AK1967" s="4">
        <v>1</v>
      </c>
      <c r="AL1967" s="4">
        <v>0</v>
      </c>
      <c r="AM1967" s="4">
        <v>0</v>
      </c>
      <c r="AN1967" s="4">
        <v>0</v>
      </c>
      <c r="AO1967" s="4">
        <v>0</v>
      </c>
      <c r="AP1967" s="3" t="s">
        <v>58</v>
      </c>
      <c r="AQ1967" s="3" t="s">
        <v>58</v>
      </c>
      <c r="AS1967" s="6" t="str">
        <f>HYPERLINK("https://creighton-primo.hosted.exlibrisgroup.com/primo-explore/search?tab=default_tab&amp;search_scope=EVERYTHING&amp;vid=01CRU&amp;lang=en_US&amp;offset=0&amp;query=any,contains,991004868939702656","Catalog Record")</f>
        <v>Catalog Record</v>
      </c>
      <c r="AT1967" s="6" t="str">
        <f>HYPERLINK("http://www.worldcat.org/oclc/5750042","WorldCat Record")</f>
        <v>WorldCat Record</v>
      </c>
      <c r="AU1967" s="3" t="s">
        <v>24039</v>
      </c>
      <c r="AV1967" s="3" t="s">
        <v>24040</v>
      </c>
      <c r="AW1967" s="3" t="s">
        <v>24041</v>
      </c>
      <c r="AX1967" s="3" t="s">
        <v>24041</v>
      </c>
      <c r="AY1967" s="3" t="s">
        <v>24042</v>
      </c>
      <c r="AZ1967" s="3" t="s">
        <v>73</v>
      </c>
      <c r="BB1967" s="3" t="s">
        <v>24043</v>
      </c>
      <c r="BC1967" s="3" t="s">
        <v>24044</v>
      </c>
      <c r="BD1967" s="3" t="s">
        <v>24045</v>
      </c>
    </row>
    <row r="1968" spans="1:56" ht="51" customHeight="1" x14ac:dyDescent="0.25">
      <c r="A1968" s="7" t="s">
        <v>58</v>
      </c>
      <c r="B1968" s="2" t="s">
        <v>24046</v>
      </c>
      <c r="C1968" s="2" t="s">
        <v>24047</v>
      </c>
      <c r="D1968" s="2" t="s">
        <v>24048</v>
      </c>
      <c r="F1968" s="3" t="s">
        <v>58</v>
      </c>
      <c r="G1968" s="3" t="s">
        <v>59</v>
      </c>
      <c r="H1968" s="3" t="s">
        <v>58</v>
      </c>
      <c r="I1968" s="3" t="s">
        <v>58</v>
      </c>
      <c r="J1968" s="3" t="s">
        <v>60</v>
      </c>
      <c r="K1968" s="2" t="s">
        <v>24049</v>
      </c>
      <c r="L1968" s="2" t="s">
        <v>24050</v>
      </c>
      <c r="M1968" s="3" t="s">
        <v>249</v>
      </c>
      <c r="N1968" s="2" t="s">
        <v>1470</v>
      </c>
      <c r="O1968" s="3" t="s">
        <v>63</v>
      </c>
      <c r="P1968" s="3" t="s">
        <v>495</v>
      </c>
      <c r="R1968" s="3" t="s">
        <v>65</v>
      </c>
      <c r="S1968" s="4">
        <v>2</v>
      </c>
      <c r="T1968" s="4">
        <v>2</v>
      </c>
      <c r="U1968" s="5" t="s">
        <v>1863</v>
      </c>
      <c r="V1968" s="5" t="s">
        <v>1863</v>
      </c>
      <c r="W1968" s="5" t="s">
        <v>16411</v>
      </c>
      <c r="X1968" s="5" t="s">
        <v>16411</v>
      </c>
      <c r="Y1968" s="4">
        <v>585</v>
      </c>
      <c r="Z1968" s="4">
        <v>549</v>
      </c>
      <c r="AA1968" s="4">
        <v>555</v>
      </c>
      <c r="AB1968" s="4">
        <v>5</v>
      </c>
      <c r="AC1968" s="4">
        <v>5</v>
      </c>
      <c r="AD1968" s="4">
        <v>10</v>
      </c>
      <c r="AE1968" s="4">
        <v>10</v>
      </c>
      <c r="AF1968" s="4">
        <v>3</v>
      </c>
      <c r="AG1968" s="4">
        <v>3</v>
      </c>
      <c r="AH1968" s="4">
        <v>2</v>
      </c>
      <c r="AI1968" s="4">
        <v>2</v>
      </c>
      <c r="AJ1968" s="4">
        <v>3</v>
      </c>
      <c r="AK1968" s="4">
        <v>3</v>
      </c>
      <c r="AL1968" s="4">
        <v>3</v>
      </c>
      <c r="AM1968" s="4">
        <v>3</v>
      </c>
      <c r="AN1968" s="4">
        <v>0</v>
      </c>
      <c r="AO1968" s="4">
        <v>0</v>
      </c>
      <c r="AP1968" s="3" t="s">
        <v>58</v>
      </c>
      <c r="AQ1968" s="3" t="s">
        <v>68</v>
      </c>
      <c r="AR1968" s="6" t="str">
        <f>HYPERLINK("http://catalog.hathitrust.org/Record/001257686","HathiTrust Record")</f>
        <v>HathiTrust Record</v>
      </c>
      <c r="AS1968" s="6" t="str">
        <f>HYPERLINK("https://creighton-primo.hosted.exlibrisgroup.com/primo-explore/search?tab=default_tab&amp;search_scope=EVERYTHING&amp;vid=01CRU&amp;lang=en_US&amp;offset=0&amp;query=any,contains,991003711129702656","Catalog Record")</f>
        <v>Catalog Record</v>
      </c>
      <c r="AT1968" s="6" t="str">
        <f>HYPERLINK("http://www.worldcat.org/oclc/1350115","WorldCat Record")</f>
        <v>WorldCat Record</v>
      </c>
      <c r="AU1968" s="3" t="s">
        <v>24051</v>
      </c>
      <c r="AV1968" s="3" t="s">
        <v>24052</v>
      </c>
      <c r="AW1968" s="3" t="s">
        <v>24053</v>
      </c>
      <c r="AX1968" s="3" t="s">
        <v>24053</v>
      </c>
      <c r="AY1968" s="3" t="s">
        <v>24054</v>
      </c>
      <c r="AZ1968" s="3" t="s">
        <v>73</v>
      </c>
      <c r="BC1968" s="3" t="s">
        <v>24055</v>
      </c>
      <c r="BD1968" s="3" t="s">
        <v>24056</v>
      </c>
    </row>
    <row r="1969" spans="1:56" ht="51" customHeight="1" x14ac:dyDescent="0.25">
      <c r="A1969" s="7" t="s">
        <v>58</v>
      </c>
      <c r="B1969" s="2" t="s">
        <v>24057</v>
      </c>
      <c r="C1969" s="2" t="s">
        <v>24058</v>
      </c>
      <c r="D1969" s="2" t="s">
        <v>24059</v>
      </c>
      <c r="F1969" s="3" t="s">
        <v>58</v>
      </c>
      <c r="G1969" s="3" t="s">
        <v>59</v>
      </c>
      <c r="H1969" s="3" t="s">
        <v>58</v>
      </c>
      <c r="I1969" s="3" t="s">
        <v>58</v>
      </c>
      <c r="J1969" s="3" t="s">
        <v>60</v>
      </c>
      <c r="K1969" s="2" t="s">
        <v>24060</v>
      </c>
      <c r="L1969" s="2" t="s">
        <v>24061</v>
      </c>
      <c r="M1969" s="3" t="s">
        <v>1385</v>
      </c>
      <c r="O1969" s="3" t="s">
        <v>63</v>
      </c>
      <c r="P1969" s="3" t="s">
        <v>510</v>
      </c>
      <c r="R1969" s="3" t="s">
        <v>65</v>
      </c>
      <c r="S1969" s="4">
        <v>0</v>
      </c>
      <c r="T1969" s="4">
        <v>0</v>
      </c>
      <c r="U1969" s="5" t="s">
        <v>7819</v>
      </c>
      <c r="V1969" s="5" t="s">
        <v>7819</v>
      </c>
      <c r="W1969" s="5" t="s">
        <v>16411</v>
      </c>
      <c r="X1969" s="5" t="s">
        <v>16411</v>
      </c>
      <c r="Y1969" s="4">
        <v>59</v>
      </c>
      <c r="Z1969" s="4">
        <v>44</v>
      </c>
      <c r="AA1969" s="4">
        <v>183</v>
      </c>
      <c r="AB1969" s="4">
        <v>1</v>
      </c>
      <c r="AC1969" s="4">
        <v>2</v>
      </c>
      <c r="AD1969" s="4">
        <v>1</v>
      </c>
      <c r="AE1969" s="4">
        <v>5</v>
      </c>
      <c r="AF1969" s="4">
        <v>0</v>
      </c>
      <c r="AG1969" s="4">
        <v>1</v>
      </c>
      <c r="AH1969" s="4">
        <v>1</v>
      </c>
      <c r="AI1969" s="4">
        <v>2</v>
      </c>
      <c r="AJ1969" s="4">
        <v>0</v>
      </c>
      <c r="AK1969" s="4">
        <v>2</v>
      </c>
      <c r="AL1969" s="4">
        <v>0</v>
      </c>
      <c r="AM1969" s="4">
        <v>1</v>
      </c>
      <c r="AN1969" s="4">
        <v>0</v>
      </c>
      <c r="AO1969" s="4">
        <v>0</v>
      </c>
      <c r="AP1969" s="3" t="s">
        <v>58</v>
      </c>
      <c r="AQ1969" s="3" t="s">
        <v>58</v>
      </c>
      <c r="AS1969" s="6" t="str">
        <f>HYPERLINK("https://creighton-primo.hosted.exlibrisgroup.com/primo-explore/search?tab=default_tab&amp;search_scope=EVERYTHING&amp;vid=01CRU&amp;lang=en_US&amp;offset=0&amp;query=any,contains,991003504929702656","Catalog Record")</f>
        <v>Catalog Record</v>
      </c>
      <c r="AT1969" s="6" t="str">
        <f>HYPERLINK("http://www.worldcat.org/oclc/1056702","WorldCat Record")</f>
        <v>WorldCat Record</v>
      </c>
      <c r="AU1969" s="3" t="s">
        <v>24062</v>
      </c>
      <c r="AV1969" s="3" t="s">
        <v>24063</v>
      </c>
      <c r="AW1969" s="3" t="s">
        <v>24064</v>
      </c>
      <c r="AX1969" s="3" t="s">
        <v>24064</v>
      </c>
      <c r="AY1969" s="3" t="s">
        <v>24065</v>
      </c>
      <c r="AZ1969" s="3" t="s">
        <v>73</v>
      </c>
      <c r="BB1969" s="3" t="s">
        <v>24066</v>
      </c>
      <c r="BC1969" s="3" t="s">
        <v>24067</v>
      </c>
      <c r="BD1969" s="3" t="s">
        <v>24068</v>
      </c>
    </row>
    <row r="1970" spans="1:56" ht="51" customHeight="1" x14ac:dyDescent="0.25">
      <c r="A1970" s="7" t="s">
        <v>58</v>
      </c>
      <c r="B1970" s="2" t="s">
        <v>24069</v>
      </c>
      <c r="C1970" s="2" t="s">
        <v>24070</v>
      </c>
      <c r="D1970" s="2" t="s">
        <v>24071</v>
      </c>
      <c r="F1970" s="3" t="s">
        <v>58</v>
      </c>
      <c r="G1970" s="3" t="s">
        <v>59</v>
      </c>
      <c r="H1970" s="3" t="s">
        <v>58</v>
      </c>
      <c r="I1970" s="3" t="s">
        <v>58</v>
      </c>
      <c r="J1970" s="3" t="s">
        <v>60</v>
      </c>
      <c r="K1970" s="2" t="s">
        <v>24072</v>
      </c>
      <c r="L1970" s="2" t="s">
        <v>24073</v>
      </c>
      <c r="M1970" s="3" t="s">
        <v>1153</v>
      </c>
      <c r="N1970" s="2" t="s">
        <v>24074</v>
      </c>
      <c r="O1970" s="3" t="s">
        <v>63</v>
      </c>
      <c r="P1970" s="3" t="s">
        <v>214</v>
      </c>
      <c r="R1970" s="3" t="s">
        <v>65</v>
      </c>
      <c r="S1970" s="4">
        <v>4</v>
      </c>
      <c r="T1970" s="4">
        <v>4</v>
      </c>
      <c r="U1970" s="5" t="s">
        <v>24075</v>
      </c>
      <c r="V1970" s="5" t="s">
        <v>24075</v>
      </c>
      <c r="W1970" s="5" t="s">
        <v>16411</v>
      </c>
      <c r="X1970" s="5" t="s">
        <v>16411</v>
      </c>
      <c r="Y1970" s="4">
        <v>724</v>
      </c>
      <c r="Z1970" s="4">
        <v>674</v>
      </c>
      <c r="AA1970" s="4">
        <v>753</v>
      </c>
      <c r="AB1970" s="4">
        <v>7</v>
      </c>
      <c r="AC1970" s="4">
        <v>8</v>
      </c>
      <c r="AD1970" s="4">
        <v>29</v>
      </c>
      <c r="AE1970" s="4">
        <v>34</v>
      </c>
      <c r="AF1970" s="4">
        <v>12</v>
      </c>
      <c r="AG1970" s="4">
        <v>14</v>
      </c>
      <c r="AH1970" s="4">
        <v>8</v>
      </c>
      <c r="AI1970" s="4">
        <v>9</v>
      </c>
      <c r="AJ1970" s="4">
        <v>14</v>
      </c>
      <c r="AK1970" s="4">
        <v>16</v>
      </c>
      <c r="AL1970" s="4">
        <v>5</v>
      </c>
      <c r="AM1970" s="4">
        <v>6</v>
      </c>
      <c r="AN1970" s="4">
        <v>0</v>
      </c>
      <c r="AO1970" s="4">
        <v>0</v>
      </c>
      <c r="AP1970" s="3" t="s">
        <v>58</v>
      </c>
      <c r="AQ1970" s="3" t="s">
        <v>58</v>
      </c>
      <c r="AS1970" s="6" t="str">
        <f>HYPERLINK("https://creighton-primo.hosted.exlibrisgroup.com/primo-explore/search?tab=default_tab&amp;search_scope=EVERYTHING&amp;vid=01CRU&amp;lang=en_US&amp;offset=0&amp;query=any,contains,991002916539702656","Catalog Record")</f>
        <v>Catalog Record</v>
      </c>
      <c r="AT1970" s="6" t="str">
        <f>HYPERLINK("http://www.worldcat.org/oclc/524215","WorldCat Record")</f>
        <v>WorldCat Record</v>
      </c>
      <c r="AU1970" s="3" t="s">
        <v>24076</v>
      </c>
      <c r="AV1970" s="3" t="s">
        <v>24077</v>
      </c>
      <c r="AW1970" s="3" t="s">
        <v>24078</v>
      </c>
      <c r="AX1970" s="3" t="s">
        <v>24078</v>
      </c>
      <c r="AY1970" s="3" t="s">
        <v>24079</v>
      </c>
      <c r="AZ1970" s="3" t="s">
        <v>73</v>
      </c>
      <c r="BB1970" s="3" t="s">
        <v>24080</v>
      </c>
      <c r="BC1970" s="3" t="s">
        <v>24081</v>
      </c>
      <c r="BD1970" s="3" t="s">
        <v>24082</v>
      </c>
    </row>
    <row r="1971" spans="1:56" ht="51" customHeight="1" x14ac:dyDescent="0.25">
      <c r="A1971" s="7" t="s">
        <v>58</v>
      </c>
      <c r="B1971" s="2" t="s">
        <v>24083</v>
      </c>
      <c r="C1971" s="2" t="s">
        <v>24084</v>
      </c>
      <c r="D1971" s="2" t="s">
        <v>24085</v>
      </c>
      <c r="F1971" s="3" t="s">
        <v>58</v>
      </c>
      <c r="G1971" s="3" t="s">
        <v>59</v>
      </c>
      <c r="H1971" s="3" t="s">
        <v>58</v>
      </c>
      <c r="I1971" s="3" t="s">
        <v>58</v>
      </c>
      <c r="J1971" s="3" t="s">
        <v>60</v>
      </c>
      <c r="K1971" s="2" t="s">
        <v>24086</v>
      </c>
      <c r="L1971" s="2" t="s">
        <v>24087</v>
      </c>
      <c r="M1971" s="3" t="s">
        <v>62</v>
      </c>
      <c r="O1971" s="3" t="s">
        <v>63</v>
      </c>
      <c r="P1971" s="3" t="s">
        <v>5757</v>
      </c>
      <c r="R1971" s="3" t="s">
        <v>65</v>
      </c>
      <c r="S1971" s="4">
        <v>2</v>
      </c>
      <c r="T1971" s="4">
        <v>2</v>
      </c>
      <c r="U1971" s="5" t="s">
        <v>24088</v>
      </c>
      <c r="V1971" s="5" t="s">
        <v>24088</v>
      </c>
      <c r="W1971" s="5" t="s">
        <v>24089</v>
      </c>
      <c r="X1971" s="5" t="s">
        <v>24089</v>
      </c>
      <c r="Y1971" s="4">
        <v>38</v>
      </c>
      <c r="Z1971" s="4">
        <v>10</v>
      </c>
      <c r="AA1971" s="4">
        <v>11</v>
      </c>
      <c r="AB1971" s="4">
        <v>1</v>
      </c>
      <c r="AC1971" s="4">
        <v>1</v>
      </c>
      <c r="AD1971" s="4">
        <v>0</v>
      </c>
      <c r="AE1971" s="4">
        <v>0</v>
      </c>
      <c r="AF1971" s="4">
        <v>0</v>
      </c>
      <c r="AG1971" s="4">
        <v>0</v>
      </c>
      <c r="AH1971" s="4">
        <v>0</v>
      </c>
      <c r="AI1971" s="4">
        <v>0</v>
      </c>
      <c r="AJ1971" s="4">
        <v>0</v>
      </c>
      <c r="AK1971" s="4">
        <v>0</v>
      </c>
      <c r="AL1971" s="4">
        <v>0</v>
      </c>
      <c r="AM1971" s="4">
        <v>0</v>
      </c>
      <c r="AN1971" s="4">
        <v>0</v>
      </c>
      <c r="AO1971" s="4">
        <v>0</v>
      </c>
      <c r="AP1971" s="3" t="s">
        <v>58</v>
      </c>
      <c r="AQ1971" s="3" t="s">
        <v>58</v>
      </c>
      <c r="AS1971" s="6" t="str">
        <f>HYPERLINK("https://creighton-primo.hosted.exlibrisgroup.com/primo-explore/search?tab=default_tab&amp;search_scope=EVERYTHING&amp;vid=01CRU&amp;lang=en_US&amp;offset=0&amp;query=any,contains,991004182529702656","Catalog Record")</f>
        <v>Catalog Record</v>
      </c>
      <c r="AT1971" s="6" t="str">
        <f>HYPERLINK("http://www.worldcat.org/oclc/59196857","WorldCat Record")</f>
        <v>WorldCat Record</v>
      </c>
      <c r="AU1971" s="3" t="s">
        <v>24090</v>
      </c>
      <c r="AV1971" s="3" t="s">
        <v>24091</v>
      </c>
      <c r="AW1971" s="3" t="s">
        <v>24092</v>
      </c>
      <c r="AX1971" s="3" t="s">
        <v>24092</v>
      </c>
      <c r="AY1971" s="3" t="s">
        <v>24093</v>
      </c>
      <c r="AZ1971" s="3" t="s">
        <v>73</v>
      </c>
      <c r="BC1971" s="3" t="s">
        <v>24094</v>
      </c>
      <c r="BD1971" s="3" t="s">
        <v>24095</v>
      </c>
    </row>
    <row r="1972" spans="1:56" ht="51" customHeight="1" x14ac:dyDescent="0.25">
      <c r="A1972" s="7" t="s">
        <v>58</v>
      </c>
      <c r="B1972" s="2" t="s">
        <v>24096</v>
      </c>
      <c r="C1972" s="2" t="s">
        <v>24097</v>
      </c>
      <c r="D1972" s="2" t="s">
        <v>24098</v>
      </c>
      <c r="F1972" s="3" t="s">
        <v>58</v>
      </c>
      <c r="G1972" s="3" t="s">
        <v>59</v>
      </c>
      <c r="H1972" s="3" t="s">
        <v>58</v>
      </c>
      <c r="I1972" s="3" t="s">
        <v>58</v>
      </c>
      <c r="J1972" s="3" t="s">
        <v>60</v>
      </c>
      <c r="K1972" s="2" t="s">
        <v>24099</v>
      </c>
      <c r="L1972" s="2" t="s">
        <v>24100</v>
      </c>
      <c r="M1972" s="3" t="s">
        <v>800</v>
      </c>
      <c r="O1972" s="3" t="s">
        <v>63</v>
      </c>
      <c r="P1972" s="3" t="s">
        <v>214</v>
      </c>
      <c r="R1972" s="3" t="s">
        <v>65</v>
      </c>
      <c r="S1972" s="4">
        <v>1</v>
      </c>
      <c r="T1972" s="4">
        <v>1</v>
      </c>
      <c r="U1972" s="5" t="s">
        <v>21067</v>
      </c>
      <c r="V1972" s="5" t="s">
        <v>21067</v>
      </c>
      <c r="W1972" s="5" t="s">
        <v>24101</v>
      </c>
      <c r="X1972" s="5" t="s">
        <v>24101</v>
      </c>
      <c r="Y1972" s="4">
        <v>268</v>
      </c>
      <c r="Z1972" s="4">
        <v>193</v>
      </c>
      <c r="AA1972" s="4">
        <v>214</v>
      </c>
      <c r="AB1972" s="4">
        <v>2</v>
      </c>
      <c r="AC1972" s="4">
        <v>2</v>
      </c>
      <c r="AD1972" s="4">
        <v>9</v>
      </c>
      <c r="AE1972" s="4">
        <v>9</v>
      </c>
      <c r="AF1972" s="4">
        <v>1</v>
      </c>
      <c r="AG1972" s="4">
        <v>1</v>
      </c>
      <c r="AH1972" s="4">
        <v>4</v>
      </c>
      <c r="AI1972" s="4">
        <v>4</v>
      </c>
      <c r="AJ1972" s="4">
        <v>6</v>
      </c>
      <c r="AK1972" s="4">
        <v>6</v>
      </c>
      <c r="AL1972" s="4">
        <v>1</v>
      </c>
      <c r="AM1972" s="4">
        <v>1</v>
      </c>
      <c r="AN1972" s="4">
        <v>0</v>
      </c>
      <c r="AO1972" s="4">
        <v>0</v>
      </c>
      <c r="AP1972" s="3" t="s">
        <v>58</v>
      </c>
      <c r="AQ1972" s="3" t="s">
        <v>68</v>
      </c>
      <c r="AR1972" s="6" t="str">
        <f>HYPERLINK("http://catalog.hathitrust.org/Record/003038013","HathiTrust Record")</f>
        <v>HathiTrust Record</v>
      </c>
      <c r="AS1972" s="6" t="str">
        <f>HYPERLINK("https://creighton-primo.hosted.exlibrisgroup.com/primo-explore/search?tab=default_tab&amp;search_scope=EVERYTHING&amp;vid=01CRU&amp;lang=en_US&amp;offset=0&amp;query=any,contains,991002378809702656","Catalog Record")</f>
        <v>Catalog Record</v>
      </c>
      <c r="AT1972" s="6" t="str">
        <f>HYPERLINK("http://www.worldcat.org/oclc/30914241","WorldCat Record")</f>
        <v>WorldCat Record</v>
      </c>
      <c r="AU1972" s="3" t="s">
        <v>24102</v>
      </c>
      <c r="AV1972" s="3" t="s">
        <v>24103</v>
      </c>
      <c r="AW1972" s="3" t="s">
        <v>24104</v>
      </c>
      <c r="AX1972" s="3" t="s">
        <v>24104</v>
      </c>
      <c r="AY1972" s="3" t="s">
        <v>24105</v>
      </c>
      <c r="AZ1972" s="3" t="s">
        <v>73</v>
      </c>
      <c r="BB1972" s="3" t="s">
        <v>24106</v>
      </c>
      <c r="BC1972" s="3" t="s">
        <v>24107</v>
      </c>
      <c r="BD1972" s="3" t="s">
        <v>24108</v>
      </c>
    </row>
    <row r="1973" spans="1:56" ht="51" customHeight="1" x14ac:dyDescent="0.25">
      <c r="A1973" s="7" t="s">
        <v>58</v>
      </c>
      <c r="B1973" s="2" t="s">
        <v>24109</v>
      </c>
      <c r="C1973" s="2" t="s">
        <v>24110</v>
      </c>
      <c r="D1973" s="2" t="s">
        <v>24111</v>
      </c>
      <c r="F1973" s="3" t="s">
        <v>58</v>
      </c>
      <c r="G1973" s="3" t="s">
        <v>59</v>
      </c>
      <c r="H1973" s="3" t="s">
        <v>58</v>
      </c>
      <c r="I1973" s="3" t="s">
        <v>58</v>
      </c>
      <c r="J1973" s="3" t="s">
        <v>60</v>
      </c>
      <c r="K1973" s="2" t="s">
        <v>24112</v>
      </c>
      <c r="L1973" s="2" t="s">
        <v>24113</v>
      </c>
      <c r="M1973" s="3" t="s">
        <v>4023</v>
      </c>
      <c r="N1973" s="2" t="s">
        <v>16604</v>
      </c>
      <c r="O1973" s="3" t="s">
        <v>16605</v>
      </c>
      <c r="P1973" s="3" t="s">
        <v>16606</v>
      </c>
      <c r="Q1973" s="2" t="s">
        <v>24114</v>
      </c>
      <c r="R1973" s="3" t="s">
        <v>65</v>
      </c>
      <c r="S1973" s="4">
        <v>1</v>
      </c>
      <c r="T1973" s="4">
        <v>1</v>
      </c>
      <c r="U1973" s="5" t="s">
        <v>16608</v>
      </c>
      <c r="V1973" s="5" t="s">
        <v>16608</v>
      </c>
      <c r="W1973" s="5" t="s">
        <v>16608</v>
      </c>
      <c r="X1973" s="5" t="s">
        <v>16608</v>
      </c>
      <c r="Y1973" s="4">
        <v>14</v>
      </c>
      <c r="Z1973" s="4">
        <v>8</v>
      </c>
      <c r="AA1973" s="4">
        <v>8</v>
      </c>
      <c r="AB1973" s="4">
        <v>1</v>
      </c>
      <c r="AC1973" s="4">
        <v>1</v>
      </c>
      <c r="AD1973" s="4">
        <v>0</v>
      </c>
      <c r="AE1973" s="4">
        <v>0</v>
      </c>
      <c r="AF1973" s="4">
        <v>0</v>
      </c>
      <c r="AG1973" s="4">
        <v>0</v>
      </c>
      <c r="AH1973" s="4">
        <v>0</v>
      </c>
      <c r="AI1973" s="4">
        <v>0</v>
      </c>
      <c r="AJ1973" s="4">
        <v>0</v>
      </c>
      <c r="AK1973" s="4">
        <v>0</v>
      </c>
      <c r="AL1973" s="4">
        <v>0</v>
      </c>
      <c r="AM1973" s="4">
        <v>0</v>
      </c>
      <c r="AN1973" s="4">
        <v>0</v>
      </c>
      <c r="AO1973" s="4">
        <v>0</v>
      </c>
      <c r="AP1973" s="3" t="s">
        <v>58</v>
      </c>
      <c r="AQ1973" s="3" t="s">
        <v>58</v>
      </c>
      <c r="AS1973" s="6" t="str">
        <f>HYPERLINK("https://creighton-primo.hosted.exlibrisgroup.com/primo-explore/search?tab=default_tab&amp;search_scope=EVERYTHING&amp;vid=01CRU&amp;lang=en_US&amp;offset=0&amp;query=any,contains,991005074609702656","Catalog Record")</f>
        <v>Catalog Record</v>
      </c>
      <c r="AT1973" s="6" t="str">
        <f>HYPERLINK("http://www.worldcat.org/oclc/58532870","WorldCat Record")</f>
        <v>WorldCat Record</v>
      </c>
      <c r="AU1973" s="3" t="s">
        <v>24115</v>
      </c>
      <c r="AV1973" s="3" t="s">
        <v>24116</v>
      </c>
      <c r="AW1973" s="3" t="s">
        <v>24117</v>
      </c>
      <c r="AX1973" s="3" t="s">
        <v>24117</v>
      </c>
      <c r="AY1973" s="3" t="s">
        <v>24118</v>
      </c>
      <c r="AZ1973" s="3" t="s">
        <v>73</v>
      </c>
      <c r="BB1973" s="3" t="s">
        <v>24119</v>
      </c>
      <c r="BC1973" s="3" t="s">
        <v>24120</v>
      </c>
      <c r="BD1973" s="3" t="s">
        <v>24121</v>
      </c>
    </row>
    <row r="1974" spans="1:56" ht="51" customHeight="1" x14ac:dyDescent="0.25">
      <c r="A1974" s="7" t="s">
        <v>58</v>
      </c>
      <c r="B1974" s="2" t="s">
        <v>24122</v>
      </c>
      <c r="C1974" s="2" t="s">
        <v>24123</v>
      </c>
      <c r="D1974" s="2" t="s">
        <v>24124</v>
      </c>
      <c r="F1974" s="3" t="s">
        <v>58</v>
      </c>
      <c r="G1974" s="3" t="s">
        <v>59</v>
      </c>
      <c r="H1974" s="3" t="s">
        <v>58</v>
      </c>
      <c r="I1974" s="3" t="s">
        <v>58</v>
      </c>
      <c r="J1974" s="3" t="s">
        <v>60</v>
      </c>
      <c r="K1974" s="2" t="s">
        <v>24125</v>
      </c>
      <c r="L1974" s="2" t="s">
        <v>24126</v>
      </c>
      <c r="M1974" s="3" t="s">
        <v>22217</v>
      </c>
      <c r="O1974" s="3" t="s">
        <v>63</v>
      </c>
      <c r="P1974" s="3" t="s">
        <v>354</v>
      </c>
      <c r="R1974" s="3" t="s">
        <v>65</v>
      </c>
      <c r="S1974" s="4">
        <v>3</v>
      </c>
      <c r="T1974" s="4">
        <v>3</v>
      </c>
      <c r="U1974" s="5" t="s">
        <v>24127</v>
      </c>
      <c r="V1974" s="5" t="s">
        <v>24127</v>
      </c>
      <c r="W1974" s="5" t="s">
        <v>16411</v>
      </c>
      <c r="X1974" s="5" t="s">
        <v>16411</v>
      </c>
      <c r="Y1974" s="4">
        <v>845</v>
      </c>
      <c r="Z1974" s="4">
        <v>712</v>
      </c>
      <c r="AA1974" s="4">
        <v>898</v>
      </c>
      <c r="AB1974" s="4">
        <v>5</v>
      </c>
      <c r="AC1974" s="4">
        <v>6</v>
      </c>
      <c r="AD1974" s="4">
        <v>36</v>
      </c>
      <c r="AE1974" s="4">
        <v>39</v>
      </c>
      <c r="AF1974" s="4">
        <v>16</v>
      </c>
      <c r="AG1974" s="4">
        <v>18</v>
      </c>
      <c r="AH1974" s="4">
        <v>8</v>
      </c>
      <c r="AI1974" s="4">
        <v>8</v>
      </c>
      <c r="AJ1974" s="4">
        <v>15</v>
      </c>
      <c r="AK1974" s="4">
        <v>16</v>
      </c>
      <c r="AL1974" s="4">
        <v>4</v>
      </c>
      <c r="AM1974" s="4">
        <v>5</v>
      </c>
      <c r="AN1974" s="4">
        <v>1</v>
      </c>
      <c r="AO1974" s="4">
        <v>1</v>
      </c>
      <c r="AP1974" s="3" t="s">
        <v>58</v>
      </c>
      <c r="AQ1974" s="3" t="s">
        <v>68</v>
      </c>
      <c r="AR1974" s="6" t="str">
        <f>HYPERLINK("http://catalog.hathitrust.org/Record/001257724","HathiTrust Record")</f>
        <v>HathiTrust Record</v>
      </c>
      <c r="AS1974" s="6" t="str">
        <f>HYPERLINK("https://creighton-primo.hosted.exlibrisgroup.com/primo-explore/search?tab=default_tab&amp;search_scope=EVERYTHING&amp;vid=01CRU&amp;lang=en_US&amp;offset=0&amp;query=any,contains,991002737859702656","Catalog Record")</f>
        <v>Catalog Record</v>
      </c>
      <c r="AT1974" s="6" t="str">
        <f>HYPERLINK("http://www.worldcat.org/oclc/419920","WorldCat Record")</f>
        <v>WorldCat Record</v>
      </c>
      <c r="AU1974" s="3" t="s">
        <v>24128</v>
      </c>
      <c r="AV1974" s="3" t="s">
        <v>24129</v>
      </c>
      <c r="AW1974" s="3" t="s">
        <v>24130</v>
      </c>
      <c r="AX1974" s="3" t="s">
        <v>24130</v>
      </c>
      <c r="AY1974" s="3" t="s">
        <v>24131</v>
      </c>
      <c r="AZ1974" s="3" t="s">
        <v>73</v>
      </c>
      <c r="BC1974" s="3" t="s">
        <v>24132</v>
      </c>
      <c r="BD1974" s="3" t="s">
        <v>24133</v>
      </c>
    </row>
    <row r="1975" spans="1:56" ht="51" customHeight="1" x14ac:dyDescent="0.25">
      <c r="A1975" s="7" t="s">
        <v>58</v>
      </c>
      <c r="B1975" s="2" t="s">
        <v>24134</v>
      </c>
      <c r="C1975" s="2" t="s">
        <v>24135</v>
      </c>
      <c r="D1975" s="2" t="s">
        <v>24136</v>
      </c>
      <c r="F1975" s="3" t="s">
        <v>58</v>
      </c>
      <c r="G1975" s="3" t="s">
        <v>59</v>
      </c>
      <c r="H1975" s="3" t="s">
        <v>58</v>
      </c>
      <c r="I1975" s="3" t="s">
        <v>58</v>
      </c>
      <c r="J1975" s="3" t="s">
        <v>60</v>
      </c>
      <c r="K1975" s="2" t="s">
        <v>24137</v>
      </c>
      <c r="L1975" s="2" t="s">
        <v>24138</v>
      </c>
      <c r="M1975" s="3" t="s">
        <v>7660</v>
      </c>
      <c r="O1975" s="3" t="s">
        <v>63</v>
      </c>
      <c r="P1975" s="3" t="s">
        <v>571</v>
      </c>
      <c r="R1975" s="3" t="s">
        <v>65</v>
      </c>
      <c r="S1975" s="4">
        <v>1</v>
      </c>
      <c r="T1975" s="4">
        <v>1</v>
      </c>
      <c r="U1975" s="5" t="s">
        <v>16736</v>
      </c>
      <c r="V1975" s="5" t="s">
        <v>16736</v>
      </c>
      <c r="W1975" s="5" t="s">
        <v>2034</v>
      </c>
      <c r="X1975" s="5" t="s">
        <v>2034</v>
      </c>
      <c r="Y1975" s="4">
        <v>52</v>
      </c>
      <c r="Z1975" s="4">
        <v>45</v>
      </c>
      <c r="AA1975" s="4">
        <v>52</v>
      </c>
      <c r="AB1975" s="4">
        <v>1</v>
      </c>
      <c r="AC1975" s="4">
        <v>1</v>
      </c>
      <c r="AD1975" s="4">
        <v>0</v>
      </c>
      <c r="AE1975" s="4">
        <v>0</v>
      </c>
      <c r="AF1975" s="4">
        <v>0</v>
      </c>
      <c r="AG1975" s="4">
        <v>0</v>
      </c>
      <c r="AH1975" s="4">
        <v>0</v>
      </c>
      <c r="AI1975" s="4">
        <v>0</v>
      </c>
      <c r="AJ1975" s="4">
        <v>0</v>
      </c>
      <c r="AK1975" s="4">
        <v>0</v>
      </c>
      <c r="AL1975" s="4">
        <v>0</v>
      </c>
      <c r="AM1975" s="4">
        <v>0</v>
      </c>
      <c r="AN1975" s="4">
        <v>0</v>
      </c>
      <c r="AO1975" s="4">
        <v>0</v>
      </c>
      <c r="AP1975" s="3" t="s">
        <v>58</v>
      </c>
      <c r="AQ1975" s="3" t="s">
        <v>68</v>
      </c>
      <c r="AR1975" s="6" t="str">
        <f>HYPERLINK("http://catalog.hathitrust.org/Record/001257732","HathiTrust Record")</f>
        <v>HathiTrust Record</v>
      </c>
      <c r="AS1975" s="6" t="str">
        <f>HYPERLINK("https://creighton-primo.hosted.exlibrisgroup.com/primo-explore/search?tab=default_tab&amp;search_scope=EVERYTHING&amp;vid=01CRU&amp;lang=en_US&amp;offset=0&amp;query=any,contains,991003255759702656","Catalog Record")</f>
        <v>Catalog Record</v>
      </c>
      <c r="AT1975" s="6" t="str">
        <f>HYPERLINK("http://www.worldcat.org/oclc/780794","WorldCat Record")</f>
        <v>WorldCat Record</v>
      </c>
      <c r="AU1975" s="3" t="s">
        <v>24139</v>
      </c>
      <c r="AV1975" s="3" t="s">
        <v>24140</v>
      </c>
      <c r="AW1975" s="3" t="s">
        <v>24141</v>
      </c>
      <c r="AX1975" s="3" t="s">
        <v>24141</v>
      </c>
      <c r="AY1975" s="3" t="s">
        <v>24142</v>
      </c>
      <c r="AZ1975" s="3" t="s">
        <v>73</v>
      </c>
      <c r="BC1975" s="3" t="s">
        <v>24143</v>
      </c>
      <c r="BD1975" s="3" t="s">
        <v>24144</v>
      </c>
    </row>
    <row r="1976" spans="1:56" ht="51" customHeight="1" x14ac:dyDescent="0.25">
      <c r="A1976" s="7" t="s">
        <v>58</v>
      </c>
      <c r="B1976" s="2" t="s">
        <v>24145</v>
      </c>
      <c r="C1976" s="2" t="s">
        <v>24146</v>
      </c>
      <c r="D1976" s="2" t="s">
        <v>24147</v>
      </c>
      <c r="F1976" s="3" t="s">
        <v>58</v>
      </c>
      <c r="G1976" s="3" t="s">
        <v>59</v>
      </c>
      <c r="H1976" s="3" t="s">
        <v>58</v>
      </c>
      <c r="I1976" s="3" t="s">
        <v>58</v>
      </c>
      <c r="J1976" s="3" t="s">
        <v>60</v>
      </c>
      <c r="K1976" s="2" t="s">
        <v>24148</v>
      </c>
      <c r="L1976" s="2" t="s">
        <v>24149</v>
      </c>
      <c r="M1976" s="3" t="s">
        <v>2757</v>
      </c>
      <c r="O1976" s="3" t="s">
        <v>63</v>
      </c>
      <c r="P1976" s="3" t="s">
        <v>2061</v>
      </c>
      <c r="Q1976" s="2" t="s">
        <v>24150</v>
      </c>
      <c r="R1976" s="3" t="s">
        <v>65</v>
      </c>
      <c r="S1976" s="4">
        <v>3</v>
      </c>
      <c r="T1976" s="4">
        <v>3</v>
      </c>
      <c r="U1976" s="5" t="s">
        <v>23938</v>
      </c>
      <c r="V1976" s="5" t="s">
        <v>23938</v>
      </c>
      <c r="W1976" s="5" t="s">
        <v>2034</v>
      </c>
      <c r="X1976" s="5" t="s">
        <v>2034</v>
      </c>
      <c r="Y1976" s="4">
        <v>816</v>
      </c>
      <c r="Z1976" s="4">
        <v>686</v>
      </c>
      <c r="AA1976" s="4">
        <v>688</v>
      </c>
      <c r="AB1976" s="4">
        <v>8</v>
      </c>
      <c r="AC1976" s="4">
        <v>8</v>
      </c>
      <c r="AD1976" s="4">
        <v>39</v>
      </c>
      <c r="AE1976" s="4">
        <v>39</v>
      </c>
      <c r="AF1976" s="4">
        <v>14</v>
      </c>
      <c r="AG1976" s="4">
        <v>14</v>
      </c>
      <c r="AH1976" s="4">
        <v>8</v>
      </c>
      <c r="AI1976" s="4">
        <v>8</v>
      </c>
      <c r="AJ1976" s="4">
        <v>19</v>
      </c>
      <c r="AK1976" s="4">
        <v>19</v>
      </c>
      <c r="AL1976" s="4">
        <v>7</v>
      </c>
      <c r="AM1976" s="4">
        <v>7</v>
      </c>
      <c r="AN1976" s="4">
        <v>0</v>
      </c>
      <c r="AO1976" s="4">
        <v>0</v>
      </c>
      <c r="AP1976" s="3" t="s">
        <v>58</v>
      </c>
      <c r="AQ1976" s="3" t="s">
        <v>58</v>
      </c>
      <c r="AS1976" s="6" t="str">
        <f>HYPERLINK("https://creighton-primo.hosted.exlibrisgroup.com/primo-explore/search?tab=default_tab&amp;search_scope=EVERYTHING&amp;vid=01CRU&amp;lang=en_US&amp;offset=0&amp;query=any,contains,991002719519702656","Catalog Record")</f>
        <v>Catalog Record</v>
      </c>
      <c r="AT1976" s="6" t="str">
        <f>HYPERLINK("http://www.worldcat.org/oclc/412225","WorldCat Record")</f>
        <v>WorldCat Record</v>
      </c>
      <c r="AU1976" s="3" t="s">
        <v>24151</v>
      </c>
      <c r="AV1976" s="3" t="s">
        <v>24152</v>
      </c>
      <c r="AW1976" s="3" t="s">
        <v>24153</v>
      </c>
      <c r="AX1976" s="3" t="s">
        <v>24153</v>
      </c>
      <c r="AY1976" s="3" t="s">
        <v>24154</v>
      </c>
      <c r="AZ1976" s="3" t="s">
        <v>73</v>
      </c>
      <c r="BC1976" s="3" t="s">
        <v>24155</v>
      </c>
      <c r="BD1976" s="3" t="s">
        <v>24156</v>
      </c>
    </row>
    <row r="1977" spans="1:56" ht="51" customHeight="1" x14ac:dyDescent="0.25">
      <c r="A1977" s="7" t="s">
        <v>58</v>
      </c>
      <c r="B1977" s="2" t="s">
        <v>24157</v>
      </c>
      <c r="C1977" s="2" t="s">
        <v>24158</v>
      </c>
      <c r="D1977" s="2" t="s">
        <v>24159</v>
      </c>
      <c r="F1977" s="3" t="s">
        <v>58</v>
      </c>
      <c r="G1977" s="3" t="s">
        <v>59</v>
      </c>
      <c r="H1977" s="3" t="s">
        <v>58</v>
      </c>
      <c r="I1977" s="3" t="s">
        <v>58</v>
      </c>
      <c r="J1977" s="3" t="s">
        <v>60</v>
      </c>
      <c r="K1977" s="2" t="s">
        <v>24160</v>
      </c>
      <c r="L1977" s="2" t="s">
        <v>24161</v>
      </c>
      <c r="M1977" s="3" t="s">
        <v>368</v>
      </c>
      <c r="O1977" s="3" t="s">
        <v>63</v>
      </c>
      <c r="P1977" s="3" t="s">
        <v>411</v>
      </c>
      <c r="R1977" s="3" t="s">
        <v>65</v>
      </c>
      <c r="S1977" s="4">
        <v>1</v>
      </c>
      <c r="T1977" s="4">
        <v>1</v>
      </c>
      <c r="U1977" s="5" t="s">
        <v>24162</v>
      </c>
      <c r="V1977" s="5" t="s">
        <v>24162</v>
      </c>
      <c r="W1977" s="5" t="s">
        <v>16411</v>
      </c>
      <c r="X1977" s="5" t="s">
        <v>16411</v>
      </c>
      <c r="Y1977" s="4">
        <v>142</v>
      </c>
      <c r="Z1977" s="4">
        <v>116</v>
      </c>
      <c r="AA1977" s="4">
        <v>607</v>
      </c>
      <c r="AB1977" s="4">
        <v>1</v>
      </c>
      <c r="AC1977" s="4">
        <v>8</v>
      </c>
      <c r="AD1977" s="4">
        <v>3</v>
      </c>
      <c r="AE1977" s="4">
        <v>29</v>
      </c>
      <c r="AF1977" s="4">
        <v>0</v>
      </c>
      <c r="AG1977" s="4">
        <v>9</v>
      </c>
      <c r="AH1977" s="4">
        <v>2</v>
      </c>
      <c r="AI1977" s="4">
        <v>6</v>
      </c>
      <c r="AJ1977" s="4">
        <v>2</v>
      </c>
      <c r="AK1977" s="4">
        <v>14</v>
      </c>
      <c r="AL1977" s="4">
        <v>0</v>
      </c>
      <c r="AM1977" s="4">
        <v>7</v>
      </c>
      <c r="AN1977" s="4">
        <v>0</v>
      </c>
      <c r="AO1977" s="4">
        <v>0</v>
      </c>
      <c r="AP1977" s="3" t="s">
        <v>58</v>
      </c>
      <c r="AQ1977" s="3" t="s">
        <v>58</v>
      </c>
      <c r="AS1977" s="6" t="str">
        <f>HYPERLINK("https://creighton-primo.hosted.exlibrisgroup.com/primo-explore/search?tab=default_tab&amp;search_scope=EVERYTHING&amp;vid=01CRU&amp;lang=en_US&amp;offset=0&amp;query=any,contains,991004072359702656","Catalog Record")</f>
        <v>Catalog Record</v>
      </c>
      <c r="AT1977" s="6" t="str">
        <f>HYPERLINK("http://www.worldcat.org/oclc/2307520","WorldCat Record")</f>
        <v>WorldCat Record</v>
      </c>
      <c r="AU1977" s="3" t="s">
        <v>24163</v>
      </c>
      <c r="AV1977" s="3" t="s">
        <v>24164</v>
      </c>
      <c r="AW1977" s="3" t="s">
        <v>24165</v>
      </c>
      <c r="AX1977" s="3" t="s">
        <v>24165</v>
      </c>
      <c r="AY1977" s="3" t="s">
        <v>24166</v>
      </c>
      <c r="AZ1977" s="3" t="s">
        <v>73</v>
      </c>
      <c r="BB1977" s="3" t="s">
        <v>24167</v>
      </c>
      <c r="BC1977" s="3" t="s">
        <v>24168</v>
      </c>
      <c r="BD1977" s="3" t="s">
        <v>24169</v>
      </c>
    </row>
    <row r="1978" spans="1:56" ht="51" customHeight="1" x14ac:dyDescent="0.25">
      <c r="A1978" s="7" t="s">
        <v>58</v>
      </c>
      <c r="B1978" s="2" t="s">
        <v>24170</v>
      </c>
      <c r="C1978" s="2" t="s">
        <v>24171</v>
      </c>
      <c r="D1978" s="2" t="s">
        <v>24172</v>
      </c>
      <c r="F1978" s="3" t="s">
        <v>58</v>
      </c>
      <c r="G1978" s="3" t="s">
        <v>59</v>
      </c>
      <c r="H1978" s="3" t="s">
        <v>58</v>
      </c>
      <c r="I1978" s="3" t="s">
        <v>58</v>
      </c>
      <c r="J1978" s="3" t="s">
        <v>60</v>
      </c>
      <c r="L1978" s="2" t="s">
        <v>24173</v>
      </c>
      <c r="M1978" s="3" t="s">
        <v>1499</v>
      </c>
      <c r="O1978" s="3" t="s">
        <v>63</v>
      </c>
      <c r="P1978" s="3" t="s">
        <v>816</v>
      </c>
      <c r="Q1978" s="2" t="s">
        <v>24174</v>
      </c>
      <c r="R1978" s="3" t="s">
        <v>65</v>
      </c>
      <c r="S1978" s="4">
        <v>89</v>
      </c>
      <c r="T1978" s="4">
        <v>89</v>
      </c>
      <c r="U1978" s="5" t="s">
        <v>7673</v>
      </c>
      <c r="V1978" s="5" t="s">
        <v>7673</v>
      </c>
      <c r="W1978" s="5" t="s">
        <v>16411</v>
      </c>
      <c r="X1978" s="5" t="s">
        <v>16411</v>
      </c>
      <c r="Y1978" s="4">
        <v>915</v>
      </c>
      <c r="Z1978" s="4">
        <v>744</v>
      </c>
      <c r="AA1978" s="4">
        <v>758</v>
      </c>
      <c r="AB1978" s="4">
        <v>4</v>
      </c>
      <c r="AC1978" s="4">
        <v>4</v>
      </c>
      <c r="AD1978" s="4">
        <v>36</v>
      </c>
      <c r="AE1978" s="4">
        <v>36</v>
      </c>
      <c r="AF1978" s="4">
        <v>12</v>
      </c>
      <c r="AG1978" s="4">
        <v>12</v>
      </c>
      <c r="AH1978" s="4">
        <v>10</v>
      </c>
      <c r="AI1978" s="4">
        <v>10</v>
      </c>
      <c r="AJ1978" s="4">
        <v>21</v>
      </c>
      <c r="AK1978" s="4">
        <v>21</v>
      </c>
      <c r="AL1978" s="4">
        <v>3</v>
      </c>
      <c r="AM1978" s="4">
        <v>3</v>
      </c>
      <c r="AN1978" s="4">
        <v>0</v>
      </c>
      <c r="AO1978" s="4">
        <v>0</v>
      </c>
      <c r="AP1978" s="3" t="s">
        <v>58</v>
      </c>
      <c r="AQ1978" s="3" t="s">
        <v>68</v>
      </c>
      <c r="AR1978" s="6" t="str">
        <f>HYPERLINK("http://catalog.hathitrust.org/Record/000005763","HathiTrust Record")</f>
        <v>HathiTrust Record</v>
      </c>
      <c r="AS1978" s="6" t="str">
        <f>HYPERLINK("https://creighton-primo.hosted.exlibrisgroup.com/primo-explore/search?tab=default_tab&amp;search_scope=EVERYTHING&amp;vid=01CRU&amp;lang=en_US&amp;offset=0&amp;query=any,contains,991002332749702656","Catalog Record")</f>
        <v>Catalog Record</v>
      </c>
      <c r="AT1978" s="6" t="str">
        <f>HYPERLINK("http://www.worldcat.org/oclc/322527","WorldCat Record")</f>
        <v>WorldCat Record</v>
      </c>
      <c r="AU1978" s="3" t="s">
        <v>24175</v>
      </c>
      <c r="AV1978" s="3" t="s">
        <v>24176</v>
      </c>
      <c r="AW1978" s="3" t="s">
        <v>24177</v>
      </c>
      <c r="AX1978" s="3" t="s">
        <v>24177</v>
      </c>
      <c r="AY1978" s="3" t="s">
        <v>24178</v>
      </c>
      <c r="AZ1978" s="3" t="s">
        <v>73</v>
      </c>
      <c r="BB1978" s="3" t="s">
        <v>24179</v>
      </c>
      <c r="BC1978" s="3" t="s">
        <v>24180</v>
      </c>
      <c r="BD1978" s="3" t="s">
        <v>24181</v>
      </c>
    </row>
    <row r="1979" spans="1:56" ht="51" customHeight="1" x14ac:dyDescent="0.25">
      <c r="A1979" s="7" t="s">
        <v>58</v>
      </c>
      <c r="B1979" s="2" t="s">
        <v>24182</v>
      </c>
      <c r="C1979" s="2" t="s">
        <v>24183</v>
      </c>
      <c r="D1979" s="2" t="s">
        <v>24184</v>
      </c>
      <c r="F1979" s="3" t="s">
        <v>58</v>
      </c>
      <c r="G1979" s="3" t="s">
        <v>59</v>
      </c>
      <c r="H1979" s="3" t="s">
        <v>58</v>
      </c>
      <c r="I1979" s="3" t="s">
        <v>58</v>
      </c>
      <c r="J1979" s="3" t="s">
        <v>60</v>
      </c>
      <c r="K1979" s="2" t="s">
        <v>24185</v>
      </c>
      <c r="L1979" s="2" t="s">
        <v>24186</v>
      </c>
      <c r="M1979" s="3" t="s">
        <v>183</v>
      </c>
      <c r="O1979" s="3" t="s">
        <v>63</v>
      </c>
      <c r="P1979" s="3" t="s">
        <v>1837</v>
      </c>
      <c r="Q1979" s="2" t="s">
        <v>24187</v>
      </c>
      <c r="R1979" s="3" t="s">
        <v>65</v>
      </c>
      <c r="S1979" s="4">
        <v>3</v>
      </c>
      <c r="T1979" s="4">
        <v>3</v>
      </c>
      <c r="U1979" s="5" t="s">
        <v>4647</v>
      </c>
      <c r="V1979" s="5" t="s">
        <v>4647</v>
      </c>
      <c r="W1979" s="5" t="s">
        <v>24038</v>
      </c>
      <c r="X1979" s="5" t="s">
        <v>24038</v>
      </c>
      <c r="Y1979" s="4">
        <v>300</v>
      </c>
      <c r="Z1979" s="4">
        <v>263</v>
      </c>
      <c r="AA1979" s="4">
        <v>269</v>
      </c>
      <c r="AB1979" s="4">
        <v>3</v>
      </c>
      <c r="AC1979" s="4">
        <v>3</v>
      </c>
      <c r="AD1979" s="4">
        <v>14</v>
      </c>
      <c r="AE1979" s="4">
        <v>14</v>
      </c>
      <c r="AF1979" s="4">
        <v>3</v>
      </c>
      <c r="AG1979" s="4">
        <v>3</v>
      </c>
      <c r="AH1979" s="4">
        <v>6</v>
      </c>
      <c r="AI1979" s="4">
        <v>6</v>
      </c>
      <c r="AJ1979" s="4">
        <v>9</v>
      </c>
      <c r="AK1979" s="4">
        <v>9</v>
      </c>
      <c r="AL1979" s="4">
        <v>2</v>
      </c>
      <c r="AM1979" s="4">
        <v>2</v>
      </c>
      <c r="AN1979" s="4">
        <v>0</v>
      </c>
      <c r="AO1979" s="4">
        <v>0</v>
      </c>
      <c r="AP1979" s="3" t="s">
        <v>58</v>
      </c>
      <c r="AQ1979" s="3" t="s">
        <v>68</v>
      </c>
      <c r="AR1979" s="6" t="str">
        <f>HYPERLINK("http://catalog.hathitrust.org/Record/000177102","HathiTrust Record")</f>
        <v>HathiTrust Record</v>
      </c>
      <c r="AS1979" s="6" t="str">
        <f>HYPERLINK("https://creighton-primo.hosted.exlibrisgroup.com/primo-explore/search?tab=default_tab&amp;search_scope=EVERYTHING&amp;vid=01CRU&amp;lang=en_US&amp;offset=0&amp;query=any,contains,991004569399702656","Catalog Record")</f>
        <v>Catalog Record</v>
      </c>
      <c r="AT1979" s="6" t="str">
        <f>HYPERLINK("http://www.worldcat.org/oclc/4013300","WorldCat Record")</f>
        <v>WorldCat Record</v>
      </c>
      <c r="AU1979" s="3" t="s">
        <v>24188</v>
      </c>
      <c r="AV1979" s="3" t="s">
        <v>24189</v>
      </c>
      <c r="AW1979" s="3" t="s">
        <v>24190</v>
      </c>
      <c r="AX1979" s="3" t="s">
        <v>24190</v>
      </c>
      <c r="AY1979" s="3" t="s">
        <v>24191</v>
      </c>
      <c r="AZ1979" s="3" t="s">
        <v>73</v>
      </c>
      <c r="BB1979" s="3" t="s">
        <v>24192</v>
      </c>
      <c r="BC1979" s="3" t="s">
        <v>24193</v>
      </c>
      <c r="BD1979" s="3" t="s">
        <v>24194</v>
      </c>
    </row>
    <row r="1980" spans="1:56" ht="51" customHeight="1" x14ac:dyDescent="0.25">
      <c r="A1980" s="7" t="s">
        <v>58</v>
      </c>
      <c r="B1980" s="2" t="s">
        <v>24195</v>
      </c>
      <c r="C1980" s="2" t="s">
        <v>24196</v>
      </c>
      <c r="D1980" s="2" t="s">
        <v>24197</v>
      </c>
      <c r="E1980" s="3" t="s">
        <v>279</v>
      </c>
      <c r="F1980" s="3" t="s">
        <v>68</v>
      </c>
      <c r="G1980" s="3" t="s">
        <v>59</v>
      </c>
      <c r="H1980" s="3" t="s">
        <v>58</v>
      </c>
      <c r="I1980" s="3" t="s">
        <v>58</v>
      </c>
      <c r="J1980" s="3" t="s">
        <v>60</v>
      </c>
      <c r="K1980" s="2" t="s">
        <v>24198</v>
      </c>
      <c r="L1980" s="2" t="s">
        <v>24199</v>
      </c>
      <c r="M1980" s="3" t="s">
        <v>24200</v>
      </c>
      <c r="O1980" s="3" t="s">
        <v>63</v>
      </c>
      <c r="P1980" s="3" t="s">
        <v>584</v>
      </c>
      <c r="R1980" s="3" t="s">
        <v>65</v>
      </c>
      <c r="S1980" s="4">
        <v>2</v>
      </c>
      <c r="T1980" s="4">
        <v>6</v>
      </c>
      <c r="U1980" s="5" t="s">
        <v>24201</v>
      </c>
      <c r="V1980" s="5" t="s">
        <v>24201</v>
      </c>
      <c r="W1980" s="5" t="s">
        <v>16411</v>
      </c>
      <c r="X1980" s="5" t="s">
        <v>16411</v>
      </c>
      <c r="Y1980" s="4">
        <v>302</v>
      </c>
      <c r="Z1980" s="4">
        <v>247</v>
      </c>
      <c r="AA1980" s="4">
        <v>537</v>
      </c>
      <c r="AB1980" s="4">
        <v>2</v>
      </c>
      <c r="AC1980" s="4">
        <v>5</v>
      </c>
      <c r="AD1980" s="4">
        <v>8</v>
      </c>
      <c r="AE1980" s="4">
        <v>24</v>
      </c>
      <c r="AF1980" s="4">
        <v>4</v>
      </c>
      <c r="AG1980" s="4">
        <v>8</v>
      </c>
      <c r="AH1980" s="4">
        <v>2</v>
      </c>
      <c r="AI1980" s="4">
        <v>6</v>
      </c>
      <c r="AJ1980" s="4">
        <v>3</v>
      </c>
      <c r="AK1980" s="4">
        <v>11</v>
      </c>
      <c r="AL1980" s="4">
        <v>1</v>
      </c>
      <c r="AM1980" s="4">
        <v>3</v>
      </c>
      <c r="AN1980" s="4">
        <v>0</v>
      </c>
      <c r="AO1980" s="4">
        <v>2</v>
      </c>
      <c r="AP1980" s="3" t="s">
        <v>68</v>
      </c>
      <c r="AQ1980" s="3" t="s">
        <v>58</v>
      </c>
      <c r="AR1980" s="6" t="str">
        <f>HYPERLINK("http://catalog.hathitrust.org/Record/001257728","HathiTrust Record")</f>
        <v>HathiTrust Record</v>
      </c>
      <c r="AS1980" s="6" t="str">
        <f>HYPERLINK("https://creighton-primo.hosted.exlibrisgroup.com/primo-explore/search?tab=default_tab&amp;search_scope=EVERYTHING&amp;vid=01CRU&amp;lang=en_US&amp;offset=0&amp;query=any,contains,991004242619702656","Catalog Record")</f>
        <v>Catalog Record</v>
      </c>
      <c r="AT1980" s="6" t="str">
        <f>HYPERLINK("http://www.worldcat.org/oclc/2792331","WorldCat Record")</f>
        <v>WorldCat Record</v>
      </c>
      <c r="AU1980" s="3" t="s">
        <v>24202</v>
      </c>
      <c r="AV1980" s="3" t="s">
        <v>24203</v>
      </c>
      <c r="AW1980" s="3" t="s">
        <v>24204</v>
      </c>
      <c r="AX1980" s="3" t="s">
        <v>24204</v>
      </c>
      <c r="AY1980" s="3" t="s">
        <v>24205</v>
      </c>
      <c r="AZ1980" s="3" t="s">
        <v>73</v>
      </c>
      <c r="BC1980" s="3" t="s">
        <v>24206</v>
      </c>
      <c r="BD1980" s="3" t="s">
        <v>24207</v>
      </c>
    </row>
    <row r="1981" spans="1:56" ht="51" customHeight="1" x14ac:dyDescent="0.25">
      <c r="A1981" s="7" t="s">
        <v>58</v>
      </c>
      <c r="B1981" s="2" t="s">
        <v>24195</v>
      </c>
      <c r="C1981" s="2" t="s">
        <v>24196</v>
      </c>
      <c r="D1981" s="2" t="s">
        <v>24197</v>
      </c>
      <c r="E1981" s="3" t="s">
        <v>210</v>
      </c>
      <c r="F1981" s="3" t="s">
        <v>68</v>
      </c>
      <c r="G1981" s="3" t="s">
        <v>59</v>
      </c>
      <c r="H1981" s="3" t="s">
        <v>58</v>
      </c>
      <c r="I1981" s="3" t="s">
        <v>58</v>
      </c>
      <c r="J1981" s="3" t="s">
        <v>60</v>
      </c>
      <c r="K1981" s="2" t="s">
        <v>24198</v>
      </c>
      <c r="L1981" s="2" t="s">
        <v>24199</v>
      </c>
      <c r="M1981" s="3" t="s">
        <v>24200</v>
      </c>
      <c r="O1981" s="3" t="s">
        <v>63</v>
      </c>
      <c r="P1981" s="3" t="s">
        <v>584</v>
      </c>
      <c r="R1981" s="3" t="s">
        <v>65</v>
      </c>
      <c r="S1981" s="4">
        <v>2</v>
      </c>
      <c r="T1981" s="4">
        <v>6</v>
      </c>
      <c r="U1981" s="5" t="s">
        <v>24201</v>
      </c>
      <c r="V1981" s="5" t="s">
        <v>24201</v>
      </c>
      <c r="W1981" s="5" t="s">
        <v>16411</v>
      </c>
      <c r="X1981" s="5" t="s">
        <v>16411</v>
      </c>
      <c r="Y1981" s="4">
        <v>302</v>
      </c>
      <c r="Z1981" s="4">
        <v>247</v>
      </c>
      <c r="AA1981" s="4">
        <v>537</v>
      </c>
      <c r="AB1981" s="4">
        <v>2</v>
      </c>
      <c r="AC1981" s="4">
        <v>5</v>
      </c>
      <c r="AD1981" s="4">
        <v>8</v>
      </c>
      <c r="AE1981" s="4">
        <v>24</v>
      </c>
      <c r="AF1981" s="4">
        <v>4</v>
      </c>
      <c r="AG1981" s="4">
        <v>8</v>
      </c>
      <c r="AH1981" s="4">
        <v>2</v>
      </c>
      <c r="AI1981" s="4">
        <v>6</v>
      </c>
      <c r="AJ1981" s="4">
        <v>3</v>
      </c>
      <c r="AK1981" s="4">
        <v>11</v>
      </c>
      <c r="AL1981" s="4">
        <v>1</v>
      </c>
      <c r="AM1981" s="4">
        <v>3</v>
      </c>
      <c r="AN1981" s="4">
        <v>0</v>
      </c>
      <c r="AO1981" s="4">
        <v>2</v>
      </c>
      <c r="AP1981" s="3" t="s">
        <v>68</v>
      </c>
      <c r="AQ1981" s="3" t="s">
        <v>58</v>
      </c>
      <c r="AR1981" s="6" t="str">
        <f>HYPERLINK("http://catalog.hathitrust.org/Record/001257728","HathiTrust Record")</f>
        <v>HathiTrust Record</v>
      </c>
      <c r="AS1981" s="6" t="str">
        <f>HYPERLINK("https://creighton-primo.hosted.exlibrisgroup.com/primo-explore/search?tab=default_tab&amp;search_scope=EVERYTHING&amp;vid=01CRU&amp;lang=en_US&amp;offset=0&amp;query=any,contains,991004242619702656","Catalog Record")</f>
        <v>Catalog Record</v>
      </c>
      <c r="AT1981" s="6" t="str">
        <f>HYPERLINK("http://www.worldcat.org/oclc/2792331","WorldCat Record")</f>
        <v>WorldCat Record</v>
      </c>
      <c r="AU1981" s="3" t="s">
        <v>24202</v>
      </c>
      <c r="AV1981" s="3" t="s">
        <v>24203</v>
      </c>
      <c r="AW1981" s="3" t="s">
        <v>24204</v>
      </c>
      <c r="AX1981" s="3" t="s">
        <v>24204</v>
      </c>
      <c r="AY1981" s="3" t="s">
        <v>24205</v>
      </c>
      <c r="AZ1981" s="3" t="s">
        <v>73</v>
      </c>
      <c r="BC1981" s="3" t="s">
        <v>24208</v>
      </c>
      <c r="BD1981" s="3" t="s">
        <v>24209</v>
      </c>
    </row>
    <row r="1982" spans="1:56" ht="51" customHeight="1" x14ac:dyDescent="0.25">
      <c r="A1982" s="7" t="s">
        <v>58</v>
      </c>
      <c r="B1982" s="2" t="s">
        <v>24195</v>
      </c>
      <c r="C1982" s="2" t="s">
        <v>24196</v>
      </c>
      <c r="D1982" s="2" t="s">
        <v>24197</v>
      </c>
      <c r="E1982" s="3" t="s">
        <v>223</v>
      </c>
      <c r="F1982" s="3" t="s">
        <v>68</v>
      </c>
      <c r="G1982" s="3" t="s">
        <v>59</v>
      </c>
      <c r="H1982" s="3" t="s">
        <v>58</v>
      </c>
      <c r="I1982" s="3" t="s">
        <v>58</v>
      </c>
      <c r="J1982" s="3" t="s">
        <v>60</v>
      </c>
      <c r="K1982" s="2" t="s">
        <v>24198</v>
      </c>
      <c r="L1982" s="2" t="s">
        <v>24199</v>
      </c>
      <c r="M1982" s="3" t="s">
        <v>24200</v>
      </c>
      <c r="O1982" s="3" t="s">
        <v>63</v>
      </c>
      <c r="P1982" s="3" t="s">
        <v>584</v>
      </c>
      <c r="R1982" s="3" t="s">
        <v>65</v>
      </c>
      <c r="S1982" s="4">
        <v>2</v>
      </c>
      <c r="T1982" s="4">
        <v>6</v>
      </c>
      <c r="U1982" s="5" t="s">
        <v>24201</v>
      </c>
      <c r="V1982" s="5" t="s">
        <v>24201</v>
      </c>
      <c r="W1982" s="5" t="s">
        <v>16411</v>
      </c>
      <c r="X1982" s="5" t="s">
        <v>16411</v>
      </c>
      <c r="Y1982" s="4">
        <v>302</v>
      </c>
      <c r="Z1982" s="4">
        <v>247</v>
      </c>
      <c r="AA1982" s="4">
        <v>537</v>
      </c>
      <c r="AB1982" s="4">
        <v>2</v>
      </c>
      <c r="AC1982" s="4">
        <v>5</v>
      </c>
      <c r="AD1982" s="4">
        <v>8</v>
      </c>
      <c r="AE1982" s="4">
        <v>24</v>
      </c>
      <c r="AF1982" s="4">
        <v>4</v>
      </c>
      <c r="AG1982" s="4">
        <v>8</v>
      </c>
      <c r="AH1982" s="4">
        <v>2</v>
      </c>
      <c r="AI1982" s="4">
        <v>6</v>
      </c>
      <c r="AJ1982" s="4">
        <v>3</v>
      </c>
      <c r="AK1982" s="4">
        <v>11</v>
      </c>
      <c r="AL1982" s="4">
        <v>1</v>
      </c>
      <c r="AM1982" s="4">
        <v>3</v>
      </c>
      <c r="AN1982" s="4">
        <v>0</v>
      </c>
      <c r="AO1982" s="4">
        <v>2</v>
      </c>
      <c r="AP1982" s="3" t="s">
        <v>68</v>
      </c>
      <c r="AQ1982" s="3" t="s">
        <v>58</v>
      </c>
      <c r="AR1982" s="6" t="str">
        <f>HYPERLINK("http://catalog.hathitrust.org/Record/001257728","HathiTrust Record")</f>
        <v>HathiTrust Record</v>
      </c>
      <c r="AS1982" s="6" t="str">
        <f>HYPERLINK("https://creighton-primo.hosted.exlibrisgroup.com/primo-explore/search?tab=default_tab&amp;search_scope=EVERYTHING&amp;vid=01CRU&amp;lang=en_US&amp;offset=0&amp;query=any,contains,991004242619702656","Catalog Record")</f>
        <v>Catalog Record</v>
      </c>
      <c r="AT1982" s="6" t="str">
        <f>HYPERLINK("http://www.worldcat.org/oclc/2792331","WorldCat Record")</f>
        <v>WorldCat Record</v>
      </c>
      <c r="AU1982" s="3" t="s">
        <v>24202</v>
      </c>
      <c r="AV1982" s="3" t="s">
        <v>24203</v>
      </c>
      <c r="AW1982" s="3" t="s">
        <v>24204</v>
      </c>
      <c r="AX1982" s="3" t="s">
        <v>24204</v>
      </c>
      <c r="AY1982" s="3" t="s">
        <v>24205</v>
      </c>
      <c r="AZ1982" s="3" t="s">
        <v>73</v>
      </c>
      <c r="BC1982" s="3" t="s">
        <v>24210</v>
      </c>
      <c r="BD1982" s="3" t="s">
        <v>24211</v>
      </c>
    </row>
    <row r="1983" spans="1:56" ht="51" customHeight="1" x14ac:dyDescent="0.25">
      <c r="A1983" s="7" t="s">
        <v>58</v>
      </c>
      <c r="B1983" s="2" t="s">
        <v>24212</v>
      </c>
      <c r="C1983" s="2" t="s">
        <v>24213</v>
      </c>
      <c r="D1983" s="2" t="s">
        <v>24214</v>
      </c>
      <c r="F1983" s="3" t="s">
        <v>58</v>
      </c>
      <c r="G1983" s="3" t="s">
        <v>59</v>
      </c>
      <c r="H1983" s="3" t="s">
        <v>58</v>
      </c>
      <c r="I1983" s="3" t="s">
        <v>58</v>
      </c>
      <c r="J1983" s="3" t="s">
        <v>60</v>
      </c>
      <c r="K1983" s="2" t="s">
        <v>24215</v>
      </c>
      <c r="L1983" s="2" t="s">
        <v>24216</v>
      </c>
      <c r="M1983" s="3" t="s">
        <v>951</v>
      </c>
      <c r="O1983" s="3" t="s">
        <v>63</v>
      </c>
      <c r="P1983" s="3" t="s">
        <v>2061</v>
      </c>
      <c r="R1983" s="3" t="s">
        <v>65</v>
      </c>
      <c r="S1983" s="4">
        <v>4</v>
      </c>
      <c r="T1983" s="4">
        <v>4</v>
      </c>
      <c r="U1983" s="5" t="s">
        <v>24217</v>
      </c>
      <c r="V1983" s="5" t="s">
        <v>24217</v>
      </c>
      <c r="W1983" s="5" t="s">
        <v>20647</v>
      </c>
      <c r="X1983" s="5" t="s">
        <v>20647</v>
      </c>
      <c r="Y1983" s="4">
        <v>363</v>
      </c>
      <c r="Z1983" s="4">
        <v>320</v>
      </c>
      <c r="AA1983" s="4">
        <v>334</v>
      </c>
      <c r="AB1983" s="4">
        <v>6</v>
      </c>
      <c r="AC1983" s="4">
        <v>6</v>
      </c>
      <c r="AD1983" s="4">
        <v>15</v>
      </c>
      <c r="AE1983" s="4">
        <v>16</v>
      </c>
      <c r="AF1983" s="4">
        <v>5</v>
      </c>
      <c r="AG1983" s="4">
        <v>5</v>
      </c>
      <c r="AH1983" s="4">
        <v>5</v>
      </c>
      <c r="AI1983" s="4">
        <v>5</v>
      </c>
      <c r="AJ1983" s="4">
        <v>8</v>
      </c>
      <c r="AK1983" s="4">
        <v>9</v>
      </c>
      <c r="AL1983" s="4">
        <v>2</v>
      </c>
      <c r="AM1983" s="4">
        <v>2</v>
      </c>
      <c r="AN1983" s="4">
        <v>0</v>
      </c>
      <c r="AO1983" s="4">
        <v>0</v>
      </c>
      <c r="AP1983" s="3" t="s">
        <v>58</v>
      </c>
      <c r="AQ1983" s="3" t="s">
        <v>68</v>
      </c>
      <c r="AR1983" s="6" t="str">
        <f>HYPERLINK("http://catalog.hathitrust.org/Record/004114447","HathiTrust Record")</f>
        <v>HathiTrust Record</v>
      </c>
      <c r="AS1983" s="6" t="str">
        <f>HYPERLINK("https://creighton-primo.hosted.exlibrisgroup.com/primo-explore/search?tab=default_tab&amp;search_scope=EVERYTHING&amp;vid=01CRU&amp;lang=en_US&amp;offset=0&amp;query=any,contains,991003729879702656","Catalog Record")</f>
        <v>Catalog Record</v>
      </c>
      <c r="AT1983" s="6" t="str">
        <f>HYPERLINK("http://www.worldcat.org/oclc/43615718","WorldCat Record")</f>
        <v>WorldCat Record</v>
      </c>
      <c r="AU1983" s="3" t="s">
        <v>24218</v>
      </c>
      <c r="AV1983" s="3" t="s">
        <v>24219</v>
      </c>
      <c r="AW1983" s="3" t="s">
        <v>24220</v>
      </c>
      <c r="AX1983" s="3" t="s">
        <v>24220</v>
      </c>
      <c r="AY1983" s="3" t="s">
        <v>24221</v>
      </c>
      <c r="AZ1983" s="3" t="s">
        <v>73</v>
      </c>
      <c r="BB1983" s="3" t="s">
        <v>24222</v>
      </c>
      <c r="BC1983" s="3" t="s">
        <v>24223</v>
      </c>
      <c r="BD1983" s="3" t="s">
        <v>24224</v>
      </c>
    </row>
    <row r="1984" spans="1:56" ht="51" customHeight="1" x14ac:dyDescent="0.25">
      <c r="A1984" s="7" t="s">
        <v>58</v>
      </c>
      <c r="B1984" s="2" t="s">
        <v>24225</v>
      </c>
      <c r="C1984" s="2" t="s">
        <v>24226</v>
      </c>
      <c r="D1984" s="2" t="s">
        <v>24227</v>
      </c>
      <c r="F1984" s="3" t="s">
        <v>58</v>
      </c>
      <c r="G1984" s="3" t="s">
        <v>59</v>
      </c>
      <c r="H1984" s="3" t="s">
        <v>58</v>
      </c>
      <c r="I1984" s="3" t="s">
        <v>58</v>
      </c>
      <c r="J1984" s="3" t="s">
        <v>60</v>
      </c>
      <c r="K1984" s="2" t="s">
        <v>24228</v>
      </c>
      <c r="L1984" s="2" t="s">
        <v>24229</v>
      </c>
      <c r="M1984" s="3" t="s">
        <v>538</v>
      </c>
      <c r="N1984" s="2" t="s">
        <v>1470</v>
      </c>
      <c r="O1984" s="3" t="s">
        <v>63</v>
      </c>
      <c r="P1984" s="3" t="s">
        <v>816</v>
      </c>
      <c r="R1984" s="3" t="s">
        <v>65</v>
      </c>
      <c r="S1984" s="4">
        <v>2</v>
      </c>
      <c r="T1984" s="4">
        <v>2</v>
      </c>
      <c r="U1984" s="5" t="s">
        <v>24230</v>
      </c>
      <c r="V1984" s="5" t="s">
        <v>24230</v>
      </c>
      <c r="W1984" s="5" t="s">
        <v>23355</v>
      </c>
      <c r="X1984" s="5" t="s">
        <v>23355</v>
      </c>
      <c r="Y1984" s="4">
        <v>865</v>
      </c>
      <c r="Z1984" s="4">
        <v>766</v>
      </c>
      <c r="AA1984" s="4">
        <v>958</v>
      </c>
      <c r="AB1984" s="4">
        <v>6</v>
      </c>
      <c r="AC1984" s="4">
        <v>8</v>
      </c>
      <c r="AD1984" s="4">
        <v>37</v>
      </c>
      <c r="AE1984" s="4">
        <v>45</v>
      </c>
      <c r="AF1984" s="4">
        <v>15</v>
      </c>
      <c r="AG1984" s="4">
        <v>19</v>
      </c>
      <c r="AH1984" s="4">
        <v>8</v>
      </c>
      <c r="AI1984" s="4">
        <v>9</v>
      </c>
      <c r="AJ1984" s="4">
        <v>16</v>
      </c>
      <c r="AK1984" s="4">
        <v>21</v>
      </c>
      <c r="AL1984" s="4">
        <v>5</v>
      </c>
      <c r="AM1984" s="4">
        <v>7</v>
      </c>
      <c r="AN1984" s="4">
        <v>0</v>
      </c>
      <c r="AO1984" s="4">
        <v>0</v>
      </c>
      <c r="AP1984" s="3" t="s">
        <v>58</v>
      </c>
      <c r="AQ1984" s="3" t="s">
        <v>68</v>
      </c>
      <c r="AR1984" s="6" t="str">
        <f>HYPERLINK("http://catalog.hathitrust.org/Record/001257787","HathiTrust Record")</f>
        <v>HathiTrust Record</v>
      </c>
      <c r="AS1984" s="6" t="str">
        <f>HYPERLINK("https://creighton-primo.hosted.exlibrisgroup.com/primo-explore/search?tab=default_tab&amp;search_scope=EVERYTHING&amp;vid=01CRU&amp;lang=en_US&amp;offset=0&amp;query=any,contains,991005436519702656","Catalog Record")</f>
        <v>Catalog Record</v>
      </c>
      <c r="AT1984" s="6" t="str">
        <f>HYPERLINK("http://www.worldcat.org/oclc/4518","WorldCat Record")</f>
        <v>WorldCat Record</v>
      </c>
      <c r="AU1984" s="3" t="s">
        <v>24231</v>
      </c>
      <c r="AV1984" s="3" t="s">
        <v>24232</v>
      </c>
      <c r="AW1984" s="3" t="s">
        <v>24233</v>
      </c>
      <c r="AX1984" s="3" t="s">
        <v>24233</v>
      </c>
      <c r="AY1984" s="3" t="s">
        <v>24234</v>
      </c>
      <c r="AZ1984" s="3" t="s">
        <v>73</v>
      </c>
      <c r="BC1984" s="3" t="s">
        <v>24235</v>
      </c>
      <c r="BD1984" s="3" t="s">
        <v>24236</v>
      </c>
    </row>
    <row r="1985" spans="1:56" ht="51" customHeight="1" x14ac:dyDescent="0.25">
      <c r="A1985" s="7" t="s">
        <v>58</v>
      </c>
      <c r="B1985" s="2" t="s">
        <v>24237</v>
      </c>
      <c r="C1985" s="2" t="s">
        <v>24238</v>
      </c>
      <c r="D1985" s="2" t="s">
        <v>24239</v>
      </c>
      <c r="F1985" s="3" t="s">
        <v>58</v>
      </c>
      <c r="G1985" s="3" t="s">
        <v>59</v>
      </c>
      <c r="H1985" s="3" t="s">
        <v>58</v>
      </c>
      <c r="I1985" s="3" t="s">
        <v>58</v>
      </c>
      <c r="J1985" s="3" t="s">
        <v>60</v>
      </c>
      <c r="K1985" s="2" t="s">
        <v>24240</v>
      </c>
      <c r="L1985" s="2" t="s">
        <v>24241</v>
      </c>
      <c r="M1985" s="3" t="s">
        <v>1357</v>
      </c>
      <c r="O1985" s="3" t="s">
        <v>63</v>
      </c>
      <c r="P1985" s="3" t="s">
        <v>214</v>
      </c>
      <c r="R1985" s="3" t="s">
        <v>65</v>
      </c>
      <c r="S1985" s="4">
        <v>6</v>
      </c>
      <c r="T1985" s="4">
        <v>6</v>
      </c>
      <c r="U1985" s="5" t="s">
        <v>16736</v>
      </c>
      <c r="V1985" s="5" t="s">
        <v>16736</v>
      </c>
      <c r="W1985" s="5" t="s">
        <v>18044</v>
      </c>
      <c r="X1985" s="5" t="s">
        <v>18044</v>
      </c>
      <c r="Y1985" s="4">
        <v>428</v>
      </c>
      <c r="Z1985" s="4">
        <v>347</v>
      </c>
      <c r="AA1985" s="4">
        <v>349</v>
      </c>
      <c r="AB1985" s="4">
        <v>4</v>
      </c>
      <c r="AC1985" s="4">
        <v>4</v>
      </c>
      <c r="AD1985" s="4">
        <v>19</v>
      </c>
      <c r="AE1985" s="4">
        <v>19</v>
      </c>
      <c r="AF1985" s="4">
        <v>2</v>
      </c>
      <c r="AG1985" s="4">
        <v>2</v>
      </c>
      <c r="AH1985" s="4">
        <v>3</v>
      </c>
      <c r="AI1985" s="4">
        <v>3</v>
      </c>
      <c r="AJ1985" s="4">
        <v>6</v>
      </c>
      <c r="AK1985" s="4">
        <v>6</v>
      </c>
      <c r="AL1985" s="4">
        <v>3</v>
      </c>
      <c r="AM1985" s="4">
        <v>3</v>
      </c>
      <c r="AN1985" s="4">
        <v>6</v>
      </c>
      <c r="AO1985" s="4">
        <v>6</v>
      </c>
      <c r="AP1985" s="3" t="s">
        <v>58</v>
      </c>
      <c r="AQ1985" s="3" t="s">
        <v>68</v>
      </c>
      <c r="AR1985" s="6" t="str">
        <f>HYPERLINK("http://catalog.hathitrust.org/Record/001257790","HathiTrust Record")</f>
        <v>HathiTrust Record</v>
      </c>
      <c r="AS1985" s="6" t="str">
        <f>HYPERLINK("https://creighton-primo.hosted.exlibrisgroup.com/primo-explore/search?tab=default_tab&amp;search_scope=EVERYTHING&amp;vid=01CRU&amp;lang=en_US&amp;offset=0&amp;query=any,contains,991000644269702656","Catalog Record")</f>
        <v>Catalog Record</v>
      </c>
      <c r="AT1985" s="6" t="str">
        <f>HYPERLINK("http://www.worldcat.org/oclc/110528","WorldCat Record")</f>
        <v>WorldCat Record</v>
      </c>
      <c r="AU1985" s="3" t="s">
        <v>24242</v>
      </c>
      <c r="AV1985" s="3" t="s">
        <v>24243</v>
      </c>
      <c r="AW1985" s="3" t="s">
        <v>24244</v>
      </c>
      <c r="AX1985" s="3" t="s">
        <v>24244</v>
      </c>
      <c r="AY1985" s="3" t="s">
        <v>24245</v>
      </c>
      <c r="AZ1985" s="3" t="s">
        <v>73</v>
      </c>
      <c r="BB1985" s="3" t="s">
        <v>24246</v>
      </c>
      <c r="BC1985" s="3" t="s">
        <v>24247</v>
      </c>
      <c r="BD1985" s="3" t="s">
        <v>24248</v>
      </c>
    </row>
    <row r="1986" spans="1:56" ht="51" customHeight="1" x14ac:dyDescent="0.25">
      <c r="A1986" s="7" t="s">
        <v>58</v>
      </c>
      <c r="B1986" s="2" t="s">
        <v>24249</v>
      </c>
      <c r="C1986" s="2" t="s">
        <v>24250</v>
      </c>
      <c r="D1986" s="2" t="s">
        <v>24251</v>
      </c>
      <c r="F1986" s="3" t="s">
        <v>58</v>
      </c>
      <c r="G1986" s="3" t="s">
        <v>59</v>
      </c>
      <c r="H1986" s="3" t="s">
        <v>58</v>
      </c>
      <c r="I1986" s="3" t="s">
        <v>58</v>
      </c>
      <c r="J1986" s="3" t="s">
        <v>60</v>
      </c>
      <c r="K1986" s="2" t="s">
        <v>24252</v>
      </c>
      <c r="L1986" s="2" t="s">
        <v>24253</v>
      </c>
      <c r="M1986" s="3" t="s">
        <v>2310</v>
      </c>
      <c r="O1986" s="3" t="s">
        <v>63</v>
      </c>
      <c r="P1986" s="3" t="s">
        <v>214</v>
      </c>
      <c r="R1986" s="3" t="s">
        <v>65</v>
      </c>
      <c r="S1986" s="4">
        <v>1</v>
      </c>
      <c r="T1986" s="4">
        <v>1</v>
      </c>
      <c r="U1986" s="5" t="s">
        <v>24254</v>
      </c>
      <c r="V1986" s="5" t="s">
        <v>24254</v>
      </c>
      <c r="W1986" s="5" t="s">
        <v>24254</v>
      </c>
      <c r="X1986" s="5" t="s">
        <v>24254</v>
      </c>
      <c r="Y1986" s="4">
        <v>302</v>
      </c>
      <c r="Z1986" s="4">
        <v>243</v>
      </c>
      <c r="AA1986" s="4">
        <v>244</v>
      </c>
      <c r="AB1986" s="4">
        <v>3</v>
      </c>
      <c r="AC1986" s="4">
        <v>3</v>
      </c>
      <c r="AD1986" s="4">
        <v>15</v>
      </c>
      <c r="AE1986" s="4">
        <v>15</v>
      </c>
      <c r="AF1986" s="4">
        <v>6</v>
      </c>
      <c r="AG1986" s="4">
        <v>6</v>
      </c>
      <c r="AH1986" s="4">
        <v>3</v>
      </c>
      <c r="AI1986" s="4">
        <v>3</v>
      </c>
      <c r="AJ1986" s="4">
        <v>8</v>
      </c>
      <c r="AK1986" s="4">
        <v>8</v>
      </c>
      <c r="AL1986" s="4">
        <v>2</v>
      </c>
      <c r="AM1986" s="4">
        <v>2</v>
      </c>
      <c r="AN1986" s="4">
        <v>0</v>
      </c>
      <c r="AO1986" s="4">
        <v>0</v>
      </c>
      <c r="AP1986" s="3" t="s">
        <v>58</v>
      </c>
      <c r="AQ1986" s="3" t="s">
        <v>58</v>
      </c>
      <c r="AS1986" s="6" t="str">
        <f>HYPERLINK("https://creighton-primo.hosted.exlibrisgroup.com/primo-explore/search?tab=default_tab&amp;search_scope=EVERYTHING&amp;vid=01CRU&amp;lang=en_US&amp;offset=0&amp;query=any,contains,991000165249702656","Catalog Record")</f>
        <v>Catalog Record</v>
      </c>
      <c r="AT1986" s="6" t="str">
        <f>HYPERLINK("http://www.worldcat.org/oclc/301798067","WorldCat Record")</f>
        <v>WorldCat Record</v>
      </c>
      <c r="AU1986" s="3" t="s">
        <v>24255</v>
      </c>
      <c r="AV1986" s="3" t="s">
        <v>24256</v>
      </c>
      <c r="AW1986" s="3" t="s">
        <v>24257</v>
      </c>
      <c r="AX1986" s="3" t="s">
        <v>24257</v>
      </c>
      <c r="AY1986" s="3" t="s">
        <v>24258</v>
      </c>
      <c r="AZ1986" s="3" t="s">
        <v>73</v>
      </c>
      <c r="BB1986" s="3" t="s">
        <v>24259</v>
      </c>
      <c r="BC1986" s="3" t="s">
        <v>24260</v>
      </c>
      <c r="BD1986" s="3" t="s">
        <v>24261</v>
      </c>
    </row>
    <row r="1987" spans="1:56" ht="51" customHeight="1" x14ac:dyDescent="0.25">
      <c r="A1987" s="7" t="s">
        <v>58</v>
      </c>
      <c r="B1987" s="2" t="s">
        <v>24262</v>
      </c>
      <c r="C1987" s="2" t="s">
        <v>24263</v>
      </c>
      <c r="D1987" s="2" t="s">
        <v>24264</v>
      </c>
      <c r="F1987" s="3" t="s">
        <v>58</v>
      </c>
      <c r="G1987" s="3" t="s">
        <v>59</v>
      </c>
      <c r="H1987" s="3" t="s">
        <v>58</v>
      </c>
      <c r="I1987" s="3" t="s">
        <v>58</v>
      </c>
      <c r="J1987" s="3" t="s">
        <v>60</v>
      </c>
      <c r="K1987" s="2" t="s">
        <v>24265</v>
      </c>
      <c r="L1987" s="2" t="s">
        <v>24266</v>
      </c>
      <c r="M1987" s="3" t="s">
        <v>1385</v>
      </c>
      <c r="O1987" s="3" t="s">
        <v>63</v>
      </c>
      <c r="P1987" s="3" t="s">
        <v>214</v>
      </c>
      <c r="R1987" s="3" t="s">
        <v>65</v>
      </c>
      <c r="S1987" s="4">
        <v>2</v>
      </c>
      <c r="T1987" s="4">
        <v>2</v>
      </c>
      <c r="U1987" s="5" t="s">
        <v>24267</v>
      </c>
      <c r="V1987" s="5" t="s">
        <v>24267</v>
      </c>
      <c r="W1987" s="5" t="s">
        <v>2034</v>
      </c>
      <c r="X1987" s="5" t="s">
        <v>2034</v>
      </c>
      <c r="Y1987" s="4">
        <v>93</v>
      </c>
      <c r="Z1987" s="4">
        <v>80</v>
      </c>
      <c r="AA1987" s="4">
        <v>315</v>
      </c>
      <c r="AB1987" s="4">
        <v>1</v>
      </c>
      <c r="AC1987" s="4">
        <v>2</v>
      </c>
      <c r="AD1987" s="4">
        <v>0</v>
      </c>
      <c r="AE1987" s="4">
        <v>15</v>
      </c>
      <c r="AF1987" s="4">
        <v>0</v>
      </c>
      <c r="AG1987" s="4">
        <v>4</v>
      </c>
      <c r="AH1987" s="4">
        <v>0</v>
      </c>
      <c r="AI1987" s="4">
        <v>6</v>
      </c>
      <c r="AJ1987" s="4">
        <v>0</v>
      </c>
      <c r="AK1987" s="4">
        <v>10</v>
      </c>
      <c r="AL1987" s="4">
        <v>0</v>
      </c>
      <c r="AM1987" s="4">
        <v>1</v>
      </c>
      <c r="AN1987" s="4">
        <v>0</v>
      </c>
      <c r="AO1987" s="4">
        <v>0</v>
      </c>
      <c r="AP1987" s="3" t="s">
        <v>58</v>
      </c>
      <c r="AQ1987" s="3" t="s">
        <v>58</v>
      </c>
      <c r="AS1987" s="6" t="str">
        <f>HYPERLINK("https://creighton-primo.hosted.exlibrisgroup.com/primo-explore/search?tab=default_tab&amp;search_scope=EVERYTHING&amp;vid=01CRU&amp;lang=en_US&amp;offset=0&amp;query=any,contains,991003343079702656","Catalog Record")</f>
        <v>Catalog Record</v>
      </c>
      <c r="AT1987" s="6" t="str">
        <f>HYPERLINK("http://www.worldcat.org/oclc/874169","WorldCat Record")</f>
        <v>WorldCat Record</v>
      </c>
      <c r="AU1987" s="3" t="s">
        <v>24268</v>
      </c>
      <c r="AV1987" s="3" t="s">
        <v>24269</v>
      </c>
      <c r="AW1987" s="3" t="s">
        <v>24270</v>
      </c>
      <c r="AX1987" s="3" t="s">
        <v>24270</v>
      </c>
      <c r="AY1987" s="3" t="s">
        <v>24271</v>
      </c>
      <c r="AZ1987" s="3" t="s">
        <v>73</v>
      </c>
      <c r="BB1987" s="3" t="s">
        <v>24272</v>
      </c>
      <c r="BC1987" s="3" t="s">
        <v>24273</v>
      </c>
      <c r="BD1987" s="3" t="s">
        <v>24274</v>
      </c>
    </row>
    <row r="1988" spans="1:56" ht="51" customHeight="1" x14ac:dyDescent="0.25">
      <c r="A1988" s="7" t="s">
        <v>58</v>
      </c>
      <c r="B1988" s="2" t="s">
        <v>24275</v>
      </c>
      <c r="C1988" s="2" t="s">
        <v>24276</v>
      </c>
      <c r="D1988" s="2" t="s">
        <v>24277</v>
      </c>
      <c r="F1988" s="3" t="s">
        <v>58</v>
      </c>
      <c r="G1988" s="3" t="s">
        <v>59</v>
      </c>
      <c r="H1988" s="3" t="s">
        <v>58</v>
      </c>
      <c r="I1988" s="3" t="s">
        <v>58</v>
      </c>
      <c r="J1988" s="3" t="s">
        <v>60</v>
      </c>
      <c r="K1988" s="2" t="s">
        <v>24278</v>
      </c>
      <c r="L1988" s="2" t="s">
        <v>4194</v>
      </c>
      <c r="M1988" s="3" t="s">
        <v>2295</v>
      </c>
      <c r="O1988" s="3" t="s">
        <v>63</v>
      </c>
      <c r="P1988" s="3" t="s">
        <v>2630</v>
      </c>
      <c r="R1988" s="3" t="s">
        <v>65</v>
      </c>
      <c r="S1988" s="4">
        <v>2</v>
      </c>
      <c r="T1988" s="4">
        <v>2</v>
      </c>
      <c r="U1988" s="5" t="s">
        <v>13840</v>
      </c>
      <c r="V1988" s="5" t="s">
        <v>13840</v>
      </c>
      <c r="W1988" s="5" t="s">
        <v>7792</v>
      </c>
      <c r="X1988" s="5" t="s">
        <v>7792</v>
      </c>
      <c r="Y1988" s="4">
        <v>368</v>
      </c>
      <c r="Z1988" s="4">
        <v>273</v>
      </c>
      <c r="AA1988" s="4">
        <v>273</v>
      </c>
      <c r="AB1988" s="4">
        <v>2</v>
      </c>
      <c r="AC1988" s="4">
        <v>2</v>
      </c>
      <c r="AD1988" s="4">
        <v>15</v>
      </c>
      <c r="AE1988" s="4">
        <v>15</v>
      </c>
      <c r="AF1988" s="4">
        <v>4</v>
      </c>
      <c r="AG1988" s="4">
        <v>4</v>
      </c>
      <c r="AH1988" s="4">
        <v>5</v>
      </c>
      <c r="AI1988" s="4">
        <v>5</v>
      </c>
      <c r="AJ1988" s="4">
        <v>8</v>
      </c>
      <c r="AK1988" s="4">
        <v>8</v>
      </c>
      <c r="AL1988" s="4">
        <v>1</v>
      </c>
      <c r="AM1988" s="4">
        <v>1</v>
      </c>
      <c r="AN1988" s="4">
        <v>0</v>
      </c>
      <c r="AO1988" s="4">
        <v>0</v>
      </c>
      <c r="AP1988" s="3" t="s">
        <v>58</v>
      </c>
      <c r="AQ1988" s="3" t="s">
        <v>58</v>
      </c>
      <c r="AS1988" s="6" t="str">
        <f>HYPERLINK("https://creighton-primo.hosted.exlibrisgroup.com/primo-explore/search?tab=default_tab&amp;search_scope=EVERYTHING&amp;vid=01CRU&amp;lang=en_US&amp;offset=0&amp;query=any,contains,991004461859702656","Catalog Record")</f>
        <v>Catalog Record</v>
      </c>
      <c r="AT1988" s="6" t="str">
        <f>HYPERLINK("http://www.worldcat.org/oclc/51518378","WorldCat Record")</f>
        <v>WorldCat Record</v>
      </c>
      <c r="AU1988" s="3" t="s">
        <v>24279</v>
      </c>
      <c r="AV1988" s="3" t="s">
        <v>24280</v>
      </c>
      <c r="AW1988" s="3" t="s">
        <v>24281</v>
      </c>
      <c r="AX1988" s="3" t="s">
        <v>24281</v>
      </c>
      <c r="AY1988" s="3" t="s">
        <v>24282</v>
      </c>
      <c r="AZ1988" s="3" t="s">
        <v>73</v>
      </c>
      <c r="BB1988" s="3" t="s">
        <v>24283</v>
      </c>
      <c r="BC1988" s="3" t="s">
        <v>24284</v>
      </c>
      <c r="BD1988" s="3" t="s">
        <v>24285</v>
      </c>
    </row>
    <row r="1989" spans="1:56" ht="51" customHeight="1" x14ac:dyDescent="0.25">
      <c r="A1989" s="7" t="s">
        <v>58</v>
      </c>
      <c r="B1989" s="2" t="s">
        <v>24286</v>
      </c>
      <c r="C1989" s="2" t="s">
        <v>24287</v>
      </c>
      <c r="D1989" s="2" t="s">
        <v>24288</v>
      </c>
      <c r="F1989" s="3" t="s">
        <v>58</v>
      </c>
      <c r="G1989" s="3" t="s">
        <v>59</v>
      </c>
      <c r="H1989" s="3" t="s">
        <v>58</v>
      </c>
      <c r="I1989" s="3" t="s">
        <v>58</v>
      </c>
      <c r="J1989" s="3" t="s">
        <v>60</v>
      </c>
      <c r="L1989" s="2" t="s">
        <v>24289</v>
      </c>
      <c r="M1989" s="3" t="s">
        <v>83</v>
      </c>
      <c r="O1989" s="3" t="s">
        <v>63</v>
      </c>
      <c r="P1989" s="3" t="s">
        <v>2061</v>
      </c>
      <c r="R1989" s="3" t="s">
        <v>65</v>
      </c>
      <c r="S1989" s="4">
        <v>2</v>
      </c>
      <c r="T1989" s="4">
        <v>2</v>
      </c>
      <c r="U1989" s="5" t="s">
        <v>24290</v>
      </c>
      <c r="V1989" s="5" t="s">
        <v>24290</v>
      </c>
      <c r="W1989" s="5" t="s">
        <v>24291</v>
      </c>
      <c r="X1989" s="5" t="s">
        <v>24291</v>
      </c>
      <c r="Y1989" s="4">
        <v>562</v>
      </c>
      <c r="Z1989" s="4">
        <v>435</v>
      </c>
      <c r="AA1989" s="4">
        <v>450</v>
      </c>
      <c r="AB1989" s="4">
        <v>6</v>
      </c>
      <c r="AC1989" s="4">
        <v>6</v>
      </c>
      <c r="AD1989" s="4">
        <v>23</v>
      </c>
      <c r="AE1989" s="4">
        <v>24</v>
      </c>
      <c r="AF1989" s="4">
        <v>6</v>
      </c>
      <c r="AG1989" s="4">
        <v>6</v>
      </c>
      <c r="AH1989" s="4">
        <v>6</v>
      </c>
      <c r="AI1989" s="4">
        <v>7</v>
      </c>
      <c r="AJ1989" s="4">
        <v>11</v>
      </c>
      <c r="AK1989" s="4">
        <v>12</v>
      </c>
      <c r="AL1989" s="4">
        <v>5</v>
      </c>
      <c r="AM1989" s="4">
        <v>5</v>
      </c>
      <c r="AN1989" s="4">
        <v>0</v>
      </c>
      <c r="AO1989" s="4">
        <v>0</v>
      </c>
      <c r="AP1989" s="3" t="s">
        <v>58</v>
      </c>
      <c r="AQ1989" s="3" t="s">
        <v>68</v>
      </c>
      <c r="AR1989" s="6" t="str">
        <f>HYPERLINK("http://catalog.hathitrust.org/Record/000743722","HathiTrust Record")</f>
        <v>HathiTrust Record</v>
      </c>
      <c r="AS1989" s="6" t="str">
        <f>HYPERLINK("https://creighton-primo.hosted.exlibrisgroup.com/primo-explore/search?tab=default_tab&amp;search_scope=EVERYTHING&amp;vid=01CRU&amp;lang=en_US&amp;offset=0&amp;query=any,contains,991004334989702656","Catalog Record")</f>
        <v>Catalog Record</v>
      </c>
      <c r="AT1989" s="6" t="str">
        <f>HYPERLINK("http://www.worldcat.org/oclc/3072395","WorldCat Record")</f>
        <v>WorldCat Record</v>
      </c>
      <c r="AU1989" s="3" t="s">
        <v>24292</v>
      </c>
      <c r="AV1989" s="3" t="s">
        <v>24293</v>
      </c>
      <c r="AW1989" s="3" t="s">
        <v>24294</v>
      </c>
      <c r="AX1989" s="3" t="s">
        <v>24294</v>
      </c>
      <c r="AY1989" s="3" t="s">
        <v>24295</v>
      </c>
      <c r="AZ1989" s="3" t="s">
        <v>73</v>
      </c>
      <c r="BB1989" s="3" t="s">
        <v>24296</v>
      </c>
      <c r="BC1989" s="3" t="s">
        <v>24297</v>
      </c>
      <c r="BD1989" s="3" t="s">
        <v>24298</v>
      </c>
    </row>
    <row r="1990" spans="1:56" ht="51" customHeight="1" x14ac:dyDescent="0.25">
      <c r="A1990" s="7" t="s">
        <v>58</v>
      </c>
      <c r="B1990" s="2" t="s">
        <v>24299</v>
      </c>
      <c r="C1990" s="2" t="s">
        <v>24300</v>
      </c>
      <c r="D1990" s="2" t="s">
        <v>24301</v>
      </c>
      <c r="F1990" s="3" t="s">
        <v>58</v>
      </c>
      <c r="G1990" s="3" t="s">
        <v>59</v>
      </c>
      <c r="H1990" s="3" t="s">
        <v>58</v>
      </c>
      <c r="I1990" s="3" t="s">
        <v>58</v>
      </c>
      <c r="J1990" s="3" t="s">
        <v>60</v>
      </c>
      <c r="L1990" s="2" t="s">
        <v>24302</v>
      </c>
      <c r="M1990" s="3" t="s">
        <v>759</v>
      </c>
      <c r="O1990" s="3" t="s">
        <v>63</v>
      </c>
      <c r="P1990" s="3" t="s">
        <v>214</v>
      </c>
      <c r="R1990" s="3" t="s">
        <v>65</v>
      </c>
      <c r="S1990" s="4">
        <v>4</v>
      </c>
      <c r="T1990" s="4">
        <v>4</v>
      </c>
      <c r="U1990" s="5" t="s">
        <v>24290</v>
      </c>
      <c r="V1990" s="5" t="s">
        <v>24290</v>
      </c>
      <c r="W1990" s="5" t="s">
        <v>24038</v>
      </c>
      <c r="X1990" s="5" t="s">
        <v>24038</v>
      </c>
      <c r="Y1990" s="4">
        <v>732</v>
      </c>
      <c r="Z1990" s="4">
        <v>577</v>
      </c>
      <c r="AA1990" s="4">
        <v>809</v>
      </c>
      <c r="AB1990" s="4">
        <v>4</v>
      </c>
      <c r="AC1990" s="4">
        <v>7</v>
      </c>
      <c r="AD1990" s="4">
        <v>31</v>
      </c>
      <c r="AE1990" s="4">
        <v>39</v>
      </c>
      <c r="AF1990" s="4">
        <v>14</v>
      </c>
      <c r="AG1990" s="4">
        <v>20</v>
      </c>
      <c r="AH1990" s="4">
        <v>9</v>
      </c>
      <c r="AI1990" s="4">
        <v>10</v>
      </c>
      <c r="AJ1990" s="4">
        <v>13</v>
      </c>
      <c r="AK1990" s="4">
        <v>14</v>
      </c>
      <c r="AL1990" s="4">
        <v>3</v>
      </c>
      <c r="AM1990" s="4">
        <v>5</v>
      </c>
      <c r="AN1990" s="4">
        <v>0</v>
      </c>
      <c r="AO1990" s="4">
        <v>0</v>
      </c>
      <c r="AP1990" s="3" t="s">
        <v>58</v>
      </c>
      <c r="AQ1990" s="3" t="s">
        <v>58</v>
      </c>
      <c r="AS1990" s="6" t="str">
        <f>HYPERLINK("https://creighton-primo.hosted.exlibrisgroup.com/primo-explore/search?tab=default_tab&amp;search_scope=EVERYTHING&amp;vid=01CRU&amp;lang=en_US&amp;offset=0&amp;query=any,contains,991004905579702656","Catalog Record")</f>
        <v>Catalog Record</v>
      </c>
      <c r="AT1990" s="6" t="str">
        <f>HYPERLINK("http://www.worldcat.org/oclc/5946559","WorldCat Record")</f>
        <v>WorldCat Record</v>
      </c>
      <c r="AU1990" s="3" t="s">
        <v>24303</v>
      </c>
      <c r="AV1990" s="3" t="s">
        <v>24304</v>
      </c>
      <c r="AW1990" s="3" t="s">
        <v>24305</v>
      </c>
      <c r="AX1990" s="3" t="s">
        <v>24305</v>
      </c>
      <c r="AY1990" s="3" t="s">
        <v>24306</v>
      </c>
      <c r="AZ1990" s="3" t="s">
        <v>73</v>
      </c>
      <c r="BB1990" s="3" t="s">
        <v>24307</v>
      </c>
      <c r="BC1990" s="3" t="s">
        <v>24308</v>
      </c>
      <c r="BD1990" s="3" t="s">
        <v>24309</v>
      </c>
    </row>
    <row r="1991" spans="1:56" ht="51" customHeight="1" x14ac:dyDescent="0.25">
      <c r="A1991" s="7" t="s">
        <v>58</v>
      </c>
      <c r="B1991" s="2" t="s">
        <v>24310</v>
      </c>
      <c r="C1991" s="2" t="s">
        <v>24311</v>
      </c>
      <c r="D1991" s="2" t="s">
        <v>24312</v>
      </c>
      <c r="F1991" s="3" t="s">
        <v>58</v>
      </c>
      <c r="G1991" s="3" t="s">
        <v>59</v>
      </c>
      <c r="H1991" s="3" t="s">
        <v>58</v>
      </c>
      <c r="I1991" s="3" t="s">
        <v>58</v>
      </c>
      <c r="J1991" s="3" t="s">
        <v>60</v>
      </c>
      <c r="K1991" s="2" t="s">
        <v>24313</v>
      </c>
      <c r="L1991" s="2" t="s">
        <v>24314</v>
      </c>
      <c r="M1991" s="3" t="s">
        <v>24315</v>
      </c>
      <c r="O1991" s="3" t="s">
        <v>63</v>
      </c>
      <c r="P1991" s="3" t="s">
        <v>214</v>
      </c>
      <c r="Q1991" s="2" t="s">
        <v>24316</v>
      </c>
      <c r="R1991" s="3" t="s">
        <v>65</v>
      </c>
      <c r="S1991" s="4">
        <v>1</v>
      </c>
      <c r="T1991" s="4">
        <v>1</v>
      </c>
      <c r="U1991" s="5" t="s">
        <v>16376</v>
      </c>
      <c r="V1991" s="5" t="s">
        <v>16376</v>
      </c>
      <c r="W1991" s="5" t="s">
        <v>24291</v>
      </c>
      <c r="X1991" s="5" t="s">
        <v>24291</v>
      </c>
      <c r="Y1991" s="4">
        <v>308</v>
      </c>
      <c r="Z1991" s="4">
        <v>294</v>
      </c>
      <c r="AA1991" s="4">
        <v>294</v>
      </c>
      <c r="AB1991" s="4">
        <v>6</v>
      </c>
      <c r="AC1991" s="4">
        <v>6</v>
      </c>
      <c r="AD1991" s="4">
        <v>19</v>
      </c>
      <c r="AE1991" s="4">
        <v>19</v>
      </c>
      <c r="AF1991" s="4">
        <v>6</v>
      </c>
      <c r="AG1991" s="4">
        <v>6</v>
      </c>
      <c r="AH1991" s="4">
        <v>4</v>
      </c>
      <c r="AI1991" s="4">
        <v>4</v>
      </c>
      <c r="AJ1991" s="4">
        <v>10</v>
      </c>
      <c r="AK1991" s="4">
        <v>10</v>
      </c>
      <c r="AL1991" s="4">
        <v>5</v>
      </c>
      <c r="AM1991" s="4">
        <v>5</v>
      </c>
      <c r="AN1991" s="4">
        <v>0</v>
      </c>
      <c r="AO1991" s="4">
        <v>0</v>
      </c>
      <c r="AP1991" s="3" t="s">
        <v>58</v>
      </c>
      <c r="AQ1991" s="3" t="s">
        <v>58</v>
      </c>
      <c r="AS1991" s="6" t="str">
        <f>HYPERLINK("https://creighton-primo.hosted.exlibrisgroup.com/primo-explore/search?tab=default_tab&amp;search_scope=EVERYTHING&amp;vid=01CRU&amp;lang=en_US&amp;offset=0&amp;query=any,contains,991003486439702656","Catalog Record")</f>
        <v>Catalog Record</v>
      </c>
      <c r="AT1991" s="6" t="str">
        <f>HYPERLINK("http://www.worldcat.org/oclc/1033580","WorldCat Record")</f>
        <v>WorldCat Record</v>
      </c>
      <c r="AU1991" s="3" t="s">
        <v>24317</v>
      </c>
      <c r="AV1991" s="3" t="s">
        <v>24318</v>
      </c>
      <c r="AW1991" s="3" t="s">
        <v>24319</v>
      </c>
      <c r="AX1991" s="3" t="s">
        <v>24319</v>
      </c>
      <c r="AY1991" s="3" t="s">
        <v>24320</v>
      </c>
      <c r="AZ1991" s="3" t="s">
        <v>73</v>
      </c>
      <c r="BC1991" s="3" t="s">
        <v>24321</v>
      </c>
      <c r="BD1991" s="3" t="s">
        <v>24322</v>
      </c>
    </row>
    <row r="1992" spans="1:56" ht="51" customHeight="1" x14ac:dyDescent="0.25">
      <c r="A1992" s="7" t="s">
        <v>58</v>
      </c>
      <c r="B1992" s="2" t="s">
        <v>24323</v>
      </c>
      <c r="C1992" s="2" t="s">
        <v>24324</v>
      </c>
      <c r="D1992" s="2" t="s">
        <v>24325</v>
      </c>
      <c r="F1992" s="3" t="s">
        <v>58</v>
      </c>
      <c r="G1992" s="3" t="s">
        <v>59</v>
      </c>
      <c r="H1992" s="3" t="s">
        <v>58</v>
      </c>
      <c r="I1992" s="3" t="s">
        <v>58</v>
      </c>
      <c r="J1992" s="3" t="s">
        <v>60</v>
      </c>
      <c r="K1992" s="2" t="s">
        <v>24326</v>
      </c>
      <c r="L1992" s="2" t="s">
        <v>24327</v>
      </c>
      <c r="M1992" s="3" t="s">
        <v>2214</v>
      </c>
      <c r="O1992" s="3" t="s">
        <v>63</v>
      </c>
      <c r="P1992" s="3" t="s">
        <v>10160</v>
      </c>
      <c r="Q1992" s="2" t="s">
        <v>24328</v>
      </c>
      <c r="R1992" s="3" t="s">
        <v>65</v>
      </c>
      <c r="S1992" s="4">
        <v>1</v>
      </c>
      <c r="T1992" s="4">
        <v>1</v>
      </c>
      <c r="U1992" s="5" t="s">
        <v>24329</v>
      </c>
      <c r="V1992" s="5" t="s">
        <v>24329</v>
      </c>
      <c r="W1992" s="5" t="s">
        <v>24329</v>
      </c>
      <c r="X1992" s="5" t="s">
        <v>24329</v>
      </c>
      <c r="Y1992" s="4">
        <v>311</v>
      </c>
      <c r="Z1992" s="4">
        <v>246</v>
      </c>
      <c r="AA1992" s="4">
        <v>545</v>
      </c>
      <c r="AB1992" s="4">
        <v>2</v>
      </c>
      <c r="AC1992" s="4">
        <v>3</v>
      </c>
      <c r="AD1992" s="4">
        <v>12</v>
      </c>
      <c r="AE1992" s="4">
        <v>23</v>
      </c>
      <c r="AF1992" s="4">
        <v>6</v>
      </c>
      <c r="AG1992" s="4">
        <v>10</v>
      </c>
      <c r="AH1992" s="4">
        <v>4</v>
      </c>
      <c r="AI1992" s="4">
        <v>7</v>
      </c>
      <c r="AJ1992" s="4">
        <v>7</v>
      </c>
      <c r="AK1992" s="4">
        <v>13</v>
      </c>
      <c r="AL1992" s="4">
        <v>1</v>
      </c>
      <c r="AM1992" s="4">
        <v>2</v>
      </c>
      <c r="AN1992" s="4">
        <v>0</v>
      </c>
      <c r="AO1992" s="4">
        <v>0</v>
      </c>
      <c r="AP1992" s="3" t="s">
        <v>58</v>
      </c>
      <c r="AQ1992" s="3" t="s">
        <v>58</v>
      </c>
      <c r="AS1992" s="6" t="str">
        <f>HYPERLINK("https://creighton-primo.hosted.exlibrisgroup.com/primo-explore/search?tab=default_tab&amp;search_scope=EVERYTHING&amp;vid=01CRU&amp;lang=en_US&amp;offset=0&amp;query=any,contains,991005255799702656","Catalog Record")</f>
        <v>Catalog Record</v>
      </c>
      <c r="AT1992" s="6" t="str">
        <f>HYPERLINK("http://www.worldcat.org/oclc/58647984","WorldCat Record")</f>
        <v>WorldCat Record</v>
      </c>
      <c r="AU1992" s="3" t="s">
        <v>24330</v>
      </c>
      <c r="AV1992" s="3" t="s">
        <v>24331</v>
      </c>
      <c r="AW1992" s="3" t="s">
        <v>24332</v>
      </c>
      <c r="AX1992" s="3" t="s">
        <v>24332</v>
      </c>
      <c r="AY1992" s="3" t="s">
        <v>24333</v>
      </c>
      <c r="AZ1992" s="3" t="s">
        <v>73</v>
      </c>
      <c r="BB1992" s="3" t="s">
        <v>24334</v>
      </c>
      <c r="BC1992" s="3" t="s">
        <v>24335</v>
      </c>
      <c r="BD1992" s="3" t="s">
        <v>24336</v>
      </c>
    </row>
    <row r="1993" spans="1:56" ht="51" customHeight="1" x14ac:dyDescent="0.25">
      <c r="A1993" s="7" t="s">
        <v>58</v>
      </c>
      <c r="B1993" s="2" t="s">
        <v>24337</v>
      </c>
      <c r="C1993" s="2" t="s">
        <v>24338</v>
      </c>
      <c r="D1993" s="2" t="s">
        <v>24339</v>
      </c>
      <c r="F1993" s="3" t="s">
        <v>58</v>
      </c>
      <c r="G1993" s="3" t="s">
        <v>59</v>
      </c>
      <c r="H1993" s="3" t="s">
        <v>58</v>
      </c>
      <c r="I1993" s="3" t="s">
        <v>58</v>
      </c>
      <c r="J1993" s="3" t="s">
        <v>60</v>
      </c>
      <c r="L1993" s="2" t="s">
        <v>24340</v>
      </c>
      <c r="M1993" s="3" t="s">
        <v>101</v>
      </c>
      <c r="O1993" s="3" t="s">
        <v>63</v>
      </c>
      <c r="P1993" s="3" t="s">
        <v>354</v>
      </c>
      <c r="Q1993" s="2" t="s">
        <v>24341</v>
      </c>
      <c r="R1993" s="3" t="s">
        <v>65</v>
      </c>
      <c r="S1993" s="4">
        <v>1</v>
      </c>
      <c r="T1993" s="4">
        <v>1</v>
      </c>
      <c r="U1993" s="5" t="s">
        <v>14927</v>
      </c>
      <c r="V1993" s="5" t="s">
        <v>14927</v>
      </c>
      <c r="W1993" s="5" t="s">
        <v>24038</v>
      </c>
      <c r="X1993" s="5" t="s">
        <v>24038</v>
      </c>
      <c r="Y1993" s="4">
        <v>180</v>
      </c>
      <c r="Z1993" s="4">
        <v>156</v>
      </c>
      <c r="AA1993" s="4">
        <v>183</v>
      </c>
      <c r="AB1993" s="4">
        <v>3</v>
      </c>
      <c r="AC1993" s="4">
        <v>3</v>
      </c>
      <c r="AD1993" s="4">
        <v>6</v>
      </c>
      <c r="AE1993" s="4">
        <v>6</v>
      </c>
      <c r="AF1993" s="4">
        <v>0</v>
      </c>
      <c r="AG1993" s="4">
        <v>0</v>
      </c>
      <c r="AH1993" s="4">
        <v>2</v>
      </c>
      <c r="AI1993" s="4">
        <v>2</v>
      </c>
      <c r="AJ1993" s="4">
        <v>3</v>
      </c>
      <c r="AK1993" s="4">
        <v>3</v>
      </c>
      <c r="AL1993" s="4">
        <v>2</v>
      </c>
      <c r="AM1993" s="4">
        <v>2</v>
      </c>
      <c r="AN1993" s="4">
        <v>0</v>
      </c>
      <c r="AO1993" s="4">
        <v>0</v>
      </c>
      <c r="AP1993" s="3" t="s">
        <v>58</v>
      </c>
      <c r="AQ1993" s="3" t="s">
        <v>68</v>
      </c>
      <c r="AR1993" s="6" t="str">
        <f>HYPERLINK("http://catalog.hathitrust.org/Record/000902480","HathiTrust Record")</f>
        <v>HathiTrust Record</v>
      </c>
      <c r="AS1993" s="6" t="str">
        <f>HYPERLINK("https://creighton-primo.hosted.exlibrisgroup.com/primo-explore/search?tab=default_tab&amp;search_scope=EVERYTHING&amp;vid=01CRU&amp;lang=en_US&amp;offset=0&amp;query=any,contains,991000477379702656","Catalog Record")</f>
        <v>Catalog Record</v>
      </c>
      <c r="AT1993" s="6" t="str">
        <f>HYPERLINK("http://www.worldcat.org/oclc/11033814","WorldCat Record")</f>
        <v>WorldCat Record</v>
      </c>
      <c r="AU1993" s="3" t="s">
        <v>24342</v>
      </c>
      <c r="AV1993" s="3" t="s">
        <v>24343</v>
      </c>
      <c r="AW1993" s="3" t="s">
        <v>24344</v>
      </c>
      <c r="AX1993" s="3" t="s">
        <v>24344</v>
      </c>
      <c r="AY1993" s="3" t="s">
        <v>24345</v>
      </c>
      <c r="AZ1993" s="3" t="s">
        <v>73</v>
      </c>
      <c r="BB1993" s="3" t="s">
        <v>24346</v>
      </c>
      <c r="BC1993" s="3" t="s">
        <v>24347</v>
      </c>
      <c r="BD1993" s="3" t="s">
        <v>24348</v>
      </c>
    </row>
    <row r="1994" spans="1:56" ht="51" customHeight="1" x14ac:dyDescent="0.25">
      <c r="A1994" s="7" t="s">
        <v>58</v>
      </c>
      <c r="B1994" s="2" t="s">
        <v>24349</v>
      </c>
      <c r="C1994" s="2" t="s">
        <v>24350</v>
      </c>
      <c r="D1994" s="2" t="s">
        <v>24351</v>
      </c>
      <c r="F1994" s="3" t="s">
        <v>58</v>
      </c>
      <c r="G1994" s="3" t="s">
        <v>59</v>
      </c>
      <c r="H1994" s="3" t="s">
        <v>58</v>
      </c>
      <c r="I1994" s="3" t="s">
        <v>58</v>
      </c>
      <c r="J1994" s="3" t="s">
        <v>60</v>
      </c>
      <c r="K1994" s="2" t="s">
        <v>24352</v>
      </c>
      <c r="L1994" s="2" t="s">
        <v>24353</v>
      </c>
      <c r="M1994" s="3" t="s">
        <v>731</v>
      </c>
      <c r="O1994" s="3" t="s">
        <v>63</v>
      </c>
      <c r="P1994" s="3" t="s">
        <v>816</v>
      </c>
      <c r="Q1994" s="2" t="s">
        <v>24354</v>
      </c>
      <c r="R1994" s="3" t="s">
        <v>65</v>
      </c>
      <c r="S1994" s="4">
        <v>3</v>
      </c>
      <c r="T1994" s="4">
        <v>3</v>
      </c>
      <c r="U1994" s="5" t="s">
        <v>24355</v>
      </c>
      <c r="V1994" s="5" t="s">
        <v>24355</v>
      </c>
      <c r="W1994" s="5" t="s">
        <v>17547</v>
      </c>
      <c r="X1994" s="5" t="s">
        <v>17547</v>
      </c>
      <c r="Y1994" s="4">
        <v>875</v>
      </c>
      <c r="Z1994" s="4">
        <v>723</v>
      </c>
      <c r="AA1994" s="4">
        <v>863</v>
      </c>
      <c r="AB1994" s="4">
        <v>7</v>
      </c>
      <c r="AC1994" s="4">
        <v>9</v>
      </c>
      <c r="AD1994" s="4">
        <v>40</v>
      </c>
      <c r="AE1994" s="4">
        <v>45</v>
      </c>
      <c r="AF1994" s="4">
        <v>18</v>
      </c>
      <c r="AG1994" s="4">
        <v>20</v>
      </c>
      <c r="AH1994" s="4">
        <v>5</v>
      </c>
      <c r="AI1994" s="4">
        <v>6</v>
      </c>
      <c r="AJ1994" s="4">
        <v>19</v>
      </c>
      <c r="AK1994" s="4">
        <v>21</v>
      </c>
      <c r="AL1994" s="4">
        <v>6</v>
      </c>
      <c r="AM1994" s="4">
        <v>8</v>
      </c>
      <c r="AN1994" s="4">
        <v>0</v>
      </c>
      <c r="AO1994" s="4">
        <v>0</v>
      </c>
      <c r="AP1994" s="3" t="s">
        <v>58</v>
      </c>
      <c r="AQ1994" s="3" t="s">
        <v>68</v>
      </c>
      <c r="AR1994" s="6" t="str">
        <f>HYPERLINK("http://catalog.hathitrust.org/Record/001267562","HathiTrust Record")</f>
        <v>HathiTrust Record</v>
      </c>
      <c r="AS1994" s="6" t="str">
        <f>HYPERLINK("https://creighton-primo.hosted.exlibrisgroup.com/primo-explore/search?tab=default_tab&amp;search_scope=EVERYTHING&amp;vid=01CRU&amp;lang=en_US&amp;offset=0&amp;query=any,contains,991002647209702656","Catalog Record")</f>
        <v>Catalog Record</v>
      </c>
      <c r="AT1994" s="6" t="str">
        <f>HYPERLINK("http://www.worldcat.org/oclc/386102","WorldCat Record")</f>
        <v>WorldCat Record</v>
      </c>
      <c r="AU1994" s="3" t="s">
        <v>24356</v>
      </c>
      <c r="AV1994" s="3" t="s">
        <v>24357</v>
      </c>
      <c r="AW1994" s="3" t="s">
        <v>24358</v>
      </c>
      <c r="AX1994" s="3" t="s">
        <v>24358</v>
      </c>
      <c r="AY1994" s="3" t="s">
        <v>24359</v>
      </c>
      <c r="AZ1994" s="3" t="s">
        <v>73</v>
      </c>
      <c r="BC1994" s="3" t="s">
        <v>24360</v>
      </c>
      <c r="BD1994" s="3" t="s">
        <v>24361</v>
      </c>
    </row>
    <row r="1995" spans="1:56" ht="51" customHeight="1" x14ac:dyDescent="0.25">
      <c r="A1995" s="7" t="s">
        <v>58</v>
      </c>
      <c r="B1995" s="2" t="s">
        <v>24362</v>
      </c>
      <c r="C1995" s="2" t="s">
        <v>24363</v>
      </c>
      <c r="D1995" s="2" t="s">
        <v>24364</v>
      </c>
      <c r="F1995" s="3" t="s">
        <v>58</v>
      </c>
      <c r="G1995" s="3" t="s">
        <v>59</v>
      </c>
      <c r="H1995" s="3" t="s">
        <v>58</v>
      </c>
      <c r="I1995" s="3" t="s">
        <v>58</v>
      </c>
      <c r="J1995" s="3" t="s">
        <v>60</v>
      </c>
      <c r="K1995" s="2" t="s">
        <v>24365</v>
      </c>
      <c r="L1995" s="2" t="s">
        <v>24366</v>
      </c>
      <c r="M1995" s="3" t="s">
        <v>842</v>
      </c>
      <c r="O1995" s="3" t="s">
        <v>63</v>
      </c>
      <c r="P1995" s="3" t="s">
        <v>214</v>
      </c>
      <c r="R1995" s="3" t="s">
        <v>65</v>
      </c>
      <c r="S1995" s="4">
        <v>4</v>
      </c>
      <c r="T1995" s="4">
        <v>4</v>
      </c>
      <c r="U1995" s="5" t="s">
        <v>12204</v>
      </c>
      <c r="V1995" s="5" t="s">
        <v>12204</v>
      </c>
      <c r="W1995" s="5" t="s">
        <v>24038</v>
      </c>
      <c r="X1995" s="5" t="s">
        <v>24038</v>
      </c>
      <c r="Y1995" s="4">
        <v>497</v>
      </c>
      <c r="Z1995" s="4">
        <v>394</v>
      </c>
      <c r="AA1995" s="4">
        <v>396</v>
      </c>
      <c r="AB1995" s="4">
        <v>5</v>
      </c>
      <c r="AC1995" s="4">
        <v>5</v>
      </c>
      <c r="AD1995" s="4">
        <v>21</v>
      </c>
      <c r="AE1995" s="4">
        <v>21</v>
      </c>
      <c r="AF1995" s="4">
        <v>8</v>
      </c>
      <c r="AG1995" s="4">
        <v>8</v>
      </c>
      <c r="AH1995" s="4">
        <v>5</v>
      </c>
      <c r="AI1995" s="4">
        <v>5</v>
      </c>
      <c r="AJ1995" s="4">
        <v>11</v>
      </c>
      <c r="AK1995" s="4">
        <v>11</v>
      </c>
      <c r="AL1995" s="4">
        <v>4</v>
      </c>
      <c r="AM1995" s="4">
        <v>4</v>
      </c>
      <c r="AN1995" s="4">
        <v>0</v>
      </c>
      <c r="AO1995" s="4">
        <v>0</v>
      </c>
      <c r="AP1995" s="3" t="s">
        <v>58</v>
      </c>
      <c r="AQ1995" s="3" t="s">
        <v>68</v>
      </c>
      <c r="AR1995" s="6" t="str">
        <f>HYPERLINK("http://catalog.hathitrust.org/Record/000098792","HathiTrust Record")</f>
        <v>HathiTrust Record</v>
      </c>
      <c r="AS1995" s="6" t="str">
        <f>HYPERLINK("https://creighton-primo.hosted.exlibrisgroup.com/primo-explore/search?tab=default_tab&amp;search_scope=EVERYTHING&amp;vid=01CRU&amp;lang=en_US&amp;offset=0&amp;query=any,contains,991005067999702656","Catalog Record")</f>
        <v>Catalog Record</v>
      </c>
      <c r="AT1995" s="6" t="str">
        <f>HYPERLINK("http://www.worldcat.org/oclc/6982270","WorldCat Record")</f>
        <v>WorldCat Record</v>
      </c>
      <c r="AU1995" s="3" t="s">
        <v>24367</v>
      </c>
      <c r="AV1995" s="3" t="s">
        <v>24368</v>
      </c>
      <c r="AW1995" s="3" t="s">
        <v>24369</v>
      </c>
      <c r="AX1995" s="3" t="s">
        <v>24369</v>
      </c>
      <c r="AY1995" s="3" t="s">
        <v>24370</v>
      </c>
      <c r="AZ1995" s="3" t="s">
        <v>73</v>
      </c>
      <c r="BB1995" s="3" t="s">
        <v>24371</v>
      </c>
      <c r="BC1995" s="3" t="s">
        <v>24372</v>
      </c>
      <c r="BD1995" s="3" t="s">
        <v>24373</v>
      </c>
    </row>
    <row r="1996" spans="1:56" ht="51" customHeight="1" x14ac:dyDescent="0.25">
      <c r="A1996" s="7" t="s">
        <v>58</v>
      </c>
      <c r="B1996" s="2" t="s">
        <v>24374</v>
      </c>
      <c r="C1996" s="2" t="s">
        <v>24375</v>
      </c>
      <c r="D1996" s="2" t="s">
        <v>24376</v>
      </c>
      <c r="F1996" s="3" t="s">
        <v>58</v>
      </c>
      <c r="G1996" s="3" t="s">
        <v>59</v>
      </c>
      <c r="H1996" s="3" t="s">
        <v>58</v>
      </c>
      <c r="I1996" s="3" t="s">
        <v>58</v>
      </c>
      <c r="J1996" s="3" t="s">
        <v>60</v>
      </c>
      <c r="K1996" s="2" t="s">
        <v>24377</v>
      </c>
      <c r="L1996" s="2" t="s">
        <v>24378</v>
      </c>
      <c r="M1996" s="3" t="s">
        <v>1720</v>
      </c>
      <c r="N1996" s="2" t="s">
        <v>13327</v>
      </c>
      <c r="O1996" s="3" t="s">
        <v>63</v>
      </c>
      <c r="P1996" s="3" t="s">
        <v>214</v>
      </c>
      <c r="R1996" s="3" t="s">
        <v>65</v>
      </c>
      <c r="S1996" s="4">
        <v>1</v>
      </c>
      <c r="T1996" s="4">
        <v>1</v>
      </c>
      <c r="U1996" s="5" t="s">
        <v>1733</v>
      </c>
      <c r="V1996" s="5" t="s">
        <v>1733</v>
      </c>
      <c r="W1996" s="5" t="s">
        <v>2034</v>
      </c>
      <c r="X1996" s="5" t="s">
        <v>2034</v>
      </c>
      <c r="Y1996" s="4">
        <v>766</v>
      </c>
      <c r="Z1996" s="4">
        <v>713</v>
      </c>
      <c r="AA1996" s="4">
        <v>836</v>
      </c>
      <c r="AB1996" s="4">
        <v>5</v>
      </c>
      <c r="AC1996" s="4">
        <v>6</v>
      </c>
      <c r="AD1996" s="4">
        <v>27</v>
      </c>
      <c r="AE1996" s="4">
        <v>33</v>
      </c>
      <c r="AF1996" s="4">
        <v>8</v>
      </c>
      <c r="AG1996" s="4">
        <v>10</v>
      </c>
      <c r="AH1996" s="4">
        <v>7</v>
      </c>
      <c r="AI1996" s="4">
        <v>8</v>
      </c>
      <c r="AJ1996" s="4">
        <v>17</v>
      </c>
      <c r="AK1996" s="4">
        <v>20</v>
      </c>
      <c r="AL1996" s="4">
        <v>4</v>
      </c>
      <c r="AM1996" s="4">
        <v>5</v>
      </c>
      <c r="AN1996" s="4">
        <v>0</v>
      </c>
      <c r="AO1996" s="4">
        <v>0</v>
      </c>
      <c r="AP1996" s="3" t="s">
        <v>58</v>
      </c>
      <c r="AQ1996" s="3" t="s">
        <v>68</v>
      </c>
      <c r="AR1996" s="6" t="str">
        <f>HYPERLINK("http://catalog.hathitrust.org/Record/001257850","HathiTrust Record")</f>
        <v>HathiTrust Record</v>
      </c>
      <c r="AS1996" s="6" t="str">
        <f>HYPERLINK("https://creighton-primo.hosted.exlibrisgroup.com/primo-explore/search?tab=default_tab&amp;search_scope=EVERYTHING&amp;vid=01CRU&amp;lang=en_US&amp;offset=0&amp;query=any,contains,991002717549702656","Catalog Record")</f>
        <v>Catalog Record</v>
      </c>
      <c r="AT1996" s="6" t="str">
        <f>HYPERLINK("http://www.worldcat.org/oclc/411701","WorldCat Record")</f>
        <v>WorldCat Record</v>
      </c>
      <c r="AU1996" s="3" t="s">
        <v>24379</v>
      </c>
      <c r="AV1996" s="3" t="s">
        <v>24380</v>
      </c>
      <c r="AW1996" s="3" t="s">
        <v>24381</v>
      </c>
      <c r="AX1996" s="3" t="s">
        <v>24381</v>
      </c>
      <c r="AY1996" s="3" t="s">
        <v>24382</v>
      </c>
      <c r="AZ1996" s="3" t="s">
        <v>73</v>
      </c>
      <c r="BC1996" s="3" t="s">
        <v>24383</v>
      </c>
      <c r="BD1996" s="3" t="s">
        <v>24384</v>
      </c>
    </row>
    <row r="1997" spans="1:56" ht="51" customHeight="1" x14ac:dyDescent="0.25">
      <c r="A1997" s="7" t="s">
        <v>58</v>
      </c>
      <c r="B1997" s="2" t="s">
        <v>24385</v>
      </c>
      <c r="C1997" s="2" t="s">
        <v>24386</v>
      </c>
      <c r="D1997" s="2" t="s">
        <v>24387</v>
      </c>
      <c r="F1997" s="3" t="s">
        <v>58</v>
      </c>
      <c r="G1997" s="3" t="s">
        <v>59</v>
      </c>
      <c r="H1997" s="3" t="s">
        <v>58</v>
      </c>
      <c r="I1997" s="3" t="s">
        <v>58</v>
      </c>
      <c r="J1997" s="3" t="s">
        <v>60</v>
      </c>
      <c r="K1997" s="2" t="s">
        <v>24388</v>
      </c>
      <c r="L1997" s="2" t="s">
        <v>24389</v>
      </c>
      <c r="M1997" s="3" t="s">
        <v>83</v>
      </c>
      <c r="O1997" s="3" t="s">
        <v>63</v>
      </c>
      <c r="P1997" s="3" t="s">
        <v>214</v>
      </c>
      <c r="R1997" s="3" t="s">
        <v>65</v>
      </c>
      <c r="S1997" s="4">
        <v>1</v>
      </c>
      <c r="T1997" s="4">
        <v>1</v>
      </c>
      <c r="U1997" s="5" t="s">
        <v>12204</v>
      </c>
      <c r="V1997" s="5" t="s">
        <v>12204</v>
      </c>
      <c r="W1997" s="5" t="s">
        <v>24038</v>
      </c>
      <c r="X1997" s="5" t="s">
        <v>24038</v>
      </c>
      <c r="Y1997" s="4">
        <v>771</v>
      </c>
      <c r="Z1997" s="4">
        <v>671</v>
      </c>
      <c r="AA1997" s="4">
        <v>685</v>
      </c>
      <c r="AB1997" s="4">
        <v>4</v>
      </c>
      <c r="AC1997" s="4">
        <v>4</v>
      </c>
      <c r="AD1997" s="4">
        <v>18</v>
      </c>
      <c r="AE1997" s="4">
        <v>19</v>
      </c>
      <c r="AF1997" s="4">
        <v>6</v>
      </c>
      <c r="AG1997" s="4">
        <v>7</v>
      </c>
      <c r="AH1997" s="4">
        <v>6</v>
      </c>
      <c r="AI1997" s="4">
        <v>6</v>
      </c>
      <c r="AJ1997" s="4">
        <v>8</v>
      </c>
      <c r="AK1997" s="4">
        <v>8</v>
      </c>
      <c r="AL1997" s="4">
        <v>2</v>
      </c>
      <c r="AM1997" s="4">
        <v>2</v>
      </c>
      <c r="AN1997" s="4">
        <v>0</v>
      </c>
      <c r="AO1997" s="4">
        <v>0</v>
      </c>
      <c r="AP1997" s="3" t="s">
        <v>58</v>
      </c>
      <c r="AQ1997" s="3" t="s">
        <v>68</v>
      </c>
      <c r="AR1997" s="6" t="str">
        <f>HYPERLINK("http://catalog.hathitrust.org/Record/000174045","HathiTrust Record")</f>
        <v>HathiTrust Record</v>
      </c>
      <c r="AS1997" s="6" t="str">
        <f>HYPERLINK("https://creighton-primo.hosted.exlibrisgroup.com/primo-explore/search?tab=default_tab&amp;search_scope=EVERYTHING&amp;vid=01CRU&amp;lang=en_US&amp;offset=0&amp;query=any,contains,991004545339702656","Catalog Record")</f>
        <v>Catalog Record</v>
      </c>
      <c r="AT1997" s="6" t="str">
        <f>HYPERLINK("http://www.worldcat.org/oclc/3913197","WorldCat Record")</f>
        <v>WorldCat Record</v>
      </c>
      <c r="AU1997" s="3" t="s">
        <v>24390</v>
      </c>
      <c r="AV1997" s="3" t="s">
        <v>24391</v>
      </c>
      <c r="AW1997" s="3" t="s">
        <v>24392</v>
      </c>
      <c r="AX1997" s="3" t="s">
        <v>24392</v>
      </c>
      <c r="AY1997" s="3" t="s">
        <v>24393</v>
      </c>
      <c r="AZ1997" s="3" t="s">
        <v>73</v>
      </c>
      <c r="BB1997" s="3" t="s">
        <v>24394</v>
      </c>
      <c r="BC1997" s="3" t="s">
        <v>24395</v>
      </c>
      <c r="BD1997" s="3" t="s">
        <v>24396</v>
      </c>
    </row>
    <row r="1998" spans="1:56" ht="51" customHeight="1" x14ac:dyDescent="0.25">
      <c r="A1998" s="7" t="s">
        <v>58</v>
      </c>
      <c r="B1998" s="2" t="s">
        <v>24397</v>
      </c>
      <c r="C1998" s="2" t="s">
        <v>24398</v>
      </c>
      <c r="D1998" s="2" t="s">
        <v>24399</v>
      </c>
      <c r="F1998" s="3" t="s">
        <v>58</v>
      </c>
      <c r="G1998" s="3" t="s">
        <v>59</v>
      </c>
      <c r="H1998" s="3" t="s">
        <v>58</v>
      </c>
      <c r="I1998" s="3" t="s">
        <v>58</v>
      </c>
      <c r="J1998" s="3" t="s">
        <v>60</v>
      </c>
      <c r="K1998" s="2" t="s">
        <v>23254</v>
      </c>
      <c r="L1998" s="2" t="s">
        <v>14925</v>
      </c>
      <c r="M1998" s="3" t="s">
        <v>538</v>
      </c>
      <c r="N1998" s="2" t="s">
        <v>1470</v>
      </c>
      <c r="O1998" s="3" t="s">
        <v>63</v>
      </c>
      <c r="P1998" s="3" t="s">
        <v>214</v>
      </c>
      <c r="R1998" s="3" t="s">
        <v>65</v>
      </c>
      <c r="S1998" s="4">
        <v>1</v>
      </c>
      <c r="T1998" s="4">
        <v>1</v>
      </c>
      <c r="U1998" s="5" t="s">
        <v>12204</v>
      </c>
      <c r="V1998" s="5" t="s">
        <v>12204</v>
      </c>
      <c r="W1998" s="5" t="s">
        <v>9175</v>
      </c>
      <c r="X1998" s="5" t="s">
        <v>9175</v>
      </c>
      <c r="Y1998" s="4">
        <v>1136</v>
      </c>
      <c r="Z1998" s="4">
        <v>1037</v>
      </c>
      <c r="AA1998" s="4">
        <v>1112</v>
      </c>
      <c r="AB1998" s="4">
        <v>8</v>
      </c>
      <c r="AC1998" s="4">
        <v>9</v>
      </c>
      <c r="AD1998" s="4">
        <v>41</v>
      </c>
      <c r="AE1998" s="4">
        <v>48</v>
      </c>
      <c r="AF1998" s="4">
        <v>18</v>
      </c>
      <c r="AG1998" s="4">
        <v>19</v>
      </c>
      <c r="AH1998" s="4">
        <v>7</v>
      </c>
      <c r="AI1998" s="4">
        <v>8</v>
      </c>
      <c r="AJ1998" s="4">
        <v>21</v>
      </c>
      <c r="AK1998" s="4">
        <v>24</v>
      </c>
      <c r="AL1998" s="4">
        <v>5</v>
      </c>
      <c r="AM1998" s="4">
        <v>6</v>
      </c>
      <c r="AN1998" s="4">
        <v>1</v>
      </c>
      <c r="AO1998" s="4">
        <v>2</v>
      </c>
      <c r="AP1998" s="3" t="s">
        <v>58</v>
      </c>
      <c r="AQ1998" s="3" t="s">
        <v>58</v>
      </c>
      <c r="AS1998" s="6" t="str">
        <f>HYPERLINK("https://creighton-primo.hosted.exlibrisgroup.com/primo-explore/search?tab=default_tab&amp;search_scope=EVERYTHING&amp;vid=01CRU&amp;lang=en_US&amp;offset=0&amp;query=any,contains,991000126609702656","Catalog Record")</f>
        <v>Catalog Record</v>
      </c>
      <c r="AT1998" s="6" t="str">
        <f>HYPERLINK("http://www.worldcat.org/oclc/52189","WorldCat Record")</f>
        <v>WorldCat Record</v>
      </c>
      <c r="AU1998" s="3" t="s">
        <v>24400</v>
      </c>
      <c r="AV1998" s="3" t="s">
        <v>24401</v>
      </c>
      <c r="AW1998" s="3" t="s">
        <v>24402</v>
      </c>
      <c r="AX1998" s="3" t="s">
        <v>24402</v>
      </c>
      <c r="AY1998" s="3" t="s">
        <v>24403</v>
      </c>
      <c r="AZ1998" s="3" t="s">
        <v>73</v>
      </c>
      <c r="BB1998" s="3" t="s">
        <v>24404</v>
      </c>
      <c r="BC1998" s="3" t="s">
        <v>24405</v>
      </c>
      <c r="BD1998" s="3" t="s">
        <v>24406</v>
      </c>
    </row>
    <row r="1999" spans="1:56" ht="51" customHeight="1" x14ac:dyDescent="0.25">
      <c r="A1999" s="7" t="s">
        <v>58</v>
      </c>
      <c r="B1999" s="2" t="s">
        <v>24407</v>
      </c>
      <c r="C1999" s="2" t="s">
        <v>24408</v>
      </c>
      <c r="D1999" s="2" t="s">
        <v>24409</v>
      </c>
      <c r="F1999" s="3" t="s">
        <v>58</v>
      </c>
      <c r="G1999" s="3" t="s">
        <v>59</v>
      </c>
      <c r="H1999" s="3" t="s">
        <v>58</v>
      </c>
      <c r="I1999" s="3" t="s">
        <v>58</v>
      </c>
      <c r="J1999" s="3" t="s">
        <v>60</v>
      </c>
      <c r="K1999" s="2" t="s">
        <v>24410</v>
      </c>
      <c r="L1999" s="2" t="s">
        <v>24411</v>
      </c>
      <c r="M1999" s="3" t="s">
        <v>759</v>
      </c>
      <c r="O1999" s="3" t="s">
        <v>63</v>
      </c>
      <c r="P1999" s="3" t="s">
        <v>816</v>
      </c>
      <c r="Q1999" s="2" t="s">
        <v>24412</v>
      </c>
      <c r="R1999" s="3" t="s">
        <v>65</v>
      </c>
      <c r="S1999" s="4">
        <v>1</v>
      </c>
      <c r="T1999" s="4">
        <v>1</v>
      </c>
      <c r="U1999" s="5" t="s">
        <v>12204</v>
      </c>
      <c r="V1999" s="5" t="s">
        <v>12204</v>
      </c>
      <c r="W1999" s="5" t="s">
        <v>24038</v>
      </c>
      <c r="X1999" s="5" t="s">
        <v>24038</v>
      </c>
      <c r="Y1999" s="4">
        <v>440</v>
      </c>
      <c r="Z1999" s="4">
        <v>321</v>
      </c>
      <c r="AA1999" s="4">
        <v>372</v>
      </c>
      <c r="AB1999" s="4">
        <v>2</v>
      </c>
      <c r="AC1999" s="4">
        <v>3</v>
      </c>
      <c r="AD1999" s="4">
        <v>15</v>
      </c>
      <c r="AE1999" s="4">
        <v>22</v>
      </c>
      <c r="AF1999" s="4">
        <v>4</v>
      </c>
      <c r="AG1999" s="4">
        <v>9</v>
      </c>
      <c r="AH1999" s="4">
        <v>6</v>
      </c>
      <c r="AI1999" s="4">
        <v>7</v>
      </c>
      <c r="AJ1999" s="4">
        <v>8</v>
      </c>
      <c r="AK1999" s="4">
        <v>9</v>
      </c>
      <c r="AL1999" s="4">
        <v>1</v>
      </c>
      <c r="AM1999" s="4">
        <v>2</v>
      </c>
      <c r="AN1999" s="4">
        <v>0</v>
      </c>
      <c r="AO1999" s="4">
        <v>0</v>
      </c>
      <c r="AP1999" s="3" t="s">
        <v>58</v>
      </c>
      <c r="AQ1999" s="3" t="s">
        <v>68</v>
      </c>
      <c r="AR1999" s="6" t="str">
        <f>HYPERLINK("http://catalog.hathitrust.org/Record/000693077","HathiTrust Record")</f>
        <v>HathiTrust Record</v>
      </c>
      <c r="AS1999" s="6" t="str">
        <f>HYPERLINK("https://creighton-primo.hosted.exlibrisgroup.com/primo-explore/search?tab=default_tab&amp;search_scope=EVERYTHING&amp;vid=01CRU&amp;lang=en_US&amp;offset=0&amp;query=any,contains,991004974179702656","Catalog Record")</f>
        <v>Catalog Record</v>
      </c>
      <c r="AT1999" s="6" t="str">
        <f>HYPERLINK("http://www.worldcat.org/oclc/6378741","WorldCat Record")</f>
        <v>WorldCat Record</v>
      </c>
      <c r="AU1999" s="3" t="s">
        <v>24413</v>
      </c>
      <c r="AV1999" s="3" t="s">
        <v>24414</v>
      </c>
      <c r="AW1999" s="3" t="s">
        <v>24415</v>
      </c>
      <c r="AX1999" s="3" t="s">
        <v>24415</v>
      </c>
      <c r="AY1999" s="3" t="s">
        <v>24416</v>
      </c>
      <c r="AZ1999" s="3" t="s">
        <v>73</v>
      </c>
      <c r="BB1999" s="3" t="s">
        <v>24417</v>
      </c>
      <c r="BC1999" s="3" t="s">
        <v>24418</v>
      </c>
      <c r="BD1999" s="3" t="s">
        <v>24419</v>
      </c>
    </row>
    <row r="2000" spans="1:56" ht="51" customHeight="1" x14ac:dyDescent="0.25">
      <c r="A2000" s="7" t="s">
        <v>58</v>
      </c>
      <c r="B2000" s="2" t="s">
        <v>24420</v>
      </c>
      <c r="C2000" s="2" t="s">
        <v>24421</v>
      </c>
      <c r="D2000" s="2" t="s">
        <v>24422</v>
      </c>
      <c r="F2000" s="3" t="s">
        <v>58</v>
      </c>
      <c r="G2000" s="3" t="s">
        <v>59</v>
      </c>
      <c r="H2000" s="3" t="s">
        <v>58</v>
      </c>
      <c r="I2000" s="3" t="s">
        <v>58</v>
      </c>
      <c r="J2000" s="3" t="s">
        <v>60</v>
      </c>
      <c r="L2000" s="2" t="s">
        <v>24423</v>
      </c>
      <c r="M2000" s="3" t="s">
        <v>842</v>
      </c>
      <c r="O2000" s="3" t="s">
        <v>63</v>
      </c>
      <c r="P2000" s="3" t="s">
        <v>2630</v>
      </c>
      <c r="Q2000" s="2" t="s">
        <v>21300</v>
      </c>
      <c r="R2000" s="3" t="s">
        <v>65</v>
      </c>
      <c r="S2000" s="4">
        <v>2</v>
      </c>
      <c r="T2000" s="4">
        <v>2</v>
      </c>
      <c r="U2000" s="5" t="s">
        <v>12204</v>
      </c>
      <c r="V2000" s="5" t="s">
        <v>12204</v>
      </c>
      <c r="W2000" s="5" t="s">
        <v>17158</v>
      </c>
      <c r="X2000" s="5" t="s">
        <v>17158</v>
      </c>
      <c r="Y2000" s="4">
        <v>514</v>
      </c>
      <c r="Z2000" s="4">
        <v>384</v>
      </c>
      <c r="AA2000" s="4">
        <v>386</v>
      </c>
      <c r="AB2000" s="4">
        <v>3</v>
      </c>
      <c r="AC2000" s="4">
        <v>3</v>
      </c>
      <c r="AD2000" s="4">
        <v>21</v>
      </c>
      <c r="AE2000" s="4">
        <v>21</v>
      </c>
      <c r="AF2000" s="4">
        <v>7</v>
      </c>
      <c r="AG2000" s="4">
        <v>7</v>
      </c>
      <c r="AH2000" s="4">
        <v>6</v>
      </c>
      <c r="AI2000" s="4">
        <v>6</v>
      </c>
      <c r="AJ2000" s="4">
        <v>10</v>
      </c>
      <c r="AK2000" s="4">
        <v>10</v>
      </c>
      <c r="AL2000" s="4">
        <v>2</v>
      </c>
      <c r="AM2000" s="4">
        <v>2</v>
      </c>
      <c r="AN2000" s="4">
        <v>1</v>
      </c>
      <c r="AO2000" s="4">
        <v>1</v>
      </c>
      <c r="AP2000" s="3" t="s">
        <v>58</v>
      </c>
      <c r="AQ2000" s="3" t="s">
        <v>68</v>
      </c>
      <c r="AR2000" s="6" t="str">
        <f>HYPERLINK("http://catalog.hathitrust.org/Record/000224920","HathiTrust Record")</f>
        <v>HathiTrust Record</v>
      </c>
      <c r="AS2000" s="6" t="str">
        <f>HYPERLINK("https://creighton-primo.hosted.exlibrisgroup.com/primo-explore/search?tab=default_tab&amp;search_scope=EVERYTHING&amp;vid=01CRU&amp;lang=en_US&amp;offset=0&amp;query=any,contains,991005131319702656","Catalog Record")</f>
        <v>Catalog Record</v>
      </c>
      <c r="AT2000" s="6" t="str">
        <f>HYPERLINK("http://www.worldcat.org/oclc/7572684","WorldCat Record")</f>
        <v>WorldCat Record</v>
      </c>
      <c r="AU2000" s="3" t="s">
        <v>24424</v>
      </c>
      <c r="AV2000" s="3" t="s">
        <v>24425</v>
      </c>
      <c r="AW2000" s="3" t="s">
        <v>24426</v>
      </c>
      <c r="AX2000" s="3" t="s">
        <v>24426</v>
      </c>
      <c r="AY2000" s="3" t="s">
        <v>24427</v>
      </c>
      <c r="AZ2000" s="3" t="s">
        <v>73</v>
      </c>
      <c r="BB2000" s="3" t="s">
        <v>24428</v>
      </c>
      <c r="BC2000" s="3" t="s">
        <v>24429</v>
      </c>
      <c r="BD2000" s="3" t="s">
        <v>24430</v>
      </c>
    </row>
    <row r="2001" spans="1:56" ht="51" customHeight="1" x14ac:dyDescent="0.25">
      <c r="A2001" s="7" t="s">
        <v>58</v>
      </c>
      <c r="B2001" s="2" t="s">
        <v>24431</v>
      </c>
      <c r="C2001" s="2" t="s">
        <v>24432</v>
      </c>
      <c r="D2001" s="2" t="s">
        <v>24433</v>
      </c>
      <c r="E2001" s="3" t="s">
        <v>24434</v>
      </c>
      <c r="F2001" s="3" t="s">
        <v>58</v>
      </c>
      <c r="G2001" s="3" t="s">
        <v>59</v>
      </c>
      <c r="H2001" s="3" t="s">
        <v>58</v>
      </c>
      <c r="I2001" s="3" t="s">
        <v>58</v>
      </c>
      <c r="J2001" s="3" t="s">
        <v>60</v>
      </c>
      <c r="K2001" s="2" t="s">
        <v>24435</v>
      </c>
      <c r="L2001" s="2" t="s">
        <v>24436</v>
      </c>
      <c r="M2001" s="3" t="s">
        <v>1499</v>
      </c>
      <c r="O2001" s="3" t="s">
        <v>63</v>
      </c>
      <c r="P2001" s="3" t="s">
        <v>2061</v>
      </c>
      <c r="Q2001" s="2" t="s">
        <v>24437</v>
      </c>
      <c r="R2001" s="3" t="s">
        <v>65</v>
      </c>
      <c r="S2001" s="4">
        <v>0</v>
      </c>
      <c r="T2001" s="4">
        <v>0</v>
      </c>
      <c r="U2001" s="5" t="s">
        <v>23791</v>
      </c>
      <c r="V2001" s="5" t="s">
        <v>23791</v>
      </c>
      <c r="W2001" s="5" t="s">
        <v>2034</v>
      </c>
      <c r="X2001" s="5" t="s">
        <v>2034</v>
      </c>
      <c r="Y2001" s="4">
        <v>288</v>
      </c>
      <c r="Z2001" s="4">
        <v>249</v>
      </c>
      <c r="AA2001" s="4">
        <v>255</v>
      </c>
      <c r="AB2001" s="4">
        <v>2</v>
      </c>
      <c r="AC2001" s="4">
        <v>2</v>
      </c>
      <c r="AD2001" s="4">
        <v>16</v>
      </c>
      <c r="AE2001" s="4">
        <v>16</v>
      </c>
      <c r="AF2001" s="4">
        <v>7</v>
      </c>
      <c r="AG2001" s="4">
        <v>7</v>
      </c>
      <c r="AH2001" s="4">
        <v>6</v>
      </c>
      <c r="AI2001" s="4">
        <v>6</v>
      </c>
      <c r="AJ2001" s="4">
        <v>6</v>
      </c>
      <c r="AK2001" s="4">
        <v>6</v>
      </c>
      <c r="AL2001" s="4">
        <v>1</v>
      </c>
      <c r="AM2001" s="4">
        <v>1</v>
      </c>
      <c r="AN2001" s="4">
        <v>0</v>
      </c>
      <c r="AO2001" s="4">
        <v>0</v>
      </c>
      <c r="AP2001" s="3" t="s">
        <v>58</v>
      </c>
      <c r="AQ2001" s="3" t="s">
        <v>58</v>
      </c>
      <c r="AS2001" s="6" t="str">
        <f>HYPERLINK("https://creighton-primo.hosted.exlibrisgroup.com/primo-explore/search?tab=default_tab&amp;search_scope=EVERYTHING&amp;vid=01CRU&amp;lang=en_US&amp;offset=0&amp;query=any,contains,991001990909702656","Catalog Record")</f>
        <v>Catalog Record</v>
      </c>
      <c r="AT2001" s="6" t="str">
        <f>HYPERLINK("http://www.worldcat.org/oclc/633831522","WorldCat Record")</f>
        <v>WorldCat Record</v>
      </c>
      <c r="AU2001" s="3" t="s">
        <v>24438</v>
      </c>
      <c r="AV2001" s="3" t="s">
        <v>24439</v>
      </c>
      <c r="AW2001" s="3" t="s">
        <v>24440</v>
      </c>
      <c r="AX2001" s="3" t="s">
        <v>24440</v>
      </c>
      <c r="AY2001" s="3" t="s">
        <v>24441</v>
      </c>
      <c r="AZ2001" s="3" t="s">
        <v>73</v>
      </c>
      <c r="BC2001" s="3" t="s">
        <v>24442</v>
      </c>
      <c r="BD2001" s="3" t="s">
        <v>24443</v>
      </c>
    </row>
    <row r="2002" spans="1:56" ht="51" customHeight="1" x14ac:dyDescent="0.25">
      <c r="A2002" s="7" t="s">
        <v>58</v>
      </c>
      <c r="B2002" s="2" t="s">
        <v>24444</v>
      </c>
      <c r="C2002" s="2" t="s">
        <v>24445</v>
      </c>
      <c r="D2002" s="2" t="s">
        <v>24446</v>
      </c>
      <c r="F2002" s="3" t="s">
        <v>58</v>
      </c>
      <c r="G2002" s="3" t="s">
        <v>59</v>
      </c>
      <c r="H2002" s="3" t="s">
        <v>58</v>
      </c>
      <c r="I2002" s="3" t="s">
        <v>58</v>
      </c>
      <c r="J2002" s="3" t="s">
        <v>60</v>
      </c>
      <c r="K2002" s="2" t="s">
        <v>24447</v>
      </c>
      <c r="L2002" s="2" t="s">
        <v>24448</v>
      </c>
      <c r="M2002" s="3" t="s">
        <v>2214</v>
      </c>
      <c r="O2002" s="3" t="s">
        <v>63</v>
      </c>
      <c r="P2002" s="3" t="s">
        <v>510</v>
      </c>
      <c r="Q2002" s="2" t="s">
        <v>24449</v>
      </c>
      <c r="R2002" s="3" t="s">
        <v>65</v>
      </c>
      <c r="S2002" s="4">
        <v>2</v>
      </c>
      <c r="T2002" s="4">
        <v>2</v>
      </c>
      <c r="U2002" s="5" t="s">
        <v>24450</v>
      </c>
      <c r="V2002" s="5" t="s">
        <v>24450</v>
      </c>
      <c r="W2002" s="5" t="s">
        <v>24450</v>
      </c>
      <c r="X2002" s="5" t="s">
        <v>24450</v>
      </c>
      <c r="Y2002" s="4">
        <v>474</v>
      </c>
      <c r="Z2002" s="4">
        <v>387</v>
      </c>
      <c r="AA2002" s="4">
        <v>391</v>
      </c>
      <c r="AB2002" s="4">
        <v>2</v>
      </c>
      <c r="AC2002" s="4">
        <v>2</v>
      </c>
      <c r="AD2002" s="4">
        <v>18</v>
      </c>
      <c r="AE2002" s="4">
        <v>18</v>
      </c>
      <c r="AF2002" s="4">
        <v>7</v>
      </c>
      <c r="AG2002" s="4">
        <v>7</v>
      </c>
      <c r="AH2002" s="4">
        <v>5</v>
      </c>
      <c r="AI2002" s="4">
        <v>5</v>
      </c>
      <c r="AJ2002" s="4">
        <v>10</v>
      </c>
      <c r="AK2002" s="4">
        <v>10</v>
      </c>
      <c r="AL2002" s="4">
        <v>1</v>
      </c>
      <c r="AM2002" s="4">
        <v>1</v>
      </c>
      <c r="AN2002" s="4">
        <v>0</v>
      </c>
      <c r="AO2002" s="4">
        <v>0</v>
      </c>
      <c r="AP2002" s="3" t="s">
        <v>58</v>
      </c>
      <c r="AQ2002" s="3" t="s">
        <v>58</v>
      </c>
      <c r="AS2002" s="6" t="str">
        <f>HYPERLINK("https://creighton-primo.hosted.exlibrisgroup.com/primo-explore/search?tab=default_tab&amp;search_scope=EVERYTHING&amp;vid=01CRU&amp;lang=en_US&amp;offset=0&amp;query=any,contains,991004940679702656","Catalog Record")</f>
        <v>Catalog Record</v>
      </c>
      <c r="AT2002" s="6" t="str">
        <f>HYPERLINK("http://www.worldcat.org/oclc/49260208","WorldCat Record")</f>
        <v>WorldCat Record</v>
      </c>
      <c r="AU2002" s="3" t="s">
        <v>24451</v>
      </c>
      <c r="AV2002" s="3" t="s">
        <v>24452</v>
      </c>
      <c r="AW2002" s="3" t="s">
        <v>24453</v>
      </c>
      <c r="AX2002" s="3" t="s">
        <v>24453</v>
      </c>
      <c r="AY2002" s="3" t="s">
        <v>24454</v>
      </c>
      <c r="AZ2002" s="3" t="s">
        <v>73</v>
      </c>
      <c r="BB2002" s="3" t="s">
        <v>24455</v>
      </c>
      <c r="BC2002" s="3" t="s">
        <v>24456</v>
      </c>
      <c r="BD2002" s="3" t="s">
        <v>24457</v>
      </c>
    </row>
    <row r="2003" spans="1:56" ht="51" customHeight="1" x14ac:dyDescent="0.25">
      <c r="A2003" s="7" t="s">
        <v>58</v>
      </c>
      <c r="B2003" s="2" t="s">
        <v>24458</v>
      </c>
      <c r="C2003" s="2" t="s">
        <v>24459</v>
      </c>
      <c r="D2003" s="2" t="s">
        <v>24460</v>
      </c>
      <c r="F2003" s="3" t="s">
        <v>58</v>
      </c>
      <c r="G2003" s="3" t="s">
        <v>59</v>
      </c>
      <c r="H2003" s="3" t="s">
        <v>58</v>
      </c>
      <c r="I2003" s="3" t="s">
        <v>58</v>
      </c>
      <c r="J2003" s="3" t="s">
        <v>60</v>
      </c>
      <c r="K2003" s="2" t="s">
        <v>24447</v>
      </c>
      <c r="L2003" s="2" t="s">
        <v>24461</v>
      </c>
      <c r="M2003" s="3" t="s">
        <v>759</v>
      </c>
      <c r="O2003" s="3" t="s">
        <v>63</v>
      </c>
      <c r="P2003" s="3" t="s">
        <v>510</v>
      </c>
      <c r="R2003" s="3" t="s">
        <v>65</v>
      </c>
      <c r="S2003" s="4">
        <v>11</v>
      </c>
      <c r="T2003" s="4">
        <v>11</v>
      </c>
      <c r="U2003" s="5" t="s">
        <v>11149</v>
      </c>
      <c r="V2003" s="5" t="s">
        <v>11149</v>
      </c>
      <c r="W2003" s="5" t="s">
        <v>24038</v>
      </c>
      <c r="X2003" s="5" t="s">
        <v>24038</v>
      </c>
      <c r="Y2003" s="4">
        <v>823</v>
      </c>
      <c r="Z2003" s="4">
        <v>680</v>
      </c>
      <c r="AA2003" s="4">
        <v>682</v>
      </c>
      <c r="AB2003" s="4">
        <v>4</v>
      </c>
      <c r="AC2003" s="4">
        <v>4</v>
      </c>
      <c r="AD2003" s="4">
        <v>29</v>
      </c>
      <c r="AE2003" s="4">
        <v>29</v>
      </c>
      <c r="AF2003" s="4">
        <v>13</v>
      </c>
      <c r="AG2003" s="4">
        <v>13</v>
      </c>
      <c r="AH2003" s="4">
        <v>9</v>
      </c>
      <c r="AI2003" s="4">
        <v>9</v>
      </c>
      <c r="AJ2003" s="4">
        <v>14</v>
      </c>
      <c r="AK2003" s="4">
        <v>14</v>
      </c>
      <c r="AL2003" s="4">
        <v>3</v>
      </c>
      <c r="AM2003" s="4">
        <v>3</v>
      </c>
      <c r="AN2003" s="4">
        <v>0</v>
      </c>
      <c r="AO2003" s="4">
        <v>0</v>
      </c>
      <c r="AP2003" s="3" t="s">
        <v>58</v>
      </c>
      <c r="AQ2003" s="3" t="s">
        <v>58</v>
      </c>
      <c r="AS2003" s="6" t="str">
        <f>HYPERLINK("https://creighton-primo.hosted.exlibrisgroup.com/primo-explore/search?tab=default_tab&amp;search_scope=EVERYTHING&amp;vid=01CRU&amp;lang=en_US&amp;offset=0&amp;query=any,contains,991005378229702656","Catalog Record")</f>
        <v>Catalog Record</v>
      </c>
      <c r="AT2003" s="6" t="str">
        <f>HYPERLINK("http://www.worldcat.org/oclc/5310792","WorldCat Record")</f>
        <v>WorldCat Record</v>
      </c>
      <c r="AU2003" s="3" t="s">
        <v>24462</v>
      </c>
      <c r="AV2003" s="3" t="s">
        <v>24463</v>
      </c>
      <c r="AW2003" s="3" t="s">
        <v>24464</v>
      </c>
      <c r="AX2003" s="3" t="s">
        <v>24464</v>
      </c>
      <c r="AY2003" s="3" t="s">
        <v>24465</v>
      </c>
      <c r="AZ2003" s="3" t="s">
        <v>73</v>
      </c>
      <c r="BB2003" s="3" t="s">
        <v>24466</v>
      </c>
      <c r="BC2003" s="3" t="s">
        <v>24467</v>
      </c>
      <c r="BD2003" s="3" t="s">
        <v>24468</v>
      </c>
    </row>
    <row r="2004" spans="1:56" ht="51" customHeight="1" x14ac:dyDescent="0.25">
      <c r="A2004" s="7" t="s">
        <v>58</v>
      </c>
      <c r="B2004" s="2" t="s">
        <v>24469</v>
      </c>
      <c r="C2004" s="2" t="s">
        <v>24470</v>
      </c>
      <c r="D2004" s="2" t="s">
        <v>24471</v>
      </c>
      <c r="F2004" s="3" t="s">
        <v>58</v>
      </c>
      <c r="G2004" s="3" t="s">
        <v>59</v>
      </c>
      <c r="H2004" s="3" t="s">
        <v>58</v>
      </c>
      <c r="I2004" s="3" t="s">
        <v>58</v>
      </c>
      <c r="J2004" s="3" t="s">
        <v>60</v>
      </c>
      <c r="K2004" s="2" t="s">
        <v>24472</v>
      </c>
      <c r="L2004" s="2" t="s">
        <v>24473</v>
      </c>
      <c r="M2004" s="3" t="s">
        <v>83</v>
      </c>
      <c r="O2004" s="3" t="s">
        <v>63</v>
      </c>
      <c r="P2004" s="3" t="s">
        <v>816</v>
      </c>
      <c r="R2004" s="3" t="s">
        <v>65</v>
      </c>
      <c r="S2004" s="4">
        <v>12</v>
      </c>
      <c r="T2004" s="4">
        <v>12</v>
      </c>
      <c r="U2004" s="5" t="s">
        <v>11149</v>
      </c>
      <c r="V2004" s="5" t="s">
        <v>11149</v>
      </c>
      <c r="W2004" s="5" t="s">
        <v>24038</v>
      </c>
      <c r="X2004" s="5" t="s">
        <v>24038</v>
      </c>
      <c r="Y2004" s="4">
        <v>511</v>
      </c>
      <c r="Z2004" s="4">
        <v>456</v>
      </c>
      <c r="AA2004" s="4">
        <v>487</v>
      </c>
      <c r="AB2004" s="4">
        <v>2</v>
      </c>
      <c r="AC2004" s="4">
        <v>3</v>
      </c>
      <c r="AD2004" s="4">
        <v>19</v>
      </c>
      <c r="AE2004" s="4">
        <v>21</v>
      </c>
      <c r="AF2004" s="4">
        <v>10</v>
      </c>
      <c r="AG2004" s="4">
        <v>10</v>
      </c>
      <c r="AH2004" s="4">
        <v>4</v>
      </c>
      <c r="AI2004" s="4">
        <v>5</v>
      </c>
      <c r="AJ2004" s="4">
        <v>10</v>
      </c>
      <c r="AK2004" s="4">
        <v>10</v>
      </c>
      <c r="AL2004" s="4">
        <v>1</v>
      </c>
      <c r="AM2004" s="4">
        <v>2</v>
      </c>
      <c r="AN2004" s="4">
        <v>0</v>
      </c>
      <c r="AO2004" s="4">
        <v>0</v>
      </c>
      <c r="AP2004" s="3" t="s">
        <v>58</v>
      </c>
      <c r="AQ2004" s="3" t="s">
        <v>68</v>
      </c>
      <c r="AR2004" s="6" t="str">
        <f>HYPERLINK("http://catalog.hathitrust.org/Record/000089648","HathiTrust Record")</f>
        <v>HathiTrust Record</v>
      </c>
      <c r="AS2004" s="6" t="str">
        <f>HYPERLINK("https://creighton-primo.hosted.exlibrisgroup.com/primo-explore/search?tab=default_tab&amp;search_scope=EVERYTHING&amp;vid=01CRU&amp;lang=en_US&amp;offset=0&amp;query=any,contains,991005371279702656","Catalog Record")</f>
        <v>Catalog Record</v>
      </c>
      <c r="AT2004" s="6" t="str">
        <f>HYPERLINK("http://www.worldcat.org/oclc/3542846","WorldCat Record")</f>
        <v>WorldCat Record</v>
      </c>
      <c r="AU2004" s="3" t="s">
        <v>24474</v>
      </c>
      <c r="AV2004" s="3" t="s">
        <v>24475</v>
      </c>
      <c r="AW2004" s="3" t="s">
        <v>24476</v>
      </c>
      <c r="AX2004" s="3" t="s">
        <v>24476</v>
      </c>
      <c r="AY2004" s="3" t="s">
        <v>24477</v>
      </c>
      <c r="AZ2004" s="3" t="s">
        <v>73</v>
      </c>
      <c r="BB2004" s="3" t="s">
        <v>24478</v>
      </c>
      <c r="BC2004" s="3" t="s">
        <v>24479</v>
      </c>
      <c r="BD2004" s="3" t="s">
        <v>24480</v>
      </c>
    </row>
    <row r="2005" spans="1:56" ht="51" customHeight="1" x14ac:dyDescent="0.25">
      <c r="A2005" s="7" t="s">
        <v>58</v>
      </c>
      <c r="B2005" s="2" t="s">
        <v>24481</v>
      </c>
      <c r="C2005" s="2" t="s">
        <v>24482</v>
      </c>
      <c r="D2005" s="2" t="s">
        <v>24483</v>
      </c>
      <c r="F2005" s="3" t="s">
        <v>58</v>
      </c>
      <c r="G2005" s="3" t="s">
        <v>59</v>
      </c>
      <c r="H2005" s="3" t="s">
        <v>58</v>
      </c>
      <c r="I2005" s="3" t="s">
        <v>58</v>
      </c>
      <c r="J2005" s="3" t="s">
        <v>60</v>
      </c>
      <c r="K2005" s="2" t="s">
        <v>24484</v>
      </c>
      <c r="L2005" s="2" t="s">
        <v>24485</v>
      </c>
      <c r="M2005" s="3" t="s">
        <v>1399</v>
      </c>
      <c r="O2005" s="3" t="s">
        <v>63</v>
      </c>
      <c r="P2005" s="3" t="s">
        <v>584</v>
      </c>
      <c r="Q2005" s="2" t="s">
        <v>23866</v>
      </c>
      <c r="R2005" s="3" t="s">
        <v>65</v>
      </c>
      <c r="S2005" s="4">
        <v>3</v>
      </c>
      <c r="T2005" s="4">
        <v>3</v>
      </c>
      <c r="U2005" s="5" t="s">
        <v>23636</v>
      </c>
      <c r="V2005" s="5" t="s">
        <v>23636</v>
      </c>
      <c r="W2005" s="5" t="s">
        <v>24486</v>
      </c>
      <c r="X2005" s="5" t="s">
        <v>24486</v>
      </c>
      <c r="Y2005" s="4">
        <v>309</v>
      </c>
      <c r="Z2005" s="4">
        <v>227</v>
      </c>
      <c r="AA2005" s="4">
        <v>227</v>
      </c>
      <c r="AB2005" s="4">
        <v>3</v>
      </c>
      <c r="AC2005" s="4">
        <v>3</v>
      </c>
      <c r="AD2005" s="4">
        <v>10</v>
      </c>
      <c r="AE2005" s="4">
        <v>10</v>
      </c>
      <c r="AF2005" s="4">
        <v>1</v>
      </c>
      <c r="AG2005" s="4">
        <v>1</v>
      </c>
      <c r="AH2005" s="4">
        <v>4</v>
      </c>
      <c r="AI2005" s="4">
        <v>4</v>
      </c>
      <c r="AJ2005" s="4">
        <v>5</v>
      </c>
      <c r="AK2005" s="4">
        <v>5</v>
      </c>
      <c r="AL2005" s="4">
        <v>2</v>
      </c>
      <c r="AM2005" s="4">
        <v>2</v>
      </c>
      <c r="AN2005" s="4">
        <v>0</v>
      </c>
      <c r="AO2005" s="4">
        <v>0</v>
      </c>
      <c r="AP2005" s="3" t="s">
        <v>58</v>
      </c>
      <c r="AQ2005" s="3" t="s">
        <v>58</v>
      </c>
      <c r="AS2005" s="6" t="str">
        <f>HYPERLINK("https://creighton-primo.hosted.exlibrisgroup.com/primo-explore/search?tab=default_tab&amp;search_scope=EVERYTHING&amp;vid=01CRU&amp;lang=en_US&amp;offset=0&amp;query=any,contains,991001031549702656","Catalog Record")</f>
        <v>Catalog Record</v>
      </c>
      <c r="AT2005" s="6" t="str">
        <f>HYPERLINK("http://www.worldcat.org/oclc/15518675","WorldCat Record")</f>
        <v>WorldCat Record</v>
      </c>
      <c r="AU2005" s="3" t="s">
        <v>24487</v>
      </c>
      <c r="AV2005" s="3" t="s">
        <v>24488</v>
      </c>
      <c r="AW2005" s="3" t="s">
        <v>24489</v>
      </c>
      <c r="AX2005" s="3" t="s">
        <v>24489</v>
      </c>
      <c r="AY2005" s="3" t="s">
        <v>24490</v>
      </c>
      <c r="AZ2005" s="3" t="s">
        <v>73</v>
      </c>
      <c r="BB2005" s="3" t="s">
        <v>24491</v>
      </c>
      <c r="BC2005" s="3" t="s">
        <v>24492</v>
      </c>
      <c r="BD2005" s="3" t="s">
        <v>24493</v>
      </c>
    </row>
    <row r="2006" spans="1:56" ht="51" customHeight="1" x14ac:dyDescent="0.25">
      <c r="A2006" s="7" t="s">
        <v>58</v>
      </c>
      <c r="B2006" s="2" t="s">
        <v>24494</v>
      </c>
      <c r="C2006" s="2" t="s">
        <v>24495</v>
      </c>
      <c r="D2006" s="2" t="s">
        <v>24496</v>
      </c>
      <c r="F2006" s="3" t="s">
        <v>58</v>
      </c>
      <c r="G2006" s="3" t="s">
        <v>59</v>
      </c>
      <c r="H2006" s="3" t="s">
        <v>58</v>
      </c>
      <c r="I2006" s="3" t="s">
        <v>58</v>
      </c>
      <c r="J2006" s="3" t="s">
        <v>60</v>
      </c>
      <c r="L2006" s="2" t="s">
        <v>24497</v>
      </c>
      <c r="M2006" s="3" t="s">
        <v>2186</v>
      </c>
      <c r="O2006" s="3" t="s">
        <v>63</v>
      </c>
      <c r="P2006" s="3" t="s">
        <v>816</v>
      </c>
      <c r="R2006" s="3" t="s">
        <v>65</v>
      </c>
      <c r="S2006" s="4">
        <v>3</v>
      </c>
      <c r="T2006" s="4">
        <v>3</v>
      </c>
      <c r="U2006" s="5" t="s">
        <v>1143</v>
      </c>
      <c r="V2006" s="5" t="s">
        <v>1143</v>
      </c>
      <c r="W2006" s="5" t="s">
        <v>24498</v>
      </c>
      <c r="X2006" s="5" t="s">
        <v>24498</v>
      </c>
      <c r="Y2006" s="4">
        <v>580</v>
      </c>
      <c r="Z2006" s="4">
        <v>502</v>
      </c>
      <c r="AA2006" s="4">
        <v>544</v>
      </c>
      <c r="AB2006" s="4">
        <v>4</v>
      </c>
      <c r="AC2006" s="4">
        <v>4</v>
      </c>
      <c r="AD2006" s="4">
        <v>19</v>
      </c>
      <c r="AE2006" s="4">
        <v>20</v>
      </c>
      <c r="AF2006" s="4">
        <v>8</v>
      </c>
      <c r="AG2006" s="4">
        <v>9</v>
      </c>
      <c r="AH2006" s="4">
        <v>4</v>
      </c>
      <c r="AI2006" s="4">
        <v>4</v>
      </c>
      <c r="AJ2006" s="4">
        <v>8</v>
      </c>
      <c r="AK2006" s="4">
        <v>8</v>
      </c>
      <c r="AL2006" s="4">
        <v>3</v>
      </c>
      <c r="AM2006" s="4">
        <v>3</v>
      </c>
      <c r="AN2006" s="4">
        <v>0</v>
      </c>
      <c r="AO2006" s="4">
        <v>0</v>
      </c>
      <c r="AP2006" s="3" t="s">
        <v>58</v>
      </c>
      <c r="AQ2006" s="3" t="s">
        <v>58</v>
      </c>
      <c r="AS2006" s="6" t="str">
        <f>HYPERLINK("https://creighton-primo.hosted.exlibrisgroup.com/primo-explore/search?tab=default_tab&amp;search_scope=EVERYTHING&amp;vid=01CRU&amp;lang=en_US&amp;offset=0&amp;query=any,contains,991005292039702656","Catalog Record")</f>
        <v>Catalog Record</v>
      </c>
      <c r="AT2006" s="6" t="str">
        <f>HYPERLINK("http://www.worldcat.org/oclc/123119878","WorldCat Record")</f>
        <v>WorldCat Record</v>
      </c>
      <c r="AU2006" s="3" t="s">
        <v>24499</v>
      </c>
      <c r="AV2006" s="3" t="s">
        <v>24500</v>
      </c>
      <c r="AW2006" s="3" t="s">
        <v>24501</v>
      </c>
      <c r="AX2006" s="3" t="s">
        <v>24501</v>
      </c>
      <c r="AY2006" s="3" t="s">
        <v>24502</v>
      </c>
      <c r="AZ2006" s="3" t="s">
        <v>73</v>
      </c>
      <c r="BB2006" s="3" t="s">
        <v>24503</v>
      </c>
      <c r="BC2006" s="3" t="s">
        <v>24504</v>
      </c>
      <c r="BD2006" s="3" t="s">
        <v>24505</v>
      </c>
    </row>
    <row r="2007" spans="1:56" ht="51" customHeight="1" x14ac:dyDescent="0.25">
      <c r="A2007" s="7" t="s">
        <v>58</v>
      </c>
      <c r="B2007" s="2" t="s">
        <v>24506</v>
      </c>
      <c r="C2007" s="2" t="s">
        <v>24507</v>
      </c>
      <c r="D2007" s="2" t="s">
        <v>24508</v>
      </c>
      <c r="F2007" s="3" t="s">
        <v>58</v>
      </c>
      <c r="G2007" s="3" t="s">
        <v>59</v>
      </c>
      <c r="H2007" s="3" t="s">
        <v>58</v>
      </c>
      <c r="I2007" s="3" t="s">
        <v>58</v>
      </c>
      <c r="J2007" s="3" t="s">
        <v>60</v>
      </c>
      <c r="K2007" s="2" t="s">
        <v>24509</v>
      </c>
      <c r="L2007" s="2" t="s">
        <v>24510</v>
      </c>
      <c r="M2007" s="3" t="s">
        <v>1385</v>
      </c>
      <c r="O2007" s="3" t="s">
        <v>63</v>
      </c>
      <c r="P2007" s="3" t="s">
        <v>214</v>
      </c>
      <c r="R2007" s="3" t="s">
        <v>65</v>
      </c>
      <c r="S2007" s="4">
        <v>4</v>
      </c>
      <c r="T2007" s="4">
        <v>4</v>
      </c>
      <c r="U2007" s="5" t="s">
        <v>24511</v>
      </c>
      <c r="V2007" s="5" t="s">
        <v>24511</v>
      </c>
      <c r="W2007" s="5" t="s">
        <v>24512</v>
      </c>
      <c r="X2007" s="5" t="s">
        <v>24512</v>
      </c>
      <c r="Y2007" s="4">
        <v>709</v>
      </c>
      <c r="Z2007" s="4">
        <v>596</v>
      </c>
      <c r="AA2007" s="4">
        <v>596</v>
      </c>
      <c r="AB2007" s="4">
        <v>3</v>
      </c>
      <c r="AC2007" s="4">
        <v>3</v>
      </c>
      <c r="AD2007" s="4">
        <v>29</v>
      </c>
      <c r="AE2007" s="4">
        <v>29</v>
      </c>
      <c r="AF2007" s="4">
        <v>12</v>
      </c>
      <c r="AG2007" s="4">
        <v>12</v>
      </c>
      <c r="AH2007" s="4">
        <v>8</v>
      </c>
      <c r="AI2007" s="4">
        <v>8</v>
      </c>
      <c r="AJ2007" s="4">
        <v>16</v>
      </c>
      <c r="AK2007" s="4">
        <v>16</v>
      </c>
      <c r="AL2007" s="4">
        <v>2</v>
      </c>
      <c r="AM2007" s="4">
        <v>2</v>
      </c>
      <c r="AN2007" s="4">
        <v>0</v>
      </c>
      <c r="AO2007" s="4">
        <v>0</v>
      </c>
      <c r="AP2007" s="3" t="s">
        <v>58</v>
      </c>
      <c r="AQ2007" s="3" t="s">
        <v>58</v>
      </c>
      <c r="AS2007" s="6" t="str">
        <f>HYPERLINK("https://creighton-primo.hosted.exlibrisgroup.com/primo-explore/search?tab=default_tab&amp;search_scope=EVERYTHING&amp;vid=01CRU&amp;lang=en_US&amp;offset=0&amp;query=any,contains,991003206109702656","Catalog Record")</f>
        <v>Catalog Record</v>
      </c>
      <c r="AT2007" s="6" t="str">
        <f>HYPERLINK("http://www.worldcat.org/oclc/730822","WorldCat Record")</f>
        <v>WorldCat Record</v>
      </c>
      <c r="AU2007" s="3" t="s">
        <v>24513</v>
      </c>
      <c r="AV2007" s="3" t="s">
        <v>24514</v>
      </c>
      <c r="AW2007" s="3" t="s">
        <v>24515</v>
      </c>
      <c r="AX2007" s="3" t="s">
        <v>24515</v>
      </c>
      <c r="AY2007" s="3" t="s">
        <v>24516</v>
      </c>
      <c r="AZ2007" s="3" t="s">
        <v>73</v>
      </c>
      <c r="BB2007" s="3" t="s">
        <v>24517</v>
      </c>
      <c r="BC2007" s="3" t="s">
        <v>24518</v>
      </c>
      <c r="BD2007" s="3" t="s">
        <v>24519</v>
      </c>
    </row>
    <row r="2008" spans="1:56" ht="51" customHeight="1" x14ac:dyDescent="0.25">
      <c r="A2008" s="7" t="s">
        <v>58</v>
      </c>
      <c r="B2008" s="2" t="s">
        <v>24520</v>
      </c>
      <c r="C2008" s="2" t="s">
        <v>24521</v>
      </c>
      <c r="D2008" s="2" t="s">
        <v>24522</v>
      </c>
      <c r="F2008" s="3" t="s">
        <v>58</v>
      </c>
      <c r="G2008" s="3" t="s">
        <v>59</v>
      </c>
      <c r="H2008" s="3" t="s">
        <v>58</v>
      </c>
      <c r="I2008" s="3" t="s">
        <v>58</v>
      </c>
      <c r="J2008" s="3" t="s">
        <v>60</v>
      </c>
      <c r="K2008" s="2" t="s">
        <v>24523</v>
      </c>
      <c r="L2008" s="2" t="s">
        <v>24524</v>
      </c>
      <c r="M2008" s="3" t="s">
        <v>138</v>
      </c>
      <c r="O2008" s="3" t="s">
        <v>63</v>
      </c>
      <c r="P2008" s="3" t="s">
        <v>214</v>
      </c>
      <c r="R2008" s="3" t="s">
        <v>65</v>
      </c>
      <c r="S2008" s="4">
        <v>6</v>
      </c>
      <c r="T2008" s="4">
        <v>6</v>
      </c>
      <c r="U2008" s="5" t="s">
        <v>24525</v>
      </c>
      <c r="V2008" s="5" t="s">
        <v>24525</v>
      </c>
      <c r="W2008" s="5" t="s">
        <v>24038</v>
      </c>
      <c r="X2008" s="5" t="s">
        <v>24038</v>
      </c>
      <c r="Y2008" s="4">
        <v>623</v>
      </c>
      <c r="Z2008" s="4">
        <v>563</v>
      </c>
      <c r="AA2008" s="4">
        <v>589</v>
      </c>
      <c r="AB2008" s="4">
        <v>4</v>
      </c>
      <c r="AC2008" s="4">
        <v>4</v>
      </c>
      <c r="AD2008" s="4">
        <v>24</v>
      </c>
      <c r="AE2008" s="4">
        <v>25</v>
      </c>
      <c r="AF2008" s="4">
        <v>11</v>
      </c>
      <c r="AG2008" s="4">
        <v>11</v>
      </c>
      <c r="AH2008" s="4">
        <v>6</v>
      </c>
      <c r="AI2008" s="4">
        <v>7</v>
      </c>
      <c r="AJ2008" s="4">
        <v>11</v>
      </c>
      <c r="AK2008" s="4">
        <v>12</v>
      </c>
      <c r="AL2008" s="4">
        <v>3</v>
      </c>
      <c r="AM2008" s="4">
        <v>3</v>
      </c>
      <c r="AN2008" s="4">
        <v>0</v>
      </c>
      <c r="AO2008" s="4">
        <v>0</v>
      </c>
      <c r="AP2008" s="3" t="s">
        <v>58</v>
      </c>
      <c r="AQ2008" s="3" t="s">
        <v>68</v>
      </c>
      <c r="AR2008" s="6" t="str">
        <f>HYPERLINK("http://catalog.hathitrust.org/Record/000191420","HathiTrust Record")</f>
        <v>HathiTrust Record</v>
      </c>
      <c r="AS2008" s="6" t="str">
        <f>HYPERLINK("https://creighton-primo.hosted.exlibrisgroup.com/primo-explore/search?tab=default_tab&amp;search_scope=EVERYTHING&amp;vid=01CRU&amp;lang=en_US&amp;offset=0&amp;query=any,contains,991000037039702656","Catalog Record")</f>
        <v>Catalog Record</v>
      </c>
      <c r="AT2008" s="6" t="str">
        <f>HYPERLINK("http://www.worldcat.org/oclc/8627967","WorldCat Record")</f>
        <v>WorldCat Record</v>
      </c>
      <c r="AU2008" s="3" t="s">
        <v>24526</v>
      </c>
      <c r="AV2008" s="3" t="s">
        <v>24527</v>
      </c>
      <c r="AW2008" s="3" t="s">
        <v>24528</v>
      </c>
      <c r="AX2008" s="3" t="s">
        <v>24528</v>
      </c>
      <c r="AY2008" s="3" t="s">
        <v>24529</v>
      </c>
      <c r="AZ2008" s="3" t="s">
        <v>73</v>
      </c>
      <c r="BB2008" s="3" t="s">
        <v>24530</v>
      </c>
      <c r="BC2008" s="3" t="s">
        <v>24531</v>
      </c>
      <c r="BD2008" s="3" t="s">
        <v>24532</v>
      </c>
    </row>
    <row r="2009" spans="1:56" ht="51" customHeight="1" x14ac:dyDescent="0.25">
      <c r="A2009" s="7" t="s">
        <v>58</v>
      </c>
      <c r="B2009" s="2" t="s">
        <v>24533</v>
      </c>
      <c r="C2009" s="2" t="s">
        <v>24534</v>
      </c>
      <c r="D2009" s="2" t="s">
        <v>24535</v>
      </c>
      <c r="F2009" s="3" t="s">
        <v>58</v>
      </c>
      <c r="G2009" s="3" t="s">
        <v>59</v>
      </c>
      <c r="H2009" s="3" t="s">
        <v>58</v>
      </c>
      <c r="I2009" s="3" t="s">
        <v>58</v>
      </c>
      <c r="J2009" s="3" t="s">
        <v>60</v>
      </c>
      <c r="K2009" s="2" t="s">
        <v>24536</v>
      </c>
      <c r="L2009" s="2" t="s">
        <v>24537</v>
      </c>
      <c r="M2009" s="3" t="s">
        <v>1357</v>
      </c>
      <c r="O2009" s="3" t="s">
        <v>63</v>
      </c>
      <c r="P2009" s="3" t="s">
        <v>214</v>
      </c>
      <c r="Q2009" s="2" t="s">
        <v>24538</v>
      </c>
      <c r="R2009" s="3" t="s">
        <v>65</v>
      </c>
      <c r="S2009" s="4">
        <v>7</v>
      </c>
      <c r="T2009" s="4">
        <v>7</v>
      </c>
      <c r="U2009" s="5" t="s">
        <v>18842</v>
      </c>
      <c r="V2009" s="5" t="s">
        <v>18842</v>
      </c>
      <c r="W2009" s="5" t="s">
        <v>24539</v>
      </c>
      <c r="X2009" s="5" t="s">
        <v>24539</v>
      </c>
      <c r="Y2009" s="4">
        <v>389</v>
      </c>
      <c r="Z2009" s="4">
        <v>351</v>
      </c>
      <c r="AA2009" s="4">
        <v>464</v>
      </c>
      <c r="AB2009" s="4">
        <v>4</v>
      </c>
      <c r="AC2009" s="4">
        <v>4</v>
      </c>
      <c r="AD2009" s="4">
        <v>17</v>
      </c>
      <c r="AE2009" s="4">
        <v>21</v>
      </c>
      <c r="AF2009" s="4">
        <v>7</v>
      </c>
      <c r="AG2009" s="4">
        <v>8</v>
      </c>
      <c r="AH2009" s="4">
        <v>4</v>
      </c>
      <c r="AI2009" s="4">
        <v>6</v>
      </c>
      <c r="AJ2009" s="4">
        <v>8</v>
      </c>
      <c r="AK2009" s="4">
        <v>9</v>
      </c>
      <c r="AL2009" s="4">
        <v>3</v>
      </c>
      <c r="AM2009" s="4">
        <v>3</v>
      </c>
      <c r="AN2009" s="4">
        <v>0</v>
      </c>
      <c r="AO2009" s="4">
        <v>0</v>
      </c>
      <c r="AP2009" s="3" t="s">
        <v>58</v>
      </c>
      <c r="AQ2009" s="3" t="s">
        <v>58</v>
      </c>
      <c r="AS2009" s="6" t="str">
        <f>HYPERLINK("https://creighton-primo.hosted.exlibrisgroup.com/primo-explore/search?tab=default_tab&amp;search_scope=EVERYTHING&amp;vid=01CRU&amp;lang=en_US&amp;offset=0&amp;query=any,contains,991000542419702656","Catalog Record")</f>
        <v>Catalog Record</v>
      </c>
      <c r="AT2009" s="6" t="str">
        <f>HYPERLINK("http://www.worldcat.org/oclc/90726","WorldCat Record")</f>
        <v>WorldCat Record</v>
      </c>
      <c r="AU2009" s="3" t="s">
        <v>24540</v>
      </c>
      <c r="AV2009" s="3" t="s">
        <v>24541</v>
      </c>
      <c r="AW2009" s="3" t="s">
        <v>24542</v>
      </c>
      <c r="AX2009" s="3" t="s">
        <v>24542</v>
      </c>
      <c r="AY2009" s="3" t="s">
        <v>24543</v>
      </c>
      <c r="AZ2009" s="3" t="s">
        <v>73</v>
      </c>
      <c r="BC2009" s="3" t="s">
        <v>24544</v>
      </c>
      <c r="BD2009" s="3" t="s">
        <v>24545</v>
      </c>
    </row>
    <row r="2010" spans="1:56" ht="51" customHeight="1" x14ac:dyDescent="0.25">
      <c r="A2010" s="7" t="s">
        <v>58</v>
      </c>
      <c r="B2010" s="2" t="s">
        <v>24546</v>
      </c>
      <c r="C2010" s="2" t="s">
        <v>24547</v>
      </c>
      <c r="D2010" s="2" t="s">
        <v>24548</v>
      </c>
      <c r="F2010" s="3" t="s">
        <v>58</v>
      </c>
      <c r="G2010" s="3" t="s">
        <v>59</v>
      </c>
      <c r="H2010" s="3" t="s">
        <v>58</v>
      </c>
      <c r="I2010" s="3" t="s">
        <v>58</v>
      </c>
      <c r="J2010" s="3" t="s">
        <v>60</v>
      </c>
      <c r="K2010" s="2" t="s">
        <v>24549</v>
      </c>
      <c r="L2010" s="2" t="s">
        <v>1023</v>
      </c>
      <c r="M2010" s="3" t="s">
        <v>83</v>
      </c>
      <c r="N2010" s="2" t="s">
        <v>338</v>
      </c>
      <c r="O2010" s="3" t="s">
        <v>63</v>
      </c>
      <c r="P2010" s="3" t="s">
        <v>214</v>
      </c>
      <c r="R2010" s="3" t="s">
        <v>65</v>
      </c>
      <c r="S2010" s="4">
        <v>2</v>
      </c>
      <c r="T2010" s="4">
        <v>2</v>
      </c>
      <c r="U2010" s="5" t="s">
        <v>15765</v>
      </c>
      <c r="V2010" s="5" t="s">
        <v>15765</v>
      </c>
      <c r="W2010" s="5" t="s">
        <v>24038</v>
      </c>
      <c r="X2010" s="5" t="s">
        <v>24038</v>
      </c>
      <c r="Y2010" s="4">
        <v>892</v>
      </c>
      <c r="Z2010" s="4">
        <v>807</v>
      </c>
      <c r="AA2010" s="4">
        <v>824</v>
      </c>
      <c r="AB2010" s="4">
        <v>8</v>
      </c>
      <c r="AC2010" s="4">
        <v>8</v>
      </c>
      <c r="AD2010" s="4">
        <v>30</v>
      </c>
      <c r="AE2010" s="4">
        <v>30</v>
      </c>
      <c r="AF2010" s="4">
        <v>12</v>
      </c>
      <c r="AG2010" s="4">
        <v>12</v>
      </c>
      <c r="AH2010" s="4">
        <v>8</v>
      </c>
      <c r="AI2010" s="4">
        <v>8</v>
      </c>
      <c r="AJ2010" s="4">
        <v>12</v>
      </c>
      <c r="AK2010" s="4">
        <v>12</v>
      </c>
      <c r="AL2010" s="4">
        <v>5</v>
      </c>
      <c r="AM2010" s="4">
        <v>5</v>
      </c>
      <c r="AN2010" s="4">
        <v>0</v>
      </c>
      <c r="AO2010" s="4">
        <v>0</v>
      </c>
      <c r="AP2010" s="3" t="s">
        <v>58</v>
      </c>
      <c r="AQ2010" s="3" t="s">
        <v>68</v>
      </c>
      <c r="AR2010" s="6" t="str">
        <f>HYPERLINK("http://catalog.hathitrust.org/Record/000177746","HathiTrust Record")</f>
        <v>HathiTrust Record</v>
      </c>
      <c r="AS2010" s="6" t="str">
        <f>HYPERLINK("https://creighton-primo.hosted.exlibrisgroup.com/primo-explore/search?tab=default_tab&amp;search_scope=EVERYTHING&amp;vid=01CRU&amp;lang=en_US&amp;offset=0&amp;query=any,contains,991004572199702656","Catalog Record")</f>
        <v>Catalog Record</v>
      </c>
      <c r="AT2010" s="6" t="str">
        <f>HYPERLINK("http://www.worldcat.org/oclc/4036322","WorldCat Record")</f>
        <v>WorldCat Record</v>
      </c>
      <c r="AU2010" s="3" t="s">
        <v>24550</v>
      </c>
      <c r="AV2010" s="3" t="s">
        <v>24551</v>
      </c>
      <c r="AW2010" s="3" t="s">
        <v>24552</v>
      </c>
      <c r="AX2010" s="3" t="s">
        <v>24552</v>
      </c>
      <c r="AY2010" s="3" t="s">
        <v>24553</v>
      </c>
      <c r="AZ2010" s="3" t="s">
        <v>73</v>
      </c>
      <c r="BB2010" s="3" t="s">
        <v>24554</v>
      </c>
      <c r="BC2010" s="3" t="s">
        <v>24555</v>
      </c>
      <c r="BD2010" s="3" t="s">
        <v>24556</v>
      </c>
    </row>
    <row r="2011" spans="1:56" ht="51" customHeight="1" x14ac:dyDescent="0.25">
      <c r="A2011" s="7" t="s">
        <v>58</v>
      </c>
      <c r="B2011" s="2" t="s">
        <v>24557</v>
      </c>
      <c r="C2011" s="2" t="s">
        <v>24558</v>
      </c>
      <c r="D2011" s="2" t="s">
        <v>24559</v>
      </c>
      <c r="F2011" s="3" t="s">
        <v>58</v>
      </c>
      <c r="G2011" s="3" t="s">
        <v>59</v>
      </c>
      <c r="H2011" s="3" t="s">
        <v>58</v>
      </c>
      <c r="I2011" s="3" t="s">
        <v>58</v>
      </c>
      <c r="J2011" s="3" t="s">
        <v>60</v>
      </c>
      <c r="L2011" s="2" t="s">
        <v>24560</v>
      </c>
      <c r="M2011" s="3" t="s">
        <v>1153</v>
      </c>
      <c r="O2011" s="3" t="s">
        <v>63</v>
      </c>
      <c r="P2011" s="3" t="s">
        <v>510</v>
      </c>
      <c r="R2011" s="3" t="s">
        <v>65</v>
      </c>
      <c r="S2011" s="4">
        <v>6</v>
      </c>
      <c r="T2011" s="4">
        <v>6</v>
      </c>
      <c r="U2011" s="5" t="s">
        <v>24561</v>
      </c>
      <c r="V2011" s="5" t="s">
        <v>24561</v>
      </c>
      <c r="W2011" s="5" t="s">
        <v>24539</v>
      </c>
      <c r="X2011" s="5" t="s">
        <v>24539</v>
      </c>
      <c r="Y2011" s="4">
        <v>585</v>
      </c>
      <c r="Z2011" s="4">
        <v>470</v>
      </c>
      <c r="AA2011" s="4">
        <v>478</v>
      </c>
      <c r="AB2011" s="4">
        <v>4</v>
      </c>
      <c r="AC2011" s="4">
        <v>4</v>
      </c>
      <c r="AD2011" s="4">
        <v>23</v>
      </c>
      <c r="AE2011" s="4">
        <v>23</v>
      </c>
      <c r="AF2011" s="4">
        <v>8</v>
      </c>
      <c r="AG2011" s="4">
        <v>8</v>
      </c>
      <c r="AH2011" s="4">
        <v>5</v>
      </c>
      <c r="AI2011" s="4">
        <v>5</v>
      </c>
      <c r="AJ2011" s="4">
        <v>12</v>
      </c>
      <c r="AK2011" s="4">
        <v>12</v>
      </c>
      <c r="AL2011" s="4">
        <v>3</v>
      </c>
      <c r="AM2011" s="4">
        <v>3</v>
      </c>
      <c r="AN2011" s="4">
        <v>0</v>
      </c>
      <c r="AO2011" s="4">
        <v>0</v>
      </c>
      <c r="AP2011" s="3" t="s">
        <v>58</v>
      </c>
      <c r="AQ2011" s="3" t="s">
        <v>58</v>
      </c>
      <c r="AS2011" s="6" t="str">
        <f>HYPERLINK("https://creighton-primo.hosted.exlibrisgroup.com/primo-explore/search?tab=default_tab&amp;search_scope=EVERYTHING&amp;vid=01CRU&amp;lang=en_US&amp;offset=0&amp;query=any,contains,991003229229702656","Catalog Record")</f>
        <v>Catalog Record</v>
      </c>
      <c r="AT2011" s="6" t="str">
        <f>HYPERLINK("http://www.worldcat.org/oclc/754293","WorldCat Record")</f>
        <v>WorldCat Record</v>
      </c>
      <c r="AU2011" s="3" t="s">
        <v>24562</v>
      </c>
      <c r="AV2011" s="3" t="s">
        <v>24563</v>
      </c>
      <c r="AW2011" s="3" t="s">
        <v>24564</v>
      </c>
      <c r="AX2011" s="3" t="s">
        <v>24564</v>
      </c>
      <c r="AY2011" s="3" t="s">
        <v>24565</v>
      </c>
      <c r="AZ2011" s="3" t="s">
        <v>73</v>
      </c>
      <c r="BB2011" s="3" t="s">
        <v>24566</v>
      </c>
      <c r="BC2011" s="3" t="s">
        <v>24567</v>
      </c>
      <c r="BD2011" s="3" t="s">
        <v>24568</v>
      </c>
    </row>
    <row r="2012" spans="1:56" ht="51" customHeight="1" x14ac:dyDescent="0.25">
      <c r="A2012" s="7" t="s">
        <v>58</v>
      </c>
      <c r="B2012" s="2" t="s">
        <v>24569</v>
      </c>
      <c r="C2012" s="2" t="s">
        <v>24570</v>
      </c>
      <c r="D2012" s="2" t="s">
        <v>24571</v>
      </c>
      <c r="F2012" s="3" t="s">
        <v>58</v>
      </c>
      <c r="G2012" s="3" t="s">
        <v>59</v>
      </c>
      <c r="H2012" s="3" t="s">
        <v>58</v>
      </c>
      <c r="I2012" s="3" t="s">
        <v>58</v>
      </c>
      <c r="J2012" s="3" t="s">
        <v>60</v>
      </c>
      <c r="K2012" s="2" t="s">
        <v>23633</v>
      </c>
      <c r="L2012" s="2" t="s">
        <v>10681</v>
      </c>
      <c r="M2012" s="3" t="s">
        <v>745</v>
      </c>
      <c r="O2012" s="3" t="s">
        <v>63</v>
      </c>
      <c r="P2012" s="3" t="s">
        <v>2061</v>
      </c>
      <c r="R2012" s="3" t="s">
        <v>65</v>
      </c>
      <c r="S2012" s="4">
        <v>1</v>
      </c>
      <c r="T2012" s="4">
        <v>1</v>
      </c>
      <c r="U2012" s="5" t="s">
        <v>18842</v>
      </c>
      <c r="V2012" s="5" t="s">
        <v>18842</v>
      </c>
      <c r="W2012" s="5" t="s">
        <v>24572</v>
      </c>
      <c r="X2012" s="5" t="s">
        <v>24572</v>
      </c>
      <c r="Y2012" s="4">
        <v>685</v>
      </c>
      <c r="Z2012" s="4">
        <v>587</v>
      </c>
      <c r="AA2012" s="4">
        <v>619</v>
      </c>
      <c r="AB2012" s="4">
        <v>6</v>
      </c>
      <c r="AC2012" s="4">
        <v>6</v>
      </c>
      <c r="AD2012" s="4">
        <v>29</v>
      </c>
      <c r="AE2012" s="4">
        <v>29</v>
      </c>
      <c r="AF2012" s="4">
        <v>9</v>
      </c>
      <c r="AG2012" s="4">
        <v>9</v>
      </c>
      <c r="AH2012" s="4">
        <v>7</v>
      </c>
      <c r="AI2012" s="4">
        <v>7</v>
      </c>
      <c r="AJ2012" s="4">
        <v>15</v>
      </c>
      <c r="AK2012" s="4">
        <v>15</v>
      </c>
      <c r="AL2012" s="4">
        <v>5</v>
      </c>
      <c r="AM2012" s="4">
        <v>5</v>
      </c>
      <c r="AN2012" s="4">
        <v>0</v>
      </c>
      <c r="AO2012" s="4">
        <v>0</v>
      </c>
      <c r="AP2012" s="3" t="s">
        <v>58</v>
      </c>
      <c r="AQ2012" s="3" t="s">
        <v>58</v>
      </c>
      <c r="AS2012" s="6" t="str">
        <f>HYPERLINK("https://creighton-primo.hosted.exlibrisgroup.com/primo-explore/search?tab=default_tab&amp;search_scope=EVERYTHING&amp;vid=01CRU&amp;lang=en_US&amp;offset=0&amp;query=any,contains,991002254169702656","Catalog Record")</f>
        <v>Catalog Record</v>
      </c>
      <c r="AT2012" s="6" t="str">
        <f>HYPERLINK("http://www.worldcat.org/oclc/300850","WorldCat Record")</f>
        <v>WorldCat Record</v>
      </c>
      <c r="AU2012" s="3" t="s">
        <v>24573</v>
      </c>
      <c r="AV2012" s="3" t="s">
        <v>24574</v>
      </c>
      <c r="AW2012" s="3" t="s">
        <v>24575</v>
      </c>
      <c r="AX2012" s="3" t="s">
        <v>24575</v>
      </c>
      <c r="AY2012" s="3" t="s">
        <v>24576</v>
      </c>
      <c r="AZ2012" s="3" t="s">
        <v>73</v>
      </c>
      <c r="BC2012" s="3" t="s">
        <v>24577</v>
      </c>
      <c r="BD2012" s="3" t="s">
        <v>24578</v>
      </c>
    </row>
    <row r="2013" spans="1:56" ht="51" customHeight="1" x14ac:dyDescent="0.25">
      <c r="A2013" s="7" t="s">
        <v>58</v>
      </c>
      <c r="B2013" s="2" t="s">
        <v>24579</v>
      </c>
      <c r="C2013" s="2" t="s">
        <v>24580</v>
      </c>
      <c r="D2013" s="2" t="s">
        <v>24581</v>
      </c>
      <c r="F2013" s="3" t="s">
        <v>58</v>
      </c>
      <c r="G2013" s="3" t="s">
        <v>59</v>
      </c>
      <c r="H2013" s="3" t="s">
        <v>58</v>
      </c>
      <c r="I2013" s="3" t="s">
        <v>58</v>
      </c>
      <c r="J2013" s="3" t="s">
        <v>60</v>
      </c>
      <c r="K2013" s="2" t="s">
        <v>24582</v>
      </c>
      <c r="L2013" s="2" t="s">
        <v>24583</v>
      </c>
      <c r="M2013" s="3" t="s">
        <v>261</v>
      </c>
      <c r="O2013" s="3" t="s">
        <v>63</v>
      </c>
      <c r="P2013" s="3" t="s">
        <v>510</v>
      </c>
      <c r="Q2013" s="2" t="s">
        <v>24584</v>
      </c>
      <c r="R2013" s="3" t="s">
        <v>65</v>
      </c>
      <c r="S2013" s="4">
        <v>3</v>
      </c>
      <c r="T2013" s="4">
        <v>3</v>
      </c>
      <c r="U2013" s="5" t="s">
        <v>18842</v>
      </c>
      <c r="V2013" s="5" t="s">
        <v>18842</v>
      </c>
      <c r="W2013" s="5" t="s">
        <v>3630</v>
      </c>
      <c r="X2013" s="5" t="s">
        <v>3630</v>
      </c>
      <c r="Y2013" s="4">
        <v>385</v>
      </c>
      <c r="Z2013" s="4">
        <v>331</v>
      </c>
      <c r="AA2013" s="4">
        <v>366</v>
      </c>
      <c r="AB2013" s="4">
        <v>3</v>
      </c>
      <c r="AC2013" s="4">
        <v>3</v>
      </c>
      <c r="AD2013" s="4">
        <v>11</v>
      </c>
      <c r="AE2013" s="4">
        <v>11</v>
      </c>
      <c r="AF2013" s="4">
        <v>5</v>
      </c>
      <c r="AG2013" s="4">
        <v>5</v>
      </c>
      <c r="AH2013" s="4">
        <v>3</v>
      </c>
      <c r="AI2013" s="4">
        <v>3</v>
      </c>
      <c r="AJ2013" s="4">
        <v>5</v>
      </c>
      <c r="AK2013" s="4">
        <v>5</v>
      </c>
      <c r="AL2013" s="4">
        <v>2</v>
      </c>
      <c r="AM2013" s="4">
        <v>2</v>
      </c>
      <c r="AN2013" s="4">
        <v>0</v>
      </c>
      <c r="AO2013" s="4">
        <v>0</v>
      </c>
      <c r="AP2013" s="3" t="s">
        <v>58</v>
      </c>
      <c r="AQ2013" s="3" t="s">
        <v>58</v>
      </c>
      <c r="AS2013" s="6" t="str">
        <f>HYPERLINK("https://creighton-primo.hosted.exlibrisgroup.com/primo-explore/search?tab=default_tab&amp;search_scope=EVERYTHING&amp;vid=01CRU&amp;lang=en_US&amp;offset=0&amp;query=any,contains,991003574809702656","Catalog Record")</f>
        <v>Catalog Record</v>
      </c>
      <c r="AT2013" s="6" t="str">
        <f>HYPERLINK("http://www.worldcat.org/oclc/1151924","WorldCat Record")</f>
        <v>WorldCat Record</v>
      </c>
      <c r="AU2013" s="3" t="s">
        <v>24585</v>
      </c>
      <c r="AV2013" s="3" t="s">
        <v>24586</v>
      </c>
      <c r="AW2013" s="3" t="s">
        <v>24587</v>
      </c>
      <c r="AX2013" s="3" t="s">
        <v>24587</v>
      </c>
      <c r="AY2013" s="3" t="s">
        <v>24588</v>
      </c>
      <c r="AZ2013" s="3" t="s">
        <v>73</v>
      </c>
      <c r="BB2013" s="3" t="s">
        <v>24589</v>
      </c>
      <c r="BC2013" s="3" t="s">
        <v>24590</v>
      </c>
      <c r="BD2013" s="3" t="s">
        <v>24591</v>
      </c>
    </row>
    <row r="2014" spans="1:56" ht="51" customHeight="1" x14ac:dyDescent="0.25">
      <c r="A2014" s="7" t="s">
        <v>58</v>
      </c>
      <c r="B2014" s="2" t="s">
        <v>24592</v>
      </c>
      <c r="C2014" s="2" t="s">
        <v>24593</v>
      </c>
      <c r="D2014" s="2" t="s">
        <v>24594</v>
      </c>
      <c r="F2014" s="3" t="s">
        <v>58</v>
      </c>
      <c r="G2014" s="3" t="s">
        <v>59</v>
      </c>
      <c r="H2014" s="3" t="s">
        <v>58</v>
      </c>
      <c r="I2014" s="3" t="s">
        <v>58</v>
      </c>
      <c r="J2014" s="3" t="s">
        <v>60</v>
      </c>
      <c r="K2014" s="2" t="s">
        <v>24595</v>
      </c>
      <c r="L2014" s="2" t="s">
        <v>24596</v>
      </c>
      <c r="M2014" s="3" t="s">
        <v>2295</v>
      </c>
      <c r="N2014" s="2" t="s">
        <v>24597</v>
      </c>
      <c r="O2014" s="3" t="s">
        <v>63</v>
      </c>
      <c r="P2014" s="3" t="s">
        <v>816</v>
      </c>
      <c r="R2014" s="3" t="s">
        <v>65</v>
      </c>
      <c r="S2014" s="4">
        <v>3</v>
      </c>
      <c r="T2014" s="4">
        <v>3</v>
      </c>
      <c r="U2014" s="5" t="s">
        <v>24598</v>
      </c>
      <c r="V2014" s="5" t="s">
        <v>24598</v>
      </c>
      <c r="W2014" s="5" t="s">
        <v>24599</v>
      </c>
      <c r="X2014" s="5" t="s">
        <v>24599</v>
      </c>
      <c r="Y2014" s="4">
        <v>91</v>
      </c>
      <c r="Z2014" s="4">
        <v>66</v>
      </c>
      <c r="AA2014" s="4">
        <v>725</v>
      </c>
      <c r="AB2014" s="4">
        <v>1</v>
      </c>
      <c r="AC2014" s="4">
        <v>7</v>
      </c>
      <c r="AD2014" s="4">
        <v>1</v>
      </c>
      <c r="AE2014" s="4">
        <v>36</v>
      </c>
      <c r="AF2014" s="4">
        <v>0</v>
      </c>
      <c r="AG2014" s="4">
        <v>11</v>
      </c>
      <c r="AH2014" s="4">
        <v>1</v>
      </c>
      <c r="AI2014" s="4">
        <v>9</v>
      </c>
      <c r="AJ2014" s="4">
        <v>1</v>
      </c>
      <c r="AK2014" s="4">
        <v>18</v>
      </c>
      <c r="AL2014" s="4">
        <v>0</v>
      </c>
      <c r="AM2014" s="4">
        <v>6</v>
      </c>
      <c r="AN2014" s="4">
        <v>0</v>
      </c>
      <c r="AO2014" s="4">
        <v>1</v>
      </c>
      <c r="AP2014" s="3" t="s">
        <v>58</v>
      </c>
      <c r="AQ2014" s="3" t="s">
        <v>58</v>
      </c>
      <c r="AS2014" s="6" t="str">
        <f>HYPERLINK("https://creighton-primo.hosted.exlibrisgroup.com/primo-explore/search?tab=default_tab&amp;search_scope=EVERYTHING&amp;vid=01CRU&amp;lang=en_US&amp;offset=0&amp;query=any,contains,991004242109702656","Catalog Record")</f>
        <v>Catalog Record</v>
      </c>
      <c r="AT2014" s="6" t="str">
        <f>HYPERLINK("http://www.worldcat.org/oclc/54436613","WorldCat Record")</f>
        <v>WorldCat Record</v>
      </c>
      <c r="AU2014" s="3" t="s">
        <v>24600</v>
      </c>
      <c r="AV2014" s="3" t="s">
        <v>24601</v>
      </c>
      <c r="AW2014" s="3" t="s">
        <v>24602</v>
      </c>
      <c r="AX2014" s="3" t="s">
        <v>24602</v>
      </c>
      <c r="AY2014" s="3" t="s">
        <v>24603</v>
      </c>
      <c r="AZ2014" s="3" t="s">
        <v>73</v>
      </c>
      <c r="BB2014" s="3" t="s">
        <v>24604</v>
      </c>
      <c r="BC2014" s="3" t="s">
        <v>24605</v>
      </c>
      <c r="BD2014" s="3" t="s">
        <v>24606</v>
      </c>
    </row>
    <row r="2015" spans="1:56" ht="51" customHeight="1" x14ac:dyDescent="0.25">
      <c r="A2015" s="7" t="s">
        <v>58</v>
      </c>
      <c r="B2015" s="2" t="s">
        <v>24607</v>
      </c>
      <c r="C2015" s="2" t="s">
        <v>24608</v>
      </c>
      <c r="D2015" s="2" t="s">
        <v>24609</v>
      </c>
      <c r="F2015" s="3" t="s">
        <v>58</v>
      </c>
      <c r="G2015" s="3" t="s">
        <v>59</v>
      </c>
      <c r="H2015" s="3" t="s">
        <v>58</v>
      </c>
      <c r="I2015" s="3" t="s">
        <v>58</v>
      </c>
      <c r="J2015" s="3" t="s">
        <v>60</v>
      </c>
      <c r="K2015" s="2" t="s">
        <v>24610</v>
      </c>
      <c r="L2015" s="2" t="s">
        <v>10212</v>
      </c>
      <c r="M2015" s="3" t="s">
        <v>842</v>
      </c>
      <c r="O2015" s="3" t="s">
        <v>63</v>
      </c>
      <c r="P2015" s="3" t="s">
        <v>510</v>
      </c>
      <c r="R2015" s="3" t="s">
        <v>65</v>
      </c>
      <c r="S2015" s="4">
        <v>15</v>
      </c>
      <c r="T2015" s="4">
        <v>15</v>
      </c>
      <c r="U2015" s="5" t="s">
        <v>24611</v>
      </c>
      <c r="V2015" s="5" t="s">
        <v>24611</v>
      </c>
      <c r="W2015" s="5" t="s">
        <v>20145</v>
      </c>
      <c r="X2015" s="5" t="s">
        <v>20145</v>
      </c>
      <c r="Y2015" s="4">
        <v>921</v>
      </c>
      <c r="Z2015" s="4">
        <v>783</v>
      </c>
      <c r="AA2015" s="4">
        <v>916</v>
      </c>
      <c r="AB2015" s="4">
        <v>3</v>
      </c>
      <c r="AC2015" s="4">
        <v>3</v>
      </c>
      <c r="AD2015" s="4">
        <v>31</v>
      </c>
      <c r="AE2015" s="4">
        <v>36</v>
      </c>
      <c r="AF2015" s="4">
        <v>15</v>
      </c>
      <c r="AG2015" s="4">
        <v>19</v>
      </c>
      <c r="AH2015" s="4">
        <v>10</v>
      </c>
      <c r="AI2015" s="4">
        <v>11</v>
      </c>
      <c r="AJ2015" s="4">
        <v>17</v>
      </c>
      <c r="AK2015" s="4">
        <v>17</v>
      </c>
      <c r="AL2015" s="4">
        <v>2</v>
      </c>
      <c r="AM2015" s="4">
        <v>2</v>
      </c>
      <c r="AN2015" s="4">
        <v>0</v>
      </c>
      <c r="AO2015" s="4">
        <v>0</v>
      </c>
      <c r="AP2015" s="3" t="s">
        <v>58</v>
      </c>
      <c r="AQ2015" s="3" t="s">
        <v>58</v>
      </c>
      <c r="AS2015" s="6" t="str">
        <f>HYPERLINK("https://creighton-primo.hosted.exlibrisgroup.com/primo-explore/search?tab=default_tab&amp;search_scope=EVERYTHING&amp;vid=01CRU&amp;lang=en_US&amp;offset=0&amp;query=any,contains,991004956859702656","Catalog Record")</f>
        <v>Catalog Record</v>
      </c>
      <c r="AT2015" s="6" t="str">
        <f>HYPERLINK("http://www.worldcat.org/oclc/6280586","WorldCat Record")</f>
        <v>WorldCat Record</v>
      </c>
      <c r="AU2015" s="3" t="s">
        <v>24612</v>
      </c>
      <c r="AV2015" s="3" t="s">
        <v>24613</v>
      </c>
      <c r="AW2015" s="3" t="s">
        <v>24614</v>
      </c>
      <c r="AX2015" s="3" t="s">
        <v>24614</v>
      </c>
      <c r="AY2015" s="3" t="s">
        <v>24615</v>
      </c>
      <c r="AZ2015" s="3" t="s">
        <v>73</v>
      </c>
      <c r="BB2015" s="3" t="s">
        <v>24616</v>
      </c>
      <c r="BC2015" s="3" t="s">
        <v>24617</v>
      </c>
      <c r="BD2015" s="3" t="s">
        <v>24618</v>
      </c>
    </row>
    <row r="2016" spans="1:56" ht="51" customHeight="1" x14ac:dyDescent="0.25">
      <c r="A2016" s="7" t="s">
        <v>58</v>
      </c>
      <c r="B2016" s="2" t="s">
        <v>24619</v>
      </c>
      <c r="C2016" s="2" t="s">
        <v>24620</v>
      </c>
      <c r="D2016" s="2" t="s">
        <v>24621</v>
      </c>
      <c r="F2016" s="3" t="s">
        <v>58</v>
      </c>
      <c r="G2016" s="3" t="s">
        <v>59</v>
      </c>
      <c r="H2016" s="3" t="s">
        <v>58</v>
      </c>
      <c r="I2016" s="3" t="s">
        <v>58</v>
      </c>
      <c r="J2016" s="3" t="s">
        <v>60</v>
      </c>
      <c r="K2016" s="2" t="s">
        <v>23494</v>
      </c>
      <c r="L2016" s="2" t="s">
        <v>24622</v>
      </c>
      <c r="M2016" s="3" t="s">
        <v>2757</v>
      </c>
      <c r="O2016" s="3" t="s">
        <v>63</v>
      </c>
      <c r="P2016" s="3" t="s">
        <v>2061</v>
      </c>
      <c r="Q2016" s="2" t="s">
        <v>24623</v>
      </c>
      <c r="R2016" s="3" t="s">
        <v>65</v>
      </c>
      <c r="S2016" s="4">
        <v>6</v>
      </c>
      <c r="T2016" s="4">
        <v>6</v>
      </c>
      <c r="U2016" s="5" t="s">
        <v>24624</v>
      </c>
      <c r="V2016" s="5" t="s">
        <v>24624</v>
      </c>
      <c r="W2016" s="5" t="s">
        <v>14024</v>
      </c>
      <c r="X2016" s="5" t="s">
        <v>14024</v>
      </c>
      <c r="Y2016" s="4">
        <v>649</v>
      </c>
      <c r="Z2016" s="4">
        <v>545</v>
      </c>
      <c r="AA2016" s="4">
        <v>554</v>
      </c>
      <c r="AB2016" s="4">
        <v>5</v>
      </c>
      <c r="AC2016" s="4">
        <v>5</v>
      </c>
      <c r="AD2016" s="4">
        <v>29</v>
      </c>
      <c r="AE2016" s="4">
        <v>29</v>
      </c>
      <c r="AF2016" s="4">
        <v>8</v>
      </c>
      <c r="AG2016" s="4">
        <v>8</v>
      </c>
      <c r="AH2016" s="4">
        <v>6</v>
      </c>
      <c r="AI2016" s="4">
        <v>6</v>
      </c>
      <c r="AJ2016" s="4">
        <v>16</v>
      </c>
      <c r="AK2016" s="4">
        <v>16</v>
      </c>
      <c r="AL2016" s="4">
        <v>4</v>
      </c>
      <c r="AM2016" s="4">
        <v>4</v>
      </c>
      <c r="AN2016" s="4">
        <v>1</v>
      </c>
      <c r="AO2016" s="4">
        <v>1</v>
      </c>
      <c r="AP2016" s="3" t="s">
        <v>58</v>
      </c>
      <c r="AQ2016" s="3" t="s">
        <v>68</v>
      </c>
      <c r="AR2016" s="6" t="str">
        <f>HYPERLINK("http://catalog.hathitrust.org/Record/000123565","HathiTrust Record")</f>
        <v>HathiTrust Record</v>
      </c>
      <c r="AS2016" s="6" t="str">
        <f>HYPERLINK("https://creighton-primo.hosted.exlibrisgroup.com/primo-explore/search?tab=default_tab&amp;search_scope=EVERYTHING&amp;vid=01CRU&amp;lang=en_US&amp;offset=0&amp;query=any,contains,991002718959702656","Catalog Record")</f>
        <v>Catalog Record</v>
      </c>
      <c r="AT2016" s="6" t="str">
        <f>HYPERLINK("http://www.worldcat.org/oclc/412075","WorldCat Record")</f>
        <v>WorldCat Record</v>
      </c>
      <c r="AU2016" s="3" t="s">
        <v>24625</v>
      </c>
      <c r="AV2016" s="3" t="s">
        <v>24626</v>
      </c>
      <c r="AW2016" s="3" t="s">
        <v>24627</v>
      </c>
      <c r="AX2016" s="3" t="s">
        <v>24627</v>
      </c>
      <c r="AY2016" s="3" t="s">
        <v>24628</v>
      </c>
      <c r="AZ2016" s="3" t="s">
        <v>73</v>
      </c>
      <c r="BC2016" s="3" t="s">
        <v>24629</v>
      </c>
      <c r="BD2016" s="3" t="s">
        <v>24630</v>
      </c>
    </row>
    <row r="2017" spans="1:56" ht="51" customHeight="1" x14ac:dyDescent="0.25">
      <c r="A2017" s="7" t="s">
        <v>58</v>
      </c>
      <c r="B2017" s="2" t="s">
        <v>24631</v>
      </c>
      <c r="C2017" s="2" t="s">
        <v>24632</v>
      </c>
      <c r="D2017" s="2" t="s">
        <v>24633</v>
      </c>
      <c r="F2017" s="3" t="s">
        <v>58</v>
      </c>
      <c r="G2017" s="3" t="s">
        <v>59</v>
      </c>
      <c r="H2017" s="3" t="s">
        <v>58</v>
      </c>
      <c r="I2017" s="3" t="s">
        <v>58</v>
      </c>
      <c r="J2017" s="3" t="s">
        <v>60</v>
      </c>
      <c r="K2017" s="2" t="s">
        <v>24634</v>
      </c>
      <c r="L2017" s="2" t="s">
        <v>24635</v>
      </c>
      <c r="M2017" s="3" t="s">
        <v>249</v>
      </c>
      <c r="O2017" s="3" t="s">
        <v>63</v>
      </c>
      <c r="P2017" s="3" t="s">
        <v>571</v>
      </c>
      <c r="R2017" s="3" t="s">
        <v>65</v>
      </c>
      <c r="S2017" s="4">
        <v>3</v>
      </c>
      <c r="T2017" s="4">
        <v>3</v>
      </c>
      <c r="U2017" s="5" t="s">
        <v>24636</v>
      </c>
      <c r="V2017" s="5" t="s">
        <v>24636</v>
      </c>
      <c r="W2017" s="5" t="s">
        <v>572</v>
      </c>
      <c r="X2017" s="5" t="s">
        <v>572</v>
      </c>
      <c r="Y2017" s="4">
        <v>442</v>
      </c>
      <c r="Z2017" s="4">
        <v>403</v>
      </c>
      <c r="AA2017" s="4">
        <v>603</v>
      </c>
      <c r="AB2017" s="4">
        <v>4</v>
      </c>
      <c r="AC2017" s="4">
        <v>6</v>
      </c>
      <c r="AD2017" s="4">
        <v>20</v>
      </c>
      <c r="AE2017" s="4">
        <v>31</v>
      </c>
      <c r="AF2017" s="4">
        <v>7</v>
      </c>
      <c r="AG2017" s="4">
        <v>11</v>
      </c>
      <c r="AH2017" s="4">
        <v>5</v>
      </c>
      <c r="AI2017" s="4">
        <v>7</v>
      </c>
      <c r="AJ2017" s="4">
        <v>10</v>
      </c>
      <c r="AK2017" s="4">
        <v>16</v>
      </c>
      <c r="AL2017" s="4">
        <v>3</v>
      </c>
      <c r="AM2017" s="4">
        <v>5</v>
      </c>
      <c r="AN2017" s="4">
        <v>0</v>
      </c>
      <c r="AO2017" s="4">
        <v>0</v>
      </c>
      <c r="AP2017" s="3" t="s">
        <v>58</v>
      </c>
      <c r="AQ2017" s="3" t="s">
        <v>68</v>
      </c>
      <c r="AR2017" s="6" t="str">
        <f>HYPERLINK("http://catalog.hathitrust.org/Record/001257934","HathiTrust Record")</f>
        <v>HathiTrust Record</v>
      </c>
      <c r="AS2017" s="6" t="str">
        <f>HYPERLINK("https://creighton-primo.hosted.exlibrisgroup.com/primo-explore/search?tab=default_tab&amp;search_scope=EVERYTHING&amp;vid=01CRU&amp;lang=en_US&amp;offset=0&amp;query=any,contains,991002397649702656","Catalog Record")</f>
        <v>Catalog Record</v>
      </c>
      <c r="AT2017" s="6" t="str">
        <f>HYPERLINK("http://www.worldcat.org/oclc/335275","WorldCat Record")</f>
        <v>WorldCat Record</v>
      </c>
      <c r="AU2017" s="3" t="s">
        <v>24637</v>
      </c>
      <c r="AV2017" s="3" t="s">
        <v>24638</v>
      </c>
      <c r="AW2017" s="3" t="s">
        <v>24639</v>
      </c>
      <c r="AX2017" s="3" t="s">
        <v>24639</v>
      </c>
      <c r="AY2017" s="3" t="s">
        <v>24640</v>
      </c>
      <c r="AZ2017" s="3" t="s">
        <v>73</v>
      </c>
      <c r="BC2017" s="3" t="s">
        <v>24641</v>
      </c>
      <c r="BD2017" s="3" t="s">
        <v>24642</v>
      </c>
    </row>
    <row r="2018" spans="1:56" ht="51" customHeight="1" x14ac:dyDescent="0.25">
      <c r="A2018" s="7" t="s">
        <v>58</v>
      </c>
      <c r="B2018" s="2" t="s">
        <v>24643</v>
      </c>
      <c r="C2018" s="2" t="s">
        <v>24644</v>
      </c>
      <c r="D2018" s="2" t="s">
        <v>24645</v>
      </c>
      <c r="F2018" s="3" t="s">
        <v>58</v>
      </c>
      <c r="G2018" s="3" t="s">
        <v>59</v>
      </c>
      <c r="H2018" s="3" t="s">
        <v>58</v>
      </c>
      <c r="I2018" s="3" t="s">
        <v>58</v>
      </c>
      <c r="J2018" s="3" t="s">
        <v>60</v>
      </c>
      <c r="K2018" s="2" t="s">
        <v>24646</v>
      </c>
      <c r="L2018" s="2" t="s">
        <v>24647</v>
      </c>
      <c r="M2018" s="3" t="s">
        <v>1357</v>
      </c>
      <c r="O2018" s="3" t="s">
        <v>63</v>
      </c>
      <c r="P2018" s="3" t="s">
        <v>13185</v>
      </c>
      <c r="Q2018" s="2" t="s">
        <v>24648</v>
      </c>
      <c r="R2018" s="3" t="s">
        <v>65</v>
      </c>
      <c r="S2018" s="4">
        <v>2</v>
      </c>
      <c r="T2018" s="4">
        <v>2</v>
      </c>
      <c r="U2018" s="5" t="s">
        <v>24649</v>
      </c>
      <c r="V2018" s="5" t="s">
        <v>24649</v>
      </c>
      <c r="W2018" s="5" t="s">
        <v>572</v>
      </c>
      <c r="X2018" s="5" t="s">
        <v>572</v>
      </c>
      <c r="Y2018" s="4">
        <v>510</v>
      </c>
      <c r="Z2018" s="4">
        <v>415</v>
      </c>
      <c r="AA2018" s="4">
        <v>418</v>
      </c>
      <c r="AB2018" s="4">
        <v>3</v>
      </c>
      <c r="AC2018" s="4">
        <v>3</v>
      </c>
      <c r="AD2018" s="4">
        <v>24</v>
      </c>
      <c r="AE2018" s="4">
        <v>24</v>
      </c>
      <c r="AF2018" s="4">
        <v>8</v>
      </c>
      <c r="AG2018" s="4">
        <v>8</v>
      </c>
      <c r="AH2018" s="4">
        <v>8</v>
      </c>
      <c r="AI2018" s="4">
        <v>8</v>
      </c>
      <c r="AJ2018" s="4">
        <v>12</v>
      </c>
      <c r="AK2018" s="4">
        <v>12</v>
      </c>
      <c r="AL2018" s="4">
        <v>2</v>
      </c>
      <c r="AM2018" s="4">
        <v>2</v>
      </c>
      <c r="AN2018" s="4">
        <v>0</v>
      </c>
      <c r="AO2018" s="4">
        <v>0</v>
      </c>
      <c r="AP2018" s="3" t="s">
        <v>58</v>
      </c>
      <c r="AQ2018" s="3" t="s">
        <v>68</v>
      </c>
      <c r="AR2018" s="6" t="str">
        <f>HYPERLINK("http://catalog.hathitrust.org/Record/000148520","HathiTrust Record")</f>
        <v>HathiTrust Record</v>
      </c>
      <c r="AS2018" s="6" t="str">
        <f>HYPERLINK("https://creighton-primo.hosted.exlibrisgroup.com/primo-explore/search?tab=default_tab&amp;search_scope=EVERYTHING&amp;vid=01CRU&amp;lang=en_US&amp;offset=0&amp;query=any,contains,991000219029702656","Catalog Record")</f>
        <v>Catalog Record</v>
      </c>
      <c r="AT2018" s="6" t="str">
        <f>HYPERLINK("http://www.worldcat.org/oclc/67493","WorldCat Record")</f>
        <v>WorldCat Record</v>
      </c>
      <c r="AU2018" s="3" t="s">
        <v>24650</v>
      </c>
      <c r="AV2018" s="3" t="s">
        <v>24651</v>
      </c>
      <c r="AW2018" s="3" t="s">
        <v>24652</v>
      </c>
      <c r="AX2018" s="3" t="s">
        <v>24652</v>
      </c>
      <c r="AY2018" s="3" t="s">
        <v>24653</v>
      </c>
      <c r="AZ2018" s="3" t="s">
        <v>73</v>
      </c>
      <c r="BB2018" s="3" t="s">
        <v>24654</v>
      </c>
      <c r="BC2018" s="3" t="s">
        <v>24655</v>
      </c>
      <c r="BD2018" s="3" t="s">
        <v>24656</v>
      </c>
    </row>
    <row r="2019" spans="1:56" ht="51" customHeight="1" x14ac:dyDescent="0.25">
      <c r="A2019" s="7" t="s">
        <v>58</v>
      </c>
      <c r="B2019" s="2" t="s">
        <v>24657</v>
      </c>
      <c r="C2019" s="2" t="s">
        <v>24658</v>
      </c>
      <c r="D2019" s="2" t="s">
        <v>24659</v>
      </c>
      <c r="F2019" s="3" t="s">
        <v>58</v>
      </c>
      <c r="G2019" s="3" t="s">
        <v>59</v>
      </c>
      <c r="H2019" s="3" t="s">
        <v>58</v>
      </c>
      <c r="I2019" s="3" t="s">
        <v>58</v>
      </c>
      <c r="J2019" s="3" t="s">
        <v>60</v>
      </c>
      <c r="K2019" s="2" t="s">
        <v>24660</v>
      </c>
      <c r="L2019" s="2" t="s">
        <v>24661</v>
      </c>
      <c r="M2019" s="3" t="s">
        <v>951</v>
      </c>
      <c r="N2019" s="2" t="s">
        <v>8783</v>
      </c>
      <c r="O2019" s="3" t="s">
        <v>63</v>
      </c>
      <c r="P2019" s="3" t="s">
        <v>214</v>
      </c>
      <c r="R2019" s="3" t="s">
        <v>65</v>
      </c>
      <c r="S2019" s="4">
        <v>9</v>
      </c>
      <c r="T2019" s="4">
        <v>9</v>
      </c>
      <c r="U2019" s="5" t="s">
        <v>24662</v>
      </c>
      <c r="V2019" s="5" t="s">
        <v>24662</v>
      </c>
      <c r="W2019" s="5" t="s">
        <v>24663</v>
      </c>
      <c r="X2019" s="5" t="s">
        <v>24663</v>
      </c>
      <c r="Y2019" s="4">
        <v>535</v>
      </c>
      <c r="Z2019" s="4">
        <v>368</v>
      </c>
      <c r="AA2019" s="4">
        <v>1625</v>
      </c>
      <c r="AB2019" s="4">
        <v>5</v>
      </c>
      <c r="AC2019" s="4">
        <v>14</v>
      </c>
      <c r="AD2019" s="4">
        <v>17</v>
      </c>
      <c r="AE2019" s="4">
        <v>55</v>
      </c>
      <c r="AF2019" s="4">
        <v>5</v>
      </c>
      <c r="AG2019" s="4">
        <v>25</v>
      </c>
      <c r="AH2019" s="4">
        <v>5</v>
      </c>
      <c r="AI2019" s="4">
        <v>8</v>
      </c>
      <c r="AJ2019" s="4">
        <v>10</v>
      </c>
      <c r="AK2019" s="4">
        <v>23</v>
      </c>
      <c r="AL2019" s="4">
        <v>3</v>
      </c>
      <c r="AM2019" s="4">
        <v>9</v>
      </c>
      <c r="AN2019" s="4">
        <v>0</v>
      </c>
      <c r="AO2019" s="4">
        <v>2</v>
      </c>
      <c r="AP2019" s="3" t="s">
        <v>58</v>
      </c>
      <c r="AQ2019" s="3" t="s">
        <v>58</v>
      </c>
      <c r="AS2019" s="6" t="str">
        <f>HYPERLINK("https://creighton-primo.hosted.exlibrisgroup.com/primo-explore/search?tab=default_tab&amp;search_scope=EVERYTHING&amp;vid=01CRU&amp;lang=en_US&amp;offset=0&amp;query=any,contains,991002999099702656","Catalog Record")</f>
        <v>Catalog Record</v>
      </c>
      <c r="AT2019" s="6" t="str">
        <f>HYPERLINK("http://www.worldcat.org/oclc/40595619","WorldCat Record")</f>
        <v>WorldCat Record</v>
      </c>
      <c r="AU2019" s="3" t="s">
        <v>24664</v>
      </c>
      <c r="AV2019" s="3" t="s">
        <v>24665</v>
      </c>
      <c r="AW2019" s="3" t="s">
        <v>24666</v>
      </c>
      <c r="AX2019" s="3" t="s">
        <v>24666</v>
      </c>
      <c r="AY2019" s="3" t="s">
        <v>24667</v>
      </c>
      <c r="AZ2019" s="3" t="s">
        <v>73</v>
      </c>
      <c r="BB2019" s="3" t="s">
        <v>24668</v>
      </c>
      <c r="BC2019" s="3" t="s">
        <v>24669</v>
      </c>
      <c r="BD2019" s="3" t="s">
        <v>24670</v>
      </c>
    </row>
    <row r="2020" spans="1:56" ht="51" customHeight="1" x14ac:dyDescent="0.25">
      <c r="A2020" s="7" t="s">
        <v>58</v>
      </c>
      <c r="B2020" s="2" t="s">
        <v>24671</v>
      </c>
      <c r="C2020" s="2" t="s">
        <v>24672</v>
      </c>
      <c r="D2020" s="2" t="s">
        <v>24673</v>
      </c>
      <c r="F2020" s="3" t="s">
        <v>58</v>
      </c>
      <c r="G2020" s="3" t="s">
        <v>59</v>
      </c>
      <c r="H2020" s="3" t="s">
        <v>58</v>
      </c>
      <c r="I2020" s="3" t="s">
        <v>58</v>
      </c>
      <c r="J2020" s="3" t="s">
        <v>60</v>
      </c>
      <c r="L2020" s="2" t="s">
        <v>24674</v>
      </c>
      <c r="M2020" s="3" t="s">
        <v>1357</v>
      </c>
      <c r="O2020" s="3" t="s">
        <v>63</v>
      </c>
      <c r="P2020" s="3" t="s">
        <v>214</v>
      </c>
      <c r="R2020" s="3" t="s">
        <v>65</v>
      </c>
      <c r="S2020" s="4">
        <v>3</v>
      </c>
      <c r="T2020" s="4">
        <v>3</v>
      </c>
      <c r="U2020" s="5" t="s">
        <v>4102</v>
      </c>
      <c r="V2020" s="5" t="s">
        <v>4102</v>
      </c>
      <c r="W2020" s="5" t="s">
        <v>2034</v>
      </c>
      <c r="X2020" s="5" t="s">
        <v>2034</v>
      </c>
      <c r="Y2020" s="4">
        <v>661</v>
      </c>
      <c r="Z2020" s="4">
        <v>521</v>
      </c>
      <c r="AA2020" s="4">
        <v>526</v>
      </c>
      <c r="AB2020" s="4">
        <v>5</v>
      </c>
      <c r="AC2020" s="4">
        <v>5</v>
      </c>
      <c r="AD2020" s="4">
        <v>30</v>
      </c>
      <c r="AE2020" s="4">
        <v>30</v>
      </c>
      <c r="AF2020" s="4">
        <v>12</v>
      </c>
      <c r="AG2020" s="4">
        <v>12</v>
      </c>
      <c r="AH2020" s="4">
        <v>6</v>
      </c>
      <c r="AI2020" s="4">
        <v>6</v>
      </c>
      <c r="AJ2020" s="4">
        <v>15</v>
      </c>
      <c r="AK2020" s="4">
        <v>15</v>
      </c>
      <c r="AL2020" s="4">
        <v>4</v>
      </c>
      <c r="AM2020" s="4">
        <v>4</v>
      </c>
      <c r="AN2020" s="4">
        <v>1</v>
      </c>
      <c r="AO2020" s="4">
        <v>1</v>
      </c>
      <c r="AP2020" s="3" t="s">
        <v>58</v>
      </c>
      <c r="AQ2020" s="3" t="s">
        <v>68</v>
      </c>
      <c r="AR2020" s="6" t="str">
        <f>HYPERLINK("http://catalog.hathitrust.org/Record/001257940","HathiTrust Record")</f>
        <v>HathiTrust Record</v>
      </c>
      <c r="AS2020" s="6" t="str">
        <f>HYPERLINK("https://creighton-primo.hosted.exlibrisgroup.com/primo-explore/search?tab=default_tab&amp;search_scope=EVERYTHING&amp;vid=01CRU&amp;lang=en_US&amp;offset=0&amp;query=any,contains,991005352989702656","Catalog Record")</f>
        <v>Catalog Record</v>
      </c>
      <c r="AT2020" s="6" t="str">
        <f>HYPERLINK("http://www.worldcat.org/oclc/75316","WorldCat Record")</f>
        <v>WorldCat Record</v>
      </c>
      <c r="AU2020" s="3" t="s">
        <v>24675</v>
      </c>
      <c r="AV2020" s="3" t="s">
        <v>24676</v>
      </c>
      <c r="AW2020" s="3" t="s">
        <v>24677</v>
      </c>
      <c r="AX2020" s="3" t="s">
        <v>24677</v>
      </c>
      <c r="AY2020" s="3" t="s">
        <v>24678</v>
      </c>
      <c r="AZ2020" s="3" t="s">
        <v>73</v>
      </c>
      <c r="BB2020" s="3" t="s">
        <v>24679</v>
      </c>
      <c r="BC2020" s="3" t="s">
        <v>24680</v>
      </c>
      <c r="BD2020" s="3" t="s">
        <v>24681</v>
      </c>
    </row>
    <row r="2021" spans="1:56" ht="51" customHeight="1" x14ac:dyDescent="0.25">
      <c r="A2021" s="7" t="s">
        <v>58</v>
      </c>
      <c r="B2021" s="2" t="s">
        <v>24682</v>
      </c>
      <c r="C2021" s="2" t="s">
        <v>24683</v>
      </c>
      <c r="D2021" s="2" t="s">
        <v>24684</v>
      </c>
      <c r="F2021" s="3" t="s">
        <v>58</v>
      </c>
      <c r="G2021" s="3" t="s">
        <v>59</v>
      </c>
      <c r="H2021" s="3" t="s">
        <v>58</v>
      </c>
      <c r="I2021" s="3" t="s">
        <v>58</v>
      </c>
      <c r="J2021" s="3" t="s">
        <v>60</v>
      </c>
      <c r="K2021" s="2" t="s">
        <v>24685</v>
      </c>
      <c r="L2021" s="2" t="s">
        <v>24686</v>
      </c>
      <c r="M2021" s="3" t="s">
        <v>353</v>
      </c>
      <c r="O2021" s="3" t="s">
        <v>63</v>
      </c>
      <c r="P2021" s="3" t="s">
        <v>510</v>
      </c>
      <c r="R2021" s="3" t="s">
        <v>65</v>
      </c>
      <c r="S2021" s="4">
        <v>9</v>
      </c>
      <c r="T2021" s="4">
        <v>9</v>
      </c>
      <c r="U2021" s="5" t="s">
        <v>13471</v>
      </c>
      <c r="V2021" s="5" t="s">
        <v>13471</v>
      </c>
      <c r="W2021" s="5" t="s">
        <v>24687</v>
      </c>
      <c r="X2021" s="5" t="s">
        <v>24687</v>
      </c>
      <c r="Y2021" s="4">
        <v>715</v>
      </c>
      <c r="Z2021" s="4">
        <v>578</v>
      </c>
      <c r="AA2021" s="4">
        <v>729</v>
      </c>
      <c r="AB2021" s="4">
        <v>7</v>
      </c>
      <c r="AC2021" s="4">
        <v>7</v>
      </c>
      <c r="AD2021" s="4">
        <v>33</v>
      </c>
      <c r="AE2021" s="4">
        <v>37</v>
      </c>
      <c r="AF2021" s="4">
        <v>13</v>
      </c>
      <c r="AG2021" s="4">
        <v>17</v>
      </c>
      <c r="AH2021" s="4">
        <v>10</v>
      </c>
      <c r="AI2021" s="4">
        <v>10</v>
      </c>
      <c r="AJ2021" s="4">
        <v>13</v>
      </c>
      <c r="AK2021" s="4">
        <v>14</v>
      </c>
      <c r="AL2021" s="4">
        <v>6</v>
      </c>
      <c r="AM2021" s="4">
        <v>6</v>
      </c>
      <c r="AN2021" s="4">
        <v>0</v>
      </c>
      <c r="AO2021" s="4">
        <v>0</v>
      </c>
      <c r="AP2021" s="3" t="s">
        <v>58</v>
      </c>
      <c r="AQ2021" s="3" t="s">
        <v>58</v>
      </c>
      <c r="AS2021" s="6" t="str">
        <f>HYPERLINK("https://creighton-primo.hosted.exlibrisgroup.com/primo-explore/search?tab=default_tab&amp;search_scope=EVERYTHING&amp;vid=01CRU&amp;lang=en_US&amp;offset=0&amp;query=any,contains,991000964909702656","Catalog Record")</f>
        <v>Catalog Record</v>
      </c>
      <c r="AT2021" s="6" t="str">
        <f>HYPERLINK("http://www.worldcat.org/oclc/14904813","WorldCat Record")</f>
        <v>WorldCat Record</v>
      </c>
      <c r="AU2021" s="3" t="s">
        <v>24688</v>
      </c>
      <c r="AV2021" s="3" t="s">
        <v>24689</v>
      </c>
      <c r="AW2021" s="3" t="s">
        <v>24690</v>
      </c>
      <c r="AX2021" s="3" t="s">
        <v>24690</v>
      </c>
      <c r="AY2021" s="3" t="s">
        <v>24691</v>
      </c>
      <c r="AZ2021" s="3" t="s">
        <v>73</v>
      </c>
      <c r="BB2021" s="3" t="s">
        <v>24692</v>
      </c>
      <c r="BC2021" s="3" t="s">
        <v>24693</v>
      </c>
      <c r="BD2021" s="3" t="s">
        <v>24694</v>
      </c>
    </row>
    <row r="2022" spans="1:56" ht="51" customHeight="1" x14ac:dyDescent="0.25">
      <c r="A2022" s="7" t="s">
        <v>58</v>
      </c>
      <c r="B2022" s="2" t="s">
        <v>24695</v>
      </c>
      <c r="C2022" s="2" t="s">
        <v>24696</v>
      </c>
      <c r="D2022" s="2" t="s">
        <v>24697</v>
      </c>
      <c r="F2022" s="3" t="s">
        <v>58</v>
      </c>
      <c r="G2022" s="3" t="s">
        <v>59</v>
      </c>
      <c r="H2022" s="3" t="s">
        <v>58</v>
      </c>
      <c r="I2022" s="3" t="s">
        <v>68</v>
      </c>
      <c r="J2022" s="3" t="s">
        <v>60</v>
      </c>
      <c r="K2022" s="2" t="s">
        <v>24228</v>
      </c>
      <c r="L2022" s="2" t="s">
        <v>19437</v>
      </c>
      <c r="M2022" s="3" t="s">
        <v>552</v>
      </c>
      <c r="N2022" s="2" t="s">
        <v>338</v>
      </c>
      <c r="O2022" s="3" t="s">
        <v>63</v>
      </c>
      <c r="P2022" s="3" t="s">
        <v>214</v>
      </c>
      <c r="R2022" s="3" t="s">
        <v>65</v>
      </c>
      <c r="S2022" s="4">
        <v>9</v>
      </c>
      <c r="T2022" s="4">
        <v>9</v>
      </c>
      <c r="U2022" s="5" t="s">
        <v>24698</v>
      </c>
      <c r="V2022" s="5" t="s">
        <v>24698</v>
      </c>
      <c r="W2022" s="5" t="s">
        <v>15109</v>
      </c>
      <c r="X2022" s="5" t="s">
        <v>15109</v>
      </c>
      <c r="Y2022" s="4">
        <v>2255</v>
      </c>
      <c r="Z2022" s="4">
        <v>2035</v>
      </c>
      <c r="AA2022" s="4">
        <v>2465</v>
      </c>
      <c r="AB2022" s="4">
        <v>18</v>
      </c>
      <c r="AC2022" s="4">
        <v>21</v>
      </c>
      <c r="AD2022" s="4">
        <v>47</v>
      </c>
      <c r="AE2022" s="4">
        <v>65</v>
      </c>
      <c r="AF2022" s="4">
        <v>16</v>
      </c>
      <c r="AG2022" s="4">
        <v>26</v>
      </c>
      <c r="AH2022" s="4">
        <v>8</v>
      </c>
      <c r="AI2022" s="4">
        <v>11</v>
      </c>
      <c r="AJ2022" s="4">
        <v>20</v>
      </c>
      <c r="AK2022" s="4">
        <v>26</v>
      </c>
      <c r="AL2022" s="4">
        <v>10</v>
      </c>
      <c r="AM2022" s="4">
        <v>12</v>
      </c>
      <c r="AN2022" s="4">
        <v>1</v>
      </c>
      <c r="AO2022" s="4">
        <v>4</v>
      </c>
      <c r="AP2022" s="3" t="s">
        <v>58</v>
      </c>
      <c r="AQ2022" s="3" t="s">
        <v>58</v>
      </c>
      <c r="AS2022" s="6" t="str">
        <f>HYPERLINK("https://creighton-primo.hosted.exlibrisgroup.com/primo-explore/search?tab=default_tab&amp;search_scope=EVERYTHING&amp;vid=01CRU&amp;lang=en_US&amp;offset=0&amp;query=any,contains,991001472029702656","Catalog Record")</f>
        <v>Catalog Record</v>
      </c>
      <c r="AT2022" s="6" t="str">
        <f>HYPERLINK("http://www.worldcat.org/oclc/19553922","WorldCat Record")</f>
        <v>WorldCat Record</v>
      </c>
      <c r="AU2022" s="3" t="s">
        <v>24699</v>
      </c>
      <c r="AV2022" s="3" t="s">
        <v>24700</v>
      </c>
      <c r="AW2022" s="3" t="s">
        <v>24701</v>
      </c>
      <c r="AX2022" s="3" t="s">
        <v>24701</v>
      </c>
      <c r="AY2022" s="3" t="s">
        <v>24702</v>
      </c>
      <c r="AZ2022" s="3" t="s">
        <v>73</v>
      </c>
      <c r="BC2022" s="3" t="s">
        <v>24703</v>
      </c>
      <c r="BD2022" s="3" t="s">
        <v>24704</v>
      </c>
    </row>
    <row r="2023" spans="1:56" ht="51" customHeight="1" x14ac:dyDescent="0.25">
      <c r="A2023" s="7" t="s">
        <v>58</v>
      </c>
      <c r="B2023" s="2" t="s">
        <v>24705</v>
      </c>
      <c r="C2023" s="2" t="s">
        <v>24706</v>
      </c>
      <c r="D2023" s="2" t="s">
        <v>24707</v>
      </c>
      <c r="F2023" s="3" t="s">
        <v>58</v>
      </c>
      <c r="G2023" s="3" t="s">
        <v>59</v>
      </c>
      <c r="H2023" s="3" t="s">
        <v>58</v>
      </c>
      <c r="I2023" s="3" t="s">
        <v>58</v>
      </c>
      <c r="J2023" s="3" t="s">
        <v>60</v>
      </c>
      <c r="K2023" s="2" t="s">
        <v>24708</v>
      </c>
      <c r="L2023" s="2" t="s">
        <v>24709</v>
      </c>
      <c r="M2023" s="3" t="s">
        <v>261</v>
      </c>
      <c r="O2023" s="3" t="s">
        <v>63</v>
      </c>
      <c r="P2023" s="3" t="s">
        <v>214</v>
      </c>
      <c r="Q2023" s="2" t="s">
        <v>24710</v>
      </c>
      <c r="R2023" s="3" t="s">
        <v>65</v>
      </c>
      <c r="S2023" s="4">
        <v>11</v>
      </c>
      <c r="T2023" s="4">
        <v>11</v>
      </c>
      <c r="U2023" s="5" t="s">
        <v>11270</v>
      </c>
      <c r="V2023" s="5" t="s">
        <v>11270</v>
      </c>
      <c r="W2023" s="5" t="s">
        <v>14827</v>
      </c>
      <c r="X2023" s="5" t="s">
        <v>14827</v>
      </c>
      <c r="Y2023" s="4">
        <v>926</v>
      </c>
      <c r="Z2023" s="4">
        <v>754</v>
      </c>
      <c r="AA2023" s="4">
        <v>858</v>
      </c>
      <c r="AB2023" s="4">
        <v>6</v>
      </c>
      <c r="AC2023" s="4">
        <v>6</v>
      </c>
      <c r="AD2023" s="4">
        <v>33</v>
      </c>
      <c r="AE2023" s="4">
        <v>39</v>
      </c>
      <c r="AF2023" s="4">
        <v>14</v>
      </c>
      <c r="AG2023" s="4">
        <v>18</v>
      </c>
      <c r="AH2023" s="4">
        <v>9</v>
      </c>
      <c r="AI2023" s="4">
        <v>9</v>
      </c>
      <c r="AJ2023" s="4">
        <v>18</v>
      </c>
      <c r="AK2023" s="4">
        <v>20</v>
      </c>
      <c r="AL2023" s="4">
        <v>4</v>
      </c>
      <c r="AM2023" s="4">
        <v>4</v>
      </c>
      <c r="AN2023" s="4">
        <v>0</v>
      </c>
      <c r="AO2023" s="4">
        <v>0</v>
      </c>
      <c r="AP2023" s="3" t="s">
        <v>58</v>
      </c>
      <c r="AQ2023" s="3" t="s">
        <v>68</v>
      </c>
      <c r="AR2023" s="6" t="str">
        <f>HYPERLINK("http://catalog.hathitrust.org/Record/000043614","HathiTrust Record")</f>
        <v>HathiTrust Record</v>
      </c>
      <c r="AS2023" s="6" t="str">
        <f>HYPERLINK("https://creighton-primo.hosted.exlibrisgroup.com/primo-explore/search?tab=default_tab&amp;search_scope=EVERYTHING&amp;vid=01CRU&amp;lang=en_US&amp;offset=0&amp;query=any,contains,991003612479702656","Catalog Record")</f>
        <v>Catalog Record</v>
      </c>
      <c r="AT2023" s="6" t="str">
        <f>HYPERLINK("http://www.worldcat.org/oclc/1195113","WorldCat Record")</f>
        <v>WorldCat Record</v>
      </c>
      <c r="AU2023" s="3" t="s">
        <v>24711</v>
      </c>
      <c r="AV2023" s="3" t="s">
        <v>24712</v>
      </c>
      <c r="AW2023" s="3" t="s">
        <v>24713</v>
      </c>
      <c r="AX2023" s="3" t="s">
        <v>24713</v>
      </c>
      <c r="AY2023" s="3" t="s">
        <v>24714</v>
      </c>
      <c r="AZ2023" s="3" t="s">
        <v>73</v>
      </c>
      <c r="BB2023" s="3" t="s">
        <v>24715</v>
      </c>
      <c r="BC2023" s="3" t="s">
        <v>24716</v>
      </c>
      <c r="BD2023" s="3" t="s">
        <v>24717</v>
      </c>
    </row>
    <row r="2024" spans="1:56" ht="51" customHeight="1" x14ac:dyDescent="0.25">
      <c r="A2024" s="7" t="s">
        <v>58</v>
      </c>
      <c r="B2024" s="2" t="s">
        <v>24718</v>
      </c>
      <c r="C2024" s="2" t="s">
        <v>24719</v>
      </c>
      <c r="D2024" s="2" t="s">
        <v>24720</v>
      </c>
      <c r="F2024" s="3" t="s">
        <v>58</v>
      </c>
      <c r="G2024" s="3" t="s">
        <v>59</v>
      </c>
      <c r="H2024" s="3" t="s">
        <v>58</v>
      </c>
      <c r="I2024" s="3" t="s">
        <v>58</v>
      </c>
      <c r="J2024" s="3" t="s">
        <v>60</v>
      </c>
      <c r="K2024" s="2" t="s">
        <v>24721</v>
      </c>
      <c r="L2024" s="2" t="s">
        <v>24722</v>
      </c>
      <c r="M2024" s="3" t="s">
        <v>626</v>
      </c>
      <c r="O2024" s="3" t="s">
        <v>63</v>
      </c>
      <c r="P2024" s="3" t="s">
        <v>2630</v>
      </c>
      <c r="R2024" s="3" t="s">
        <v>65</v>
      </c>
      <c r="S2024" s="4">
        <v>12</v>
      </c>
      <c r="T2024" s="4">
        <v>12</v>
      </c>
      <c r="U2024" s="5" t="s">
        <v>24723</v>
      </c>
      <c r="V2024" s="5" t="s">
        <v>24723</v>
      </c>
      <c r="W2024" s="5" t="s">
        <v>17421</v>
      </c>
      <c r="X2024" s="5" t="s">
        <v>17421</v>
      </c>
      <c r="Y2024" s="4">
        <v>563</v>
      </c>
      <c r="Z2024" s="4">
        <v>459</v>
      </c>
      <c r="AA2024" s="4">
        <v>605</v>
      </c>
      <c r="AB2024" s="4">
        <v>4</v>
      </c>
      <c r="AC2024" s="4">
        <v>4</v>
      </c>
      <c r="AD2024" s="4">
        <v>15</v>
      </c>
      <c r="AE2024" s="4">
        <v>24</v>
      </c>
      <c r="AF2024" s="4">
        <v>2</v>
      </c>
      <c r="AG2024" s="4">
        <v>6</v>
      </c>
      <c r="AH2024" s="4">
        <v>5</v>
      </c>
      <c r="AI2024" s="4">
        <v>8</v>
      </c>
      <c r="AJ2024" s="4">
        <v>7</v>
      </c>
      <c r="AK2024" s="4">
        <v>14</v>
      </c>
      <c r="AL2024" s="4">
        <v>3</v>
      </c>
      <c r="AM2024" s="4">
        <v>3</v>
      </c>
      <c r="AN2024" s="4">
        <v>0</v>
      </c>
      <c r="AO2024" s="4">
        <v>0</v>
      </c>
      <c r="AP2024" s="3" t="s">
        <v>58</v>
      </c>
      <c r="AQ2024" s="3" t="s">
        <v>68</v>
      </c>
      <c r="AR2024" s="6" t="str">
        <f>HYPERLINK("http://catalog.hathitrust.org/Record/000202540","HathiTrust Record")</f>
        <v>HathiTrust Record</v>
      </c>
      <c r="AS2024" s="6" t="str">
        <f>HYPERLINK("https://creighton-primo.hosted.exlibrisgroup.com/primo-explore/search?tab=default_tab&amp;search_scope=EVERYTHING&amp;vid=01CRU&amp;lang=en_US&amp;offset=0&amp;query=any,contains,991000231329702656","Catalog Record")</f>
        <v>Catalog Record</v>
      </c>
      <c r="AT2024" s="6" t="str">
        <f>HYPERLINK("http://www.worldcat.org/oclc/9643791","WorldCat Record")</f>
        <v>WorldCat Record</v>
      </c>
      <c r="AU2024" s="3" t="s">
        <v>24724</v>
      </c>
      <c r="AV2024" s="3" t="s">
        <v>24725</v>
      </c>
      <c r="AW2024" s="3" t="s">
        <v>24726</v>
      </c>
      <c r="AX2024" s="3" t="s">
        <v>24726</v>
      </c>
      <c r="AY2024" s="3" t="s">
        <v>24727</v>
      </c>
      <c r="AZ2024" s="3" t="s">
        <v>73</v>
      </c>
      <c r="BB2024" s="3" t="s">
        <v>24728</v>
      </c>
      <c r="BC2024" s="3" t="s">
        <v>24729</v>
      </c>
      <c r="BD2024" s="3" t="s">
        <v>24730</v>
      </c>
    </row>
    <row r="2025" spans="1:56" ht="51" customHeight="1" x14ac:dyDescent="0.25">
      <c r="A2025" s="7" t="s">
        <v>58</v>
      </c>
      <c r="B2025" s="2" t="s">
        <v>24731</v>
      </c>
      <c r="C2025" s="2" t="s">
        <v>24732</v>
      </c>
      <c r="D2025" s="2" t="s">
        <v>24733</v>
      </c>
      <c r="F2025" s="3" t="s">
        <v>58</v>
      </c>
      <c r="G2025" s="3" t="s">
        <v>59</v>
      </c>
      <c r="H2025" s="3" t="s">
        <v>58</v>
      </c>
      <c r="I2025" s="3" t="s">
        <v>58</v>
      </c>
      <c r="J2025" s="3" t="s">
        <v>60</v>
      </c>
      <c r="K2025" s="2" t="s">
        <v>24734</v>
      </c>
      <c r="L2025" s="2" t="s">
        <v>24735</v>
      </c>
      <c r="M2025" s="3" t="s">
        <v>337</v>
      </c>
      <c r="N2025" s="2" t="s">
        <v>7495</v>
      </c>
      <c r="O2025" s="3" t="s">
        <v>63</v>
      </c>
      <c r="P2025" s="3" t="s">
        <v>2061</v>
      </c>
      <c r="R2025" s="3" t="s">
        <v>65</v>
      </c>
      <c r="S2025" s="4">
        <v>5</v>
      </c>
      <c r="T2025" s="4">
        <v>5</v>
      </c>
      <c r="U2025" s="5" t="s">
        <v>24736</v>
      </c>
      <c r="V2025" s="5" t="s">
        <v>24736</v>
      </c>
      <c r="W2025" s="5" t="s">
        <v>17276</v>
      </c>
      <c r="X2025" s="5" t="s">
        <v>17276</v>
      </c>
      <c r="Y2025" s="4">
        <v>400</v>
      </c>
      <c r="Z2025" s="4">
        <v>318</v>
      </c>
      <c r="AA2025" s="4">
        <v>342</v>
      </c>
      <c r="AB2025" s="4">
        <v>3</v>
      </c>
      <c r="AC2025" s="4">
        <v>3</v>
      </c>
      <c r="AD2025" s="4">
        <v>24</v>
      </c>
      <c r="AE2025" s="4">
        <v>26</v>
      </c>
      <c r="AF2025" s="4">
        <v>8</v>
      </c>
      <c r="AG2025" s="4">
        <v>9</v>
      </c>
      <c r="AH2025" s="4">
        <v>7</v>
      </c>
      <c r="AI2025" s="4">
        <v>8</v>
      </c>
      <c r="AJ2025" s="4">
        <v>12</v>
      </c>
      <c r="AK2025" s="4">
        <v>13</v>
      </c>
      <c r="AL2025" s="4">
        <v>2</v>
      </c>
      <c r="AM2025" s="4">
        <v>2</v>
      </c>
      <c r="AN2025" s="4">
        <v>0</v>
      </c>
      <c r="AO2025" s="4">
        <v>0</v>
      </c>
      <c r="AP2025" s="3" t="s">
        <v>58</v>
      </c>
      <c r="AQ2025" s="3" t="s">
        <v>58</v>
      </c>
      <c r="AS2025" s="6" t="str">
        <f>HYPERLINK("https://creighton-primo.hosted.exlibrisgroup.com/primo-explore/search?tab=default_tab&amp;search_scope=EVERYTHING&amp;vid=01CRU&amp;lang=en_US&amp;offset=0&amp;query=any,contains,991003820739702656","Catalog Record")</f>
        <v>Catalog Record</v>
      </c>
      <c r="AT2025" s="6" t="str">
        <f>HYPERLINK("http://www.worldcat.org/oclc/48871121","WorldCat Record")</f>
        <v>WorldCat Record</v>
      </c>
      <c r="AU2025" s="3" t="s">
        <v>24737</v>
      </c>
      <c r="AV2025" s="3" t="s">
        <v>24738</v>
      </c>
      <c r="AW2025" s="3" t="s">
        <v>24739</v>
      </c>
      <c r="AX2025" s="3" t="s">
        <v>24739</v>
      </c>
      <c r="AY2025" s="3" t="s">
        <v>24740</v>
      </c>
      <c r="AZ2025" s="3" t="s">
        <v>73</v>
      </c>
      <c r="BB2025" s="3" t="s">
        <v>24741</v>
      </c>
      <c r="BC2025" s="3" t="s">
        <v>24742</v>
      </c>
      <c r="BD2025" s="3" t="s">
        <v>24743</v>
      </c>
    </row>
    <row r="2026" spans="1:56" ht="51" customHeight="1" x14ac:dyDescent="0.25">
      <c r="A2026" s="7" t="s">
        <v>58</v>
      </c>
      <c r="B2026" s="2" t="s">
        <v>24744</v>
      </c>
      <c r="C2026" s="2" t="s">
        <v>24745</v>
      </c>
      <c r="D2026" s="2" t="s">
        <v>24746</v>
      </c>
      <c r="F2026" s="3" t="s">
        <v>58</v>
      </c>
      <c r="G2026" s="3" t="s">
        <v>59</v>
      </c>
      <c r="H2026" s="3" t="s">
        <v>58</v>
      </c>
      <c r="I2026" s="3" t="s">
        <v>58</v>
      </c>
      <c r="J2026" s="3" t="s">
        <v>60</v>
      </c>
      <c r="K2026" s="2" t="s">
        <v>24747</v>
      </c>
      <c r="L2026" s="2" t="s">
        <v>24748</v>
      </c>
      <c r="M2026" s="3" t="s">
        <v>101</v>
      </c>
      <c r="O2026" s="3" t="s">
        <v>63</v>
      </c>
      <c r="P2026" s="3" t="s">
        <v>214</v>
      </c>
      <c r="Q2026" s="2" t="s">
        <v>24710</v>
      </c>
      <c r="R2026" s="3" t="s">
        <v>65</v>
      </c>
      <c r="S2026" s="4">
        <v>10</v>
      </c>
      <c r="T2026" s="4">
        <v>10</v>
      </c>
      <c r="U2026" s="5" t="s">
        <v>24749</v>
      </c>
      <c r="V2026" s="5" t="s">
        <v>24749</v>
      </c>
      <c r="W2026" s="5" t="s">
        <v>20145</v>
      </c>
      <c r="X2026" s="5" t="s">
        <v>20145</v>
      </c>
      <c r="Y2026" s="4">
        <v>738</v>
      </c>
      <c r="Z2026" s="4">
        <v>622</v>
      </c>
      <c r="AA2026" s="4">
        <v>628</v>
      </c>
      <c r="AB2026" s="4">
        <v>4</v>
      </c>
      <c r="AC2026" s="4">
        <v>4</v>
      </c>
      <c r="AD2026" s="4">
        <v>30</v>
      </c>
      <c r="AE2026" s="4">
        <v>30</v>
      </c>
      <c r="AF2026" s="4">
        <v>11</v>
      </c>
      <c r="AG2026" s="4">
        <v>11</v>
      </c>
      <c r="AH2026" s="4">
        <v>7</v>
      </c>
      <c r="AI2026" s="4">
        <v>7</v>
      </c>
      <c r="AJ2026" s="4">
        <v>16</v>
      </c>
      <c r="AK2026" s="4">
        <v>16</v>
      </c>
      <c r="AL2026" s="4">
        <v>3</v>
      </c>
      <c r="AM2026" s="4">
        <v>3</v>
      </c>
      <c r="AN2026" s="4">
        <v>0</v>
      </c>
      <c r="AO2026" s="4">
        <v>0</v>
      </c>
      <c r="AP2026" s="3" t="s">
        <v>58</v>
      </c>
      <c r="AQ2026" s="3" t="s">
        <v>68</v>
      </c>
      <c r="AR2026" s="6" t="str">
        <f>HYPERLINK("http://catalog.hathitrust.org/Record/000203839","HathiTrust Record")</f>
        <v>HathiTrust Record</v>
      </c>
      <c r="AS2026" s="6" t="str">
        <f>HYPERLINK("https://creighton-primo.hosted.exlibrisgroup.com/primo-explore/search?tab=default_tab&amp;search_scope=EVERYTHING&amp;vid=01CRU&amp;lang=en_US&amp;offset=0&amp;query=any,contains,991000215489702656","Catalog Record")</f>
        <v>Catalog Record</v>
      </c>
      <c r="AT2026" s="6" t="str">
        <f>HYPERLINK("http://www.worldcat.org/oclc/9557616","WorldCat Record")</f>
        <v>WorldCat Record</v>
      </c>
      <c r="AU2026" s="3" t="s">
        <v>24750</v>
      </c>
      <c r="AV2026" s="3" t="s">
        <v>24751</v>
      </c>
      <c r="AW2026" s="3" t="s">
        <v>24752</v>
      </c>
      <c r="AX2026" s="3" t="s">
        <v>24752</v>
      </c>
      <c r="AY2026" s="3" t="s">
        <v>24753</v>
      </c>
      <c r="AZ2026" s="3" t="s">
        <v>73</v>
      </c>
      <c r="BB2026" s="3" t="s">
        <v>24754</v>
      </c>
      <c r="BC2026" s="3" t="s">
        <v>24755</v>
      </c>
      <c r="BD2026" s="3" t="s">
        <v>24756</v>
      </c>
    </row>
    <row r="2027" spans="1:56" ht="51" customHeight="1" x14ac:dyDescent="0.25">
      <c r="A2027" s="7" t="s">
        <v>58</v>
      </c>
      <c r="B2027" s="2" t="s">
        <v>24757</v>
      </c>
      <c r="C2027" s="2" t="s">
        <v>24758</v>
      </c>
      <c r="D2027" s="2" t="s">
        <v>24759</v>
      </c>
      <c r="F2027" s="3" t="s">
        <v>58</v>
      </c>
      <c r="G2027" s="3" t="s">
        <v>59</v>
      </c>
      <c r="H2027" s="3" t="s">
        <v>58</v>
      </c>
      <c r="I2027" s="3" t="s">
        <v>58</v>
      </c>
      <c r="J2027" s="3" t="s">
        <v>60</v>
      </c>
      <c r="K2027" s="2" t="s">
        <v>24760</v>
      </c>
      <c r="L2027" s="2" t="s">
        <v>24761</v>
      </c>
      <c r="M2027" s="3" t="s">
        <v>1385</v>
      </c>
      <c r="N2027" s="2" t="s">
        <v>1470</v>
      </c>
      <c r="O2027" s="3" t="s">
        <v>63</v>
      </c>
      <c r="P2027" s="3" t="s">
        <v>214</v>
      </c>
      <c r="R2027" s="3" t="s">
        <v>65</v>
      </c>
      <c r="S2027" s="4">
        <v>11</v>
      </c>
      <c r="T2027" s="4">
        <v>11</v>
      </c>
      <c r="U2027" s="5" t="s">
        <v>24762</v>
      </c>
      <c r="V2027" s="5" t="s">
        <v>24762</v>
      </c>
      <c r="W2027" s="5" t="s">
        <v>24572</v>
      </c>
      <c r="X2027" s="5" t="s">
        <v>24572</v>
      </c>
      <c r="Y2027" s="4">
        <v>931</v>
      </c>
      <c r="Z2027" s="4">
        <v>866</v>
      </c>
      <c r="AA2027" s="4">
        <v>1299</v>
      </c>
      <c r="AB2027" s="4">
        <v>8</v>
      </c>
      <c r="AC2027" s="4">
        <v>12</v>
      </c>
      <c r="AD2027" s="4">
        <v>26</v>
      </c>
      <c r="AE2027" s="4">
        <v>41</v>
      </c>
      <c r="AF2027" s="4">
        <v>11</v>
      </c>
      <c r="AG2027" s="4">
        <v>16</v>
      </c>
      <c r="AH2027" s="4">
        <v>7</v>
      </c>
      <c r="AI2027" s="4">
        <v>9</v>
      </c>
      <c r="AJ2027" s="4">
        <v>13</v>
      </c>
      <c r="AK2027" s="4">
        <v>20</v>
      </c>
      <c r="AL2027" s="4">
        <v>3</v>
      </c>
      <c r="AM2027" s="4">
        <v>7</v>
      </c>
      <c r="AN2027" s="4">
        <v>0</v>
      </c>
      <c r="AO2027" s="4">
        <v>1</v>
      </c>
      <c r="AP2027" s="3" t="s">
        <v>58</v>
      </c>
      <c r="AQ2027" s="3" t="s">
        <v>68</v>
      </c>
      <c r="AR2027" s="6" t="str">
        <f>HYPERLINK("http://catalog.hathitrust.org/Record/001267518","HathiTrust Record")</f>
        <v>HathiTrust Record</v>
      </c>
      <c r="AS2027" s="6" t="str">
        <f>HYPERLINK("https://creighton-primo.hosted.exlibrisgroup.com/primo-explore/search?tab=default_tab&amp;search_scope=EVERYTHING&amp;vid=01CRU&amp;lang=en_US&amp;offset=0&amp;query=any,contains,991003282869702656","Catalog Record")</f>
        <v>Catalog Record</v>
      </c>
      <c r="AT2027" s="6" t="str">
        <f>HYPERLINK("http://www.worldcat.org/oclc/805015","WorldCat Record")</f>
        <v>WorldCat Record</v>
      </c>
      <c r="AU2027" s="3" t="s">
        <v>24763</v>
      </c>
      <c r="AV2027" s="3" t="s">
        <v>24764</v>
      </c>
      <c r="AW2027" s="3" t="s">
        <v>24765</v>
      </c>
      <c r="AX2027" s="3" t="s">
        <v>24765</v>
      </c>
      <c r="AY2027" s="3" t="s">
        <v>24766</v>
      </c>
      <c r="AZ2027" s="3" t="s">
        <v>73</v>
      </c>
      <c r="BB2027" s="3" t="s">
        <v>24767</v>
      </c>
      <c r="BC2027" s="3" t="s">
        <v>24768</v>
      </c>
      <c r="BD2027" s="3" t="s">
        <v>24769</v>
      </c>
    </row>
    <row r="2028" spans="1:56" ht="51" customHeight="1" x14ac:dyDescent="0.25">
      <c r="A2028" s="7" t="s">
        <v>58</v>
      </c>
      <c r="B2028" s="2" t="s">
        <v>24770</v>
      </c>
      <c r="C2028" s="2" t="s">
        <v>24771</v>
      </c>
      <c r="D2028" s="2" t="s">
        <v>24772</v>
      </c>
      <c r="F2028" s="3" t="s">
        <v>58</v>
      </c>
      <c r="G2028" s="3" t="s">
        <v>59</v>
      </c>
      <c r="H2028" s="3" t="s">
        <v>58</v>
      </c>
      <c r="I2028" s="3" t="s">
        <v>58</v>
      </c>
      <c r="J2028" s="3" t="s">
        <v>60</v>
      </c>
      <c r="K2028" s="2" t="s">
        <v>24773</v>
      </c>
      <c r="L2028" s="2" t="s">
        <v>24161</v>
      </c>
      <c r="M2028" s="3" t="s">
        <v>368</v>
      </c>
      <c r="O2028" s="3" t="s">
        <v>63</v>
      </c>
      <c r="P2028" s="3" t="s">
        <v>411</v>
      </c>
      <c r="R2028" s="3" t="s">
        <v>65</v>
      </c>
      <c r="S2028" s="4">
        <v>2</v>
      </c>
      <c r="T2028" s="4">
        <v>2</v>
      </c>
      <c r="U2028" s="5" t="s">
        <v>24774</v>
      </c>
      <c r="V2028" s="5" t="s">
        <v>24774</v>
      </c>
      <c r="W2028" s="5" t="s">
        <v>17421</v>
      </c>
      <c r="X2028" s="5" t="s">
        <v>17421</v>
      </c>
      <c r="Y2028" s="4">
        <v>463</v>
      </c>
      <c r="Z2028" s="4">
        <v>374</v>
      </c>
      <c r="AA2028" s="4">
        <v>379</v>
      </c>
      <c r="AB2028" s="4">
        <v>3</v>
      </c>
      <c r="AC2028" s="4">
        <v>3</v>
      </c>
      <c r="AD2028" s="4">
        <v>17</v>
      </c>
      <c r="AE2028" s="4">
        <v>17</v>
      </c>
      <c r="AF2028" s="4">
        <v>4</v>
      </c>
      <c r="AG2028" s="4">
        <v>4</v>
      </c>
      <c r="AH2028" s="4">
        <v>3</v>
      </c>
      <c r="AI2028" s="4">
        <v>3</v>
      </c>
      <c r="AJ2028" s="4">
        <v>10</v>
      </c>
      <c r="AK2028" s="4">
        <v>10</v>
      </c>
      <c r="AL2028" s="4">
        <v>2</v>
      </c>
      <c r="AM2028" s="4">
        <v>2</v>
      </c>
      <c r="AN2028" s="4">
        <v>1</v>
      </c>
      <c r="AO2028" s="4">
        <v>1</v>
      </c>
      <c r="AP2028" s="3" t="s">
        <v>58</v>
      </c>
      <c r="AQ2028" s="3" t="s">
        <v>58</v>
      </c>
      <c r="AS2028" s="6" t="str">
        <f>HYPERLINK("https://creighton-primo.hosted.exlibrisgroup.com/primo-explore/search?tab=default_tab&amp;search_scope=EVERYTHING&amp;vid=01CRU&amp;lang=en_US&amp;offset=0&amp;query=any,contains,991003980869702656","Catalog Record")</f>
        <v>Catalog Record</v>
      </c>
      <c r="AT2028" s="6" t="str">
        <f>HYPERLINK("http://www.worldcat.org/oclc/2020026","WorldCat Record")</f>
        <v>WorldCat Record</v>
      </c>
      <c r="AU2028" s="3" t="s">
        <v>24775</v>
      </c>
      <c r="AV2028" s="3" t="s">
        <v>24776</v>
      </c>
      <c r="AW2028" s="3" t="s">
        <v>24777</v>
      </c>
      <c r="AX2028" s="3" t="s">
        <v>24777</v>
      </c>
      <c r="AY2028" s="3" t="s">
        <v>24778</v>
      </c>
      <c r="AZ2028" s="3" t="s">
        <v>73</v>
      </c>
      <c r="BB2028" s="3" t="s">
        <v>24779</v>
      </c>
      <c r="BC2028" s="3" t="s">
        <v>24780</v>
      </c>
      <c r="BD2028" s="3" t="s">
        <v>24781</v>
      </c>
    </row>
    <row r="2029" spans="1:56" ht="51" customHeight="1" x14ac:dyDescent="0.25">
      <c r="A2029" s="7" t="s">
        <v>58</v>
      </c>
      <c r="B2029" s="2" t="s">
        <v>24782</v>
      </c>
      <c r="C2029" s="2" t="s">
        <v>24783</v>
      </c>
      <c r="D2029" s="2" t="s">
        <v>24784</v>
      </c>
      <c r="F2029" s="3" t="s">
        <v>58</v>
      </c>
      <c r="G2029" s="3" t="s">
        <v>59</v>
      </c>
      <c r="H2029" s="3" t="s">
        <v>58</v>
      </c>
      <c r="I2029" s="3" t="s">
        <v>58</v>
      </c>
      <c r="J2029" s="3" t="s">
        <v>60</v>
      </c>
      <c r="K2029" s="2" t="s">
        <v>24228</v>
      </c>
      <c r="L2029" s="2" t="s">
        <v>24785</v>
      </c>
      <c r="M2029" s="3" t="s">
        <v>2757</v>
      </c>
      <c r="O2029" s="3" t="s">
        <v>63</v>
      </c>
      <c r="P2029" s="3" t="s">
        <v>510</v>
      </c>
      <c r="Q2029" s="2" t="s">
        <v>24786</v>
      </c>
      <c r="R2029" s="3" t="s">
        <v>65</v>
      </c>
      <c r="S2029" s="4">
        <v>1</v>
      </c>
      <c r="T2029" s="4">
        <v>1</v>
      </c>
      <c r="U2029" s="5" t="s">
        <v>24787</v>
      </c>
      <c r="V2029" s="5" t="s">
        <v>24787</v>
      </c>
      <c r="W2029" s="5" t="s">
        <v>24572</v>
      </c>
      <c r="X2029" s="5" t="s">
        <v>24572</v>
      </c>
      <c r="Y2029" s="4">
        <v>596</v>
      </c>
      <c r="Z2029" s="4">
        <v>507</v>
      </c>
      <c r="AA2029" s="4">
        <v>621</v>
      </c>
      <c r="AB2029" s="4">
        <v>4</v>
      </c>
      <c r="AC2029" s="4">
        <v>5</v>
      </c>
      <c r="AD2029" s="4">
        <v>27</v>
      </c>
      <c r="AE2029" s="4">
        <v>34</v>
      </c>
      <c r="AF2029" s="4">
        <v>8</v>
      </c>
      <c r="AG2029" s="4">
        <v>12</v>
      </c>
      <c r="AH2029" s="4">
        <v>7</v>
      </c>
      <c r="AI2029" s="4">
        <v>10</v>
      </c>
      <c r="AJ2029" s="4">
        <v>14</v>
      </c>
      <c r="AK2029" s="4">
        <v>16</v>
      </c>
      <c r="AL2029" s="4">
        <v>3</v>
      </c>
      <c r="AM2029" s="4">
        <v>4</v>
      </c>
      <c r="AN2029" s="4">
        <v>1</v>
      </c>
      <c r="AO2029" s="4">
        <v>1</v>
      </c>
      <c r="AP2029" s="3" t="s">
        <v>58</v>
      </c>
      <c r="AQ2029" s="3" t="s">
        <v>68</v>
      </c>
      <c r="AR2029" s="6" t="str">
        <f>HYPERLINK("http://catalog.hathitrust.org/Record/001871745","HathiTrust Record")</f>
        <v>HathiTrust Record</v>
      </c>
      <c r="AS2029" s="6" t="str">
        <f>HYPERLINK("https://creighton-primo.hosted.exlibrisgroup.com/primo-explore/search?tab=default_tab&amp;search_scope=EVERYTHING&amp;vid=01CRU&amp;lang=en_US&amp;offset=0&amp;query=any,contains,991002721939702656","Catalog Record")</f>
        <v>Catalog Record</v>
      </c>
      <c r="AT2029" s="6" t="str">
        <f>HYPERLINK("http://www.worldcat.org/oclc/412869","WorldCat Record")</f>
        <v>WorldCat Record</v>
      </c>
      <c r="AU2029" s="3" t="s">
        <v>24788</v>
      </c>
      <c r="AV2029" s="3" t="s">
        <v>24789</v>
      </c>
      <c r="AW2029" s="3" t="s">
        <v>24790</v>
      </c>
      <c r="AX2029" s="3" t="s">
        <v>24790</v>
      </c>
      <c r="AY2029" s="3" t="s">
        <v>24791</v>
      </c>
      <c r="AZ2029" s="3" t="s">
        <v>73</v>
      </c>
      <c r="BC2029" s="3" t="s">
        <v>24792</v>
      </c>
      <c r="BD2029" s="3" t="s">
        <v>24793</v>
      </c>
    </row>
    <row r="2030" spans="1:56" ht="51" customHeight="1" x14ac:dyDescent="0.25">
      <c r="A2030" s="7" t="s">
        <v>58</v>
      </c>
      <c r="B2030" s="2" t="s">
        <v>24794</v>
      </c>
      <c r="C2030" s="2" t="s">
        <v>24795</v>
      </c>
      <c r="D2030" s="2" t="s">
        <v>24796</v>
      </c>
      <c r="F2030" s="3" t="s">
        <v>58</v>
      </c>
      <c r="G2030" s="3" t="s">
        <v>59</v>
      </c>
      <c r="H2030" s="3" t="s">
        <v>58</v>
      </c>
      <c r="I2030" s="3" t="s">
        <v>58</v>
      </c>
      <c r="J2030" s="3" t="s">
        <v>60</v>
      </c>
      <c r="K2030" s="2" t="s">
        <v>24797</v>
      </c>
      <c r="L2030" s="2" t="s">
        <v>10425</v>
      </c>
      <c r="M2030" s="3" t="s">
        <v>101</v>
      </c>
      <c r="O2030" s="3" t="s">
        <v>63</v>
      </c>
      <c r="P2030" s="3" t="s">
        <v>214</v>
      </c>
      <c r="Q2030" s="2" t="s">
        <v>24798</v>
      </c>
      <c r="R2030" s="3" t="s">
        <v>65</v>
      </c>
      <c r="S2030" s="4">
        <v>6</v>
      </c>
      <c r="T2030" s="4">
        <v>6</v>
      </c>
      <c r="U2030" s="5" t="s">
        <v>14590</v>
      </c>
      <c r="V2030" s="5" t="s">
        <v>14590</v>
      </c>
      <c r="W2030" s="5" t="s">
        <v>5187</v>
      </c>
      <c r="X2030" s="5" t="s">
        <v>5187</v>
      </c>
      <c r="Y2030" s="4">
        <v>680</v>
      </c>
      <c r="Z2030" s="4">
        <v>554</v>
      </c>
      <c r="AA2030" s="4">
        <v>695</v>
      </c>
      <c r="AB2030" s="4">
        <v>4</v>
      </c>
      <c r="AC2030" s="4">
        <v>5</v>
      </c>
      <c r="AD2030" s="4">
        <v>27</v>
      </c>
      <c r="AE2030" s="4">
        <v>36</v>
      </c>
      <c r="AF2030" s="4">
        <v>12</v>
      </c>
      <c r="AG2030" s="4">
        <v>17</v>
      </c>
      <c r="AH2030" s="4">
        <v>8</v>
      </c>
      <c r="AI2030" s="4">
        <v>10</v>
      </c>
      <c r="AJ2030" s="4">
        <v>14</v>
      </c>
      <c r="AK2030" s="4">
        <v>16</v>
      </c>
      <c r="AL2030" s="4">
        <v>3</v>
      </c>
      <c r="AM2030" s="4">
        <v>4</v>
      </c>
      <c r="AN2030" s="4">
        <v>0</v>
      </c>
      <c r="AO2030" s="4">
        <v>0</v>
      </c>
      <c r="AP2030" s="3" t="s">
        <v>58</v>
      </c>
      <c r="AQ2030" s="3" t="s">
        <v>58</v>
      </c>
      <c r="AS2030" s="6" t="str">
        <f>HYPERLINK("https://creighton-primo.hosted.exlibrisgroup.com/primo-explore/search?tab=default_tab&amp;search_scope=EVERYTHING&amp;vid=01CRU&amp;lang=en_US&amp;offset=0&amp;query=any,contains,991000292819702656","Catalog Record")</f>
        <v>Catalog Record</v>
      </c>
      <c r="AT2030" s="6" t="str">
        <f>HYPERLINK("http://www.worldcat.org/oclc/9970587","WorldCat Record")</f>
        <v>WorldCat Record</v>
      </c>
      <c r="AU2030" s="3" t="s">
        <v>24799</v>
      </c>
      <c r="AV2030" s="3" t="s">
        <v>24800</v>
      </c>
      <c r="AW2030" s="3" t="s">
        <v>24801</v>
      </c>
      <c r="AX2030" s="3" t="s">
        <v>24801</v>
      </c>
      <c r="AY2030" s="3" t="s">
        <v>24802</v>
      </c>
      <c r="AZ2030" s="3" t="s">
        <v>73</v>
      </c>
      <c r="BB2030" s="3" t="s">
        <v>24803</v>
      </c>
      <c r="BC2030" s="3" t="s">
        <v>24804</v>
      </c>
      <c r="BD2030" s="3" t="s">
        <v>24805</v>
      </c>
    </row>
    <row r="2031" spans="1:56" ht="51" customHeight="1" x14ac:dyDescent="0.25">
      <c r="A2031" s="7" t="s">
        <v>58</v>
      </c>
      <c r="B2031" s="2" t="s">
        <v>24806</v>
      </c>
      <c r="C2031" s="2" t="s">
        <v>24807</v>
      </c>
      <c r="D2031" s="2" t="s">
        <v>24808</v>
      </c>
      <c r="F2031" s="3" t="s">
        <v>58</v>
      </c>
      <c r="G2031" s="3" t="s">
        <v>59</v>
      </c>
      <c r="H2031" s="3" t="s">
        <v>58</v>
      </c>
      <c r="I2031" s="3" t="s">
        <v>58</v>
      </c>
      <c r="J2031" s="3" t="s">
        <v>60</v>
      </c>
      <c r="K2031" s="2" t="s">
        <v>23127</v>
      </c>
      <c r="L2031" s="2" t="s">
        <v>24809</v>
      </c>
      <c r="M2031" s="3" t="s">
        <v>24810</v>
      </c>
      <c r="O2031" s="3" t="s">
        <v>63</v>
      </c>
      <c r="P2031" s="3" t="s">
        <v>571</v>
      </c>
      <c r="R2031" s="3" t="s">
        <v>65</v>
      </c>
      <c r="S2031" s="4">
        <v>9</v>
      </c>
      <c r="T2031" s="4">
        <v>9</v>
      </c>
      <c r="U2031" s="5" t="s">
        <v>6753</v>
      </c>
      <c r="V2031" s="5" t="s">
        <v>6753</v>
      </c>
      <c r="W2031" s="5" t="s">
        <v>14827</v>
      </c>
      <c r="X2031" s="5" t="s">
        <v>14827</v>
      </c>
      <c r="Y2031" s="4">
        <v>107</v>
      </c>
      <c r="Z2031" s="4">
        <v>93</v>
      </c>
      <c r="AA2031" s="4">
        <v>150</v>
      </c>
      <c r="AB2031" s="4">
        <v>1</v>
      </c>
      <c r="AC2031" s="4">
        <v>1</v>
      </c>
      <c r="AD2031" s="4">
        <v>2</v>
      </c>
      <c r="AE2031" s="4">
        <v>2</v>
      </c>
      <c r="AF2031" s="4">
        <v>2</v>
      </c>
      <c r="AG2031" s="4">
        <v>2</v>
      </c>
      <c r="AH2031" s="4">
        <v>0</v>
      </c>
      <c r="AI2031" s="4">
        <v>0</v>
      </c>
      <c r="AJ2031" s="4">
        <v>1</v>
      </c>
      <c r="AK2031" s="4">
        <v>1</v>
      </c>
      <c r="AL2031" s="4">
        <v>0</v>
      </c>
      <c r="AM2031" s="4">
        <v>0</v>
      </c>
      <c r="AN2031" s="4">
        <v>0</v>
      </c>
      <c r="AO2031" s="4">
        <v>0</v>
      </c>
      <c r="AP2031" s="3" t="s">
        <v>68</v>
      </c>
      <c r="AQ2031" s="3" t="s">
        <v>58</v>
      </c>
      <c r="AR2031" s="6" t="str">
        <f>HYPERLINK("http://catalog.hathitrust.org/Record/004749983","HathiTrust Record")</f>
        <v>HathiTrust Record</v>
      </c>
      <c r="AS2031" s="6" t="str">
        <f>HYPERLINK("https://creighton-primo.hosted.exlibrisgroup.com/primo-explore/search?tab=default_tab&amp;search_scope=EVERYTHING&amp;vid=01CRU&amp;lang=en_US&amp;offset=0&amp;query=any,contains,991003799979702656","Catalog Record")</f>
        <v>Catalog Record</v>
      </c>
      <c r="AT2031" s="6" t="str">
        <f>HYPERLINK("http://www.worldcat.org/oclc/1526532","WorldCat Record")</f>
        <v>WorldCat Record</v>
      </c>
      <c r="AU2031" s="3" t="s">
        <v>24811</v>
      </c>
      <c r="AV2031" s="3" t="s">
        <v>24812</v>
      </c>
      <c r="AW2031" s="3" t="s">
        <v>24813</v>
      </c>
      <c r="AX2031" s="3" t="s">
        <v>24813</v>
      </c>
      <c r="AY2031" s="3" t="s">
        <v>24814</v>
      </c>
      <c r="AZ2031" s="3" t="s">
        <v>73</v>
      </c>
      <c r="BC2031" s="3" t="s">
        <v>24815</v>
      </c>
      <c r="BD2031" s="3" t="s">
        <v>24816</v>
      </c>
    </row>
    <row r="2032" spans="1:56" ht="51" customHeight="1" x14ac:dyDescent="0.25">
      <c r="A2032" s="7" t="s">
        <v>58</v>
      </c>
      <c r="B2032" s="2" t="s">
        <v>24817</v>
      </c>
      <c r="C2032" s="2" t="s">
        <v>24818</v>
      </c>
      <c r="D2032" s="2" t="s">
        <v>24819</v>
      </c>
      <c r="F2032" s="3" t="s">
        <v>58</v>
      </c>
      <c r="G2032" s="3" t="s">
        <v>59</v>
      </c>
      <c r="H2032" s="3" t="s">
        <v>58</v>
      </c>
      <c r="I2032" s="3" t="s">
        <v>58</v>
      </c>
      <c r="J2032" s="3" t="s">
        <v>60</v>
      </c>
      <c r="L2032" s="2" t="s">
        <v>24820</v>
      </c>
      <c r="M2032" s="3" t="s">
        <v>423</v>
      </c>
      <c r="O2032" s="3" t="s">
        <v>63</v>
      </c>
      <c r="P2032" s="3" t="s">
        <v>214</v>
      </c>
      <c r="Q2032" s="2" t="s">
        <v>24821</v>
      </c>
      <c r="R2032" s="3" t="s">
        <v>65</v>
      </c>
      <c r="S2032" s="4">
        <v>6</v>
      </c>
      <c r="T2032" s="4">
        <v>6</v>
      </c>
      <c r="U2032" s="5" t="s">
        <v>23482</v>
      </c>
      <c r="V2032" s="5" t="s">
        <v>23482</v>
      </c>
      <c r="W2032" s="5" t="s">
        <v>24822</v>
      </c>
      <c r="X2032" s="5" t="s">
        <v>24822</v>
      </c>
      <c r="Y2032" s="4">
        <v>911</v>
      </c>
      <c r="Z2032" s="4">
        <v>790</v>
      </c>
      <c r="AA2032" s="4">
        <v>1707</v>
      </c>
      <c r="AB2032" s="4">
        <v>10</v>
      </c>
      <c r="AC2032" s="4">
        <v>17</v>
      </c>
      <c r="AD2032" s="4">
        <v>34</v>
      </c>
      <c r="AE2032" s="4">
        <v>47</v>
      </c>
      <c r="AF2032" s="4">
        <v>13</v>
      </c>
      <c r="AG2032" s="4">
        <v>17</v>
      </c>
      <c r="AH2032" s="4">
        <v>7</v>
      </c>
      <c r="AI2032" s="4">
        <v>8</v>
      </c>
      <c r="AJ2032" s="4">
        <v>10</v>
      </c>
      <c r="AK2032" s="4">
        <v>15</v>
      </c>
      <c r="AL2032" s="4">
        <v>9</v>
      </c>
      <c r="AM2032" s="4">
        <v>15</v>
      </c>
      <c r="AN2032" s="4">
        <v>0</v>
      </c>
      <c r="AO2032" s="4">
        <v>0</v>
      </c>
      <c r="AP2032" s="3" t="s">
        <v>58</v>
      </c>
      <c r="AQ2032" s="3" t="s">
        <v>58</v>
      </c>
      <c r="AS2032" s="6" t="str">
        <f>HYPERLINK("https://creighton-primo.hosted.exlibrisgroup.com/primo-explore/search?tab=default_tab&amp;search_scope=EVERYTHING&amp;vid=01CRU&amp;lang=en_US&amp;offset=0&amp;query=any,contains,991002801119702656","Catalog Record")</f>
        <v>Catalog Record</v>
      </c>
      <c r="AT2032" s="6" t="str">
        <f>HYPERLINK("http://www.worldcat.org/oclc/36798358","WorldCat Record")</f>
        <v>WorldCat Record</v>
      </c>
      <c r="AU2032" s="3" t="s">
        <v>24823</v>
      </c>
      <c r="AV2032" s="3" t="s">
        <v>24824</v>
      </c>
      <c r="AW2032" s="3" t="s">
        <v>24825</v>
      </c>
      <c r="AX2032" s="3" t="s">
        <v>24825</v>
      </c>
      <c r="AY2032" s="3" t="s">
        <v>24826</v>
      </c>
      <c r="AZ2032" s="3" t="s">
        <v>73</v>
      </c>
      <c r="BB2032" s="3" t="s">
        <v>24827</v>
      </c>
      <c r="BC2032" s="3" t="s">
        <v>24828</v>
      </c>
      <c r="BD2032" s="3" t="s">
        <v>24829</v>
      </c>
    </row>
    <row r="2033" spans="1:56" ht="51" customHeight="1" x14ac:dyDescent="0.25">
      <c r="A2033" s="7" t="s">
        <v>58</v>
      </c>
      <c r="B2033" s="2" t="s">
        <v>24830</v>
      </c>
      <c r="C2033" s="2" t="s">
        <v>24831</v>
      </c>
      <c r="D2033" s="2" t="s">
        <v>24832</v>
      </c>
      <c r="F2033" s="3" t="s">
        <v>58</v>
      </c>
      <c r="G2033" s="3" t="s">
        <v>59</v>
      </c>
      <c r="H2033" s="3" t="s">
        <v>58</v>
      </c>
      <c r="I2033" s="3" t="s">
        <v>58</v>
      </c>
      <c r="J2033" s="3" t="s">
        <v>60</v>
      </c>
      <c r="K2033" s="2" t="s">
        <v>24833</v>
      </c>
      <c r="L2033" s="2" t="s">
        <v>15726</v>
      </c>
      <c r="M2033" s="3" t="s">
        <v>4023</v>
      </c>
      <c r="O2033" s="3" t="s">
        <v>63</v>
      </c>
      <c r="P2033" s="3" t="s">
        <v>2061</v>
      </c>
      <c r="R2033" s="3" t="s">
        <v>65</v>
      </c>
      <c r="S2033" s="4">
        <v>5</v>
      </c>
      <c r="T2033" s="4">
        <v>5</v>
      </c>
      <c r="U2033" s="5" t="s">
        <v>24834</v>
      </c>
      <c r="V2033" s="5" t="s">
        <v>24834</v>
      </c>
      <c r="W2033" s="5" t="s">
        <v>15728</v>
      </c>
      <c r="X2033" s="5" t="s">
        <v>15728</v>
      </c>
      <c r="Y2033" s="4">
        <v>451</v>
      </c>
      <c r="Z2033" s="4">
        <v>338</v>
      </c>
      <c r="AA2033" s="4">
        <v>339</v>
      </c>
      <c r="AB2033" s="4">
        <v>3</v>
      </c>
      <c r="AC2033" s="4">
        <v>3</v>
      </c>
      <c r="AD2033" s="4">
        <v>22</v>
      </c>
      <c r="AE2033" s="4">
        <v>22</v>
      </c>
      <c r="AF2033" s="4">
        <v>8</v>
      </c>
      <c r="AG2033" s="4">
        <v>8</v>
      </c>
      <c r="AH2033" s="4">
        <v>6</v>
      </c>
      <c r="AI2033" s="4">
        <v>6</v>
      </c>
      <c r="AJ2033" s="4">
        <v>12</v>
      </c>
      <c r="AK2033" s="4">
        <v>12</v>
      </c>
      <c r="AL2033" s="4">
        <v>2</v>
      </c>
      <c r="AM2033" s="4">
        <v>2</v>
      </c>
      <c r="AN2033" s="4">
        <v>0</v>
      </c>
      <c r="AO2033" s="4">
        <v>0</v>
      </c>
      <c r="AP2033" s="3" t="s">
        <v>58</v>
      </c>
      <c r="AQ2033" s="3" t="s">
        <v>68</v>
      </c>
      <c r="AR2033" s="6" t="str">
        <f>HYPERLINK("http://catalog.hathitrust.org/Record/004763690","HathiTrust Record")</f>
        <v>HathiTrust Record</v>
      </c>
      <c r="AS2033" s="6" t="str">
        <f>HYPERLINK("https://creighton-primo.hosted.exlibrisgroup.com/primo-explore/search?tab=default_tab&amp;search_scope=EVERYTHING&amp;vid=01CRU&amp;lang=en_US&amp;offset=0&amp;query=any,contains,991004642609702656","Catalog Record")</f>
        <v>Catalog Record</v>
      </c>
      <c r="AT2033" s="6" t="str">
        <f>HYPERLINK("http://www.worldcat.org/oclc/54694622","WorldCat Record")</f>
        <v>WorldCat Record</v>
      </c>
      <c r="AU2033" s="3" t="s">
        <v>24835</v>
      </c>
      <c r="AV2033" s="3" t="s">
        <v>24836</v>
      </c>
      <c r="AW2033" s="3" t="s">
        <v>24837</v>
      </c>
      <c r="AX2033" s="3" t="s">
        <v>24837</v>
      </c>
      <c r="AY2033" s="3" t="s">
        <v>24838</v>
      </c>
      <c r="AZ2033" s="3" t="s">
        <v>73</v>
      </c>
      <c r="BB2033" s="3" t="s">
        <v>24839</v>
      </c>
      <c r="BC2033" s="3" t="s">
        <v>24840</v>
      </c>
      <c r="BD2033" s="3" t="s">
        <v>24841</v>
      </c>
    </row>
    <row r="2034" spans="1:56" ht="51" customHeight="1" x14ac:dyDescent="0.25">
      <c r="A2034" s="7" t="s">
        <v>58</v>
      </c>
      <c r="B2034" s="2" t="s">
        <v>24842</v>
      </c>
      <c r="C2034" s="2" t="s">
        <v>24843</v>
      </c>
      <c r="D2034" s="2" t="s">
        <v>24844</v>
      </c>
      <c r="F2034" s="3" t="s">
        <v>58</v>
      </c>
      <c r="G2034" s="3" t="s">
        <v>59</v>
      </c>
      <c r="H2034" s="3" t="s">
        <v>58</v>
      </c>
      <c r="I2034" s="3" t="s">
        <v>58</v>
      </c>
      <c r="J2034" s="3" t="s">
        <v>60</v>
      </c>
      <c r="K2034" s="2" t="s">
        <v>24845</v>
      </c>
      <c r="L2034" s="2" t="s">
        <v>24846</v>
      </c>
      <c r="M2034" s="3" t="s">
        <v>83</v>
      </c>
      <c r="O2034" s="3" t="s">
        <v>63</v>
      </c>
      <c r="P2034" s="3" t="s">
        <v>584</v>
      </c>
      <c r="R2034" s="3" t="s">
        <v>65</v>
      </c>
      <c r="S2034" s="4">
        <v>10</v>
      </c>
      <c r="T2034" s="4">
        <v>10</v>
      </c>
      <c r="U2034" s="5" t="s">
        <v>24162</v>
      </c>
      <c r="V2034" s="5" t="s">
        <v>24162</v>
      </c>
      <c r="W2034" s="5" t="s">
        <v>17421</v>
      </c>
      <c r="X2034" s="5" t="s">
        <v>17421</v>
      </c>
      <c r="Y2034" s="4">
        <v>423</v>
      </c>
      <c r="Z2034" s="4">
        <v>292</v>
      </c>
      <c r="AA2034" s="4">
        <v>294</v>
      </c>
      <c r="AB2034" s="4">
        <v>3</v>
      </c>
      <c r="AC2034" s="4">
        <v>3</v>
      </c>
      <c r="AD2034" s="4">
        <v>11</v>
      </c>
      <c r="AE2034" s="4">
        <v>11</v>
      </c>
      <c r="AF2034" s="4">
        <v>2</v>
      </c>
      <c r="AG2034" s="4">
        <v>2</v>
      </c>
      <c r="AH2034" s="4">
        <v>3</v>
      </c>
      <c r="AI2034" s="4">
        <v>3</v>
      </c>
      <c r="AJ2034" s="4">
        <v>6</v>
      </c>
      <c r="AK2034" s="4">
        <v>6</v>
      </c>
      <c r="AL2034" s="4">
        <v>2</v>
      </c>
      <c r="AM2034" s="4">
        <v>2</v>
      </c>
      <c r="AN2034" s="4">
        <v>0</v>
      </c>
      <c r="AO2034" s="4">
        <v>0</v>
      </c>
      <c r="AP2034" s="3" t="s">
        <v>58</v>
      </c>
      <c r="AQ2034" s="3" t="s">
        <v>68</v>
      </c>
      <c r="AR2034" s="6" t="str">
        <f>HYPERLINK("http://catalog.hathitrust.org/Record/000258836","HathiTrust Record")</f>
        <v>HathiTrust Record</v>
      </c>
      <c r="AS2034" s="6" t="str">
        <f>HYPERLINK("https://creighton-primo.hosted.exlibrisgroup.com/primo-explore/search?tab=default_tab&amp;search_scope=EVERYTHING&amp;vid=01CRU&amp;lang=en_US&amp;offset=0&amp;query=any,contains,991004682849702656","Catalog Record")</f>
        <v>Catalog Record</v>
      </c>
      <c r="AT2034" s="6" t="str">
        <f>HYPERLINK("http://www.worldcat.org/oclc/4578191","WorldCat Record")</f>
        <v>WorldCat Record</v>
      </c>
      <c r="AU2034" s="3" t="s">
        <v>24847</v>
      </c>
      <c r="AV2034" s="3" t="s">
        <v>24848</v>
      </c>
      <c r="AW2034" s="3" t="s">
        <v>24849</v>
      </c>
      <c r="AX2034" s="3" t="s">
        <v>24849</v>
      </c>
      <c r="AY2034" s="3" t="s">
        <v>24850</v>
      </c>
      <c r="AZ2034" s="3" t="s">
        <v>73</v>
      </c>
      <c r="BB2034" s="3" t="s">
        <v>24851</v>
      </c>
      <c r="BC2034" s="3" t="s">
        <v>24852</v>
      </c>
      <c r="BD2034" s="3" t="s">
        <v>24853</v>
      </c>
    </row>
    <row r="2035" spans="1:56" ht="51" customHeight="1" x14ac:dyDescent="0.25">
      <c r="A2035" s="7" t="s">
        <v>58</v>
      </c>
      <c r="B2035" s="2" t="s">
        <v>24854</v>
      </c>
      <c r="C2035" s="2" t="s">
        <v>24855</v>
      </c>
      <c r="D2035" s="2" t="s">
        <v>24856</v>
      </c>
      <c r="F2035" s="3" t="s">
        <v>58</v>
      </c>
      <c r="G2035" s="3" t="s">
        <v>59</v>
      </c>
      <c r="H2035" s="3" t="s">
        <v>58</v>
      </c>
      <c r="I2035" s="3" t="s">
        <v>58</v>
      </c>
      <c r="J2035" s="3" t="s">
        <v>60</v>
      </c>
      <c r="K2035" s="2" t="s">
        <v>24857</v>
      </c>
      <c r="L2035" s="2" t="s">
        <v>23064</v>
      </c>
      <c r="M2035" s="3" t="s">
        <v>996</v>
      </c>
      <c r="O2035" s="3" t="s">
        <v>63</v>
      </c>
      <c r="P2035" s="3" t="s">
        <v>16203</v>
      </c>
      <c r="R2035" s="3" t="s">
        <v>65</v>
      </c>
      <c r="S2035" s="4">
        <v>3</v>
      </c>
      <c r="T2035" s="4">
        <v>3</v>
      </c>
      <c r="U2035" s="5" t="s">
        <v>15122</v>
      </c>
      <c r="V2035" s="5" t="s">
        <v>15122</v>
      </c>
      <c r="W2035" s="5" t="s">
        <v>24572</v>
      </c>
      <c r="X2035" s="5" t="s">
        <v>24572</v>
      </c>
      <c r="Y2035" s="4">
        <v>157</v>
      </c>
      <c r="Z2035" s="4">
        <v>135</v>
      </c>
      <c r="AA2035" s="4">
        <v>137</v>
      </c>
      <c r="AB2035" s="4">
        <v>1</v>
      </c>
      <c r="AC2035" s="4">
        <v>1</v>
      </c>
      <c r="AD2035" s="4">
        <v>8</v>
      </c>
      <c r="AE2035" s="4">
        <v>8</v>
      </c>
      <c r="AF2035" s="4">
        <v>1</v>
      </c>
      <c r="AG2035" s="4">
        <v>1</v>
      </c>
      <c r="AH2035" s="4">
        <v>4</v>
      </c>
      <c r="AI2035" s="4">
        <v>4</v>
      </c>
      <c r="AJ2035" s="4">
        <v>5</v>
      </c>
      <c r="AK2035" s="4">
        <v>5</v>
      </c>
      <c r="AL2035" s="4">
        <v>0</v>
      </c>
      <c r="AM2035" s="4">
        <v>0</v>
      </c>
      <c r="AN2035" s="4">
        <v>0</v>
      </c>
      <c r="AO2035" s="4">
        <v>0</v>
      </c>
      <c r="AP2035" s="3" t="s">
        <v>58</v>
      </c>
      <c r="AQ2035" s="3" t="s">
        <v>68</v>
      </c>
      <c r="AR2035" s="6" t="str">
        <f>HYPERLINK("http://catalog.hathitrust.org/Record/000011810","HathiTrust Record")</f>
        <v>HathiTrust Record</v>
      </c>
      <c r="AS2035" s="6" t="str">
        <f>HYPERLINK("https://creighton-primo.hosted.exlibrisgroup.com/primo-explore/search?tab=default_tab&amp;search_scope=EVERYTHING&amp;vid=01CRU&amp;lang=en_US&amp;offset=0&amp;query=any,contains,991003271969702656","Catalog Record")</f>
        <v>Catalog Record</v>
      </c>
      <c r="AT2035" s="6" t="str">
        <f>HYPERLINK("http://www.worldcat.org/oclc/797637","WorldCat Record")</f>
        <v>WorldCat Record</v>
      </c>
      <c r="AU2035" s="3" t="s">
        <v>24858</v>
      </c>
      <c r="AV2035" s="3" t="s">
        <v>24859</v>
      </c>
      <c r="AW2035" s="3" t="s">
        <v>24860</v>
      </c>
      <c r="AX2035" s="3" t="s">
        <v>24860</v>
      </c>
      <c r="AY2035" s="3" t="s">
        <v>24861</v>
      </c>
      <c r="AZ2035" s="3" t="s">
        <v>73</v>
      </c>
      <c r="BB2035" s="3" t="s">
        <v>24862</v>
      </c>
      <c r="BC2035" s="3" t="s">
        <v>24863</v>
      </c>
      <c r="BD2035" s="3" t="s">
        <v>24864</v>
      </c>
    </row>
    <row r="2036" spans="1:56" ht="51" customHeight="1" x14ac:dyDescent="0.25">
      <c r="A2036" s="7" t="s">
        <v>58</v>
      </c>
      <c r="B2036" s="2" t="s">
        <v>24865</v>
      </c>
      <c r="C2036" s="2" t="s">
        <v>24866</v>
      </c>
      <c r="D2036" s="2" t="s">
        <v>24867</v>
      </c>
      <c r="F2036" s="3" t="s">
        <v>58</v>
      </c>
      <c r="G2036" s="3" t="s">
        <v>59</v>
      </c>
      <c r="H2036" s="3" t="s">
        <v>58</v>
      </c>
      <c r="I2036" s="3" t="s">
        <v>58</v>
      </c>
      <c r="J2036" s="3" t="s">
        <v>60</v>
      </c>
      <c r="K2036" s="2" t="s">
        <v>24868</v>
      </c>
      <c r="L2036" s="2" t="s">
        <v>2131</v>
      </c>
      <c r="M2036" s="3" t="s">
        <v>2132</v>
      </c>
      <c r="O2036" s="3" t="s">
        <v>63</v>
      </c>
      <c r="P2036" s="3" t="s">
        <v>816</v>
      </c>
      <c r="Q2036" s="2" t="s">
        <v>24869</v>
      </c>
      <c r="R2036" s="3" t="s">
        <v>65</v>
      </c>
      <c r="S2036" s="4">
        <v>20</v>
      </c>
      <c r="T2036" s="4">
        <v>20</v>
      </c>
      <c r="U2036" s="5" t="s">
        <v>9955</v>
      </c>
      <c r="V2036" s="5" t="s">
        <v>9955</v>
      </c>
      <c r="W2036" s="5" t="s">
        <v>24870</v>
      </c>
      <c r="X2036" s="5" t="s">
        <v>24870</v>
      </c>
      <c r="Y2036" s="4">
        <v>752</v>
      </c>
      <c r="Z2036" s="4">
        <v>643</v>
      </c>
      <c r="AA2036" s="4">
        <v>763</v>
      </c>
      <c r="AB2036" s="4">
        <v>7</v>
      </c>
      <c r="AC2036" s="4">
        <v>9</v>
      </c>
      <c r="AD2036" s="4">
        <v>36</v>
      </c>
      <c r="AE2036" s="4">
        <v>43</v>
      </c>
      <c r="AF2036" s="4">
        <v>16</v>
      </c>
      <c r="AG2036" s="4">
        <v>19</v>
      </c>
      <c r="AH2036" s="4">
        <v>6</v>
      </c>
      <c r="AI2036" s="4">
        <v>7</v>
      </c>
      <c r="AJ2036" s="4">
        <v>17</v>
      </c>
      <c r="AK2036" s="4">
        <v>19</v>
      </c>
      <c r="AL2036" s="4">
        <v>6</v>
      </c>
      <c r="AM2036" s="4">
        <v>8</v>
      </c>
      <c r="AN2036" s="4">
        <v>0</v>
      </c>
      <c r="AO2036" s="4">
        <v>0</v>
      </c>
      <c r="AP2036" s="3" t="s">
        <v>58</v>
      </c>
      <c r="AQ2036" s="3" t="s">
        <v>68</v>
      </c>
      <c r="AR2036" s="6" t="str">
        <f>HYPERLINK("http://catalog.hathitrust.org/Record/001257950","HathiTrust Record")</f>
        <v>HathiTrust Record</v>
      </c>
      <c r="AS2036" s="6" t="str">
        <f>HYPERLINK("https://creighton-primo.hosted.exlibrisgroup.com/primo-explore/search?tab=default_tab&amp;search_scope=EVERYTHING&amp;vid=01CRU&amp;lang=en_US&amp;offset=0&amp;query=any,contains,991002718159702656","Catalog Record")</f>
        <v>Catalog Record</v>
      </c>
      <c r="AT2036" s="6" t="str">
        <f>HYPERLINK("http://www.worldcat.org/oclc/411914","WorldCat Record")</f>
        <v>WorldCat Record</v>
      </c>
      <c r="AU2036" s="3" t="s">
        <v>24871</v>
      </c>
      <c r="AV2036" s="3" t="s">
        <v>24872</v>
      </c>
      <c r="AW2036" s="3" t="s">
        <v>24873</v>
      </c>
      <c r="AX2036" s="3" t="s">
        <v>24873</v>
      </c>
      <c r="AY2036" s="3" t="s">
        <v>24874</v>
      </c>
      <c r="AZ2036" s="3" t="s">
        <v>73</v>
      </c>
      <c r="BC2036" s="3" t="s">
        <v>24875</v>
      </c>
      <c r="BD2036" s="3" t="s">
        <v>24876</v>
      </c>
    </row>
    <row r="2037" spans="1:56" ht="51" customHeight="1" x14ac:dyDescent="0.25">
      <c r="A2037" s="7" t="s">
        <v>58</v>
      </c>
      <c r="B2037" s="2" t="s">
        <v>24877</v>
      </c>
      <c r="C2037" s="2" t="s">
        <v>24878</v>
      </c>
      <c r="D2037" s="2" t="s">
        <v>24879</v>
      </c>
      <c r="F2037" s="3" t="s">
        <v>58</v>
      </c>
      <c r="G2037" s="3" t="s">
        <v>59</v>
      </c>
      <c r="H2037" s="3" t="s">
        <v>58</v>
      </c>
      <c r="I2037" s="3" t="s">
        <v>58</v>
      </c>
      <c r="J2037" s="3" t="s">
        <v>60</v>
      </c>
      <c r="L2037" s="2" t="s">
        <v>24389</v>
      </c>
      <c r="M2037" s="3" t="s">
        <v>83</v>
      </c>
      <c r="O2037" s="3" t="s">
        <v>63</v>
      </c>
      <c r="P2037" s="3" t="s">
        <v>214</v>
      </c>
      <c r="R2037" s="3" t="s">
        <v>65</v>
      </c>
      <c r="S2037" s="4">
        <v>5</v>
      </c>
      <c r="T2037" s="4">
        <v>5</v>
      </c>
      <c r="U2037" s="5" t="s">
        <v>23684</v>
      </c>
      <c r="V2037" s="5" t="s">
        <v>23684</v>
      </c>
      <c r="W2037" s="5" t="s">
        <v>24880</v>
      </c>
      <c r="X2037" s="5" t="s">
        <v>24880</v>
      </c>
      <c r="Y2037" s="4">
        <v>551</v>
      </c>
      <c r="Z2037" s="4">
        <v>490</v>
      </c>
      <c r="AA2037" s="4">
        <v>492</v>
      </c>
      <c r="AB2037" s="4">
        <v>5</v>
      </c>
      <c r="AC2037" s="4">
        <v>5</v>
      </c>
      <c r="AD2037" s="4">
        <v>21</v>
      </c>
      <c r="AE2037" s="4">
        <v>21</v>
      </c>
      <c r="AF2037" s="4">
        <v>6</v>
      </c>
      <c r="AG2037" s="4">
        <v>6</v>
      </c>
      <c r="AH2037" s="4">
        <v>7</v>
      </c>
      <c r="AI2037" s="4">
        <v>7</v>
      </c>
      <c r="AJ2037" s="4">
        <v>9</v>
      </c>
      <c r="AK2037" s="4">
        <v>9</v>
      </c>
      <c r="AL2037" s="4">
        <v>4</v>
      </c>
      <c r="AM2037" s="4">
        <v>4</v>
      </c>
      <c r="AN2037" s="4">
        <v>0</v>
      </c>
      <c r="AO2037" s="4">
        <v>0</v>
      </c>
      <c r="AP2037" s="3" t="s">
        <v>58</v>
      </c>
      <c r="AQ2037" s="3" t="s">
        <v>68</v>
      </c>
      <c r="AR2037" s="6" t="str">
        <f>HYPERLINK("http://catalog.hathitrust.org/Record/000748312","HathiTrust Record")</f>
        <v>HathiTrust Record</v>
      </c>
      <c r="AS2037" s="6" t="str">
        <f>HYPERLINK("https://creighton-primo.hosted.exlibrisgroup.com/primo-explore/search?tab=default_tab&amp;search_scope=EVERYTHING&amp;vid=01CRU&amp;lang=en_US&amp;offset=0&amp;query=any,contains,991004402549702656","Catalog Record")</f>
        <v>Catalog Record</v>
      </c>
      <c r="AT2037" s="6" t="str">
        <f>HYPERLINK("http://www.worldcat.org/oclc/3310323","WorldCat Record")</f>
        <v>WorldCat Record</v>
      </c>
      <c r="AU2037" s="3" t="s">
        <v>24881</v>
      </c>
      <c r="AV2037" s="3" t="s">
        <v>24882</v>
      </c>
      <c r="AW2037" s="3" t="s">
        <v>24883</v>
      </c>
      <c r="AX2037" s="3" t="s">
        <v>24883</v>
      </c>
      <c r="AY2037" s="3" t="s">
        <v>24884</v>
      </c>
      <c r="AZ2037" s="3" t="s">
        <v>73</v>
      </c>
      <c r="BB2037" s="3" t="s">
        <v>24885</v>
      </c>
      <c r="BC2037" s="3" t="s">
        <v>24886</v>
      </c>
      <c r="BD2037" s="3" t="s">
        <v>24887</v>
      </c>
    </row>
    <row r="2038" spans="1:56" ht="51" customHeight="1" x14ac:dyDescent="0.25">
      <c r="A2038" s="7" t="s">
        <v>58</v>
      </c>
      <c r="B2038" s="2" t="s">
        <v>24888</v>
      </c>
      <c r="C2038" s="2" t="s">
        <v>24889</v>
      </c>
      <c r="D2038" s="2" t="s">
        <v>24890</v>
      </c>
      <c r="F2038" s="3" t="s">
        <v>58</v>
      </c>
      <c r="G2038" s="3" t="s">
        <v>59</v>
      </c>
      <c r="H2038" s="3" t="s">
        <v>58</v>
      </c>
      <c r="I2038" s="3" t="s">
        <v>58</v>
      </c>
      <c r="J2038" s="3" t="s">
        <v>60</v>
      </c>
      <c r="K2038" s="2" t="s">
        <v>24891</v>
      </c>
      <c r="L2038" s="2" t="s">
        <v>537</v>
      </c>
      <c r="M2038" s="3" t="s">
        <v>538</v>
      </c>
      <c r="O2038" s="3" t="s">
        <v>63</v>
      </c>
      <c r="P2038" s="3" t="s">
        <v>214</v>
      </c>
      <c r="R2038" s="3" t="s">
        <v>65</v>
      </c>
      <c r="S2038" s="4">
        <v>4</v>
      </c>
      <c r="T2038" s="4">
        <v>4</v>
      </c>
      <c r="U2038" s="5" t="s">
        <v>24892</v>
      </c>
      <c r="V2038" s="5" t="s">
        <v>24892</v>
      </c>
      <c r="W2038" s="5" t="s">
        <v>24893</v>
      </c>
      <c r="X2038" s="5" t="s">
        <v>24893</v>
      </c>
      <c r="Y2038" s="4">
        <v>327</v>
      </c>
      <c r="Z2038" s="4">
        <v>308</v>
      </c>
      <c r="AA2038" s="4">
        <v>389</v>
      </c>
      <c r="AB2038" s="4">
        <v>6</v>
      </c>
      <c r="AC2038" s="4">
        <v>6</v>
      </c>
      <c r="AD2038" s="4">
        <v>17</v>
      </c>
      <c r="AE2038" s="4">
        <v>21</v>
      </c>
      <c r="AF2038" s="4">
        <v>5</v>
      </c>
      <c r="AG2038" s="4">
        <v>6</v>
      </c>
      <c r="AH2038" s="4">
        <v>4</v>
      </c>
      <c r="AI2038" s="4">
        <v>5</v>
      </c>
      <c r="AJ2038" s="4">
        <v>8</v>
      </c>
      <c r="AK2038" s="4">
        <v>10</v>
      </c>
      <c r="AL2038" s="4">
        <v>5</v>
      </c>
      <c r="AM2038" s="4">
        <v>5</v>
      </c>
      <c r="AN2038" s="4">
        <v>0</v>
      </c>
      <c r="AO2038" s="4">
        <v>0</v>
      </c>
      <c r="AP2038" s="3" t="s">
        <v>58</v>
      </c>
      <c r="AQ2038" s="3" t="s">
        <v>68</v>
      </c>
      <c r="AR2038" s="6" t="str">
        <f>HYPERLINK("http://catalog.hathitrust.org/Record/001257966","HathiTrust Record")</f>
        <v>HathiTrust Record</v>
      </c>
      <c r="AS2038" s="6" t="str">
        <f>HYPERLINK("https://creighton-primo.hosted.exlibrisgroup.com/primo-explore/search?tab=default_tab&amp;search_scope=EVERYTHING&amp;vid=01CRU&amp;lang=en_US&amp;offset=0&amp;query=any,contains,991005436469702656","Catalog Record")</f>
        <v>Catalog Record</v>
      </c>
      <c r="AT2038" s="6" t="str">
        <f>HYPERLINK("http://www.worldcat.org/oclc/4429","WorldCat Record")</f>
        <v>WorldCat Record</v>
      </c>
      <c r="AU2038" s="3" t="s">
        <v>24894</v>
      </c>
      <c r="AV2038" s="3" t="s">
        <v>24895</v>
      </c>
      <c r="AW2038" s="3" t="s">
        <v>24896</v>
      </c>
      <c r="AX2038" s="3" t="s">
        <v>24896</v>
      </c>
      <c r="AY2038" s="3" t="s">
        <v>24897</v>
      </c>
      <c r="AZ2038" s="3" t="s">
        <v>73</v>
      </c>
      <c r="BC2038" s="3" t="s">
        <v>24898</v>
      </c>
      <c r="BD2038" s="3" t="s">
        <v>24899</v>
      </c>
    </row>
    <row r="2039" spans="1:56" ht="51" customHeight="1" x14ac:dyDescent="0.25">
      <c r="A2039" s="7" t="s">
        <v>58</v>
      </c>
      <c r="B2039" s="2" t="s">
        <v>24900</v>
      </c>
      <c r="C2039" s="2" t="s">
        <v>24901</v>
      </c>
      <c r="D2039" s="2" t="s">
        <v>24902</v>
      </c>
      <c r="F2039" s="3" t="s">
        <v>58</v>
      </c>
      <c r="G2039" s="3" t="s">
        <v>59</v>
      </c>
      <c r="H2039" s="3" t="s">
        <v>58</v>
      </c>
      <c r="I2039" s="3" t="s">
        <v>58</v>
      </c>
      <c r="J2039" s="3" t="s">
        <v>60</v>
      </c>
      <c r="K2039" s="2" t="s">
        <v>24903</v>
      </c>
      <c r="L2039" s="2" t="s">
        <v>24904</v>
      </c>
      <c r="M2039" s="3" t="s">
        <v>2132</v>
      </c>
      <c r="N2039" s="2" t="s">
        <v>1611</v>
      </c>
      <c r="O2039" s="3" t="s">
        <v>63</v>
      </c>
      <c r="P2039" s="3" t="s">
        <v>214</v>
      </c>
      <c r="Q2039" s="2" t="s">
        <v>24905</v>
      </c>
      <c r="R2039" s="3" t="s">
        <v>65</v>
      </c>
      <c r="S2039" s="4">
        <v>3</v>
      </c>
      <c r="T2039" s="4">
        <v>3</v>
      </c>
      <c r="U2039" s="5" t="s">
        <v>24892</v>
      </c>
      <c r="V2039" s="5" t="s">
        <v>24892</v>
      </c>
      <c r="W2039" s="5" t="s">
        <v>22066</v>
      </c>
      <c r="X2039" s="5" t="s">
        <v>22066</v>
      </c>
      <c r="Y2039" s="4">
        <v>373</v>
      </c>
      <c r="Z2039" s="4">
        <v>311</v>
      </c>
      <c r="AA2039" s="4">
        <v>382</v>
      </c>
      <c r="AB2039" s="4">
        <v>2</v>
      </c>
      <c r="AC2039" s="4">
        <v>3</v>
      </c>
      <c r="AD2039" s="4">
        <v>13</v>
      </c>
      <c r="AE2039" s="4">
        <v>15</v>
      </c>
      <c r="AF2039" s="4">
        <v>5</v>
      </c>
      <c r="AG2039" s="4">
        <v>6</v>
      </c>
      <c r="AH2039" s="4">
        <v>3</v>
      </c>
      <c r="AI2039" s="4">
        <v>3</v>
      </c>
      <c r="AJ2039" s="4">
        <v>7</v>
      </c>
      <c r="AK2039" s="4">
        <v>7</v>
      </c>
      <c r="AL2039" s="4">
        <v>1</v>
      </c>
      <c r="AM2039" s="4">
        <v>2</v>
      </c>
      <c r="AN2039" s="4">
        <v>0</v>
      </c>
      <c r="AO2039" s="4">
        <v>0</v>
      </c>
      <c r="AP2039" s="3" t="s">
        <v>58</v>
      </c>
      <c r="AQ2039" s="3" t="s">
        <v>58</v>
      </c>
      <c r="AR2039" s="6" t="str">
        <f>HYPERLINK("http://catalog.hathitrust.org/Record/001257968","HathiTrust Record")</f>
        <v>HathiTrust Record</v>
      </c>
      <c r="AS2039" s="6" t="str">
        <f>HYPERLINK("https://creighton-primo.hosted.exlibrisgroup.com/primo-explore/search?tab=default_tab&amp;search_scope=EVERYTHING&amp;vid=01CRU&amp;lang=en_US&amp;offset=0&amp;query=any,contains,991004283559702656","Catalog Record")</f>
        <v>Catalog Record</v>
      </c>
      <c r="AT2039" s="6" t="str">
        <f>HYPERLINK("http://www.worldcat.org/oclc/2916819","WorldCat Record")</f>
        <v>WorldCat Record</v>
      </c>
      <c r="AU2039" s="3" t="s">
        <v>24906</v>
      </c>
      <c r="AV2039" s="3" t="s">
        <v>24907</v>
      </c>
      <c r="AW2039" s="3" t="s">
        <v>24908</v>
      </c>
      <c r="AX2039" s="3" t="s">
        <v>24908</v>
      </c>
      <c r="AY2039" s="3" t="s">
        <v>24909</v>
      </c>
      <c r="AZ2039" s="3" t="s">
        <v>73</v>
      </c>
      <c r="BC2039" s="3" t="s">
        <v>24910</v>
      </c>
      <c r="BD2039" s="3" t="s">
        <v>24911</v>
      </c>
    </row>
    <row r="2040" spans="1:56" ht="51" customHeight="1" x14ac:dyDescent="0.25">
      <c r="A2040" s="7" t="s">
        <v>58</v>
      </c>
      <c r="B2040" s="2" t="s">
        <v>24912</v>
      </c>
      <c r="C2040" s="2" t="s">
        <v>24913</v>
      </c>
      <c r="D2040" s="2" t="s">
        <v>24914</v>
      </c>
      <c r="F2040" s="3" t="s">
        <v>58</v>
      </c>
      <c r="G2040" s="3" t="s">
        <v>59</v>
      </c>
      <c r="H2040" s="3" t="s">
        <v>58</v>
      </c>
      <c r="I2040" s="3" t="s">
        <v>58</v>
      </c>
      <c r="J2040" s="3" t="s">
        <v>60</v>
      </c>
      <c r="K2040" s="2" t="s">
        <v>24915</v>
      </c>
      <c r="L2040" s="2" t="s">
        <v>24916</v>
      </c>
      <c r="M2040" s="3" t="s">
        <v>996</v>
      </c>
      <c r="O2040" s="3" t="s">
        <v>63</v>
      </c>
      <c r="P2040" s="3" t="s">
        <v>16203</v>
      </c>
      <c r="R2040" s="3" t="s">
        <v>65</v>
      </c>
      <c r="S2040" s="4">
        <v>1</v>
      </c>
      <c r="T2040" s="4">
        <v>1</v>
      </c>
      <c r="U2040" s="5" t="s">
        <v>24917</v>
      </c>
      <c r="V2040" s="5" t="s">
        <v>24917</v>
      </c>
      <c r="W2040" s="5" t="s">
        <v>24893</v>
      </c>
      <c r="X2040" s="5" t="s">
        <v>24893</v>
      </c>
      <c r="Y2040" s="4">
        <v>149</v>
      </c>
      <c r="Z2040" s="4">
        <v>123</v>
      </c>
      <c r="AA2040" s="4">
        <v>157</v>
      </c>
      <c r="AB2040" s="4">
        <v>1</v>
      </c>
      <c r="AC2040" s="4">
        <v>1</v>
      </c>
      <c r="AD2040" s="4">
        <v>8</v>
      </c>
      <c r="AE2040" s="4">
        <v>8</v>
      </c>
      <c r="AF2040" s="4">
        <v>1</v>
      </c>
      <c r="AG2040" s="4">
        <v>1</v>
      </c>
      <c r="AH2040" s="4">
        <v>5</v>
      </c>
      <c r="AI2040" s="4">
        <v>5</v>
      </c>
      <c r="AJ2040" s="4">
        <v>5</v>
      </c>
      <c r="AK2040" s="4">
        <v>5</v>
      </c>
      <c r="AL2040" s="4">
        <v>0</v>
      </c>
      <c r="AM2040" s="4">
        <v>0</v>
      </c>
      <c r="AN2040" s="4">
        <v>0</v>
      </c>
      <c r="AO2040" s="4">
        <v>0</v>
      </c>
      <c r="AP2040" s="3" t="s">
        <v>58</v>
      </c>
      <c r="AQ2040" s="3" t="s">
        <v>68</v>
      </c>
      <c r="AR2040" s="6" t="str">
        <f>HYPERLINK("http://catalog.hathitrust.org/Record/000007882","HathiTrust Record")</f>
        <v>HathiTrust Record</v>
      </c>
      <c r="AS2040" s="6" t="str">
        <f>HYPERLINK("https://creighton-primo.hosted.exlibrisgroup.com/primo-explore/search?tab=default_tab&amp;search_scope=EVERYTHING&amp;vid=01CRU&amp;lang=en_US&amp;offset=0&amp;query=any,contains,991003018679702656","Catalog Record")</f>
        <v>Catalog Record</v>
      </c>
      <c r="AT2040" s="6" t="str">
        <f>HYPERLINK("http://www.worldcat.org/oclc/583516","WorldCat Record")</f>
        <v>WorldCat Record</v>
      </c>
      <c r="AU2040" s="3" t="s">
        <v>24918</v>
      </c>
      <c r="AV2040" s="3" t="s">
        <v>24919</v>
      </c>
      <c r="AW2040" s="3" t="s">
        <v>24920</v>
      </c>
      <c r="AX2040" s="3" t="s">
        <v>24920</v>
      </c>
      <c r="AY2040" s="3" t="s">
        <v>24921</v>
      </c>
      <c r="AZ2040" s="3" t="s">
        <v>73</v>
      </c>
      <c r="BB2040" s="3" t="s">
        <v>24922</v>
      </c>
      <c r="BC2040" s="3" t="s">
        <v>24923</v>
      </c>
      <c r="BD2040" s="3" t="s">
        <v>24924</v>
      </c>
    </row>
    <row r="2041" spans="1:56" ht="51" customHeight="1" x14ac:dyDescent="0.25">
      <c r="A2041" s="7" t="s">
        <v>58</v>
      </c>
      <c r="B2041" s="2" t="s">
        <v>24925</v>
      </c>
      <c r="C2041" s="2" t="s">
        <v>24926</v>
      </c>
      <c r="D2041" s="2" t="s">
        <v>24927</v>
      </c>
      <c r="F2041" s="3" t="s">
        <v>58</v>
      </c>
      <c r="G2041" s="3" t="s">
        <v>59</v>
      </c>
      <c r="H2041" s="3" t="s">
        <v>58</v>
      </c>
      <c r="I2041" s="3" t="s">
        <v>58</v>
      </c>
      <c r="J2041" s="3" t="s">
        <v>60</v>
      </c>
      <c r="K2041" s="2" t="s">
        <v>24928</v>
      </c>
      <c r="L2041" s="2" t="s">
        <v>24929</v>
      </c>
      <c r="M2041" s="3" t="s">
        <v>62</v>
      </c>
      <c r="O2041" s="3" t="s">
        <v>63</v>
      </c>
      <c r="P2041" s="3" t="s">
        <v>584</v>
      </c>
      <c r="R2041" s="3" t="s">
        <v>65</v>
      </c>
      <c r="S2041" s="4">
        <v>3</v>
      </c>
      <c r="T2041" s="4">
        <v>3</v>
      </c>
      <c r="U2041" s="5" t="s">
        <v>14590</v>
      </c>
      <c r="V2041" s="5" t="s">
        <v>14590</v>
      </c>
      <c r="W2041" s="5" t="s">
        <v>22066</v>
      </c>
      <c r="X2041" s="5" t="s">
        <v>22066</v>
      </c>
      <c r="Y2041" s="4">
        <v>552</v>
      </c>
      <c r="Z2041" s="4">
        <v>410</v>
      </c>
      <c r="AA2041" s="4">
        <v>415</v>
      </c>
      <c r="AB2041" s="4">
        <v>4</v>
      </c>
      <c r="AC2041" s="4">
        <v>4</v>
      </c>
      <c r="AD2041" s="4">
        <v>19</v>
      </c>
      <c r="AE2041" s="4">
        <v>19</v>
      </c>
      <c r="AF2041" s="4">
        <v>6</v>
      </c>
      <c r="AG2041" s="4">
        <v>6</v>
      </c>
      <c r="AH2041" s="4">
        <v>6</v>
      </c>
      <c r="AI2041" s="4">
        <v>6</v>
      </c>
      <c r="AJ2041" s="4">
        <v>7</v>
      </c>
      <c r="AK2041" s="4">
        <v>7</v>
      </c>
      <c r="AL2041" s="4">
        <v>3</v>
      </c>
      <c r="AM2041" s="4">
        <v>3</v>
      </c>
      <c r="AN2041" s="4">
        <v>0</v>
      </c>
      <c r="AO2041" s="4">
        <v>0</v>
      </c>
      <c r="AP2041" s="3" t="s">
        <v>58</v>
      </c>
      <c r="AQ2041" s="3" t="s">
        <v>68</v>
      </c>
      <c r="AR2041" s="6" t="str">
        <f>HYPERLINK("http://catalog.hathitrust.org/Record/001257976","HathiTrust Record")</f>
        <v>HathiTrust Record</v>
      </c>
      <c r="AS2041" s="6" t="str">
        <f>HYPERLINK("https://creighton-primo.hosted.exlibrisgroup.com/primo-explore/search?tab=default_tab&amp;search_scope=EVERYTHING&amp;vid=01CRU&amp;lang=en_US&amp;offset=0&amp;query=any,contains,991001218949702656","Catalog Record")</f>
        <v>Catalog Record</v>
      </c>
      <c r="AT2041" s="6" t="str">
        <f>HYPERLINK("http://www.worldcat.org/oclc/195831","WorldCat Record")</f>
        <v>WorldCat Record</v>
      </c>
      <c r="AU2041" s="3" t="s">
        <v>24930</v>
      </c>
      <c r="AV2041" s="3" t="s">
        <v>24931</v>
      </c>
      <c r="AW2041" s="3" t="s">
        <v>24932</v>
      </c>
      <c r="AX2041" s="3" t="s">
        <v>24932</v>
      </c>
      <c r="AY2041" s="3" t="s">
        <v>24933</v>
      </c>
      <c r="AZ2041" s="3" t="s">
        <v>73</v>
      </c>
      <c r="BB2041" s="3" t="s">
        <v>24934</v>
      </c>
      <c r="BC2041" s="3" t="s">
        <v>24935</v>
      </c>
      <c r="BD2041" s="3" t="s">
        <v>24936</v>
      </c>
    </row>
    <row r="2042" spans="1:56" ht="51" customHeight="1" x14ac:dyDescent="0.25">
      <c r="A2042" s="7" t="s">
        <v>58</v>
      </c>
      <c r="B2042" s="2" t="s">
        <v>24937</v>
      </c>
      <c r="C2042" s="2" t="s">
        <v>24938</v>
      </c>
      <c r="D2042" s="2" t="s">
        <v>24939</v>
      </c>
      <c r="F2042" s="3" t="s">
        <v>58</v>
      </c>
      <c r="G2042" s="3" t="s">
        <v>59</v>
      </c>
      <c r="H2042" s="3" t="s">
        <v>58</v>
      </c>
      <c r="I2042" s="3" t="s">
        <v>58</v>
      </c>
      <c r="J2042" s="3" t="s">
        <v>60</v>
      </c>
      <c r="K2042" s="2" t="s">
        <v>24940</v>
      </c>
      <c r="L2042" s="2" t="s">
        <v>24941</v>
      </c>
      <c r="M2042" s="3" t="s">
        <v>382</v>
      </c>
      <c r="O2042" s="3" t="s">
        <v>63</v>
      </c>
      <c r="P2042" s="3" t="s">
        <v>354</v>
      </c>
      <c r="Q2042" s="2" t="s">
        <v>20350</v>
      </c>
      <c r="R2042" s="3" t="s">
        <v>65</v>
      </c>
      <c r="S2042" s="4">
        <v>4</v>
      </c>
      <c r="T2042" s="4">
        <v>4</v>
      </c>
      <c r="U2042" s="5" t="s">
        <v>24942</v>
      </c>
      <c r="V2042" s="5" t="s">
        <v>24942</v>
      </c>
      <c r="W2042" s="5" t="s">
        <v>24943</v>
      </c>
      <c r="X2042" s="5" t="s">
        <v>24943</v>
      </c>
      <c r="Y2042" s="4">
        <v>327</v>
      </c>
      <c r="Z2042" s="4">
        <v>287</v>
      </c>
      <c r="AA2042" s="4">
        <v>295</v>
      </c>
      <c r="AB2042" s="4">
        <v>3</v>
      </c>
      <c r="AC2042" s="4">
        <v>3</v>
      </c>
      <c r="AD2042" s="4">
        <v>18</v>
      </c>
      <c r="AE2042" s="4">
        <v>19</v>
      </c>
      <c r="AF2042" s="4">
        <v>6</v>
      </c>
      <c r="AG2042" s="4">
        <v>7</v>
      </c>
      <c r="AH2042" s="4">
        <v>5</v>
      </c>
      <c r="AI2042" s="4">
        <v>5</v>
      </c>
      <c r="AJ2042" s="4">
        <v>11</v>
      </c>
      <c r="AK2042" s="4">
        <v>11</v>
      </c>
      <c r="AL2042" s="4">
        <v>2</v>
      </c>
      <c r="AM2042" s="4">
        <v>2</v>
      </c>
      <c r="AN2042" s="4">
        <v>0</v>
      </c>
      <c r="AO2042" s="4">
        <v>0</v>
      </c>
      <c r="AP2042" s="3" t="s">
        <v>58</v>
      </c>
      <c r="AQ2042" s="3" t="s">
        <v>68</v>
      </c>
      <c r="AR2042" s="6" t="str">
        <f>HYPERLINK("http://catalog.hathitrust.org/Record/004013815","HathiTrust Record")</f>
        <v>HathiTrust Record</v>
      </c>
      <c r="AS2042" s="6" t="str">
        <f>HYPERLINK("https://creighton-primo.hosted.exlibrisgroup.com/primo-explore/search?tab=default_tab&amp;search_scope=EVERYTHING&amp;vid=01CRU&amp;lang=en_US&amp;offset=0&amp;query=any,contains,991002957679702656","Catalog Record")</f>
        <v>Catalog Record</v>
      </c>
      <c r="AT2042" s="6" t="str">
        <f>HYPERLINK("http://www.worldcat.org/oclc/39505710","WorldCat Record")</f>
        <v>WorldCat Record</v>
      </c>
      <c r="AU2042" s="3" t="s">
        <v>24944</v>
      </c>
      <c r="AV2042" s="3" t="s">
        <v>24945</v>
      </c>
      <c r="AW2042" s="3" t="s">
        <v>24946</v>
      </c>
      <c r="AX2042" s="3" t="s">
        <v>24946</v>
      </c>
      <c r="AY2042" s="3" t="s">
        <v>24947</v>
      </c>
      <c r="AZ2042" s="3" t="s">
        <v>73</v>
      </c>
      <c r="BB2042" s="3" t="s">
        <v>24948</v>
      </c>
      <c r="BC2042" s="3" t="s">
        <v>24949</v>
      </c>
      <c r="BD2042" s="3" t="s">
        <v>24950</v>
      </c>
    </row>
    <row r="2043" spans="1:56" ht="51" customHeight="1" x14ac:dyDescent="0.25">
      <c r="A2043" s="7" t="s">
        <v>58</v>
      </c>
      <c r="B2043" s="2" t="s">
        <v>24951</v>
      </c>
      <c r="C2043" s="2" t="s">
        <v>24952</v>
      </c>
      <c r="D2043" s="2" t="s">
        <v>24953</v>
      </c>
      <c r="F2043" s="3" t="s">
        <v>58</v>
      </c>
      <c r="G2043" s="3" t="s">
        <v>59</v>
      </c>
      <c r="H2043" s="3" t="s">
        <v>58</v>
      </c>
      <c r="I2043" s="3" t="s">
        <v>58</v>
      </c>
      <c r="J2043" s="3" t="s">
        <v>60</v>
      </c>
      <c r="K2043" s="2" t="s">
        <v>24954</v>
      </c>
      <c r="L2043" s="2" t="s">
        <v>24955</v>
      </c>
      <c r="M2043" s="3" t="s">
        <v>2132</v>
      </c>
      <c r="O2043" s="3" t="s">
        <v>63</v>
      </c>
      <c r="P2043" s="3" t="s">
        <v>816</v>
      </c>
      <c r="Q2043" s="2" t="s">
        <v>24956</v>
      </c>
      <c r="R2043" s="3" t="s">
        <v>65</v>
      </c>
      <c r="S2043" s="4">
        <v>4</v>
      </c>
      <c r="T2043" s="4">
        <v>4</v>
      </c>
      <c r="U2043" s="5" t="s">
        <v>24957</v>
      </c>
      <c r="V2043" s="5" t="s">
        <v>24957</v>
      </c>
      <c r="W2043" s="5" t="s">
        <v>23991</v>
      </c>
      <c r="X2043" s="5" t="s">
        <v>23991</v>
      </c>
      <c r="Y2043" s="4">
        <v>636</v>
      </c>
      <c r="Z2043" s="4">
        <v>517</v>
      </c>
      <c r="AA2043" s="4">
        <v>531</v>
      </c>
      <c r="AB2043" s="4">
        <v>3</v>
      </c>
      <c r="AC2043" s="4">
        <v>3</v>
      </c>
      <c r="AD2043" s="4">
        <v>28</v>
      </c>
      <c r="AE2043" s="4">
        <v>28</v>
      </c>
      <c r="AF2043" s="4">
        <v>12</v>
      </c>
      <c r="AG2043" s="4">
        <v>12</v>
      </c>
      <c r="AH2043" s="4">
        <v>8</v>
      </c>
      <c r="AI2043" s="4">
        <v>8</v>
      </c>
      <c r="AJ2043" s="4">
        <v>16</v>
      </c>
      <c r="AK2043" s="4">
        <v>16</v>
      </c>
      <c r="AL2043" s="4">
        <v>2</v>
      </c>
      <c r="AM2043" s="4">
        <v>2</v>
      </c>
      <c r="AN2043" s="4">
        <v>0</v>
      </c>
      <c r="AO2043" s="4">
        <v>0</v>
      </c>
      <c r="AP2043" s="3" t="s">
        <v>58</v>
      </c>
      <c r="AQ2043" s="3" t="s">
        <v>68</v>
      </c>
      <c r="AR2043" s="6" t="str">
        <f>HYPERLINK("http://catalog.hathitrust.org/Record/001652797","HathiTrust Record")</f>
        <v>HathiTrust Record</v>
      </c>
      <c r="AS2043" s="6" t="str">
        <f>HYPERLINK("https://creighton-primo.hosted.exlibrisgroup.com/primo-explore/search?tab=default_tab&amp;search_scope=EVERYTHING&amp;vid=01CRU&amp;lang=en_US&amp;offset=0&amp;query=any,contains,991002718859702656","Catalog Record")</f>
        <v>Catalog Record</v>
      </c>
      <c r="AT2043" s="6" t="str">
        <f>HYPERLINK("http://www.worldcat.org/oclc/411988","WorldCat Record")</f>
        <v>WorldCat Record</v>
      </c>
      <c r="AU2043" s="3" t="s">
        <v>24958</v>
      </c>
      <c r="AV2043" s="3" t="s">
        <v>24959</v>
      </c>
      <c r="AW2043" s="3" t="s">
        <v>24960</v>
      </c>
      <c r="AX2043" s="3" t="s">
        <v>24960</v>
      </c>
      <c r="AY2043" s="3" t="s">
        <v>24961</v>
      </c>
      <c r="AZ2043" s="3" t="s">
        <v>73</v>
      </c>
      <c r="BC2043" s="3" t="s">
        <v>24962</v>
      </c>
      <c r="BD2043" s="3" t="s">
        <v>24963</v>
      </c>
    </row>
    <row r="2044" spans="1:56" ht="51" customHeight="1" x14ac:dyDescent="0.25">
      <c r="A2044" s="7" t="s">
        <v>58</v>
      </c>
      <c r="B2044" s="2" t="s">
        <v>24964</v>
      </c>
      <c r="C2044" s="2" t="s">
        <v>24965</v>
      </c>
      <c r="D2044" s="2" t="s">
        <v>24966</v>
      </c>
      <c r="F2044" s="3" t="s">
        <v>58</v>
      </c>
      <c r="G2044" s="3" t="s">
        <v>59</v>
      </c>
      <c r="H2044" s="3" t="s">
        <v>58</v>
      </c>
      <c r="I2044" s="3" t="s">
        <v>58</v>
      </c>
      <c r="J2044" s="3" t="s">
        <v>60</v>
      </c>
      <c r="K2044" s="2" t="s">
        <v>24967</v>
      </c>
      <c r="L2044" s="2" t="s">
        <v>24968</v>
      </c>
      <c r="M2044" s="3" t="s">
        <v>1720</v>
      </c>
      <c r="O2044" s="3" t="s">
        <v>63</v>
      </c>
      <c r="P2044" s="3" t="s">
        <v>584</v>
      </c>
      <c r="R2044" s="3" t="s">
        <v>65</v>
      </c>
      <c r="S2044" s="4">
        <v>3</v>
      </c>
      <c r="T2044" s="4">
        <v>3</v>
      </c>
      <c r="U2044" s="5" t="s">
        <v>899</v>
      </c>
      <c r="V2044" s="5" t="s">
        <v>899</v>
      </c>
      <c r="W2044" s="5" t="s">
        <v>24572</v>
      </c>
      <c r="X2044" s="5" t="s">
        <v>24572</v>
      </c>
      <c r="Y2044" s="4">
        <v>919</v>
      </c>
      <c r="Z2044" s="4">
        <v>761</v>
      </c>
      <c r="AA2044" s="4">
        <v>892</v>
      </c>
      <c r="AB2044" s="4">
        <v>7</v>
      </c>
      <c r="AC2044" s="4">
        <v>7</v>
      </c>
      <c r="AD2044" s="4">
        <v>37</v>
      </c>
      <c r="AE2044" s="4">
        <v>39</v>
      </c>
      <c r="AF2044" s="4">
        <v>17</v>
      </c>
      <c r="AG2044" s="4">
        <v>18</v>
      </c>
      <c r="AH2044" s="4">
        <v>8</v>
      </c>
      <c r="AI2044" s="4">
        <v>10</v>
      </c>
      <c r="AJ2044" s="4">
        <v>17</v>
      </c>
      <c r="AK2044" s="4">
        <v>17</v>
      </c>
      <c r="AL2044" s="4">
        <v>5</v>
      </c>
      <c r="AM2044" s="4">
        <v>5</v>
      </c>
      <c r="AN2044" s="4">
        <v>0</v>
      </c>
      <c r="AO2044" s="4">
        <v>0</v>
      </c>
      <c r="AP2044" s="3" t="s">
        <v>58</v>
      </c>
      <c r="AQ2044" s="3" t="s">
        <v>68</v>
      </c>
      <c r="AR2044" s="6" t="str">
        <f>HYPERLINK("http://catalog.hathitrust.org/Record/001258033","HathiTrust Record")</f>
        <v>HathiTrust Record</v>
      </c>
      <c r="AS2044" s="6" t="str">
        <f>HYPERLINK("https://creighton-primo.hosted.exlibrisgroup.com/primo-explore/search?tab=default_tab&amp;search_scope=EVERYTHING&amp;vid=01CRU&amp;lang=en_US&amp;offset=0&amp;query=any,contains,991002717709702656","Catalog Record")</f>
        <v>Catalog Record</v>
      </c>
      <c r="AT2044" s="6" t="str">
        <f>HYPERLINK("http://www.worldcat.org/oclc/411717","WorldCat Record")</f>
        <v>WorldCat Record</v>
      </c>
      <c r="AU2044" s="3" t="s">
        <v>24969</v>
      </c>
      <c r="AV2044" s="3" t="s">
        <v>24970</v>
      </c>
      <c r="AW2044" s="3" t="s">
        <v>24971</v>
      </c>
      <c r="AX2044" s="3" t="s">
        <v>24971</v>
      </c>
      <c r="AY2044" s="3" t="s">
        <v>24972</v>
      </c>
      <c r="AZ2044" s="3" t="s">
        <v>73</v>
      </c>
      <c r="BC2044" s="3" t="s">
        <v>24973</v>
      </c>
      <c r="BD2044" s="3" t="s">
        <v>24974</v>
      </c>
    </row>
    <row r="2045" spans="1:56" ht="51" customHeight="1" x14ac:dyDescent="0.25">
      <c r="A2045" s="7" t="s">
        <v>58</v>
      </c>
      <c r="B2045" s="2" t="s">
        <v>24975</v>
      </c>
      <c r="C2045" s="2" t="s">
        <v>24976</v>
      </c>
      <c r="D2045" s="2" t="s">
        <v>24977</v>
      </c>
      <c r="F2045" s="3" t="s">
        <v>58</v>
      </c>
      <c r="G2045" s="3" t="s">
        <v>59</v>
      </c>
      <c r="H2045" s="3" t="s">
        <v>58</v>
      </c>
      <c r="I2045" s="3" t="s">
        <v>58</v>
      </c>
      <c r="J2045" s="3" t="s">
        <v>60</v>
      </c>
      <c r="K2045" s="2" t="s">
        <v>24797</v>
      </c>
      <c r="L2045" s="2" t="s">
        <v>24978</v>
      </c>
      <c r="M2045" s="3" t="s">
        <v>1720</v>
      </c>
      <c r="O2045" s="3" t="s">
        <v>63</v>
      </c>
      <c r="P2045" s="3" t="s">
        <v>816</v>
      </c>
      <c r="Q2045" s="2" t="s">
        <v>24979</v>
      </c>
      <c r="R2045" s="3" t="s">
        <v>65</v>
      </c>
      <c r="S2045" s="4">
        <v>2</v>
      </c>
      <c r="T2045" s="4">
        <v>2</v>
      </c>
      <c r="U2045" s="5" t="s">
        <v>24980</v>
      </c>
      <c r="V2045" s="5" t="s">
        <v>24980</v>
      </c>
      <c r="W2045" s="5" t="s">
        <v>8036</v>
      </c>
      <c r="X2045" s="5" t="s">
        <v>8036</v>
      </c>
      <c r="Y2045" s="4">
        <v>968</v>
      </c>
      <c r="Z2045" s="4">
        <v>818</v>
      </c>
      <c r="AA2045" s="4">
        <v>829</v>
      </c>
      <c r="AB2045" s="4">
        <v>5</v>
      </c>
      <c r="AC2045" s="4">
        <v>5</v>
      </c>
      <c r="AD2045" s="4">
        <v>41</v>
      </c>
      <c r="AE2045" s="4">
        <v>41</v>
      </c>
      <c r="AF2045" s="4">
        <v>18</v>
      </c>
      <c r="AG2045" s="4">
        <v>18</v>
      </c>
      <c r="AH2045" s="4">
        <v>9</v>
      </c>
      <c r="AI2045" s="4">
        <v>9</v>
      </c>
      <c r="AJ2045" s="4">
        <v>21</v>
      </c>
      <c r="AK2045" s="4">
        <v>21</v>
      </c>
      <c r="AL2045" s="4">
        <v>4</v>
      </c>
      <c r="AM2045" s="4">
        <v>4</v>
      </c>
      <c r="AN2045" s="4">
        <v>0</v>
      </c>
      <c r="AO2045" s="4">
        <v>0</v>
      </c>
      <c r="AP2045" s="3" t="s">
        <v>58</v>
      </c>
      <c r="AQ2045" s="3" t="s">
        <v>68</v>
      </c>
      <c r="AR2045" s="6" t="str">
        <f>HYPERLINK("http://catalog.hathitrust.org/Record/001257998","HathiTrust Record")</f>
        <v>HathiTrust Record</v>
      </c>
      <c r="AS2045" s="6" t="str">
        <f>HYPERLINK("https://creighton-primo.hosted.exlibrisgroup.com/primo-explore/search?tab=default_tab&amp;search_scope=EVERYTHING&amp;vid=01CRU&amp;lang=en_US&amp;offset=0&amp;query=any,contains,991003177049702656","Catalog Record")</f>
        <v>Catalog Record</v>
      </c>
      <c r="AT2045" s="6" t="str">
        <f>HYPERLINK("http://www.worldcat.org/oclc/710958","WorldCat Record")</f>
        <v>WorldCat Record</v>
      </c>
      <c r="AU2045" s="3" t="s">
        <v>24981</v>
      </c>
      <c r="AV2045" s="3" t="s">
        <v>24982</v>
      </c>
      <c r="AW2045" s="3" t="s">
        <v>24983</v>
      </c>
      <c r="AX2045" s="3" t="s">
        <v>24983</v>
      </c>
      <c r="AY2045" s="3" t="s">
        <v>24984</v>
      </c>
      <c r="AZ2045" s="3" t="s">
        <v>73</v>
      </c>
      <c r="BC2045" s="3" t="s">
        <v>24985</v>
      </c>
      <c r="BD2045" s="3" t="s">
        <v>24986</v>
      </c>
    </row>
    <row r="2046" spans="1:56" ht="51" customHeight="1" x14ac:dyDescent="0.25">
      <c r="A2046" s="7" t="s">
        <v>58</v>
      </c>
      <c r="B2046" s="2" t="s">
        <v>24987</v>
      </c>
      <c r="C2046" s="2" t="s">
        <v>24988</v>
      </c>
      <c r="D2046" s="2" t="s">
        <v>24989</v>
      </c>
      <c r="E2046" s="3" t="s">
        <v>223</v>
      </c>
      <c r="F2046" s="3" t="s">
        <v>68</v>
      </c>
      <c r="G2046" s="3" t="s">
        <v>59</v>
      </c>
      <c r="H2046" s="3" t="s">
        <v>58</v>
      </c>
      <c r="I2046" s="3" t="s">
        <v>58</v>
      </c>
      <c r="J2046" s="3" t="s">
        <v>60</v>
      </c>
      <c r="K2046" s="2" t="s">
        <v>24990</v>
      </c>
      <c r="L2046" s="2" t="s">
        <v>23102</v>
      </c>
      <c r="M2046" s="3" t="s">
        <v>1153</v>
      </c>
      <c r="O2046" s="3" t="s">
        <v>63</v>
      </c>
      <c r="P2046" s="3" t="s">
        <v>571</v>
      </c>
      <c r="R2046" s="3" t="s">
        <v>65</v>
      </c>
      <c r="S2046" s="4">
        <v>0</v>
      </c>
      <c r="T2046" s="4">
        <v>0</v>
      </c>
      <c r="U2046" s="5" t="s">
        <v>24991</v>
      </c>
      <c r="V2046" s="5" t="s">
        <v>24991</v>
      </c>
      <c r="W2046" s="5" t="s">
        <v>2034</v>
      </c>
      <c r="X2046" s="5" t="s">
        <v>2034</v>
      </c>
      <c r="Y2046" s="4">
        <v>49</v>
      </c>
      <c r="Z2046" s="4">
        <v>45</v>
      </c>
      <c r="AA2046" s="4">
        <v>139</v>
      </c>
      <c r="AB2046" s="4">
        <v>1</v>
      </c>
      <c r="AC2046" s="4">
        <v>2</v>
      </c>
      <c r="AD2046" s="4">
        <v>1</v>
      </c>
      <c r="AE2046" s="4">
        <v>4</v>
      </c>
      <c r="AF2046" s="4">
        <v>0</v>
      </c>
      <c r="AG2046" s="4">
        <v>0</v>
      </c>
      <c r="AH2046" s="4">
        <v>1</v>
      </c>
      <c r="AI2046" s="4">
        <v>3</v>
      </c>
      <c r="AJ2046" s="4">
        <v>0</v>
      </c>
      <c r="AK2046" s="4">
        <v>2</v>
      </c>
      <c r="AL2046" s="4">
        <v>0</v>
      </c>
      <c r="AM2046" s="4">
        <v>1</v>
      </c>
      <c r="AN2046" s="4">
        <v>0</v>
      </c>
      <c r="AO2046" s="4">
        <v>0</v>
      </c>
      <c r="AP2046" s="3" t="s">
        <v>58</v>
      </c>
      <c r="AQ2046" s="3" t="s">
        <v>58</v>
      </c>
      <c r="AS2046" s="6" t="str">
        <f>HYPERLINK("https://creighton-primo.hosted.exlibrisgroup.com/primo-explore/search?tab=default_tab&amp;search_scope=EVERYTHING&amp;vid=01CRU&amp;lang=en_US&amp;offset=0&amp;query=any,contains,991003095969702656","Catalog Record")</f>
        <v>Catalog Record</v>
      </c>
      <c r="AT2046" s="6" t="str">
        <f>HYPERLINK("http://www.worldcat.org/oclc/645510","WorldCat Record")</f>
        <v>WorldCat Record</v>
      </c>
      <c r="AU2046" s="3" t="s">
        <v>24992</v>
      </c>
      <c r="AV2046" s="3" t="s">
        <v>24993</v>
      </c>
      <c r="AW2046" s="3" t="s">
        <v>24994</v>
      </c>
      <c r="AX2046" s="3" t="s">
        <v>24994</v>
      </c>
      <c r="AY2046" s="3" t="s">
        <v>24995</v>
      </c>
      <c r="AZ2046" s="3" t="s">
        <v>73</v>
      </c>
      <c r="BC2046" s="3" t="s">
        <v>24996</v>
      </c>
      <c r="BD2046" s="3" t="s">
        <v>24997</v>
      </c>
    </row>
    <row r="2047" spans="1:56" ht="51" customHeight="1" x14ac:dyDescent="0.25">
      <c r="A2047" s="7" t="s">
        <v>58</v>
      </c>
      <c r="B2047" s="2" t="s">
        <v>24987</v>
      </c>
      <c r="C2047" s="2" t="s">
        <v>24988</v>
      </c>
      <c r="D2047" s="2" t="s">
        <v>24989</v>
      </c>
      <c r="E2047" s="3" t="s">
        <v>210</v>
      </c>
      <c r="F2047" s="3" t="s">
        <v>68</v>
      </c>
      <c r="G2047" s="3" t="s">
        <v>59</v>
      </c>
      <c r="H2047" s="3" t="s">
        <v>58</v>
      </c>
      <c r="I2047" s="3" t="s">
        <v>58</v>
      </c>
      <c r="J2047" s="3" t="s">
        <v>60</v>
      </c>
      <c r="K2047" s="2" t="s">
        <v>24990</v>
      </c>
      <c r="L2047" s="2" t="s">
        <v>23102</v>
      </c>
      <c r="M2047" s="3" t="s">
        <v>1153</v>
      </c>
      <c r="O2047" s="3" t="s">
        <v>63</v>
      </c>
      <c r="P2047" s="3" t="s">
        <v>571</v>
      </c>
      <c r="R2047" s="3" t="s">
        <v>65</v>
      </c>
      <c r="S2047" s="4">
        <v>0</v>
      </c>
      <c r="T2047" s="4">
        <v>0</v>
      </c>
      <c r="U2047" s="5" t="s">
        <v>24991</v>
      </c>
      <c r="V2047" s="5" t="s">
        <v>24991</v>
      </c>
      <c r="W2047" s="5" t="s">
        <v>2034</v>
      </c>
      <c r="X2047" s="5" t="s">
        <v>2034</v>
      </c>
      <c r="Y2047" s="4">
        <v>49</v>
      </c>
      <c r="Z2047" s="4">
        <v>45</v>
      </c>
      <c r="AA2047" s="4">
        <v>139</v>
      </c>
      <c r="AB2047" s="4">
        <v>1</v>
      </c>
      <c r="AC2047" s="4">
        <v>2</v>
      </c>
      <c r="AD2047" s="4">
        <v>1</v>
      </c>
      <c r="AE2047" s="4">
        <v>4</v>
      </c>
      <c r="AF2047" s="4">
        <v>0</v>
      </c>
      <c r="AG2047" s="4">
        <v>0</v>
      </c>
      <c r="AH2047" s="4">
        <v>1</v>
      </c>
      <c r="AI2047" s="4">
        <v>3</v>
      </c>
      <c r="AJ2047" s="4">
        <v>0</v>
      </c>
      <c r="AK2047" s="4">
        <v>2</v>
      </c>
      <c r="AL2047" s="4">
        <v>0</v>
      </c>
      <c r="AM2047" s="4">
        <v>1</v>
      </c>
      <c r="AN2047" s="4">
        <v>0</v>
      </c>
      <c r="AO2047" s="4">
        <v>0</v>
      </c>
      <c r="AP2047" s="3" t="s">
        <v>58</v>
      </c>
      <c r="AQ2047" s="3" t="s">
        <v>58</v>
      </c>
      <c r="AS2047" s="6" t="str">
        <f>HYPERLINK("https://creighton-primo.hosted.exlibrisgroup.com/primo-explore/search?tab=default_tab&amp;search_scope=EVERYTHING&amp;vid=01CRU&amp;lang=en_US&amp;offset=0&amp;query=any,contains,991003095969702656","Catalog Record")</f>
        <v>Catalog Record</v>
      </c>
      <c r="AT2047" s="6" t="str">
        <f>HYPERLINK("http://www.worldcat.org/oclc/645510","WorldCat Record")</f>
        <v>WorldCat Record</v>
      </c>
      <c r="AU2047" s="3" t="s">
        <v>24992</v>
      </c>
      <c r="AV2047" s="3" t="s">
        <v>24993</v>
      </c>
      <c r="AW2047" s="3" t="s">
        <v>24994</v>
      </c>
      <c r="AX2047" s="3" t="s">
        <v>24994</v>
      </c>
      <c r="AY2047" s="3" t="s">
        <v>24995</v>
      </c>
      <c r="AZ2047" s="3" t="s">
        <v>73</v>
      </c>
      <c r="BC2047" s="3" t="s">
        <v>24998</v>
      </c>
      <c r="BD2047" s="3" t="s">
        <v>24999</v>
      </c>
    </row>
    <row r="2048" spans="1:56" ht="51" customHeight="1" x14ac:dyDescent="0.25">
      <c r="A2048" s="7" t="s">
        <v>58</v>
      </c>
      <c r="B2048" s="2" t="s">
        <v>25000</v>
      </c>
      <c r="C2048" s="2" t="s">
        <v>25001</v>
      </c>
      <c r="D2048" s="2" t="s">
        <v>25002</v>
      </c>
      <c r="F2048" s="3" t="s">
        <v>58</v>
      </c>
      <c r="G2048" s="3" t="s">
        <v>59</v>
      </c>
      <c r="H2048" s="3" t="s">
        <v>58</v>
      </c>
      <c r="I2048" s="3" t="s">
        <v>58</v>
      </c>
      <c r="J2048" s="3" t="s">
        <v>60</v>
      </c>
      <c r="K2048" s="2" t="s">
        <v>25003</v>
      </c>
      <c r="L2048" s="2" t="s">
        <v>25004</v>
      </c>
      <c r="M2048" s="3" t="s">
        <v>15752</v>
      </c>
      <c r="O2048" s="3" t="s">
        <v>63</v>
      </c>
      <c r="P2048" s="3" t="s">
        <v>214</v>
      </c>
      <c r="R2048" s="3" t="s">
        <v>65</v>
      </c>
      <c r="S2048" s="4">
        <v>8</v>
      </c>
      <c r="T2048" s="4">
        <v>8</v>
      </c>
      <c r="U2048" s="5" t="s">
        <v>24762</v>
      </c>
      <c r="V2048" s="5" t="s">
        <v>24762</v>
      </c>
      <c r="W2048" s="5" t="s">
        <v>24572</v>
      </c>
      <c r="X2048" s="5" t="s">
        <v>24572</v>
      </c>
      <c r="Y2048" s="4">
        <v>283</v>
      </c>
      <c r="Z2048" s="4">
        <v>268</v>
      </c>
      <c r="AA2048" s="4">
        <v>517</v>
      </c>
      <c r="AB2048" s="4">
        <v>2</v>
      </c>
      <c r="AC2048" s="4">
        <v>3</v>
      </c>
      <c r="AD2048" s="4">
        <v>13</v>
      </c>
      <c r="AE2048" s="4">
        <v>25</v>
      </c>
      <c r="AF2048" s="4">
        <v>5</v>
      </c>
      <c r="AG2048" s="4">
        <v>12</v>
      </c>
      <c r="AH2048" s="4">
        <v>3</v>
      </c>
      <c r="AI2048" s="4">
        <v>5</v>
      </c>
      <c r="AJ2048" s="4">
        <v>10</v>
      </c>
      <c r="AK2048" s="4">
        <v>16</v>
      </c>
      <c r="AL2048" s="4">
        <v>1</v>
      </c>
      <c r="AM2048" s="4">
        <v>2</v>
      </c>
      <c r="AN2048" s="4">
        <v>0</v>
      </c>
      <c r="AO2048" s="4">
        <v>0</v>
      </c>
      <c r="AP2048" s="3" t="s">
        <v>58</v>
      </c>
      <c r="AQ2048" s="3" t="s">
        <v>68</v>
      </c>
      <c r="AR2048" s="6" t="str">
        <f>HYPERLINK("http://catalog.hathitrust.org/Record/006770601","HathiTrust Record")</f>
        <v>HathiTrust Record</v>
      </c>
      <c r="AS2048" s="6" t="str">
        <f>HYPERLINK("https://creighton-primo.hosted.exlibrisgroup.com/primo-explore/search?tab=default_tab&amp;search_scope=EVERYTHING&amp;vid=01CRU&amp;lang=en_US&amp;offset=0&amp;query=any,contains,991004327819702656","Catalog Record")</f>
        <v>Catalog Record</v>
      </c>
      <c r="AT2048" s="6" t="str">
        <f>HYPERLINK("http://www.worldcat.org/oclc/3048625","WorldCat Record")</f>
        <v>WorldCat Record</v>
      </c>
      <c r="AU2048" s="3" t="s">
        <v>25005</v>
      </c>
      <c r="AV2048" s="3" t="s">
        <v>25006</v>
      </c>
      <c r="AW2048" s="3" t="s">
        <v>25007</v>
      </c>
      <c r="AX2048" s="3" t="s">
        <v>25007</v>
      </c>
      <c r="AY2048" s="3" t="s">
        <v>25008</v>
      </c>
      <c r="AZ2048" s="3" t="s">
        <v>73</v>
      </c>
      <c r="BC2048" s="3" t="s">
        <v>25009</v>
      </c>
      <c r="BD2048" s="3" t="s">
        <v>25010</v>
      </c>
    </row>
    <row r="2049" spans="1:56" ht="51" customHeight="1" x14ac:dyDescent="0.25">
      <c r="A2049" s="7" t="s">
        <v>58</v>
      </c>
      <c r="B2049" s="2" t="s">
        <v>25011</v>
      </c>
      <c r="C2049" s="2" t="s">
        <v>25012</v>
      </c>
      <c r="D2049" s="2" t="s">
        <v>25013</v>
      </c>
      <c r="F2049" s="3" t="s">
        <v>58</v>
      </c>
      <c r="G2049" s="3" t="s">
        <v>59</v>
      </c>
      <c r="H2049" s="3" t="s">
        <v>58</v>
      </c>
      <c r="I2049" s="3" t="s">
        <v>58</v>
      </c>
      <c r="J2049" s="3" t="s">
        <v>60</v>
      </c>
      <c r="K2049" s="2" t="s">
        <v>25014</v>
      </c>
      <c r="L2049" s="2" t="s">
        <v>25015</v>
      </c>
      <c r="M2049" s="3" t="s">
        <v>996</v>
      </c>
      <c r="N2049" s="2" t="s">
        <v>13327</v>
      </c>
      <c r="O2049" s="3" t="s">
        <v>63</v>
      </c>
      <c r="P2049" s="3" t="s">
        <v>214</v>
      </c>
      <c r="R2049" s="3" t="s">
        <v>65</v>
      </c>
      <c r="S2049" s="4">
        <v>9</v>
      </c>
      <c r="T2049" s="4">
        <v>9</v>
      </c>
      <c r="U2049" s="5" t="s">
        <v>14590</v>
      </c>
      <c r="V2049" s="5" t="s">
        <v>14590</v>
      </c>
      <c r="W2049" s="5" t="s">
        <v>24572</v>
      </c>
      <c r="X2049" s="5" t="s">
        <v>24572</v>
      </c>
      <c r="Y2049" s="4">
        <v>790</v>
      </c>
      <c r="Z2049" s="4">
        <v>749</v>
      </c>
      <c r="AA2049" s="4">
        <v>968</v>
      </c>
      <c r="AB2049" s="4">
        <v>6</v>
      </c>
      <c r="AC2049" s="4">
        <v>7</v>
      </c>
      <c r="AD2049" s="4">
        <v>22</v>
      </c>
      <c r="AE2049" s="4">
        <v>30</v>
      </c>
      <c r="AF2049" s="4">
        <v>9</v>
      </c>
      <c r="AG2049" s="4">
        <v>13</v>
      </c>
      <c r="AH2049" s="4">
        <v>4</v>
      </c>
      <c r="AI2049" s="4">
        <v>5</v>
      </c>
      <c r="AJ2049" s="4">
        <v>11</v>
      </c>
      <c r="AK2049" s="4">
        <v>15</v>
      </c>
      <c r="AL2049" s="4">
        <v>4</v>
      </c>
      <c r="AM2049" s="4">
        <v>5</v>
      </c>
      <c r="AN2049" s="4">
        <v>0</v>
      </c>
      <c r="AO2049" s="4">
        <v>0</v>
      </c>
      <c r="AP2049" s="3" t="s">
        <v>58</v>
      </c>
      <c r="AQ2049" s="3" t="s">
        <v>68</v>
      </c>
      <c r="AR2049" s="6" t="str">
        <f>HYPERLINK("http://catalog.hathitrust.org/Record/007156768","HathiTrust Record")</f>
        <v>HathiTrust Record</v>
      </c>
      <c r="AS2049" s="6" t="str">
        <f>HYPERLINK("https://creighton-primo.hosted.exlibrisgroup.com/primo-explore/search?tab=default_tab&amp;search_scope=EVERYTHING&amp;vid=01CRU&amp;lang=en_US&amp;offset=0&amp;query=any,contains,991002897799702656","Catalog Record")</f>
        <v>Catalog Record</v>
      </c>
      <c r="AT2049" s="6" t="str">
        <f>HYPERLINK("http://www.worldcat.org/oclc/514835","WorldCat Record")</f>
        <v>WorldCat Record</v>
      </c>
      <c r="AU2049" s="3" t="s">
        <v>25016</v>
      </c>
      <c r="AV2049" s="3" t="s">
        <v>25017</v>
      </c>
      <c r="AW2049" s="3" t="s">
        <v>25018</v>
      </c>
      <c r="AX2049" s="3" t="s">
        <v>25018</v>
      </c>
      <c r="AY2049" s="3" t="s">
        <v>25019</v>
      </c>
      <c r="AZ2049" s="3" t="s">
        <v>73</v>
      </c>
      <c r="BC2049" s="3" t="s">
        <v>25020</v>
      </c>
      <c r="BD2049" s="3" t="s">
        <v>25021</v>
      </c>
    </row>
    <row r="2050" spans="1:56" ht="51" customHeight="1" x14ac:dyDescent="0.25">
      <c r="A2050" s="7" t="s">
        <v>58</v>
      </c>
      <c r="B2050" s="2" t="s">
        <v>25022</v>
      </c>
      <c r="C2050" s="2" t="s">
        <v>25023</v>
      </c>
      <c r="D2050" s="2" t="s">
        <v>25024</v>
      </c>
      <c r="F2050" s="3" t="s">
        <v>58</v>
      </c>
      <c r="G2050" s="3" t="s">
        <v>59</v>
      </c>
      <c r="H2050" s="3" t="s">
        <v>58</v>
      </c>
      <c r="I2050" s="3" t="s">
        <v>58</v>
      </c>
      <c r="J2050" s="3" t="s">
        <v>60</v>
      </c>
      <c r="K2050" s="2" t="s">
        <v>25025</v>
      </c>
      <c r="L2050" s="2" t="s">
        <v>25026</v>
      </c>
      <c r="M2050" s="3" t="s">
        <v>138</v>
      </c>
      <c r="O2050" s="3" t="s">
        <v>63</v>
      </c>
      <c r="P2050" s="3" t="s">
        <v>354</v>
      </c>
      <c r="Q2050" s="2" t="s">
        <v>25027</v>
      </c>
      <c r="R2050" s="3" t="s">
        <v>65</v>
      </c>
      <c r="S2050" s="4">
        <v>8</v>
      </c>
      <c r="T2050" s="4">
        <v>8</v>
      </c>
      <c r="U2050" s="5" t="s">
        <v>25028</v>
      </c>
      <c r="V2050" s="5" t="s">
        <v>25028</v>
      </c>
      <c r="W2050" s="5" t="s">
        <v>25029</v>
      </c>
      <c r="X2050" s="5" t="s">
        <v>25029</v>
      </c>
      <c r="Y2050" s="4">
        <v>304</v>
      </c>
      <c r="Z2050" s="4">
        <v>231</v>
      </c>
      <c r="AA2050" s="4">
        <v>313</v>
      </c>
      <c r="AB2050" s="4">
        <v>2</v>
      </c>
      <c r="AC2050" s="4">
        <v>2</v>
      </c>
      <c r="AD2050" s="4">
        <v>14</v>
      </c>
      <c r="AE2050" s="4">
        <v>17</v>
      </c>
      <c r="AF2050" s="4">
        <v>2</v>
      </c>
      <c r="AG2050" s="4">
        <v>3</v>
      </c>
      <c r="AH2050" s="4">
        <v>3</v>
      </c>
      <c r="AI2050" s="4">
        <v>5</v>
      </c>
      <c r="AJ2050" s="4">
        <v>10</v>
      </c>
      <c r="AK2050" s="4">
        <v>12</v>
      </c>
      <c r="AL2050" s="4">
        <v>1</v>
      </c>
      <c r="AM2050" s="4">
        <v>1</v>
      </c>
      <c r="AN2050" s="4">
        <v>0</v>
      </c>
      <c r="AO2050" s="4">
        <v>0</v>
      </c>
      <c r="AP2050" s="3" t="s">
        <v>58</v>
      </c>
      <c r="AQ2050" s="3" t="s">
        <v>58</v>
      </c>
      <c r="AS2050" s="6" t="str">
        <f>HYPERLINK("https://creighton-primo.hosted.exlibrisgroup.com/primo-explore/search?tab=default_tab&amp;search_scope=EVERYTHING&amp;vid=01CRU&amp;lang=en_US&amp;offset=0&amp;query=any,contains,991005225089702656","Catalog Record")</f>
        <v>Catalog Record</v>
      </c>
      <c r="AT2050" s="6" t="str">
        <f>HYPERLINK("http://www.worldcat.org/oclc/8280496","WorldCat Record")</f>
        <v>WorldCat Record</v>
      </c>
      <c r="AU2050" s="3" t="s">
        <v>25030</v>
      </c>
      <c r="AV2050" s="3" t="s">
        <v>25031</v>
      </c>
      <c r="AW2050" s="3" t="s">
        <v>25032</v>
      </c>
      <c r="AX2050" s="3" t="s">
        <v>25032</v>
      </c>
      <c r="AY2050" s="3" t="s">
        <v>25033</v>
      </c>
      <c r="AZ2050" s="3" t="s">
        <v>73</v>
      </c>
      <c r="BB2050" s="3" t="s">
        <v>25034</v>
      </c>
      <c r="BC2050" s="3" t="s">
        <v>25035</v>
      </c>
      <c r="BD2050" s="3" t="s">
        <v>25036</v>
      </c>
    </row>
    <row r="2051" spans="1:56" ht="51" customHeight="1" x14ac:dyDescent="0.25">
      <c r="A2051" s="7" t="s">
        <v>58</v>
      </c>
      <c r="B2051" s="2" t="s">
        <v>25037</v>
      </c>
      <c r="C2051" s="2" t="s">
        <v>25038</v>
      </c>
      <c r="D2051" s="2" t="s">
        <v>25039</v>
      </c>
      <c r="F2051" s="3" t="s">
        <v>58</v>
      </c>
      <c r="G2051" s="3" t="s">
        <v>59</v>
      </c>
      <c r="H2051" s="3" t="s">
        <v>58</v>
      </c>
      <c r="I2051" s="3" t="s">
        <v>58</v>
      </c>
      <c r="J2051" s="3" t="s">
        <v>60</v>
      </c>
      <c r="K2051" s="2" t="s">
        <v>25040</v>
      </c>
      <c r="L2051" s="2" t="s">
        <v>25041</v>
      </c>
      <c r="M2051" s="3" t="s">
        <v>83</v>
      </c>
      <c r="O2051" s="3" t="s">
        <v>63</v>
      </c>
      <c r="P2051" s="3" t="s">
        <v>2061</v>
      </c>
      <c r="R2051" s="3" t="s">
        <v>65</v>
      </c>
      <c r="S2051" s="4">
        <v>19</v>
      </c>
      <c r="T2051" s="4">
        <v>19</v>
      </c>
      <c r="U2051" s="5" t="s">
        <v>25042</v>
      </c>
      <c r="V2051" s="5" t="s">
        <v>25042</v>
      </c>
      <c r="W2051" s="5" t="s">
        <v>25029</v>
      </c>
      <c r="X2051" s="5" t="s">
        <v>25029</v>
      </c>
      <c r="Y2051" s="4">
        <v>564</v>
      </c>
      <c r="Z2051" s="4">
        <v>508</v>
      </c>
      <c r="AA2051" s="4">
        <v>513</v>
      </c>
      <c r="AB2051" s="4">
        <v>4</v>
      </c>
      <c r="AC2051" s="4">
        <v>4</v>
      </c>
      <c r="AD2051" s="4">
        <v>19</v>
      </c>
      <c r="AE2051" s="4">
        <v>19</v>
      </c>
      <c r="AF2051" s="4">
        <v>6</v>
      </c>
      <c r="AG2051" s="4">
        <v>6</v>
      </c>
      <c r="AH2051" s="4">
        <v>4</v>
      </c>
      <c r="AI2051" s="4">
        <v>4</v>
      </c>
      <c r="AJ2051" s="4">
        <v>10</v>
      </c>
      <c r="AK2051" s="4">
        <v>10</v>
      </c>
      <c r="AL2051" s="4">
        <v>3</v>
      </c>
      <c r="AM2051" s="4">
        <v>3</v>
      </c>
      <c r="AN2051" s="4">
        <v>0</v>
      </c>
      <c r="AO2051" s="4">
        <v>0</v>
      </c>
      <c r="AP2051" s="3" t="s">
        <v>58</v>
      </c>
      <c r="AQ2051" s="3" t="s">
        <v>58</v>
      </c>
      <c r="AS2051" s="6" t="str">
        <f>HYPERLINK("https://creighton-primo.hosted.exlibrisgroup.com/primo-explore/search?tab=default_tab&amp;search_scope=EVERYTHING&amp;vid=01CRU&amp;lang=en_US&amp;offset=0&amp;query=any,contains,991004482899702656","Catalog Record")</f>
        <v>Catalog Record</v>
      </c>
      <c r="AT2051" s="6" t="str">
        <f>HYPERLINK("http://www.worldcat.org/oclc/3630779","WorldCat Record")</f>
        <v>WorldCat Record</v>
      </c>
      <c r="AU2051" s="3" t="s">
        <v>25043</v>
      </c>
      <c r="AV2051" s="3" t="s">
        <v>25044</v>
      </c>
      <c r="AW2051" s="3" t="s">
        <v>25045</v>
      </c>
      <c r="AX2051" s="3" t="s">
        <v>25045</v>
      </c>
      <c r="AY2051" s="3" t="s">
        <v>25046</v>
      </c>
      <c r="AZ2051" s="3" t="s">
        <v>73</v>
      </c>
      <c r="BB2051" s="3" t="s">
        <v>25047</v>
      </c>
      <c r="BC2051" s="3" t="s">
        <v>25048</v>
      </c>
      <c r="BD2051" s="3" t="s">
        <v>25049</v>
      </c>
    </row>
    <row r="2052" spans="1:56" ht="51" customHeight="1" x14ac:dyDescent="0.25">
      <c r="A2052" s="7" t="s">
        <v>58</v>
      </c>
      <c r="B2052" s="2" t="s">
        <v>25050</v>
      </c>
      <c r="C2052" s="2" t="s">
        <v>25051</v>
      </c>
      <c r="D2052" s="2" t="s">
        <v>25052</v>
      </c>
      <c r="F2052" s="3" t="s">
        <v>58</v>
      </c>
      <c r="G2052" s="3" t="s">
        <v>59</v>
      </c>
      <c r="H2052" s="3" t="s">
        <v>58</v>
      </c>
      <c r="I2052" s="3" t="s">
        <v>58</v>
      </c>
      <c r="J2052" s="3" t="s">
        <v>60</v>
      </c>
      <c r="K2052" s="2" t="s">
        <v>25053</v>
      </c>
      <c r="L2052" s="2" t="s">
        <v>25054</v>
      </c>
      <c r="M2052" s="3" t="s">
        <v>745</v>
      </c>
      <c r="O2052" s="3" t="s">
        <v>63</v>
      </c>
      <c r="P2052" s="3" t="s">
        <v>214</v>
      </c>
      <c r="R2052" s="3" t="s">
        <v>65</v>
      </c>
      <c r="S2052" s="4">
        <v>12</v>
      </c>
      <c r="T2052" s="4">
        <v>12</v>
      </c>
      <c r="U2052" s="5" t="s">
        <v>25055</v>
      </c>
      <c r="V2052" s="5" t="s">
        <v>25055</v>
      </c>
      <c r="W2052" s="5" t="s">
        <v>25029</v>
      </c>
      <c r="X2052" s="5" t="s">
        <v>25029</v>
      </c>
      <c r="Y2052" s="4">
        <v>554</v>
      </c>
      <c r="Z2052" s="4">
        <v>515</v>
      </c>
      <c r="AA2052" s="4">
        <v>806</v>
      </c>
      <c r="AB2052" s="4">
        <v>3</v>
      </c>
      <c r="AC2052" s="4">
        <v>3</v>
      </c>
      <c r="AD2052" s="4">
        <v>16</v>
      </c>
      <c r="AE2052" s="4">
        <v>23</v>
      </c>
      <c r="AF2052" s="4">
        <v>4</v>
      </c>
      <c r="AG2052" s="4">
        <v>8</v>
      </c>
      <c r="AH2052" s="4">
        <v>5</v>
      </c>
      <c r="AI2052" s="4">
        <v>6</v>
      </c>
      <c r="AJ2052" s="4">
        <v>9</v>
      </c>
      <c r="AK2052" s="4">
        <v>13</v>
      </c>
      <c r="AL2052" s="4">
        <v>2</v>
      </c>
      <c r="AM2052" s="4">
        <v>2</v>
      </c>
      <c r="AN2052" s="4">
        <v>0</v>
      </c>
      <c r="AO2052" s="4">
        <v>0</v>
      </c>
      <c r="AP2052" s="3" t="s">
        <v>58</v>
      </c>
      <c r="AQ2052" s="3" t="s">
        <v>58</v>
      </c>
      <c r="AS2052" s="6" t="str">
        <f>HYPERLINK("https://creighton-primo.hosted.exlibrisgroup.com/primo-explore/search?tab=default_tab&amp;search_scope=EVERYTHING&amp;vid=01CRU&amp;lang=en_US&amp;offset=0&amp;query=any,contains,991003092649702656","Catalog Record")</f>
        <v>Catalog Record</v>
      </c>
      <c r="AT2052" s="6" t="str">
        <f>HYPERLINK("http://www.worldcat.org/oclc/642804","WorldCat Record")</f>
        <v>WorldCat Record</v>
      </c>
      <c r="AU2052" s="3" t="s">
        <v>25056</v>
      </c>
      <c r="AV2052" s="3" t="s">
        <v>25057</v>
      </c>
      <c r="AW2052" s="3" t="s">
        <v>25058</v>
      </c>
      <c r="AX2052" s="3" t="s">
        <v>25058</v>
      </c>
      <c r="AY2052" s="3" t="s">
        <v>25059</v>
      </c>
      <c r="AZ2052" s="3" t="s">
        <v>73</v>
      </c>
      <c r="BC2052" s="3" t="s">
        <v>25060</v>
      </c>
      <c r="BD2052" s="3" t="s">
        <v>25061</v>
      </c>
    </row>
    <row r="2053" spans="1:56" ht="51" customHeight="1" x14ac:dyDescent="0.25">
      <c r="A2053" s="7" t="s">
        <v>58</v>
      </c>
      <c r="B2053" s="2" t="s">
        <v>25062</v>
      </c>
      <c r="C2053" s="2" t="s">
        <v>25063</v>
      </c>
      <c r="D2053" s="2" t="s">
        <v>25064</v>
      </c>
      <c r="F2053" s="3" t="s">
        <v>58</v>
      </c>
      <c r="G2053" s="3" t="s">
        <v>59</v>
      </c>
      <c r="H2053" s="3" t="s">
        <v>58</v>
      </c>
      <c r="I2053" s="3" t="s">
        <v>58</v>
      </c>
      <c r="J2053" s="3" t="s">
        <v>60</v>
      </c>
      <c r="K2053" s="2" t="s">
        <v>25065</v>
      </c>
      <c r="L2053" s="2" t="s">
        <v>3471</v>
      </c>
      <c r="M2053" s="3" t="s">
        <v>368</v>
      </c>
      <c r="O2053" s="3" t="s">
        <v>63</v>
      </c>
      <c r="P2053" s="3" t="s">
        <v>2061</v>
      </c>
      <c r="Q2053" s="2" t="s">
        <v>25066</v>
      </c>
      <c r="R2053" s="3" t="s">
        <v>65</v>
      </c>
      <c r="S2053" s="4">
        <v>3</v>
      </c>
      <c r="T2053" s="4">
        <v>3</v>
      </c>
      <c r="U2053" s="5" t="s">
        <v>5265</v>
      </c>
      <c r="V2053" s="5" t="s">
        <v>5265</v>
      </c>
      <c r="W2053" s="5" t="s">
        <v>24572</v>
      </c>
      <c r="X2053" s="5" t="s">
        <v>24572</v>
      </c>
      <c r="Y2053" s="4">
        <v>628</v>
      </c>
      <c r="Z2053" s="4">
        <v>474</v>
      </c>
      <c r="AA2053" s="4">
        <v>494</v>
      </c>
      <c r="AB2053" s="4">
        <v>4</v>
      </c>
      <c r="AC2053" s="4">
        <v>4</v>
      </c>
      <c r="AD2053" s="4">
        <v>24</v>
      </c>
      <c r="AE2053" s="4">
        <v>25</v>
      </c>
      <c r="AF2053" s="4">
        <v>9</v>
      </c>
      <c r="AG2053" s="4">
        <v>10</v>
      </c>
      <c r="AH2053" s="4">
        <v>5</v>
      </c>
      <c r="AI2053" s="4">
        <v>5</v>
      </c>
      <c r="AJ2053" s="4">
        <v>13</v>
      </c>
      <c r="AK2053" s="4">
        <v>13</v>
      </c>
      <c r="AL2053" s="4">
        <v>3</v>
      </c>
      <c r="AM2053" s="4">
        <v>3</v>
      </c>
      <c r="AN2053" s="4">
        <v>0</v>
      </c>
      <c r="AO2053" s="4">
        <v>0</v>
      </c>
      <c r="AP2053" s="3" t="s">
        <v>58</v>
      </c>
      <c r="AQ2053" s="3" t="s">
        <v>58</v>
      </c>
      <c r="AS2053" s="6" t="str">
        <f>HYPERLINK("https://creighton-primo.hosted.exlibrisgroup.com/primo-explore/search?tab=default_tab&amp;search_scope=EVERYTHING&amp;vid=01CRU&amp;lang=en_US&amp;offset=0&amp;query=any,contains,991004139909702656","Catalog Record")</f>
        <v>Catalog Record</v>
      </c>
      <c r="AT2053" s="6" t="str">
        <f>HYPERLINK("http://www.worldcat.org/oclc/2494494","WorldCat Record")</f>
        <v>WorldCat Record</v>
      </c>
      <c r="AU2053" s="3" t="s">
        <v>25067</v>
      </c>
      <c r="AV2053" s="3" t="s">
        <v>25068</v>
      </c>
      <c r="AW2053" s="3" t="s">
        <v>25069</v>
      </c>
      <c r="AX2053" s="3" t="s">
        <v>25069</v>
      </c>
      <c r="AY2053" s="3" t="s">
        <v>25070</v>
      </c>
      <c r="AZ2053" s="3" t="s">
        <v>73</v>
      </c>
      <c r="BB2053" s="3" t="s">
        <v>25071</v>
      </c>
      <c r="BC2053" s="3" t="s">
        <v>25072</v>
      </c>
      <c r="BD2053" s="3" t="s">
        <v>25073</v>
      </c>
    </row>
    <row r="2054" spans="1:56" ht="51" customHeight="1" x14ac:dyDescent="0.25">
      <c r="A2054" s="7" t="s">
        <v>58</v>
      </c>
      <c r="B2054" s="2" t="s">
        <v>25074</v>
      </c>
      <c r="C2054" s="2" t="s">
        <v>25075</v>
      </c>
      <c r="D2054" s="2" t="s">
        <v>25076</v>
      </c>
      <c r="F2054" s="3" t="s">
        <v>58</v>
      </c>
      <c r="G2054" s="3" t="s">
        <v>59</v>
      </c>
      <c r="H2054" s="3" t="s">
        <v>58</v>
      </c>
      <c r="I2054" s="3" t="s">
        <v>58</v>
      </c>
      <c r="J2054" s="3" t="s">
        <v>60</v>
      </c>
      <c r="K2054" s="2" t="s">
        <v>25077</v>
      </c>
      <c r="L2054" s="2" t="s">
        <v>25078</v>
      </c>
      <c r="M2054" s="3" t="s">
        <v>538</v>
      </c>
      <c r="O2054" s="3" t="s">
        <v>63</v>
      </c>
      <c r="P2054" s="3" t="s">
        <v>6817</v>
      </c>
      <c r="Q2054" s="2" t="s">
        <v>25079</v>
      </c>
      <c r="R2054" s="3" t="s">
        <v>65</v>
      </c>
      <c r="S2054" s="4">
        <v>3</v>
      </c>
      <c r="T2054" s="4">
        <v>3</v>
      </c>
      <c r="U2054" s="5" t="s">
        <v>5265</v>
      </c>
      <c r="V2054" s="5" t="s">
        <v>5265</v>
      </c>
      <c r="W2054" s="5" t="s">
        <v>24572</v>
      </c>
      <c r="X2054" s="5" t="s">
        <v>24572</v>
      </c>
      <c r="Y2054" s="4">
        <v>766</v>
      </c>
      <c r="Z2054" s="4">
        <v>646</v>
      </c>
      <c r="AA2054" s="4">
        <v>650</v>
      </c>
      <c r="AB2054" s="4">
        <v>7</v>
      </c>
      <c r="AC2054" s="4">
        <v>7</v>
      </c>
      <c r="AD2054" s="4">
        <v>34</v>
      </c>
      <c r="AE2054" s="4">
        <v>34</v>
      </c>
      <c r="AF2054" s="4">
        <v>14</v>
      </c>
      <c r="AG2054" s="4">
        <v>14</v>
      </c>
      <c r="AH2054" s="4">
        <v>6</v>
      </c>
      <c r="AI2054" s="4">
        <v>6</v>
      </c>
      <c r="AJ2054" s="4">
        <v>15</v>
      </c>
      <c r="AK2054" s="4">
        <v>15</v>
      </c>
      <c r="AL2054" s="4">
        <v>6</v>
      </c>
      <c r="AM2054" s="4">
        <v>6</v>
      </c>
      <c r="AN2054" s="4">
        <v>0</v>
      </c>
      <c r="AO2054" s="4">
        <v>0</v>
      </c>
      <c r="AP2054" s="3" t="s">
        <v>58</v>
      </c>
      <c r="AQ2054" s="3" t="s">
        <v>68</v>
      </c>
      <c r="AR2054" s="6" t="str">
        <f>HYPERLINK("http://catalog.hathitrust.org/Record/001258048","HathiTrust Record")</f>
        <v>HathiTrust Record</v>
      </c>
      <c r="AS2054" s="6" t="str">
        <f>HYPERLINK("https://creighton-primo.hosted.exlibrisgroup.com/primo-explore/search?tab=default_tab&amp;search_scope=EVERYTHING&amp;vid=01CRU&amp;lang=en_US&amp;offset=0&amp;query=any,contains,991000037289702656","Catalog Record")</f>
        <v>Catalog Record</v>
      </c>
      <c r="AT2054" s="6" t="str">
        <f>HYPERLINK("http://www.worldcat.org/oclc/20700","WorldCat Record")</f>
        <v>WorldCat Record</v>
      </c>
      <c r="AU2054" s="3" t="s">
        <v>25080</v>
      </c>
      <c r="AV2054" s="3" t="s">
        <v>25081</v>
      </c>
      <c r="AW2054" s="3" t="s">
        <v>25082</v>
      </c>
      <c r="AX2054" s="3" t="s">
        <v>25082</v>
      </c>
      <c r="AY2054" s="3" t="s">
        <v>25083</v>
      </c>
      <c r="AZ2054" s="3" t="s">
        <v>73</v>
      </c>
      <c r="BC2054" s="3" t="s">
        <v>25084</v>
      </c>
      <c r="BD2054" s="3" t="s">
        <v>25085</v>
      </c>
    </row>
    <row r="2055" spans="1:56" ht="51" customHeight="1" x14ac:dyDescent="0.25">
      <c r="A2055" s="7" t="s">
        <v>58</v>
      </c>
      <c r="B2055" s="2" t="s">
        <v>25086</v>
      </c>
      <c r="C2055" s="2" t="s">
        <v>25087</v>
      </c>
      <c r="D2055" s="2" t="s">
        <v>25088</v>
      </c>
      <c r="F2055" s="3" t="s">
        <v>58</v>
      </c>
      <c r="G2055" s="3" t="s">
        <v>59</v>
      </c>
      <c r="H2055" s="3" t="s">
        <v>58</v>
      </c>
      <c r="I2055" s="3" t="s">
        <v>58</v>
      </c>
      <c r="J2055" s="3" t="s">
        <v>60</v>
      </c>
      <c r="K2055" s="2" t="s">
        <v>25089</v>
      </c>
      <c r="L2055" s="2" t="s">
        <v>25090</v>
      </c>
      <c r="M2055" s="3" t="s">
        <v>653</v>
      </c>
      <c r="N2055" s="2" t="s">
        <v>338</v>
      </c>
      <c r="O2055" s="3" t="s">
        <v>16605</v>
      </c>
      <c r="P2055" s="3" t="s">
        <v>23024</v>
      </c>
      <c r="R2055" s="3" t="s">
        <v>65</v>
      </c>
      <c r="S2055" s="4">
        <v>3</v>
      </c>
      <c r="T2055" s="4">
        <v>3</v>
      </c>
      <c r="U2055" s="5" t="s">
        <v>5265</v>
      </c>
      <c r="V2055" s="5" t="s">
        <v>5265</v>
      </c>
      <c r="W2055" s="5" t="s">
        <v>14902</v>
      </c>
      <c r="X2055" s="5" t="s">
        <v>14902</v>
      </c>
      <c r="Y2055" s="4">
        <v>55</v>
      </c>
      <c r="Z2055" s="4">
        <v>43</v>
      </c>
      <c r="AA2055" s="4">
        <v>43</v>
      </c>
      <c r="AB2055" s="4">
        <v>1</v>
      </c>
      <c r="AC2055" s="4">
        <v>1</v>
      </c>
      <c r="AD2055" s="4">
        <v>1</v>
      </c>
      <c r="AE2055" s="4">
        <v>1</v>
      </c>
      <c r="AF2055" s="4">
        <v>0</v>
      </c>
      <c r="AG2055" s="4">
        <v>0</v>
      </c>
      <c r="AH2055" s="4">
        <v>0</v>
      </c>
      <c r="AI2055" s="4">
        <v>0</v>
      </c>
      <c r="AJ2055" s="4">
        <v>1</v>
      </c>
      <c r="AK2055" s="4">
        <v>1</v>
      </c>
      <c r="AL2055" s="4">
        <v>0</v>
      </c>
      <c r="AM2055" s="4">
        <v>0</v>
      </c>
      <c r="AN2055" s="4">
        <v>0</v>
      </c>
      <c r="AO2055" s="4">
        <v>0</v>
      </c>
      <c r="AP2055" s="3" t="s">
        <v>58</v>
      </c>
      <c r="AQ2055" s="3" t="s">
        <v>58</v>
      </c>
      <c r="AS2055" s="6" t="str">
        <f>HYPERLINK("https://creighton-primo.hosted.exlibrisgroup.com/primo-explore/search?tab=default_tab&amp;search_scope=EVERYTHING&amp;vid=01CRU&amp;lang=en_US&amp;offset=0&amp;query=any,contains,991002136669702656","Catalog Record")</f>
        <v>Catalog Record</v>
      </c>
      <c r="AT2055" s="6" t="str">
        <f>HYPERLINK("http://www.worldcat.org/oclc/27412915","WorldCat Record")</f>
        <v>WorldCat Record</v>
      </c>
      <c r="AU2055" s="3" t="s">
        <v>25091</v>
      </c>
      <c r="AV2055" s="3" t="s">
        <v>25092</v>
      </c>
      <c r="AW2055" s="3" t="s">
        <v>25093</v>
      </c>
      <c r="AX2055" s="3" t="s">
        <v>25093</v>
      </c>
      <c r="AY2055" s="3" t="s">
        <v>25094</v>
      </c>
      <c r="AZ2055" s="3" t="s">
        <v>73</v>
      </c>
      <c r="BB2055" s="3" t="s">
        <v>25095</v>
      </c>
      <c r="BC2055" s="3" t="s">
        <v>25096</v>
      </c>
      <c r="BD2055" s="3" t="s">
        <v>25097</v>
      </c>
    </row>
    <row r="2056" spans="1:56" ht="51" customHeight="1" x14ac:dyDescent="0.25">
      <c r="A2056" s="7" t="s">
        <v>58</v>
      </c>
      <c r="B2056" s="2" t="s">
        <v>25098</v>
      </c>
      <c r="C2056" s="2" t="s">
        <v>25099</v>
      </c>
      <c r="D2056" s="2" t="s">
        <v>25100</v>
      </c>
      <c r="F2056" s="3" t="s">
        <v>58</v>
      </c>
      <c r="G2056" s="3" t="s">
        <v>59</v>
      </c>
      <c r="H2056" s="3" t="s">
        <v>58</v>
      </c>
      <c r="I2056" s="3" t="s">
        <v>58</v>
      </c>
      <c r="J2056" s="3" t="s">
        <v>60</v>
      </c>
      <c r="K2056" s="2" t="s">
        <v>25101</v>
      </c>
      <c r="L2056" s="2" t="s">
        <v>25102</v>
      </c>
      <c r="M2056" s="3" t="s">
        <v>1720</v>
      </c>
      <c r="O2056" s="3" t="s">
        <v>63</v>
      </c>
      <c r="P2056" s="3" t="s">
        <v>584</v>
      </c>
      <c r="R2056" s="3" t="s">
        <v>65</v>
      </c>
      <c r="S2056" s="4">
        <v>1</v>
      </c>
      <c r="T2056" s="4">
        <v>1</v>
      </c>
      <c r="U2056" s="5" t="s">
        <v>25103</v>
      </c>
      <c r="V2056" s="5" t="s">
        <v>25103</v>
      </c>
      <c r="W2056" s="5" t="s">
        <v>24572</v>
      </c>
      <c r="X2056" s="5" t="s">
        <v>24572</v>
      </c>
      <c r="Y2056" s="4">
        <v>284</v>
      </c>
      <c r="Z2056" s="4">
        <v>210</v>
      </c>
      <c r="AA2056" s="4">
        <v>212</v>
      </c>
      <c r="AB2056" s="4">
        <v>3</v>
      </c>
      <c r="AC2056" s="4">
        <v>3</v>
      </c>
      <c r="AD2056" s="4">
        <v>5</v>
      </c>
      <c r="AE2056" s="4">
        <v>5</v>
      </c>
      <c r="AF2056" s="4">
        <v>1</v>
      </c>
      <c r="AG2056" s="4">
        <v>1</v>
      </c>
      <c r="AH2056" s="4">
        <v>1</v>
      </c>
      <c r="AI2056" s="4">
        <v>1</v>
      </c>
      <c r="AJ2056" s="4">
        <v>2</v>
      </c>
      <c r="AK2056" s="4">
        <v>2</v>
      </c>
      <c r="AL2056" s="4">
        <v>2</v>
      </c>
      <c r="AM2056" s="4">
        <v>2</v>
      </c>
      <c r="AN2056" s="4">
        <v>0</v>
      </c>
      <c r="AO2056" s="4">
        <v>0</v>
      </c>
      <c r="AP2056" s="3" t="s">
        <v>58</v>
      </c>
      <c r="AQ2056" s="3" t="s">
        <v>68</v>
      </c>
      <c r="AR2056" s="6" t="str">
        <f>HYPERLINK("http://catalog.hathitrust.org/Record/001267546","HathiTrust Record")</f>
        <v>HathiTrust Record</v>
      </c>
      <c r="AS2056" s="6" t="str">
        <f>HYPERLINK("https://creighton-primo.hosted.exlibrisgroup.com/primo-explore/search?tab=default_tab&amp;search_scope=EVERYTHING&amp;vid=01CRU&amp;lang=en_US&amp;offset=0&amp;query=any,contains,991003399949702656","Catalog Record")</f>
        <v>Catalog Record</v>
      </c>
      <c r="AT2056" s="6" t="str">
        <f>HYPERLINK("http://www.worldcat.org/oclc/940036","WorldCat Record")</f>
        <v>WorldCat Record</v>
      </c>
      <c r="AU2056" s="3" t="s">
        <v>25104</v>
      </c>
      <c r="AV2056" s="3" t="s">
        <v>25105</v>
      </c>
      <c r="AW2056" s="3" t="s">
        <v>25106</v>
      </c>
      <c r="AX2056" s="3" t="s">
        <v>25106</v>
      </c>
      <c r="AY2056" s="3" t="s">
        <v>25107</v>
      </c>
      <c r="AZ2056" s="3" t="s">
        <v>73</v>
      </c>
      <c r="BC2056" s="3" t="s">
        <v>25108</v>
      </c>
      <c r="BD2056" s="3" t="s">
        <v>25109</v>
      </c>
    </row>
    <row r="2057" spans="1:56" ht="51" customHeight="1" x14ac:dyDescent="0.25">
      <c r="A2057" s="7" t="s">
        <v>58</v>
      </c>
      <c r="B2057" s="2" t="s">
        <v>25110</v>
      </c>
      <c r="C2057" s="2" t="s">
        <v>25111</v>
      </c>
      <c r="D2057" s="2" t="s">
        <v>25112</v>
      </c>
      <c r="F2057" s="3" t="s">
        <v>58</v>
      </c>
      <c r="G2057" s="3" t="s">
        <v>59</v>
      </c>
      <c r="H2057" s="3" t="s">
        <v>58</v>
      </c>
      <c r="I2057" s="3" t="s">
        <v>58</v>
      </c>
      <c r="J2057" s="3" t="s">
        <v>60</v>
      </c>
      <c r="K2057" s="2" t="s">
        <v>25113</v>
      </c>
      <c r="L2057" s="2" t="s">
        <v>25114</v>
      </c>
      <c r="M2057" s="3" t="s">
        <v>2132</v>
      </c>
      <c r="N2057" s="2" t="s">
        <v>25115</v>
      </c>
      <c r="O2057" s="3" t="s">
        <v>63</v>
      </c>
      <c r="P2057" s="3" t="s">
        <v>23024</v>
      </c>
      <c r="R2057" s="3" t="s">
        <v>65</v>
      </c>
      <c r="S2057" s="4">
        <v>3</v>
      </c>
      <c r="T2057" s="4">
        <v>3</v>
      </c>
      <c r="U2057" s="5" t="s">
        <v>5265</v>
      </c>
      <c r="V2057" s="5" t="s">
        <v>5265</v>
      </c>
      <c r="W2057" s="5" t="s">
        <v>24572</v>
      </c>
      <c r="X2057" s="5" t="s">
        <v>24572</v>
      </c>
      <c r="Y2057" s="4">
        <v>109</v>
      </c>
      <c r="Z2057" s="4">
        <v>88</v>
      </c>
      <c r="AA2057" s="4">
        <v>257</v>
      </c>
      <c r="AB2057" s="4">
        <v>1</v>
      </c>
      <c r="AC2057" s="4">
        <v>1</v>
      </c>
      <c r="AD2057" s="4">
        <v>7</v>
      </c>
      <c r="AE2057" s="4">
        <v>11</v>
      </c>
      <c r="AF2057" s="4">
        <v>5</v>
      </c>
      <c r="AG2057" s="4">
        <v>6</v>
      </c>
      <c r="AH2057" s="4">
        <v>1</v>
      </c>
      <c r="AI2057" s="4">
        <v>3</v>
      </c>
      <c r="AJ2057" s="4">
        <v>3</v>
      </c>
      <c r="AK2057" s="4">
        <v>5</v>
      </c>
      <c r="AL2057" s="4">
        <v>0</v>
      </c>
      <c r="AM2057" s="4">
        <v>0</v>
      </c>
      <c r="AN2057" s="4">
        <v>0</v>
      </c>
      <c r="AO2057" s="4">
        <v>0</v>
      </c>
      <c r="AP2057" s="3" t="s">
        <v>58</v>
      </c>
      <c r="AQ2057" s="3" t="s">
        <v>58</v>
      </c>
      <c r="AS2057" s="6" t="str">
        <f>HYPERLINK("https://creighton-primo.hosted.exlibrisgroup.com/primo-explore/search?tab=default_tab&amp;search_scope=EVERYTHING&amp;vid=01CRU&amp;lang=en_US&amp;offset=0&amp;query=any,contains,991004537729702656","Catalog Record")</f>
        <v>Catalog Record</v>
      </c>
      <c r="AT2057" s="6" t="str">
        <f>HYPERLINK("http://www.worldcat.org/oclc/3875889","WorldCat Record")</f>
        <v>WorldCat Record</v>
      </c>
      <c r="AU2057" s="3" t="s">
        <v>25116</v>
      </c>
      <c r="AV2057" s="3" t="s">
        <v>25117</v>
      </c>
      <c r="AW2057" s="3" t="s">
        <v>25118</v>
      </c>
      <c r="AX2057" s="3" t="s">
        <v>25118</v>
      </c>
      <c r="AY2057" s="3" t="s">
        <v>25119</v>
      </c>
      <c r="AZ2057" s="3" t="s">
        <v>73</v>
      </c>
      <c r="BC2057" s="3" t="s">
        <v>25120</v>
      </c>
      <c r="BD2057" s="3" t="s">
        <v>25121</v>
      </c>
    </row>
    <row r="2058" spans="1:56" ht="51" customHeight="1" x14ac:dyDescent="0.25">
      <c r="A2058" s="7" t="s">
        <v>58</v>
      </c>
      <c r="B2058" s="2" t="s">
        <v>25122</v>
      </c>
      <c r="C2058" s="2" t="s">
        <v>25123</v>
      </c>
      <c r="D2058" s="2" t="s">
        <v>25124</v>
      </c>
      <c r="E2058" s="3" t="s">
        <v>223</v>
      </c>
      <c r="F2058" s="3" t="s">
        <v>68</v>
      </c>
      <c r="G2058" s="3" t="s">
        <v>59</v>
      </c>
      <c r="H2058" s="3" t="s">
        <v>58</v>
      </c>
      <c r="I2058" s="3" t="s">
        <v>58</v>
      </c>
      <c r="J2058" s="3" t="s">
        <v>60</v>
      </c>
      <c r="K2058" s="2" t="s">
        <v>25053</v>
      </c>
      <c r="L2058" s="2" t="s">
        <v>25125</v>
      </c>
      <c r="M2058" s="3" t="s">
        <v>2132</v>
      </c>
      <c r="O2058" s="3" t="s">
        <v>63</v>
      </c>
      <c r="P2058" s="3" t="s">
        <v>23024</v>
      </c>
      <c r="R2058" s="3" t="s">
        <v>65</v>
      </c>
      <c r="S2058" s="4">
        <v>2</v>
      </c>
      <c r="T2058" s="4">
        <v>4</v>
      </c>
      <c r="U2058" s="5" t="s">
        <v>25103</v>
      </c>
      <c r="V2058" s="5" t="s">
        <v>25103</v>
      </c>
      <c r="W2058" s="5" t="s">
        <v>25126</v>
      </c>
      <c r="X2058" s="5" t="s">
        <v>25126</v>
      </c>
      <c r="Y2058" s="4">
        <v>318</v>
      </c>
      <c r="Z2058" s="4">
        <v>256</v>
      </c>
      <c r="AA2058" s="4">
        <v>258</v>
      </c>
      <c r="AB2058" s="4">
        <v>2</v>
      </c>
      <c r="AC2058" s="4">
        <v>2</v>
      </c>
      <c r="AD2058" s="4">
        <v>6</v>
      </c>
      <c r="AE2058" s="4">
        <v>6</v>
      </c>
      <c r="AF2058" s="4">
        <v>1</v>
      </c>
      <c r="AG2058" s="4">
        <v>1</v>
      </c>
      <c r="AH2058" s="4">
        <v>2</v>
      </c>
      <c r="AI2058" s="4">
        <v>2</v>
      </c>
      <c r="AJ2058" s="4">
        <v>3</v>
      </c>
      <c r="AK2058" s="4">
        <v>3</v>
      </c>
      <c r="AL2058" s="4">
        <v>1</v>
      </c>
      <c r="AM2058" s="4">
        <v>1</v>
      </c>
      <c r="AN2058" s="4">
        <v>0</v>
      </c>
      <c r="AO2058" s="4">
        <v>0</v>
      </c>
      <c r="AP2058" s="3" t="s">
        <v>58</v>
      </c>
      <c r="AQ2058" s="3" t="s">
        <v>68</v>
      </c>
      <c r="AR2058" s="6" t="str">
        <f>HYPERLINK("http://catalog.hathitrust.org/Record/006783638","HathiTrust Record")</f>
        <v>HathiTrust Record</v>
      </c>
      <c r="AS2058" s="6" t="str">
        <f>HYPERLINK("https://creighton-primo.hosted.exlibrisgroup.com/primo-explore/search?tab=default_tab&amp;search_scope=EVERYTHING&amp;vid=01CRU&amp;lang=en_US&amp;offset=0&amp;query=any,contains,991004036759702656","Catalog Record")</f>
        <v>Catalog Record</v>
      </c>
      <c r="AT2058" s="6" t="str">
        <f>HYPERLINK("http://www.worldcat.org/oclc/2173237","WorldCat Record")</f>
        <v>WorldCat Record</v>
      </c>
      <c r="AU2058" s="3" t="s">
        <v>25127</v>
      </c>
      <c r="AV2058" s="3" t="s">
        <v>25128</v>
      </c>
      <c r="AW2058" s="3" t="s">
        <v>25129</v>
      </c>
      <c r="AX2058" s="3" t="s">
        <v>25129</v>
      </c>
      <c r="AY2058" s="3" t="s">
        <v>25130</v>
      </c>
      <c r="AZ2058" s="3" t="s">
        <v>73</v>
      </c>
      <c r="BB2058" s="3" t="s">
        <v>25131</v>
      </c>
      <c r="BC2058" s="3" t="s">
        <v>25132</v>
      </c>
      <c r="BD2058" s="3" t="s">
        <v>25133</v>
      </c>
    </row>
    <row r="2059" spans="1:56" ht="51" customHeight="1" x14ac:dyDescent="0.25">
      <c r="A2059" s="7" t="s">
        <v>58</v>
      </c>
      <c r="B2059" s="2" t="s">
        <v>25134</v>
      </c>
      <c r="C2059" s="2" t="s">
        <v>25135</v>
      </c>
      <c r="D2059" s="2" t="s">
        <v>25136</v>
      </c>
      <c r="F2059" s="3" t="s">
        <v>58</v>
      </c>
      <c r="G2059" s="3" t="s">
        <v>59</v>
      </c>
      <c r="H2059" s="3" t="s">
        <v>58</v>
      </c>
      <c r="I2059" s="3" t="s">
        <v>58</v>
      </c>
      <c r="J2059" s="3" t="s">
        <v>60</v>
      </c>
      <c r="K2059" s="2" t="s">
        <v>25137</v>
      </c>
      <c r="L2059" s="2" t="s">
        <v>25138</v>
      </c>
      <c r="M2059" s="3" t="s">
        <v>1091</v>
      </c>
      <c r="N2059" s="2" t="s">
        <v>424</v>
      </c>
      <c r="O2059" s="3" t="s">
        <v>63</v>
      </c>
      <c r="P2059" s="3" t="s">
        <v>584</v>
      </c>
      <c r="Q2059" s="2" t="s">
        <v>25139</v>
      </c>
      <c r="R2059" s="3" t="s">
        <v>65</v>
      </c>
      <c r="S2059" s="4">
        <v>8</v>
      </c>
      <c r="T2059" s="4">
        <v>8</v>
      </c>
      <c r="U2059" s="5" t="s">
        <v>25140</v>
      </c>
      <c r="V2059" s="5" t="s">
        <v>25140</v>
      </c>
      <c r="W2059" s="5" t="s">
        <v>6633</v>
      </c>
      <c r="X2059" s="5" t="s">
        <v>6633</v>
      </c>
      <c r="Y2059" s="4">
        <v>299</v>
      </c>
      <c r="Z2059" s="4">
        <v>197</v>
      </c>
      <c r="AA2059" s="4">
        <v>263</v>
      </c>
      <c r="AB2059" s="4">
        <v>1</v>
      </c>
      <c r="AC2059" s="4">
        <v>2</v>
      </c>
      <c r="AD2059" s="4">
        <v>8</v>
      </c>
      <c r="AE2059" s="4">
        <v>10</v>
      </c>
      <c r="AF2059" s="4">
        <v>2</v>
      </c>
      <c r="AG2059" s="4">
        <v>3</v>
      </c>
      <c r="AH2059" s="4">
        <v>3</v>
      </c>
      <c r="AI2059" s="4">
        <v>3</v>
      </c>
      <c r="AJ2059" s="4">
        <v>6</v>
      </c>
      <c r="AK2059" s="4">
        <v>7</v>
      </c>
      <c r="AL2059" s="4">
        <v>0</v>
      </c>
      <c r="AM2059" s="4">
        <v>1</v>
      </c>
      <c r="AN2059" s="4">
        <v>0</v>
      </c>
      <c r="AO2059" s="4">
        <v>0</v>
      </c>
      <c r="AP2059" s="3" t="s">
        <v>58</v>
      </c>
      <c r="AQ2059" s="3" t="s">
        <v>58</v>
      </c>
      <c r="AS2059" s="6" t="str">
        <f>HYPERLINK("https://creighton-primo.hosted.exlibrisgroup.com/primo-explore/search?tab=default_tab&amp;search_scope=EVERYTHING&amp;vid=01CRU&amp;lang=en_US&amp;offset=0&amp;query=any,contains,991004019019702656","Catalog Record")</f>
        <v>Catalog Record</v>
      </c>
      <c r="AT2059" s="6" t="str">
        <f>HYPERLINK("http://www.worldcat.org/oclc/45917231","WorldCat Record")</f>
        <v>WorldCat Record</v>
      </c>
      <c r="AU2059" s="3" t="s">
        <v>25141</v>
      </c>
      <c r="AV2059" s="3" t="s">
        <v>25142</v>
      </c>
      <c r="AW2059" s="3" t="s">
        <v>25143</v>
      </c>
      <c r="AX2059" s="3" t="s">
        <v>25143</v>
      </c>
      <c r="AY2059" s="3" t="s">
        <v>25144</v>
      </c>
      <c r="AZ2059" s="3" t="s">
        <v>73</v>
      </c>
      <c r="BB2059" s="3" t="s">
        <v>25145</v>
      </c>
      <c r="BC2059" s="3" t="s">
        <v>25146</v>
      </c>
      <c r="BD2059" s="3" t="s">
        <v>25147</v>
      </c>
    </row>
    <row r="2060" spans="1:56" ht="51" customHeight="1" x14ac:dyDescent="0.25">
      <c r="A2060" s="7" t="s">
        <v>58</v>
      </c>
      <c r="B2060" s="2" t="s">
        <v>25148</v>
      </c>
      <c r="C2060" s="2" t="s">
        <v>25149</v>
      </c>
      <c r="D2060" s="2" t="s">
        <v>25150</v>
      </c>
      <c r="F2060" s="3" t="s">
        <v>58</v>
      </c>
      <c r="G2060" s="3" t="s">
        <v>59</v>
      </c>
      <c r="H2060" s="3" t="s">
        <v>58</v>
      </c>
      <c r="I2060" s="3" t="s">
        <v>58</v>
      </c>
      <c r="J2060" s="3" t="s">
        <v>60</v>
      </c>
      <c r="K2060" s="2" t="s">
        <v>25151</v>
      </c>
      <c r="L2060" s="2" t="s">
        <v>25152</v>
      </c>
      <c r="M2060" s="3" t="s">
        <v>2295</v>
      </c>
      <c r="O2060" s="3" t="s">
        <v>63</v>
      </c>
      <c r="P2060" s="3" t="s">
        <v>1584</v>
      </c>
      <c r="R2060" s="3" t="s">
        <v>65</v>
      </c>
      <c r="S2060" s="4">
        <v>2</v>
      </c>
      <c r="T2060" s="4">
        <v>2</v>
      </c>
      <c r="U2060" s="5" t="s">
        <v>16316</v>
      </c>
      <c r="V2060" s="5" t="s">
        <v>16316</v>
      </c>
      <c r="W2060" s="5" t="s">
        <v>20085</v>
      </c>
      <c r="X2060" s="5" t="s">
        <v>20085</v>
      </c>
      <c r="Y2060" s="4">
        <v>223</v>
      </c>
      <c r="Z2060" s="4">
        <v>196</v>
      </c>
      <c r="AA2060" s="4">
        <v>198</v>
      </c>
      <c r="AB2060" s="4">
        <v>2</v>
      </c>
      <c r="AC2060" s="4">
        <v>2</v>
      </c>
      <c r="AD2060" s="4">
        <v>7</v>
      </c>
      <c r="AE2060" s="4">
        <v>7</v>
      </c>
      <c r="AF2060" s="4">
        <v>2</v>
      </c>
      <c r="AG2060" s="4">
        <v>2</v>
      </c>
      <c r="AH2060" s="4">
        <v>3</v>
      </c>
      <c r="AI2060" s="4">
        <v>3</v>
      </c>
      <c r="AJ2060" s="4">
        <v>5</v>
      </c>
      <c r="AK2060" s="4">
        <v>5</v>
      </c>
      <c r="AL2060" s="4">
        <v>1</v>
      </c>
      <c r="AM2060" s="4">
        <v>1</v>
      </c>
      <c r="AN2060" s="4">
        <v>0</v>
      </c>
      <c r="AO2060" s="4">
        <v>0</v>
      </c>
      <c r="AP2060" s="3" t="s">
        <v>58</v>
      </c>
      <c r="AQ2060" s="3" t="s">
        <v>68</v>
      </c>
      <c r="AR2060" s="6" t="str">
        <f>HYPERLINK("http://catalog.hathitrust.org/Record/004332226","HathiTrust Record")</f>
        <v>HathiTrust Record</v>
      </c>
      <c r="AS2060" s="6" t="str">
        <f>HYPERLINK("https://creighton-primo.hosted.exlibrisgroup.com/primo-explore/search?tab=default_tab&amp;search_scope=EVERYTHING&amp;vid=01CRU&amp;lang=en_US&amp;offset=0&amp;query=any,contains,991004359769702656","Catalog Record")</f>
        <v>Catalog Record</v>
      </c>
      <c r="AT2060" s="6" t="str">
        <f>HYPERLINK("http://www.worldcat.org/oclc/51898965","WorldCat Record")</f>
        <v>WorldCat Record</v>
      </c>
      <c r="AU2060" s="3" t="s">
        <v>25153</v>
      </c>
      <c r="AV2060" s="3" t="s">
        <v>25154</v>
      </c>
      <c r="AW2060" s="3" t="s">
        <v>25155</v>
      </c>
      <c r="AX2060" s="3" t="s">
        <v>25155</v>
      </c>
      <c r="AY2060" s="3" t="s">
        <v>25156</v>
      </c>
      <c r="AZ2060" s="3" t="s">
        <v>73</v>
      </c>
      <c r="BB2060" s="3" t="s">
        <v>25157</v>
      </c>
      <c r="BC2060" s="3" t="s">
        <v>25158</v>
      </c>
      <c r="BD2060" s="3" t="s">
        <v>25159</v>
      </c>
    </row>
    <row r="2061" spans="1:56" ht="51" customHeight="1" x14ac:dyDescent="0.25">
      <c r="A2061" s="7" t="s">
        <v>58</v>
      </c>
      <c r="B2061" s="2" t="s">
        <v>25160</v>
      </c>
      <c r="C2061" s="2" t="s">
        <v>25161</v>
      </c>
      <c r="D2061" s="2" t="s">
        <v>25162</v>
      </c>
      <c r="F2061" s="3" t="s">
        <v>58</v>
      </c>
      <c r="G2061" s="3" t="s">
        <v>59</v>
      </c>
      <c r="H2061" s="3" t="s">
        <v>58</v>
      </c>
      <c r="I2061" s="3" t="s">
        <v>58</v>
      </c>
      <c r="J2061" s="3" t="s">
        <v>60</v>
      </c>
      <c r="L2061" s="2" t="s">
        <v>25163</v>
      </c>
      <c r="M2061" s="3" t="s">
        <v>368</v>
      </c>
      <c r="O2061" s="3" t="s">
        <v>63</v>
      </c>
      <c r="P2061" s="3" t="s">
        <v>64</v>
      </c>
      <c r="R2061" s="3" t="s">
        <v>65</v>
      </c>
      <c r="S2061" s="4">
        <v>1</v>
      </c>
      <c r="T2061" s="4">
        <v>1</v>
      </c>
      <c r="U2061" s="5" t="s">
        <v>9778</v>
      </c>
      <c r="V2061" s="5" t="s">
        <v>9778</v>
      </c>
      <c r="W2061" s="5" t="s">
        <v>24572</v>
      </c>
      <c r="X2061" s="5" t="s">
        <v>24572</v>
      </c>
      <c r="Y2061" s="4">
        <v>395</v>
      </c>
      <c r="Z2061" s="4">
        <v>270</v>
      </c>
      <c r="AA2061" s="4">
        <v>272</v>
      </c>
      <c r="AB2061" s="4">
        <v>3</v>
      </c>
      <c r="AC2061" s="4">
        <v>3</v>
      </c>
      <c r="AD2061" s="4">
        <v>12</v>
      </c>
      <c r="AE2061" s="4">
        <v>12</v>
      </c>
      <c r="AF2061" s="4">
        <v>3</v>
      </c>
      <c r="AG2061" s="4">
        <v>3</v>
      </c>
      <c r="AH2061" s="4">
        <v>5</v>
      </c>
      <c r="AI2061" s="4">
        <v>5</v>
      </c>
      <c r="AJ2061" s="4">
        <v>5</v>
      </c>
      <c r="AK2061" s="4">
        <v>5</v>
      </c>
      <c r="AL2061" s="4">
        <v>2</v>
      </c>
      <c r="AM2061" s="4">
        <v>2</v>
      </c>
      <c r="AN2061" s="4">
        <v>0</v>
      </c>
      <c r="AO2061" s="4">
        <v>0</v>
      </c>
      <c r="AP2061" s="3" t="s">
        <v>58</v>
      </c>
      <c r="AQ2061" s="3" t="s">
        <v>58</v>
      </c>
      <c r="AS2061" s="6" t="str">
        <f>HYPERLINK("https://creighton-primo.hosted.exlibrisgroup.com/primo-explore/search?tab=default_tab&amp;search_scope=EVERYTHING&amp;vid=01CRU&amp;lang=en_US&amp;offset=0&amp;query=any,contains,991004228799702656","Catalog Record")</f>
        <v>Catalog Record</v>
      </c>
      <c r="AT2061" s="6" t="str">
        <f>HYPERLINK("http://www.worldcat.org/oclc/2739233","WorldCat Record")</f>
        <v>WorldCat Record</v>
      </c>
      <c r="AU2061" s="3" t="s">
        <v>25164</v>
      </c>
      <c r="AV2061" s="3" t="s">
        <v>25165</v>
      </c>
      <c r="AW2061" s="3" t="s">
        <v>25166</v>
      </c>
      <c r="AX2061" s="3" t="s">
        <v>25166</v>
      </c>
      <c r="AY2061" s="3" t="s">
        <v>25167</v>
      </c>
      <c r="AZ2061" s="3" t="s">
        <v>73</v>
      </c>
      <c r="BB2061" s="3" t="s">
        <v>25168</v>
      </c>
      <c r="BC2061" s="3" t="s">
        <v>25169</v>
      </c>
      <c r="BD2061" s="3" t="s">
        <v>25170</v>
      </c>
    </row>
    <row r="2062" spans="1:56" ht="51" customHeight="1" x14ac:dyDescent="0.25">
      <c r="A2062" s="7" t="s">
        <v>58</v>
      </c>
      <c r="B2062" s="2" t="s">
        <v>25171</v>
      </c>
      <c r="C2062" s="2" t="s">
        <v>25172</v>
      </c>
      <c r="D2062" s="2" t="s">
        <v>25173</v>
      </c>
      <c r="F2062" s="3" t="s">
        <v>58</v>
      </c>
      <c r="G2062" s="3" t="s">
        <v>59</v>
      </c>
      <c r="H2062" s="3" t="s">
        <v>58</v>
      </c>
      <c r="I2062" s="3" t="s">
        <v>58</v>
      </c>
      <c r="J2062" s="3" t="s">
        <v>60</v>
      </c>
      <c r="K2062" s="2" t="s">
        <v>25174</v>
      </c>
      <c r="L2062" s="2" t="s">
        <v>25175</v>
      </c>
      <c r="M2062" s="3" t="s">
        <v>996</v>
      </c>
      <c r="N2062" s="2" t="s">
        <v>1611</v>
      </c>
      <c r="O2062" s="3" t="s">
        <v>63</v>
      </c>
      <c r="P2062" s="3" t="s">
        <v>214</v>
      </c>
      <c r="R2062" s="3" t="s">
        <v>65</v>
      </c>
      <c r="S2062" s="4">
        <v>3</v>
      </c>
      <c r="T2062" s="4">
        <v>3</v>
      </c>
      <c r="U2062" s="5" t="s">
        <v>25176</v>
      </c>
      <c r="V2062" s="5" t="s">
        <v>25176</v>
      </c>
      <c r="W2062" s="5" t="s">
        <v>24572</v>
      </c>
      <c r="X2062" s="5" t="s">
        <v>24572</v>
      </c>
      <c r="Y2062" s="4">
        <v>916</v>
      </c>
      <c r="Z2062" s="4">
        <v>799</v>
      </c>
      <c r="AA2062" s="4">
        <v>1822</v>
      </c>
      <c r="AB2062" s="4">
        <v>7</v>
      </c>
      <c r="AC2062" s="4">
        <v>10</v>
      </c>
      <c r="AD2062" s="4">
        <v>24</v>
      </c>
      <c r="AE2062" s="4">
        <v>56</v>
      </c>
      <c r="AF2062" s="4">
        <v>8</v>
      </c>
      <c r="AG2062" s="4">
        <v>26</v>
      </c>
      <c r="AH2062" s="4">
        <v>5</v>
      </c>
      <c r="AI2062" s="4">
        <v>9</v>
      </c>
      <c r="AJ2062" s="4">
        <v>10</v>
      </c>
      <c r="AK2062" s="4">
        <v>24</v>
      </c>
      <c r="AL2062" s="4">
        <v>6</v>
      </c>
      <c r="AM2062" s="4">
        <v>9</v>
      </c>
      <c r="AN2062" s="4">
        <v>1</v>
      </c>
      <c r="AO2062" s="4">
        <v>1</v>
      </c>
      <c r="AP2062" s="3" t="s">
        <v>58</v>
      </c>
      <c r="AQ2062" s="3" t="s">
        <v>68</v>
      </c>
      <c r="AR2062" s="6" t="str">
        <f>HYPERLINK("http://catalog.hathitrust.org/Record/001258067","HathiTrust Record")</f>
        <v>HathiTrust Record</v>
      </c>
      <c r="AS2062" s="6" t="str">
        <f>HYPERLINK("https://creighton-primo.hosted.exlibrisgroup.com/primo-explore/search?tab=default_tab&amp;search_scope=EVERYTHING&amp;vid=01CRU&amp;lang=en_US&amp;offset=0&amp;query=any,contains,991002700539702656","Catalog Record")</f>
        <v>Catalog Record</v>
      </c>
      <c r="AT2062" s="6" t="str">
        <f>HYPERLINK("http://www.worldcat.org/oclc/405391","WorldCat Record")</f>
        <v>WorldCat Record</v>
      </c>
      <c r="AU2062" s="3" t="s">
        <v>25177</v>
      </c>
      <c r="AV2062" s="3" t="s">
        <v>25178</v>
      </c>
      <c r="AW2062" s="3" t="s">
        <v>25179</v>
      </c>
      <c r="AX2062" s="3" t="s">
        <v>25179</v>
      </c>
      <c r="AY2062" s="3" t="s">
        <v>25180</v>
      </c>
      <c r="AZ2062" s="3" t="s">
        <v>73</v>
      </c>
      <c r="BB2062" s="3" t="s">
        <v>25181</v>
      </c>
      <c r="BC2062" s="3" t="s">
        <v>25182</v>
      </c>
      <c r="BD2062" s="3" t="s">
        <v>25183</v>
      </c>
    </row>
    <row r="2063" spans="1:56" ht="51" customHeight="1" x14ac:dyDescent="0.25">
      <c r="A2063" s="7" t="s">
        <v>58</v>
      </c>
      <c r="B2063" s="2" t="s">
        <v>25184</v>
      </c>
      <c r="C2063" s="2" t="s">
        <v>25185</v>
      </c>
      <c r="D2063" s="2" t="s">
        <v>25186</v>
      </c>
      <c r="F2063" s="3" t="s">
        <v>58</v>
      </c>
      <c r="G2063" s="3" t="s">
        <v>59</v>
      </c>
      <c r="H2063" s="3" t="s">
        <v>58</v>
      </c>
      <c r="I2063" s="3" t="s">
        <v>58</v>
      </c>
      <c r="J2063" s="3" t="s">
        <v>60</v>
      </c>
      <c r="K2063" s="2" t="s">
        <v>25187</v>
      </c>
      <c r="L2063" s="2" t="s">
        <v>25188</v>
      </c>
      <c r="M2063" s="3" t="s">
        <v>1091</v>
      </c>
      <c r="O2063" s="3" t="s">
        <v>63</v>
      </c>
      <c r="P2063" s="3" t="s">
        <v>816</v>
      </c>
      <c r="R2063" s="3" t="s">
        <v>65</v>
      </c>
      <c r="S2063" s="4">
        <v>5</v>
      </c>
      <c r="T2063" s="4">
        <v>5</v>
      </c>
      <c r="U2063" s="5" t="s">
        <v>23269</v>
      </c>
      <c r="V2063" s="5" t="s">
        <v>23269</v>
      </c>
      <c r="W2063" s="5" t="s">
        <v>23116</v>
      </c>
      <c r="X2063" s="5" t="s">
        <v>23116</v>
      </c>
      <c r="Y2063" s="4">
        <v>1037</v>
      </c>
      <c r="Z2063" s="4">
        <v>932</v>
      </c>
      <c r="AA2063" s="4">
        <v>935</v>
      </c>
      <c r="AB2063" s="4">
        <v>9</v>
      </c>
      <c r="AC2063" s="4">
        <v>9</v>
      </c>
      <c r="AD2063" s="4">
        <v>38</v>
      </c>
      <c r="AE2063" s="4">
        <v>39</v>
      </c>
      <c r="AF2063" s="4">
        <v>15</v>
      </c>
      <c r="AG2063" s="4">
        <v>15</v>
      </c>
      <c r="AH2063" s="4">
        <v>9</v>
      </c>
      <c r="AI2063" s="4">
        <v>10</v>
      </c>
      <c r="AJ2063" s="4">
        <v>15</v>
      </c>
      <c r="AK2063" s="4">
        <v>15</v>
      </c>
      <c r="AL2063" s="4">
        <v>7</v>
      </c>
      <c r="AM2063" s="4">
        <v>7</v>
      </c>
      <c r="AN2063" s="4">
        <v>2</v>
      </c>
      <c r="AO2063" s="4">
        <v>2</v>
      </c>
      <c r="AP2063" s="3" t="s">
        <v>58</v>
      </c>
      <c r="AQ2063" s="3" t="s">
        <v>58</v>
      </c>
      <c r="AS2063" s="6" t="str">
        <f>HYPERLINK("https://creighton-primo.hosted.exlibrisgroup.com/primo-explore/search?tab=default_tab&amp;search_scope=EVERYTHING&amp;vid=01CRU&amp;lang=en_US&amp;offset=0&amp;query=any,contains,991003717069702656","Catalog Record")</f>
        <v>Catalog Record</v>
      </c>
      <c r="AT2063" s="6" t="str">
        <f>HYPERLINK("http://www.worldcat.org/oclc/46575441","WorldCat Record")</f>
        <v>WorldCat Record</v>
      </c>
      <c r="AU2063" s="3" t="s">
        <v>25189</v>
      </c>
      <c r="AV2063" s="3" t="s">
        <v>25190</v>
      </c>
      <c r="AW2063" s="3" t="s">
        <v>25191</v>
      </c>
      <c r="AX2063" s="3" t="s">
        <v>25191</v>
      </c>
      <c r="AY2063" s="3" t="s">
        <v>25192</v>
      </c>
      <c r="AZ2063" s="3" t="s">
        <v>73</v>
      </c>
      <c r="BB2063" s="3" t="s">
        <v>25193</v>
      </c>
      <c r="BC2063" s="3" t="s">
        <v>25194</v>
      </c>
      <c r="BD2063" s="3" t="s">
        <v>25195</v>
      </c>
    </row>
    <row r="2064" spans="1:56" ht="51" customHeight="1" x14ac:dyDescent="0.25">
      <c r="A2064" s="7" t="s">
        <v>58</v>
      </c>
      <c r="B2064" s="2" t="s">
        <v>25196</v>
      </c>
      <c r="C2064" s="2" t="s">
        <v>25197</v>
      </c>
      <c r="D2064" s="2" t="s">
        <v>25198</v>
      </c>
      <c r="F2064" s="3" t="s">
        <v>58</v>
      </c>
      <c r="G2064" s="3" t="s">
        <v>59</v>
      </c>
      <c r="H2064" s="3" t="s">
        <v>58</v>
      </c>
      <c r="I2064" s="3" t="s">
        <v>58</v>
      </c>
      <c r="J2064" s="3" t="s">
        <v>60</v>
      </c>
      <c r="K2064" s="2" t="s">
        <v>25199</v>
      </c>
      <c r="L2064" s="2" t="s">
        <v>23102</v>
      </c>
      <c r="M2064" s="3" t="s">
        <v>1153</v>
      </c>
      <c r="O2064" s="3" t="s">
        <v>63</v>
      </c>
      <c r="P2064" s="3" t="s">
        <v>16203</v>
      </c>
      <c r="R2064" s="3" t="s">
        <v>65</v>
      </c>
      <c r="S2064" s="4">
        <v>9</v>
      </c>
      <c r="T2064" s="4">
        <v>9</v>
      </c>
      <c r="U2064" s="5" t="s">
        <v>25200</v>
      </c>
      <c r="V2064" s="5" t="s">
        <v>25200</v>
      </c>
      <c r="W2064" s="5" t="s">
        <v>25201</v>
      </c>
      <c r="X2064" s="5" t="s">
        <v>25201</v>
      </c>
      <c r="Y2064" s="4">
        <v>64</v>
      </c>
      <c r="Z2064" s="4">
        <v>58</v>
      </c>
      <c r="AA2064" s="4">
        <v>379</v>
      </c>
      <c r="AB2064" s="4">
        <v>1</v>
      </c>
      <c r="AC2064" s="4">
        <v>3</v>
      </c>
      <c r="AD2064" s="4">
        <v>2</v>
      </c>
      <c r="AE2064" s="4">
        <v>10</v>
      </c>
      <c r="AF2064" s="4">
        <v>1</v>
      </c>
      <c r="AG2064" s="4">
        <v>4</v>
      </c>
      <c r="AH2064" s="4">
        <v>1</v>
      </c>
      <c r="AI2064" s="4">
        <v>2</v>
      </c>
      <c r="AJ2064" s="4">
        <v>0</v>
      </c>
      <c r="AK2064" s="4">
        <v>6</v>
      </c>
      <c r="AL2064" s="4">
        <v>0</v>
      </c>
      <c r="AM2064" s="4">
        <v>1</v>
      </c>
      <c r="AN2064" s="4">
        <v>0</v>
      </c>
      <c r="AO2064" s="4">
        <v>0</v>
      </c>
      <c r="AP2064" s="3" t="s">
        <v>58</v>
      </c>
      <c r="AQ2064" s="3" t="s">
        <v>68</v>
      </c>
      <c r="AR2064" s="6" t="str">
        <f>HYPERLINK("http://catalog.hathitrust.org/Record/102065246","HathiTrust Record")</f>
        <v>HathiTrust Record</v>
      </c>
      <c r="AS2064" s="6" t="str">
        <f>HYPERLINK("https://creighton-primo.hosted.exlibrisgroup.com/primo-explore/search?tab=default_tab&amp;search_scope=EVERYTHING&amp;vid=01CRU&amp;lang=en_US&amp;offset=0&amp;query=any,contains,991003885969702656","Catalog Record")</f>
        <v>Catalog Record</v>
      </c>
      <c r="AT2064" s="6" t="str">
        <f>HYPERLINK("http://www.worldcat.org/oclc/1736985","WorldCat Record")</f>
        <v>WorldCat Record</v>
      </c>
      <c r="AU2064" s="3" t="s">
        <v>25202</v>
      </c>
      <c r="AV2064" s="3" t="s">
        <v>25203</v>
      </c>
      <c r="AW2064" s="3" t="s">
        <v>25204</v>
      </c>
      <c r="AX2064" s="3" t="s">
        <v>25204</v>
      </c>
      <c r="AY2064" s="3" t="s">
        <v>25205</v>
      </c>
      <c r="AZ2064" s="3" t="s">
        <v>73</v>
      </c>
      <c r="BB2064" s="3" t="s">
        <v>25206</v>
      </c>
      <c r="BC2064" s="3" t="s">
        <v>25207</v>
      </c>
      <c r="BD2064" s="3" t="s">
        <v>25208</v>
      </c>
    </row>
    <row r="2065" spans="1:56" ht="51" customHeight="1" x14ac:dyDescent="0.25">
      <c r="A2065" s="7" t="s">
        <v>58</v>
      </c>
      <c r="B2065" s="2" t="s">
        <v>25209</v>
      </c>
      <c r="C2065" s="2" t="s">
        <v>25210</v>
      </c>
      <c r="D2065" s="2" t="s">
        <v>25211</v>
      </c>
      <c r="F2065" s="3" t="s">
        <v>58</v>
      </c>
      <c r="G2065" s="3" t="s">
        <v>59</v>
      </c>
      <c r="H2065" s="3" t="s">
        <v>58</v>
      </c>
      <c r="I2065" s="3" t="s">
        <v>58</v>
      </c>
      <c r="J2065" s="3" t="s">
        <v>60</v>
      </c>
      <c r="L2065" s="2" t="s">
        <v>7367</v>
      </c>
      <c r="M2065" s="3" t="s">
        <v>653</v>
      </c>
      <c r="O2065" s="3" t="s">
        <v>63</v>
      </c>
      <c r="P2065" s="3" t="s">
        <v>584</v>
      </c>
      <c r="R2065" s="3" t="s">
        <v>65</v>
      </c>
      <c r="S2065" s="4">
        <v>3</v>
      </c>
      <c r="T2065" s="4">
        <v>3</v>
      </c>
      <c r="U2065" s="5" t="s">
        <v>4156</v>
      </c>
      <c r="V2065" s="5" t="s">
        <v>4156</v>
      </c>
      <c r="W2065" s="5" t="s">
        <v>11401</v>
      </c>
      <c r="X2065" s="5" t="s">
        <v>11401</v>
      </c>
      <c r="Y2065" s="4">
        <v>382</v>
      </c>
      <c r="Z2065" s="4">
        <v>267</v>
      </c>
      <c r="AA2065" s="4">
        <v>273</v>
      </c>
      <c r="AB2065" s="4">
        <v>2</v>
      </c>
      <c r="AC2065" s="4">
        <v>2</v>
      </c>
      <c r="AD2065" s="4">
        <v>15</v>
      </c>
      <c r="AE2065" s="4">
        <v>15</v>
      </c>
      <c r="AF2065" s="4">
        <v>8</v>
      </c>
      <c r="AG2065" s="4">
        <v>8</v>
      </c>
      <c r="AH2065" s="4">
        <v>4</v>
      </c>
      <c r="AI2065" s="4">
        <v>4</v>
      </c>
      <c r="AJ2065" s="4">
        <v>8</v>
      </c>
      <c r="AK2065" s="4">
        <v>8</v>
      </c>
      <c r="AL2065" s="4">
        <v>1</v>
      </c>
      <c r="AM2065" s="4">
        <v>1</v>
      </c>
      <c r="AN2065" s="4">
        <v>0</v>
      </c>
      <c r="AO2065" s="4">
        <v>0</v>
      </c>
      <c r="AP2065" s="3" t="s">
        <v>58</v>
      </c>
      <c r="AQ2065" s="3" t="s">
        <v>58</v>
      </c>
      <c r="AS2065" s="6" t="str">
        <f>HYPERLINK("https://creighton-primo.hosted.exlibrisgroup.com/primo-explore/search?tab=default_tab&amp;search_scope=EVERYTHING&amp;vid=01CRU&amp;lang=en_US&amp;offset=0&amp;query=any,contains,991001637359702656","Catalog Record")</f>
        <v>Catalog Record</v>
      </c>
      <c r="AT2065" s="6" t="str">
        <f>HYPERLINK("http://www.worldcat.org/oclc/20992381","WorldCat Record")</f>
        <v>WorldCat Record</v>
      </c>
      <c r="AU2065" s="3" t="s">
        <v>25212</v>
      </c>
      <c r="AV2065" s="3" t="s">
        <v>25213</v>
      </c>
      <c r="AW2065" s="3" t="s">
        <v>25214</v>
      </c>
      <c r="AX2065" s="3" t="s">
        <v>25214</v>
      </c>
      <c r="AY2065" s="3" t="s">
        <v>25215</v>
      </c>
      <c r="AZ2065" s="3" t="s">
        <v>73</v>
      </c>
      <c r="BB2065" s="3" t="s">
        <v>25216</v>
      </c>
      <c r="BC2065" s="3" t="s">
        <v>25217</v>
      </c>
      <c r="BD2065" s="3" t="s">
        <v>25218</v>
      </c>
    </row>
    <row r="2066" spans="1:56" ht="51" customHeight="1" x14ac:dyDescent="0.25">
      <c r="A2066" s="7" t="s">
        <v>58</v>
      </c>
      <c r="B2066" s="2" t="s">
        <v>25219</v>
      </c>
      <c r="C2066" s="2" t="s">
        <v>25220</v>
      </c>
      <c r="D2066" s="2" t="s">
        <v>25221</v>
      </c>
      <c r="E2066" s="3" t="s">
        <v>210</v>
      </c>
      <c r="F2066" s="3" t="s">
        <v>68</v>
      </c>
      <c r="G2066" s="3" t="s">
        <v>59</v>
      </c>
      <c r="H2066" s="3" t="s">
        <v>58</v>
      </c>
      <c r="I2066" s="3" t="s">
        <v>58</v>
      </c>
      <c r="J2066" s="3" t="s">
        <v>60</v>
      </c>
      <c r="L2066" s="2" t="s">
        <v>25222</v>
      </c>
      <c r="M2066" s="3" t="s">
        <v>842</v>
      </c>
      <c r="N2066" s="2" t="s">
        <v>338</v>
      </c>
      <c r="O2066" s="3" t="s">
        <v>63</v>
      </c>
      <c r="P2066" s="3" t="s">
        <v>16606</v>
      </c>
      <c r="R2066" s="3" t="s">
        <v>65</v>
      </c>
      <c r="S2066" s="4">
        <v>2</v>
      </c>
      <c r="T2066" s="4">
        <v>2</v>
      </c>
      <c r="U2066" s="5" t="s">
        <v>25223</v>
      </c>
      <c r="V2066" s="5" t="s">
        <v>25223</v>
      </c>
      <c r="W2066" s="5" t="s">
        <v>25029</v>
      </c>
      <c r="X2066" s="5" t="s">
        <v>2799</v>
      </c>
      <c r="Y2066" s="4">
        <v>1220</v>
      </c>
      <c r="Z2066" s="4">
        <v>1097</v>
      </c>
      <c r="AA2066" s="4">
        <v>1108</v>
      </c>
      <c r="AB2066" s="4">
        <v>9</v>
      </c>
      <c r="AC2066" s="4">
        <v>9</v>
      </c>
      <c r="AD2066" s="4">
        <v>49</v>
      </c>
      <c r="AE2066" s="4">
        <v>49</v>
      </c>
      <c r="AF2066" s="4">
        <v>20</v>
      </c>
      <c r="AG2066" s="4">
        <v>20</v>
      </c>
      <c r="AH2066" s="4">
        <v>9</v>
      </c>
      <c r="AI2066" s="4">
        <v>9</v>
      </c>
      <c r="AJ2066" s="4">
        <v>20</v>
      </c>
      <c r="AK2066" s="4">
        <v>20</v>
      </c>
      <c r="AL2066" s="4">
        <v>8</v>
      </c>
      <c r="AM2066" s="4">
        <v>8</v>
      </c>
      <c r="AN2066" s="4">
        <v>2</v>
      </c>
      <c r="AO2066" s="4">
        <v>2</v>
      </c>
      <c r="AP2066" s="3" t="s">
        <v>58</v>
      </c>
      <c r="AQ2066" s="3" t="s">
        <v>68</v>
      </c>
      <c r="AR2066" s="6" t="str">
        <f>HYPERLINK("http://catalog.hathitrust.org/Record/000312261","HathiTrust Record")</f>
        <v>HathiTrust Record</v>
      </c>
      <c r="AS2066" s="6" t="str">
        <f>HYPERLINK("https://creighton-primo.hosted.exlibrisgroup.com/primo-explore/search?tab=default_tab&amp;search_scope=EVERYTHING&amp;vid=01CRU&amp;lang=en_US&amp;offset=0&amp;query=any,contains,991000089049702656","Catalog Record")</f>
        <v>Catalog Record</v>
      </c>
      <c r="AT2066" s="6" t="str">
        <f>HYPERLINK("http://www.worldcat.org/oclc/8883106","WorldCat Record")</f>
        <v>WorldCat Record</v>
      </c>
      <c r="AU2066" s="3" t="s">
        <v>25224</v>
      </c>
      <c r="AV2066" s="3" t="s">
        <v>25225</v>
      </c>
      <c r="AW2066" s="3" t="s">
        <v>25226</v>
      </c>
      <c r="AX2066" s="3" t="s">
        <v>25226</v>
      </c>
      <c r="AY2066" s="3" t="s">
        <v>25227</v>
      </c>
      <c r="AZ2066" s="3" t="s">
        <v>73</v>
      </c>
      <c r="BC2066" s="3" t="s">
        <v>25228</v>
      </c>
      <c r="BD2066" s="3" t="s">
        <v>25229</v>
      </c>
    </row>
    <row r="2067" spans="1:56" ht="51" customHeight="1" x14ac:dyDescent="0.25">
      <c r="A2067" s="7" t="s">
        <v>58</v>
      </c>
      <c r="B2067" s="2" t="s">
        <v>25219</v>
      </c>
      <c r="C2067" s="2" t="s">
        <v>25220</v>
      </c>
      <c r="D2067" s="2" t="s">
        <v>25221</v>
      </c>
      <c r="E2067" s="3" t="s">
        <v>223</v>
      </c>
      <c r="F2067" s="3" t="s">
        <v>68</v>
      </c>
      <c r="G2067" s="3" t="s">
        <v>59</v>
      </c>
      <c r="H2067" s="3" t="s">
        <v>58</v>
      </c>
      <c r="I2067" s="3" t="s">
        <v>58</v>
      </c>
      <c r="J2067" s="3" t="s">
        <v>60</v>
      </c>
      <c r="L2067" s="2" t="s">
        <v>25222</v>
      </c>
      <c r="M2067" s="3" t="s">
        <v>842</v>
      </c>
      <c r="N2067" s="2" t="s">
        <v>338</v>
      </c>
      <c r="O2067" s="3" t="s">
        <v>63</v>
      </c>
      <c r="P2067" s="3" t="s">
        <v>16606</v>
      </c>
      <c r="R2067" s="3" t="s">
        <v>65</v>
      </c>
      <c r="S2067" s="4">
        <v>0</v>
      </c>
      <c r="T2067" s="4">
        <v>2</v>
      </c>
      <c r="V2067" s="5" t="s">
        <v>25223</v>
      </c>
      <c r="W2067" s="5" t="s">
        <v>2799</v>
      </c>
      <c r="X2067" s="5" t="s">
        <v>2799</v>
      </c>
      <c r="Y2067" s="4">
        <v>1220</v>
      </c>
      <c r="Z2067" s="4">
        <v>1097</v>
      </c>
      <c r="AA2067" s="4">
        <v>1108</v>
      </c>
      <c r="AB2067" s="4">
        <v>9</v>
      </c>
      <c r="AC2067" s="4">
        <v>9</v>
      </c>
      <c r="AD2067" s="4">
        <v>49</v>
      </c>
      <c r="AE2067" s="4">
        <v>49</v>
      </c>
      <c r="AF2067" s="4">
        <v>20</v>
      </c>
      <c r="AG2067" s="4">
        <v>20</v>
      </c>
      <c r="AH2067" s="4">
        <v>9</v>
      </c>
      <c r="AI2067" s="4">
        <v>9</v>
      </c>
      <c r="AJ2067" s="4">
        <v>20</v>
      </c>
      <c r="AK2067" s="4">
        <v>20</v>
      </c>
      <c r="AL2067" s="4">
        <v>8</v>
      </c>
      <c r="AM2067" s="4">
        <v>8</v>
      </c>
      <c r="AN2067" s="4">
        <v>2</v>
      </c>
      <c r="AO2067" s="4">
        <v>2</v>
      </c>
      <c r="AP2067" s="3" t="s">
        <v>58</v>
      </c>
      <c r="AQ2067" s="3" t="s">
        <v>68</v>
      </c>
      <c r="AR2067" s="6" t="str">
        <f>HYPERLINK("http://catalog.hathitrust.org/Record/000312261","HathiTrust Record")</f>
        <v>HathiTrust Record</v>
      </c>
      <c r="AS2067" s="6" t="str">
        <f>HYPERLINK("https://creighton-primo.hosted.exlibrisgroup.com/primo-explore/search?tab=default_tab&amp;search_scope=EVERYTHING&amp;vid=01CRU&amp;lang=en_US&amp;offset=0&amp;query=any,contains,991000089049702656","Catalog Record")</f>
        <v>Catalog Record</v>
      </c>
      <c r="AT2067" s="6" t="str">
        <f>HYPERLINK("http://www.worldcat.org/oclc/8883106","WorldCat Record")</f>
        <v>WorldCat Record</v>
      </c>
      <c r="AU2067" s="3" t="s">
        <v>25224</v>
      </c>
      <c r="AV2067" s="3" t="s">
        <v>25225</v>
      </c>
      <c r="AW2067" s="3" t="s">
        <v>25226</v>
      </c>
      <c r="AX2067" s="3" t="s">
        <v>25226</v>
      </c>
      <c r="AY2067" s="3" t="s">
        <v>25227</v>
      </c>
      <c r="AZ2067" s="3" t="s">
        <v>73</v>
      </c>
      <c r="BC2067" s="3" t="s">
        <v>25230</v>
      </c>
      <c r="BD2067" s="3" t="s">
        <v>25231</v>
      </c>
    </row>
    <row r="2068" spans="1:56" ht="51" customHeight="1" x14ac:dyDescent="0.25">
      <c r="A2068" s="7" t="s">
        <v>58</v>
      </c>
      <c r="B2068" s="2" t="s">
        <v>25232</v>
      </c>
      <c r="C2068" s="2" t="s">
        <v>25233</v>
      </c>
      <c r="D2068" s="2" t="s">
        <v>25234</v>
      </c>
      <c r="F2068" s="3" t="s">
        <v>58</v>
      </c>
      <c r="G2068" s="3" t="s">
        <v>59</v>
      </c>
      <c r="H2068" s="3" t="s">
        <v>58</v>
      </c>
      <c r="I2068" s="3" t="s">
        <v>58</v>
      </c>
      <c r="J2068" s="3" t="s">
        <v>60</v>
      </c>
      <c r="K2068" s="2" t="s">
        <v>24228</v>
      </c>
      <c r="L2068" s="2" t="s">
        <v>25235</v>
      </c>
      <c r="M2068" s="3" t="s">
        <v>842</v>
      </c>
      <c r="O2068" s="3" t="s">
        <v>63</v>
      </c>
      <c r="P2068" s="3" t="s">
        <v>214</v>
      </c>
      <c r="R2068" s="3" t="s">
        <v>65</v>
      </c>
      <c r="S2068" s="4">
        <v>3</v>
      </c>
      <c r="T2068" s="4">
        <v>3</v>
      </c>
      <c r="U2068" s="5" t="s">
        <v>8021</v>
      </c>
      <c r="V2068" s="5" t="s">
        <v>8021</v>
      </c>
      <c r="W2068" s="5" t="s">
        <v>20145</v>
      </c>
      <c r="X2068" s="5" t="s">
        <v>20145</v>
      </c>
      <c r="Y2068" s="4">
        <v>1712</v>
      </c>
      <c r="Z2068" s="4">
        <v>1582</v>
      </c>
      <c r="AA2068" s="4">
        <v>1893</v>
      </c>
      <c r="AB2068" s="4">
        <v>12</v>
      </c>
      <c r="AC2068" s="4">
        <v>13</v>
      </c>
      <c r="AD2068" s="4">
        <v>44</v>
      </c>
      <c r="AE2068" s="4">
        <v>53</v>
      </c>
      <c r="AF2068" s="4">
        <v>21</v>
      </c>
      <c r="AG2068" s="4">
        <v>22</v>
      </c>
      <c r="AH2068" s="4">
        <v>7</v>
      </c>
      <c r="AI2068" s="4">
        <v>10</v>
      </c>
      <c r="AJ2068" s="4">
        <v>18</v>
      </c>
      <c r="AK2068" s="4">
        <v>23</v>
      </c>
      <c r="AL2068" s="4">
        <v>8</v>
      </c>
      <c r="AM2068" s="4">
        <v>9</v>
      </c>
      <c r="AN2068" s="4">
        <v>0</v>
      </c>
      <c r="AO2068" s="4">
        <v>0</v>
      </c>
      <c r="AP2068" s="3" t="s">
        <v>58</v>
      </c>
      <c r="AQ2068" s="3" t="s">
        <v>58</v>
      </c>
      <c r="AS2068" s="6" t="str">
        <f>HYPERLINK("https://creighton-primo.hosted.exlibrisgroup.com/primo-explore/search?tab=default_tab&amp;search_scope=EVERYTHING&amp;vid=01CRU&amp;lang=en_US&amp;offset=0&amp;query=any,contains,991005128469702656","Catalog Record")</f>
        <v>Catalog Record</v>
      </c>
      <c r="AT2068" s="6" t="str">
        <f>HYPERLINK("http://www.worldcat.org/oclc/7555180","WorldCat Record")</f>
        <v>WorldCat Record</v>
      </c>
      <c r="AU2068" s="3" t="s">
        <v>25236</v>
      </c>
      <c r="AV2068" s="3" t="s">
        <v>25237</v>
      </c>
      <c r="AW2068" s="3" t="s">
        <v>25238</v>
      </c>
      <c r="AX2068" s="3" t="s">
        <v>25238</v>
      </c>
      <c r="AY2068" s="3" t="s">
        <v>25239</v>
      </c>
      <c r="AZ2068" s="3" t="s">
        <v>73</v>
      </c>
      <c r="BB2068" s="3" t="s">
        <v>25240</v>
      </c>
      <c r="BC2068" s="3" t="s">
        <v>25241</v>
      </c>
      <c r="BD2068" s="3" t="s">
        <v>25242</v>
      </c>
    </row>
    <row r="2069" spans="1:56" ht="51" customHeight="1" x14ac:dyDescent="0.25">
      <c r="A2069" s="7" t="s">
        <v>58</v>
      </c>
      <c r="B2069" s="2" t="s">
        <v>25243</v>
      </c>
      <c r="C2069" s="2" t="s">
        <v>25244</v>
      </c>
      <c r="D2069" s="2" t="s">
        <v>25245</v>
      </c>
      <c r="F2069" s="3" t="s">
        <v>58</v>
      </c>
      <c r="G2069" s="3" t="s">
        <v>59</v>
      </c>
      <c r="H2069" s="3" t="s">
        <v>58</v>
      </c>
      <c r="I2069" s="3" t="s">
        <v>58</v>
      </c>
      <c r="J2069" s="3" t="s">
        <v>60</v>
      </c>
      <c r="K2069" s="2" t="s">
        <v>25246</v>
      </c>
      <c r="L2069" s="2" t="s">
        <v>25247</v>
      </c>
      <c r="M2069" s="3" t="s">
        <v>538</v>
      </c>
      <c r="O2069" s="3" t="s">
        <v>63</v>
      </c>
      <c r="P2069" s="3" t="s">
        <v>214</v>
      </c>
      <c r="R2069" s="3" t="s">
        <v>65</v>
      </c>
      <c r="S2069" s="4">
        <v>1</v>
      </c>
      <c r="T2069" s="4">
        <v>1</v>
      </c>
      <c r="U2069" s="5" t="s">
        <v>15261</v>
      </c>
      <c r="V2069" s="5" t="s">
        <v>15261</v>
      </c>
      <c r="W2069" s="5" t="s">
        <v>24572</v>
      </c>
      <c r="X2069" s="5" t="s">
        <v>24572</v>
      </c>
      <c r="Y2069" s="4">
        <v>630</v>
      </c>
      <c r="Z2069" s="4">
        <v>524</v>
      </c>
      <c r="AA2069" s="4">
        <v>539</v>
      </c>
      <c r="AB2069" s="4">
        <v>4</v>
      </c>
      <c r="AC2069" s="4">
        <v>4</v>
      </c>
      <c r="AD2069" s="4">
        <v>20</v>
      </c>
      <c r="AE2069" s="4">
        <v>20</v>
      </c>
      <c r="AF2069" s="4">
        <v>8</v>
      </c>
      <c r="AG2069" s="4">
        <v>8</v>
      </c>
      <c r="AH2069" s="4">
        <v>4</v>
      </c>
      <c r="AI2069" s="4">
        <v>4</v>
      </c>
      <c r="AJ2069" s="4">
        <v>13</v>
      </c>
      <c r="AK2069" s="4">
        <v>13</v>
      </c>
      <c r="AL2069" s="4">
        <v>2</v>
      </c>
      <c r="AM2069" s="4">
        <v>2</v>
      </c>
      <c r="AN2069" s="4">
        <v>0</v>
      </c>
      <c r="AO2069" s="4">
        <v>0</v>
      </c>
      <c r="AP2069" s="3" t="s">
        <v>58</v>
      </c>
      <c r="AQ2069" s="3" t="s">
        <v>68</v>
      </c>
      <c r="AR2069" s="6" t="str">
        <f>HYPERLINK("http://catalog.hathitrust.org/Record/000000417","HathiTrust Record")</f>
        <v>HathiTrust Record</v>
      </c>
      <c r="AS2069" s="6" t="str">
        <f>HYPERLINK("https://creighton-primo.hosted.exlibrisgroup.com/primo-explore/search?tab=default_tab&amp;search_scope=EVERYTHING&amp;vid=01CRU&amp;lang=en_US&amp;offset=0&amp;query=any,contains,991000100999702656","Catalog Record")</f>
        <v>Catalog Record</v>
      </c>
      <c r="AT2069" s="6" t="str">
        <f>HYPERLINK("http://www.worldcat.org/oclc/44515","WorldCat Record")</f>
        <v>WorldCat Record</v>
      </c>
      <c r="AU2069" s="3" t="s">
        <v>25248</v>
      </c>
      <c r="AV2069" s="3" t="s">
        <v>25249</v>
      </c>
      <c r="AW2069" s="3" t="s">
        <v>25250</v>
      </c>
      <c r="AX2069" s="3" t="s">
        <v>25250</v>
      </c>
      <c r="AY2069" s="3" t="s">
        <v>25251</v>
      </c>
      <c r="AZ2069" s="3" t="s">
        <v>73</v>
      </c>
      <c r="BC2069" s="3" t="s">
        <v>25252</v>
      </c>
      <c r="BD2069" s="3" t="s">
        <v>25253</v>
      </c>
    </row>
    <row r="2070" spans="1:56" ht="51" customHeight="1" x14ac:dyDescent="0.25">
      <c r="A2070" s="7" t="s">
        <v>58</v>
      </c>
      <c r="B2070" s="2" t="s">
        <v>25254</v>
      </c>
      <c r="C2070" s="2" t="s">
        <v>25255</v>
      </c>
      <c r="D2070" s="2" t="s">
        <v>25256</v>
      </c>
      <c r="F2070" s="3" t="s">
        <v>58</v>
      </c>
      <c r="G2070" s="3" t="s">
        <v>59</v>
      </c>
      <c r="H2070" s="3" t="s">
        <v>58</v>
      </c>
      <c r="I2070" s="3" t="s">
        <v>58</v>
      </c>
      <c r="J2070" s="3" t="s">
        <v>60</v>
      </c>
      <c r="K2070" s="2" t="s">
        <v>25257</v>
      </c>
      <c r="L2070" s="2" t="s">
        <v>25258</v>
      </c>
      <c r="M2070" s="3" t="s">
        <v>1385</v>
      </c>
      <c r="O2070" s="3" t="s">
        <v>63</v>
      </c>
      <c r="P2070" s="3" t="s">
        <v>214</v>
      </c>
      <c r="R2070" s="3" t="s">
        <v>65</v>
      </c>
      <c r="S2070" s="4">
        <v>4</v>
      </c>
      <c r="T2070" s="4">
        <v>4</v>
      </c>
      <c r="U2070" s="5" t="s">
        <v>5265</v>
      </c>
      <c r="V2070" s="5" t="s">
        <v>5265</v>
      </c>
      <c r="W2070" s="5" t="s">
        <v>19044</v>
      </c>
      <c r="X2070" s="5" t="s">
        <v>19044</v>
      </c>
      <c r="Y2070" s="4">
        <v>162</v>
      </c>
      <c r="Z2070" s="4">
        <v>127</v>
      </c>
      <c r="AA2070" s="4">
        <v>704</v>
      </c>
      <c r="AB2070" s="4">
        <v>1</v>
      </c>
      <c r="AC2070" s="4">
        <v>9</v>
      </c>
      <c r="AD2070" s="4">
        <v>3</v>
      </c>
      <c r="AE2070" s="4">
        <v>29</v>
      </c>
      <c r="AF2070" s="4">
        <v>2</v>
      </c>
      <c r="AG2070" s="4">
        <v>7</v>
      </c>
      <c r="AH2070" s="4">
        <v>1</v>
      </c>
      <c r="AI2070" s="4">
        <v>8</v>
      </c>
      <c r="AJ2070" s="4">
        <v>2</v>
      </c>
      <c r="AK2070" s="4">
        <v>10</v>
      </c>
      <c r="AL2070" s="4">
        <v>0</v>
      </c>
      <c r="AM2070" s="4">
        <v>8</v>
      </c>
      <c r="AN2070" s="4">
        <v>0</v>
      </c>
      <c r="AO2070" s="4">
        <v>1</v>
      </c>
      <c r="AP2070" s="3" t="s">
        <v>58</v>
      </c>
      <c r="AQ2070" s="3" t="s">
        <v>68</v>
      </c>
      <c r="AR2070" s="6" t="str">
        <f>HYPERLINK("http://catalog.hathitrust.org/Record/001258120","HathiTrust Record")</f>
        <v>HathiTrust Record</v>
      </c>
      <c r="AS2070" s="6" t="str">
        <f>HYPERLINK("https://creighton-primo.hosted.exlibrisgroup.com/primo-explore/search?tab=default_tab&amp;search_scope=EVERYTHING&amp;vid=01CRU&amp;lang=en_US&amp;offset=0&amp;query=any,contains,991003091669702656","Catalog Record")</f>
        <v>Catalog Record</v>
      </c>
      <c r="AT2070" s="6" t="str">
        <f>HYPERLINK("http://www.worldcat.org/oclc/641854","WorldCat Record")</f>
        <v>WorldCat Record</v>
      </c>
      <c r="AU2070" s="3" t="s">
        <v>25259</v>
      </c>
      <c r="AV2070" s="3" t="s">
        <v>25260</v>
      </c>
      <c r="AW2070" s="3" t="s">
        <v>25261</v>
      </c>
      <c r="AX2070" s="3" t="s">
        <v>25261</v>
      </c>
      <c r="AY2070" s="3" t="s">
        <v>25262</v>
      </c>
      <c r="AZ2070" s="3" t="s">
        <v>73</v>
      </c>
      <c r="BC2070" s="3" t="s">
        <v>25263</v>
      </c>
      <c r="BD2070" s="3" t="s">
        <v>25264</v>
      </c>
    </row>
    <row r="2071" spans="1:56" ht="51" customHeight="1" x14ac:dyDescent="0.25">
      <c r="A2071" s="7" t="s">
        <v>58</v>
      </c>
      <c r="B2071" s="2" t="s">
        <v>25265</v>
      </c>
      <c r="C2071" s="2" t="s">
        <v>25266</v>
      </c>
      <c r="D2071" s="2" t="s">
        <v>25267</v>
      </c>
      <c r="F2071" s="3" t="s">
        <v>58</v>
      </c>
      <c r="G2071" s="3" t="s">
        <v>59</v>
      </c>
      <c r="H2071" s="3" t="s">
        <v>58</v>
      </c>
      <c r="I2071" s="3" t="s">
        <v>58</v>
      </c>
      <c r="J2071" s="3" t="s">
        <v>60</v>
      </c>
      <c r="K2071" s="2" t="s">
        <v>25268</v>
      </c>
      <c r="L2071" s="2" t="s">
        <v>25269</v>
      </c>
      <c r="M2071" s="3" t="s">
        <v>24315</v>
      </c>
      <c r="O2071" s="3" t="s">
        <v>63</v>
      </c>
      <c r="P2071" s="3" t="s">
        <v>214</v>
      </c>
      <c r="R2071" s="3" t="s">
        <v>65</v>
      </c>
      <c r="S2071" s="4">
        <v>1</v>
      </c>
      <c r="T2071" s="4">
        <v>1</v>
      </c>
      <c r="U2071" s="5" t="s">
        <v>11400</v>
      </c>
      <c r="V2071" s="5" t="s">
        <v>11400</v>
      </c>
      <c r="W2071" s="5" t="s">
        <v>24572</v>
      </c>
      <c r="X2071" s="5" t="s">
        <v>24572</v>
      </c>
      <c r="Y2071" s="4">
        <v>289</v>
      </c>
      <c r="Z2071" s="4">
        <v>251</v>
      </c>
      <c r="AA2071" s="4">
        <v>562</v>
      </c>
      <c r="AB2071" s="4">
        <v>2</v>
      </c>
      <c r="AC2071" s="4">
        <v>4</v>
      </c>
      <c r="AD2071" s="4">
        <v>11</v>
      </c>
      <c r="AE2071" s="4">
        <v>29</v>
      </c>
      <c r="AF2071" s="4">
        <v>4</v>
      </c>
      <c r="AG2071" s="4">
        <v>10</v>
      </c>
      <c r="AH2071" s="4">
        <v>2</v>
      </c>
      <c r="AI2071" s="4">
        <v>9</v>
      </c>
      <c r="AJ2071" s="4">
        <v>6</v>
      </c>
      <c r="AK2071" s="4">
        <v>14</v>
      </c>
      <c r="AL2071" s="4">
        <v>1</v>
      </c>
      <c r="AM2071" s="4">
        <v>3</v>
      </c>
      <c r="AN2071" s="4">
        <v>0</v>
      </c>
      <c r="AO2071" s="4">
        <v>0</v>
      </c>
      <c r="AP2071" s="3" t="s">
        <v>68</v>
      </c>
      <c r="AQ2071" s="3" t="s">
        <v>58</v>
      </c>
      <c r="AR2071" s="6" t="str">
        <f>HYPERLINK("http://catalog.hathitrust.org/Record/001258130","HathiTrust Record")</f>
        <v>HathiTrust Record</v>
      </c>
      <c r="AS2071" s="6" t="str">
        <f>HYPERLINK("https://creighton-primo.hosted.exlibrisgroup.com/primo-explore/search?tab=default_tab&amp;search_scope=EVERYTHING&amp;vid=01CRU&amp;lang=en_US&amp;offset=0&amp;query=any,contains,991001140139702656","Catalog Record")</f>
        <v>Catalog Record</v>
      </c>
      <c r="AT2071" s="6" t="str">
        <f>HYPERLINK("http://www.worldcat.org/oclc/1576445","WorldCat Record")</f>
        <v>WorldCat Record</v>
      </c>
      <c r="AU2071" s="3" t="s">
        <v>25270</v>
      </c>
      <c r="AV2071" s="3" t="s">
        <v>25271</v>
      </c>
      <c r="AW2071" s="3" t="s">
        <v>25272</v>
      </c>
      <c r="AX2071" s="3" t="s">
        <v>25272</v>
      </c>
      <c r="AY2071" s="3" t="s">
        <v>25273</v>
      </c>
      <c r="AZ2071" s="3" t="s">
        <v>73</v>
      </c>
      <c r="BC2071" s="3" t="s">
        <v>25274</v>
      </c>
      <c r="BD2071" s="3" t="s">
        <v>25275</v>
      </c>
    </row>
    <row r="2072" spans="1:56" ht="51" customHeight="1" x14ac:dyDescent="0.25">
      <c r="A2072" s="7" t="s">
        <v>58</v>
      </c>
      <c r="B2072" s="2" t="s">
        <v>25276</v>
      </c>
      <c r="C2072" s="2" t="s">
        <v>25277</v>
      </c>
      <c r="D2072" s="2" t="s">
        <v>25278</v>
      </c>
      <c r="F2072" s="3" t="s">
        <v>58</v>
      </c>
      <c r="G2072" s="3" t="s">
        <v>59</v>
      </c>
      <c r="H2072" s="3" t="s">
        <v>58</v>
      </c>
      <c r="I2072" s="3" t="s">
        <v>58</v>
      </c>
      <c r="J2072" s="3" t="s">
        <v>60</v>
      </c>
      <c r="K2072" s="2" t="s">
        <v>25279</v>
      </c>
      <c r="L2072" s="2" t="s">
        <v>25280</v>
      </c>
      <c r="M2072" s="3" t="s">
        <v>745</v>
      </c>
      <c r="O2072" s="3" t="s">
        <v>63</v>
      </c>
      <c r="P2072" s="3" t="s">
        <v>760</v>
      </c>
      <c r="Q2072" s="2" t="s">
        <v>25281</v>
      </c>
      <c r="R2072" s="3" t="s">
        <v>65</v>
      </c>
      <c r="S2072" s="4">
        <v>1</v>
      </c>
      <c r="T2072" s="4">
        <v>1</v>
      </c>
      <c r="U2072" s="5" t="s">
        <v>11172</v>
      </c>
      <c r="V2072" s="5" t="s">
        <v>11172</v>
      </c>
      <c r="W2072" s="5" t="s">
        <v>24572</v>
      </c>
      <c r="X2072" s="5" t="s">
        <v>24572</v>
      </c>
      <c r="Y2072" s="4">
        <v>343</v>
      </c>
      <c r="Z2072" s="4">
        <v>297</v>
      </c>
      <c r="AA2072" s="4">
        <v>597</v>
      </c>
      <c r="AB2072" s="4">
        <v>4</v>
      </c>
      <c r="AC2072" s="4">
        <v>6</v>
      </c>
      <c r="AD2072" s="4">
        <v>21</v>
      </c>
      <c r="AE2072" s="4">
        <v>31</v>
      </c>
      <c r="AF2072" s="4">
        <v>10</v>
      </c>
      <c r="AG2072" s="4">
        <v>11</v>
      </c>
      <c r="AH2072" s="4">
        <v>5</v>
      </c>
      <c r="AI2072" s="4">
        <v>7</v>
      </c>
      <c r="AJ2072" s="4">
        <v>9</v>
      </c>
      <c r="AK2072" s="4">
        <v>15</v>
      </c>
      <c r="AL2072" s="4">
        <v>3</v>
      </c>
      <c r="AM2072" s="4">
        <v>5</v>
      </c>
      <c r="AN2072" s="4">
        <v>0</v>
      </c>
      <c r="AO2072" s="4">
        <v>0</v>
      </c>
      <c r="AP2072" s="3" t="s">
        <v>58</v>
      </c>
      <c r="AQ2072" s="3" t="s">
        <v>68</v>
      </c>
      <c r="AR2072" s="6" t="str">
        <f>HYPERLINK("http://catalog.hathitrust.org/Record/001871875","HathiTrust Record")</f>
        <v>HathiTrust Record</v>
      </c>
      <c r="AS2072" s="6" t="str">
        <f>HYPERLINK("https://creighton-primo.hosted.exlibrisgroup.com/primo-explore/search?tab=default_tab&amp;search_scope=EVERYTHING&amp;vid=01CRU&amp;lang=en_US&amp;offset=0&amp;query=any,contains,991005358029702656","Catalog Record")</f>
        <v>Catalog Record</v>
      </c>
      <c r="AT2072" s="6" t="str">
        <f>HYPERLINK("http://www.worldcat.org/oclc/1198769","WorldCat Record")</f>
        <v>WorldCat Record</v>
      </c>
      <c r="AU2072" s="3" t="s">
        <v>25282</v>
      </c>
      <c r="AV2072" s="3" t="s">
        <v>25283</v>
      </c>
      <c r="AW2072" s="3" t="s">
        <v>25284</v>
      </c>
      <c r="AX2072" s="3" t="s">
        <v>25284</v>
      </c>
      <c r="AY2072" s="3" t="s">
        <v>25285</v>
      </c>
      <c r="AZ2072" s="3" t="s">
        <v>73</v>
      </c>
      <c r="BC2072" s="3" t="s">
        <v>25286</v>
      </c>
      <c r="BD2072" s="3" t="s">
        <v>25287</v>
      </c>
    </row>
    <row r="2073" spans="1:56" ht="51" customHeight="1" x14ac:dyDescent="0.25">
      <c r="A2073" s="7" t="s">
        <v>58</v>
      </c>
      <c r="B2073" s="2" t="s">
        <v>25288</v>
      </c>
      <c r="C2073" s="2" t="s">
        <v>25289</v>
      </c>
      <c r="D2073" s="2" t="s">
        <v>25290</v>
      </c>
      <c r="F2073" s="3" t="s">
        <v>58</v>
      </c>
      <c r="G2073" s="3" t="s">
        <v>59</v>
      </c>
      <c r="H2073" s="3" t="s">
        <v>58</v>
      </c>
      <c r="I2073" s="3" t="s">
        <v>58</v>
      </c>
      <c r="J2073" s="3" t="s">
        <v>60</v>
      </c>
      <c r="K2073" s="2" t="s">
        <v>25291</v>
      </c>
      <c r="L2073" s="2" t="s">
        <v>25292</v>
      </c>
      <c r="M2073" s="3" t="s">
        <v>2326</v>
      </c>
      <c r="N2073" s="2" t="s">
        <v>25293</v>
      </c>
      <c r="O2073" s="3" t="s">
        <v>63</v>
      </c>
      <c r="P2073" s="3" t="s">
        <v>451</v>
      </c>
      <c r="R2073" s="3" t="s">
        <v>65</v>
      </c>
      <c r="S2073" s="4">
        <v>2</v>
      </c>
      <c r="T2073" s="4">
        <v>2</v>
      </c>
      <c r="U2073" s="5" t="s">
        <v>802</v>
      </c>
      <c r="V2073" s="5" t="s">
        <v>802</v>
      </c>
      <c r="W2073" s="5" t="s">
        <v>25294</v>
      </c>
      <c r="X2073" s="5" t="s">
        <v>25294</v>
      </c>
      <c r="Y2073" s="4">
        <v>3</v>
      </c>
      <c r="Z2073" s="4">
        <v>3</v>
      </c>
      <c r="AA2073" s="4">
        <v>12</v>
      </c>
      <c r="AB2073" s="4">
        <v>1</v>
      </c>
      <c r="AC2073" s="4">
        <v>5</v>
      </c>
      <c r="AD2073" s="4">
        <v>0</v>
      </c>
      <c r="AE2073" s="4">
        <v>1</v>
      </c>
      <c r="AF2073" s="4">
        <v>0</v>
      </c>
      <c r="AG2073" s="4">
        <v>0</v>
      </c>
      <c r="AH2073" s="4">
        <v>0</v>
      </c>
      <c r="AI2073" s="4">
        <v>0</v>
      </c>
      <c r="AJ2073" s="4">
        <v>0</v>
      </c>
      <c r="AK2073" s="4">
        <v>0</v>
      </c>
      <c r="AL2073" s="4">
        <v>0</v>
      </c>
      <c r="AM2073" s="4">
        <v>1</v>
      </c>
      <c r="AN2073" s="4">
        <v>0</v>
      </c>
      <c r="AO2073" s="4">
        <v>0</v>
      </c>
      <c r="AP2073" s="3" t="s">
        <v>58</v>
      </c>
      <c r="AQ2073" s="3" t="s">
        <v>58</v>
      </c>
      <c r="AS2073" s="6" t="str">
        <f>HYPERLINK("https://creighton-primo.hosted.exlibrisgroup.com/primo-explore/search?tab=default_tab&amp;search_scope=EVERYTHING&amp;vid=01CRU&amp;lang=en_US&amp;offset=0&amp;query=any,contains,991000191129702656","Catalog Record")</f>
        <v>Catalog Record</v>
      </c>
      <c r="AT2073" s="6" t="str">
        <f>HYPERLINK("http://www.worldcat.org/oclc/428424423","WorldCat Record")</f>
        <v>WorldCat Record</v>
      </c>
      <c r="AU2073" s="3" t="s">
        <v>25295</v>
      </c>
      <c r="AV2073" s="3" t="s">
        <v>25296</v>
      </c>
      <c r="AW2073" s="3" t="s">
        <v>25297</v>
      </c>
      <c r="AX2073" s="3" t="s">
        <v>25297</v>
      </c>
      <c r="AY2073" s="3" t="s">
        <v>25298</v>
      </c>
      <c r="AZ2073" s="3" t="s">
        <v>73</v>
      </c>
      <c r="BB2073" s="3" t="s">
        <v>25299</v>
      </c>
      <c r="BC2073" s="3" t="s">
        <v>25300</v>
      </c>
      <c r="BD2073" s="3" t="s">
        <v>25301</v>
      </c>
    </row>
    <row r="2074" spans="1:56" ht="51" customHeight="1" x14ac:dyDescent="0.25">
      <c r="A2074" s="7" t="s">
        <v>58</v>
      </c>
      <c r="B2074" s="2" t="s">
        <v>25302</v>
      </c>
      <c r="C2074" s="2" t="s">
        <v>25303</v>
      </c>
      <c r="D2074" s="2" t="s">
        <v>25304</v>
      </c>
      <c r="F2074" s="3" t="s">
        <v>58</v>
      </c>
      <c r="G2074" s="3" t="s">
        <v>59</v>
      </c>
      <c r="H2074" s="3" t="s">
        <v>58</v>
      </c>
      <c r="I2074" s="3" t="s">
        <v>58</v>
      </c>
      <c r="J2074" s="3" t="s">
        <v>60</v>
      </c>
      <c r="K2074" s="2" t="s">
        <v>25305</v>
      </c>
      <c r="L2074" s="2" t="s">
        <v>25306</v>
      </c>
      <c r="M2074" s="3" t="s">
        <v>479</v>
      </c>
      <c r="O2074" s="3" t="s">
        <v>63</v>
      </c>
      <c r="P2074" s="3" t="s">
        <v>354</v>
      </c>
      <c r="R2074" s="3" t="s">
        <v>65</v>
      </c>
      <c r="S2074" s="4">
        <v>4</v>
      </c>
      <c r="T2074" s="4">
        <v>4</v>
      </c>
      <c r="U2074" s="5" t="s">
        <v>24834</v>
      </c>
      <c r="V2074" s="5" t="s">
        <v>24834</v>
      </c>
      <c r="W2074" s="5" t="s">
        <v>25307</v>
      </c>
      <c r="X2074" s="5" t="s">
        <v>25307</v>
      </c>
      <c r="Y2074" s="4">
        <v>436</v>
      </c>
      <c r="Z2074" s="4">
        <v>308</v>
      </c>
      <c r="AA2074" s="4">
        <v>308</v>
      </c>
      <c r="AB2074" s="4">
        <v>3</v>
      </c>
      <c r="AC2074" s="4">
        <v>3</v>
      </c>
      <c r="AD2074" s="4">
        <v>16</v>
      </c>
      <c r="AE2074" s="4">
        <v>16</v>
      </c>
      <c r="AF2074" s="4">
        <v>5</v>
      </c>
      <c r="AG2074" s="4">
        <v>5</v>
      </c>
      <c r="AH2074" s="4">
        <v>5</v>
      </c>
      <c r="AI2074" s="4">
        <v>5</v>
      </c>
      <c r="AJ2074" s="4">
        <v>9</v>
      </c>
      <c r="AK2074" s="4">
        <v>9</v>
      </c>
      <c r="AL2074" s="4">
        <v>2</v>
      </c>
      <c r="AM2074" s="4">
        <v>2</v>
      </c>
      <c r="AN2074" s="4">
        <v>0</v>
      </c>
      <c r="AO2074" s="4">
        <v>0</v>
      </c>
      <c r="AP2074" s="3" t="s">
        <v>58</v>
      </c>
      <c r="AQ2074" s="3" t="s">
        <v>58</v>
      </c>
      <c r="AS2074" s="6" t="str">
        <f>HYPERLINK("https://creighton-primo.hosted.exlibrisgroup.com/primo-explore/search?tab=default_tab&amp;search_scope=EVERYTHING&amp;vid=01CRU&amp;lang=en_US&amp;offset=0&amp;query=any,contains,991002284909702656","Catalog Record")</f>
        <v>Catalog Record</v>
      </c>
      <c r="AT2074" s="6" t="str">
        <f>HYPERLINK("http://www.worldcat.org/oclc/29634279","WorldCat Record")</f>
        <v>WorldCat Record</v>
      </c>
      <c r="AU2074" s="3" t="s">
        <v>25308</v>
      </c>
      <c r="AV2074" s="3" t="s">
        <v>25309</v>
      </c>
      <c r="AW2074" s="3" t="s">
        <v>25310</v>
      </c>
      <c r="AX2074" s="3" t="s">
        <v>25310</v>
      </c>
      <c r="AY2074" s="3" t="s">
        <v>25311</v>
      </c>
      <c r="AZ2074" s="3" t="s">
        <v>73</v>
      </c>
      <c r="BB2074" s="3" t="s">
        <v>25312</v>
      </c>
      <c r="BC2074" s="3" t="s">
        <v>25313</v>
      </c>
      <c r="BD2074" s="3" t="s">
        <v>25314</v>
      </c>
    </row>
    <row r="2075" spans="1:56" ht="51" customHeight="1" x14ac:dyDescent="0.25">
      <c r="A2075" s="7" t="s">
        <v>58</v>
      </c>
      <c r="B2075" s="2" t="s">
        <v>25315</v>
      </c>
      <c r="C2075" s="2" t="s">
        <v>25316</v>
      </c>
      <c r="D2075" s="2" t="s">
        <v>25317</v>
      </c>
      <c r="F2075" s="3" t="s">
        <v>58</v>
      </c>
      <c r="G2075" s="3" t="s">
        <v>59</v>
      </c>
      <c r="H2075" s="3" t="s">
        <v>58</v>
      </c>
      <c r="I2075" s="3" t="s">
        <v>58</v>
      </c>
      <c r="J2075" s="3" t="s">
        <v>60</v>
      </c>
      <c r="K2075" s="2" t="s">
        <v>25318</v>
      </c>
      <c r="L2075" s="2" t="s">
        <v>24423</v>
      </c>
      <c r="M2075" s="3" t="s">
        <v>138</v>
      </c>
      <c r="O2075" s="3" t="s">
        <v>63</v>
      </c>
      <c r="P2075" s="3" t="s">
        <v>2630</v>
      </c>
      <c r="R2075" s="3" t="s">
        <v>65</v>
      </c>
      <c r="S2075" s="4">
        <v>6</v>
      </c>
      <c r="T2075" s="4">
        <v>6</v>
      </c>
      <c r="U2075" s="5" t="s">
        <v>14465</v>
      </c>
      <c r="V2075" s="5" t="s">
        <v>14465</v>
      </c>
      <c r="W2075" s="5" t="s">
        <v>18602</v>
      </c>
      <c r="X2075" s="5" t="s">
        <v>18602</v>
      </c>
      <c r="Y2075" s="4">
        <v>582</v>
      </c>
      <c r="Z2075" s="4">
        <v>438</v>
      </c>
      <c r="AA2075" s="4">
        <v>440</v>
      </c>
      <c r="AB2075" s="4">
        <v>3</v>
      </c>
      <c r="AC2075" s="4">
        <v>3</v>
      </c>
      <c r="AD2075" s="4">
        <v>18</v>
      </c>
      <c r="AE2075" s="4">
        <v>18</v>
      </c>
      <c r="AF2075" s="4">
        <v>5</v>
      </c>
      <c r="AG2075" s="4">
        <v>5</v>
      </c>
      <c r="AH2075" s="4">
        <v>5</v>
      </c>
      <c r="AI2075" s="4">
        <v>5</v>
      </c>
      <c r="AJ2075" s="4">
        <v>10</v>
      </c>
      <c r="AK2075" s="4">
        <v>10</v>
      </c>
      <c r="AL2075" s="4">
        <v>2</v>
      </c>
      <c r="AM2075" s="4">
        <v>2</v>
      </c>
      <c r="AN2075" s="4">
        <v>1</v>
      </c>
      <c r="AO2075" s="4">
        <v>1</v>
      </c>
      <c r="AP2075" s="3" t="s">
        <v>58</v>
      </c>
      <c r="AQ2075" s="3" t="s">
        <v>68</v>
      </c>
      <c r="AR2075" s="6" t="str">
        <f>HYPERLINK("http://catalog.hathitrust.org/Record/000762971","HathiTrust Record")</f>
        <v>HathiTrust Record</v>
      </c>
      <c r="AS2075" s="6" t="str">
        <f>HYPERLINK("https://creighton-primo.hosted.exlibrisgroup.com/primo-explore/search?tab=default_tab&amp;search_scope=EVERYTHING&amp;vid=01CRU&amp;lang=en_US&amp;offset=0&amp;query=any,contains,991005192849702656","Catalog Record")</f>
        <v>Catalog Record</v>
      </c>
      <c r="AT2075" s="6" t="str">
        <f>HYPERLINK("http://www.worldcat.org/oclc/8031396","WorldCat Record")</f>
        <v>WorldCat Record</v>
      </c>
      <c r="AU2075" s="3" t="s">
        <v>25319</v>
      </c>
      <c r="AV2075" s="3" t="s">
        <v>25320</v>
      </c>
      <c r="AW2075" s="3" t="s">
        <v>25321</v>
      </c>
      <c r="AX2075" s="3" t="s">
        <v>25321</v>
      </c>
      <c r="AY2075" s="3" t="s">
        <v>25322</v>
      </c>
      <c r="AZ2075" s="3" t="s">
        <v>73</v>
      </c>
      <c r="BB2075" s="3" t="s">
        <v>25323</v>
      </c>
      <c r="BC2075" s="3" t="s">
        <v>25324</v>
      </c>
      <c r="BD2075" s="3" t="s">
        <v>25325</v>
      </c>
    </row>
    <row r="2076" spans="1:56" ht="51" customHeight="1" x14ac:dyDescent="0.25">
      <c r="A2076" s="7" t="s">
        <v>58</v>
      </c>
      <c r="B2076" s="2" t="s">
        <v>25326</v>
      </c>
      <c r="C2076" s="2" t="s">
        <v>25327</v>
      </c>
      <c r="D2076" s="2" t="s">
        <v>25328</v>
      </c>
      <c r="F2076" s="3" t="s">
        <v>58</v>
      </c>
      <c r="G2076" s="3" t="s">
        <v>59</v>
      </c>
      <c r="H2076" s="3" t="s">
        <v>58</v>
      </c>
      <c r="I2076" s="3" t="s">
        <v>58</v>
      </c>
      <c r="J2076" s="3" t="s">
        <v>60</v>
      </c>
      <c r="K2076" s="2" t="s">
        <v>25329</v>
      </c>
      <c r="L2076" s="2" t="s">
        <v>25330</v>
      </c>
      <c r="M2076" s="3" t="s">
        <v>4483</v>
      </c>
      <c r="O2076" s="3" t="s">
        <v>63</v>
      </c>
      <c r="P2076" s="3" t="s">
        <v>816</v>
      </c>
      <c r="Q2076" s="2" t="s">
        <v>25331</v>
      </c>
      <c r="R2076" s="3" t="s">
        <v>65</v>
      </c>
      <c r="S2076" s="4">
        <v>3</v>
      </c>
      <c r="T2076" s="4">
        <v>3</v>
      </c>
      <c r="U2076" s="5" t="s">
        <v>24290</v>
      </c>
      <c r="V2076" s="5" t="s">
        <v>24290</v>
      </c>
      <c r="W2076" s="5" t="s">
        <v>12735</v>
      </c>
      <c r="X2076" s="5" t="s">
        <v>12735</v>
      </c>
      <c r="Y2076" s="4">
        <v>614</v>
      </c>
      <c r="Z2076" s="4">
        <v>543</v>
      </c>
      <c r="AA2076" s="4">
        <v>692</v>
      </c>
      <c r="AB2076" s="4">
        <v>4</v>
      </c>
      <c r="AC2076" s="4">
        <v>5</v>
      </c>
      <c r="AD2076" s="4">
        <v>27</v>
      </c>
      <c r="AE2076" s="4">
        <v>33</v>
      </c>
      <c r="AF2076" s="4">
        <v>10</v>
      </c>
      <c r="AG2076" s="4">
        <v>15</v>
      </c>
      <c r="AH2076" s="4">
        <v>6</v>
      </c>
      <c r="AI2076" s="4">
        <v>7</v>
      </c>
      <c r="AJ2076" s="4">
        <v>14</v>
      </c>
      <c r="AK2076" s="4">
        <v>16</v>
      </c>
      <c r="AL2076" s="4">
        <v>3</v>
      </c>
      <c r="AM2076" s="4">
        <v>4</v>
      </c>
      <c r="AN2076" s="4">
        <v>0</v>
      </c>
      <c r="AO2076" s="4">
        <v>0</v>
      </c>
      <c r="AP2076" s="3" t="s">
        <v>58</v>
      </c>
      <c r="AQ2076" s="3" t="s">
        <v>68</v>
      </c>
      <c r="AR2076" s="6" t="str">
        <f>HYPERLINK("http://catalog.hathitrust.org/Record/001258175","HathiTrust Record")</f>
        <v>HathiTrust Record</v>
      </c>
      <c r="AS2076" s="6" t="str">
        <f>HYPERLINK("https://creighton-primo.hosted.exlibrisgroup.com/primo-explore/search?tab=default_tab&amp;search_scope=EVERYTHING&amp;vid=01CRU&amp;lang=en_US&amp;offset=0&amp;query=any,contains,991002720549702656","Catalog Record")</f>
        <v>Catalog Record</v>
      </c>
      <c r="AT2076" s="6" t="str">
        <f>HYPERLINK("http://www.worldcat.org/oclc/412532","WorldCat Record")</f>
        <v>WorldCat Record</v>
      </c>
      <c r="AU2076" s="3" t="s">
        <v>25332</v>
      </c>
      <c r="AV2076" s="3" t="s">
        <v>25333</v>
      </c>
      <c r="AW2076" s="3" t="s">
        <v>25334</v>
      </c>
      <c r="AX2076" s="3" t="s">
        <v>25334</v>
      </c>
      <c r="AY2076" s="3" t="s">
        <v>25335</v>
      </c>
      <c r="AZ2076" s="3" t="s">
        <v>73</v>
      </c>
      <c r="BC2076" s="3" t="s">
        <v>25336</v>
      </c>
      <c r="BD2076" s="3" t="s">
        <v>25337</v>
      </c>
    </row>
    <row r="2077" spans="1:56" ht="51" customHeight="1" x14ac:dyDescent="0.25">
      <c r="A2077" s="7" t="s">
        <v>58</v>
      </c>
      <c r="B2077" s="2" t="s">
        <v>25338</v>
      </c>
      <c r="C2077" s="2" t="s">
        <v>25339</v>
      </c>
      <c r="D2077" s="2" t="s">
        <v>25340</v>
      </c>
      <c r="F2077" s="3" t="s">
        <v>58</v>
      </c>
      <c r="G2077" s="3" t="s">
        <v>59</v>
      </c>
      <c r="H2077" s="3" t="s">
        <v>58</v>
      </c>
      <c r="I2077" s="3" t="s">
        <v>58</v>
      </c>
      <c r="J2077" s="3" t="s">
        <v>60</v>
      </c>
      <c r="K2077" s="2" t="s">
        <v>25341</v>
      </c>
      <c r="L2077" s="2" t="s">
        <v>25342</v>
      </c>
      <c r="M2077" s="3" t="s">
        <v>4851</v>
      </c>
      <c r="O2077" s="3" t="s">
        <v>63</v>
      </c>
      <c r="P2077" s="3" t="s">
        <v>214</v>
      </c>
      <c r="Q2077" s="2" t="s">
        <v>25343</v>
      </c>
      <c r="R2077" s="3" t="s">
        <v>65</v>
      </c>
      <c r="S2077" s="4">
        <v>5</v>
      </c>
      <c r="T2077" s="4">
        <v>5</v>
      </c>
      <c r="U2077" s="5" t="s">
        <v>25344</v>
      </c>
      <c r="V2077" s="5" t="s">
        <v>25344</v>
      </c>
      <c r="W2077" s="5" t="s">
        <v>12735</v>
      </c>
      <c r="X2077" s="5" t="s">
        <v>12735</v>
      </c>
      <c r="Y2077" s="4">
        <v>374</v>
      </c>
      <c r="Z2077" s="4">
        <v>348</v>
      </c>
      <c r="AA2077" s="4">
        <v>595</v>
      </c>
      <c r="AB2077" s="4">
        <v>5</v>
      </c>
      <c r="AC2077" s="4">
        <v>5</v>
      </c>
      <c r="AD2077" s="4">
        <v>19</v>
      </c>
      <c r="AE2077" s="4">
        <v>30</v>
      </c>
      <c r="AF2077" s="4">
        <v>7</v>
      </c>
      <c r="AG2077" s="4">
        <v>12</v>
      </c>
      <c r="AH2077" s="4">
        <v>4</v>
      </c>
      <c r="AI2077" s="4">
        <v>7</v>
      </c>
      <c r="AJ2077" s="4">
        <v>9</v>
      </c>
      <c r="AK2077" s="4">
        <v>15</v>
      </c>
      <c r="AL2077" s="4">
        <v>4</v>
      </c>
      <c r="AM2077" s="4">
        <v>4</v>
      </c>
      <c r="AN2077" s="4">
        <v>0</v>
      </c>
      <c r="AO2077" s="4">
        <v>0</v>
      </c>
      <c r="AP2077" s="3" t="s">
        <v>58</v>
      </c>
      <c r="AQ2077" s="3" t="s">
        <v>68</v>
      </c>
      <c r="AR2077" s="6" t="str">
        <f>HYPERLINK("http://catalog.hathitrust.org/Record/001258176","HathiTrust Record")</f>
        <v>HathiTrust Record</v>
      </c>
      <c r="AS2077" s="6" t="str">
        <f>HYPERLINK("https://creighton-primo.hosted.exlibrisgroup.com/primo-explore/search?tab=default_tab&amp;search_scope=EVERYTHING&amp;vid=01CRU&amp;lang=en_US&amp;offset=0&amp;query=any,contains,991004946279702656","Catalog Record")</f>
        <v>Catalog Record</v>
      </c>
      <c r="AT2077" s="6" t="str">
        <f>HYPERLINK("http://www.worldcat.org/oclc/6214287","WorldCat Record")</f>
        <v>WorldCat Record</v>
      </c>
      <c r="AU2077" s="3" t="s">
        <v>25345</v>
      </c>
      <c r="AV2077" s="3" t="s">
        <v>25346</v>
      </c>
      <c r="AW2077" s="3" t="s">
        <v>25347</v>
      </c>
      <c r="AX2077" s="3" t="s">
        <v>25347</v>
      </c>
      <c r="AY2077" s="3" t="s">
        <v>25348</v>
      </c>
      <c r="AZ2077" s="3" t="s">
        <v>73</v>
      </c>
      <c r="BC2077" s="3" t="s">
        <v>25349</v>
      </c>
      <c r="BD2077" s="3" t="s">
        <v>25350</v>
      </c>
    </row>
    <row r="2078" spans="1:56" ht="51" customHeight="1" x14ac:dyDescent="0.25">
      <c r="A2078" s="7" t="s">
        <v>58</v>
      </c>
      <c r="B2078" s="2" t="s">
        <v>25351</v>
      </c>
      <c r="C2078" s="2" t="s">
        <v>25352</v>
      </c>
      <c r="D2078" s="2" t="s">
        <v>25353</v>
      </c>
      <c r="F2078" s="3" t="s">
        <v>58</v>
      </c>
      <c r="G2078" s="3" t="s">
        <v>59</v>
      </c>
      <c r="H2078" s="3" t="s">
        <v>58</v>
      </c>
      <c r="I2078" s="3" t="s">
        <v>58</v>
      </c>
      <c r="J2078" s="3" t="s">
        <v>60</v>
      </c>
      <c r="K2078" s="2" t="s">
        <v>25354</v>
      </c>
      <c r="L2078" s="2" t="s">
        <v>25355</v>
      </c>
      <c r="M2078" s="3" t="s">
        <v>1357</v>
      </c>
      <c r="O2078" s="3" t="s">
        <v>63</v>
      </c>
      <c r="P2078" s="3" t="s">
        <v>214</v>
      </c>
      <c r="R2078" s="3" t="s">
        <v>65</v>
      </c>
      <c r="S2078" s="4">
        <v>7</v>
      </c>
      <c r="T2078" s="4">
        <v>7</v>
      </c>
      <c r="U2078" s="5" t="s">
        <v>25344</v>
      </c>
      <c r="V2078" s="5" t="s">
        <v>25344</v>
      </c>
      <c r="W2078" s="5" t="s">
        <v>12735</v>
      </c>
      <c r="X2078" s="5" t="s">
        <v>12735</v>
      </c>
      <c r="Y2078" s="4">
        <v>152</v>
      </c>
      <c r="Z2078" s="4">
        <v>136</v>
      </c>
      <c r="AA2078" s="4">
        <v>253</v>
      </c>
      <c r="AB2078" s="4">
        <v>2</v>
      </c>
      <c r="AC2078" s="4">
        <v>3</v>
      </c>
      <c r="AD2078" s="4">
        <v>9</v>
      </c>
      <c r="AE2078" s="4">
        <v>12</v>
      </c>
      <c r="AF2078" s="4">
        <v>4</v>
      </c>
      <c r="AG2078" s="4">
        <v>6</v>
      </c>
      <c r="AH2078" s="4">
        <v>2</v>
      </c>
      <c r="AI2078" s="4">
        <v>3</v>
      </c>
      <c r="AJ2078" s="4">
        <v>4</v>
      </c>
      <c r="AK2078" s="4">
        <v>5</v>
      </c>
      <c r="AL2078" s="4">
        <v>1</v>
      </c>
      <c r="AM2078" s="4">
        <v>2</v>
      </c>
      <c r="AN2078" s="4">
        <v>0</v>
      </c>
      <c r="AO2078" s="4">
        <v>0</v>
      </c>
      <c r="AP2078" s="3" t="s">
        <v>58</v>
      </c>
      <c r="AQ2078" s="3" t="s">
        <v>58</v>
      </c>
      <c r="AS2078" s="6" t="str">
        <f>HYPERLINK("https://creighton-primo.hosted.exlibrisgroup.com/primo-explore/search?tab=default_tab&amp;search_scope=EVERYTHING&amp;vid=01CRU&amp;lang=en_US&amp;offset=0&amp;query=any,contains,991000615739702656","Catalog Record")</f>
        <v>Catalog Record</v>
      </c>
      <c r="AT2078" s="6" t="str">
        <f>HYPERLINK("http://www.worldcat.org/oclc/101616","WorldCat Record")</f>
        <v>WorldCat Record</v>
      </c>
      <c r="AU2078" s="3" t="s">
        <v>25356</v>
      </c>
      <c r="AV2078" s="3" t="s">
        <v>25357</v>
      </c>
      <c r="AW2078" s="3" t="s">
        <v>25358</v>
      </c>
      <c r="AX2078" s="3" t="s">
        <v>25358</v>
      </c>
      <c r="AY2078" s="3" t="s">
        <v>25359</v>
      </c>
      <c r="AZ2078" s="3" t="s">
        <v>73</v>
      </c>
      <c r="BB2078" s="3" t="s">
        <v>25360</v>
      </c>
      <c r="BC2078" s="3" t="s">
        <v>25361</v>
      </c>
      <c r="BD2078" s="3" t="s">
        <v>25362</v>
      </c>
    </row>
    <row r="2079" spans="1:56" ht="51" customHeight="1" x14ac:dyDescent="0.25">
      <c r="A2079" s="7" t="s">
        <v>58</v>
      </c>
      <c r="B2079" s="2" t="s">
        <v>25363</v>
      </c>
      <c r="C2079" s="2" t="s">
        <v>25364</v>
      </c>
      <c r="D2079" s="2" t="s">
        <v>25365</v>
      </c>
      <c r="F2079" s="3" t="s">
        <v>58</v>
      </c>
      <c r="G2079" s="3" t="s">
        <v>59</v>
      </c>
      <c r="H2079" s="3" t="s">
        <v>58</v>
      </c>
      <c r="I2079" s="3" t="s">
        <v>58</v>
      </c>
      <c r="J2079" s="3" t="s">
        <v>60</v>
      </c>
      <c r="K2079" s="2" t="s">
        <v>25366</v>
      </c>
      <c r="L2079" s="2" t="s">
        <v>25367</v>
      </c>
      <c r="M2079" s="3" t="s">
        <v>759</v>
      </c>
      <c r="N2079" s="2" t="s">
        <v>338</v>
      </c>
      <c r="O2079" s="3" t="s">
        <v>63</v>
      </c>
      <c r="P2079" s="3" t="s">
        <v>816</v>
      </c>
      <c r="Q2079" s="2" t="s">
        <v>25368</v>
      </c>
      <c r="R2079" s="3" t="s">
        <v>65</v>
      </c>
      <c r="S2079" s="4">
        <v>9</v>
      </c>
      <c r="T2079" s="4">
        <v>9</v>
      </c>
      <c r="U2079" s="5" t="s">
        <v>25369</v>
      </c>
      <c r="V2079" s="5" t="s">
        <v>25369</v>
      </c>
      <c r="W2079" s="5" t="s">
        <v>25029</v>
      </c>
      <c r="X2079" s="5" t="s">
        <v>25029</v>
      </c>
      <c r="Y2079" s="4">
        <v>970</v>
      </c>
      <c r="Z2079" s="4">
        <v>842</v>
      </c>
      <c r="AA2079" s="4">
        <v>843</v>
      </c>
      <c r="AB2079" s="4">
        <v>4</v>
      </c>
      <c r="AC2079" s="4">
        <v>4</v>
      </c>
      <c r="AD2079" s="4">
        <v>26</v>
      </c>
      <c r="AE2079" s="4">
        <v>26</v>
      </c>
      <c r="AF2079" s="4">
        <v>14</v>
      </c>
      <c r="AG2079" s="4">
        <v>14</v>
      </c>
      <c r="AH2079" s="4">
        <v>7</v>
      </c>
      <c r="AI2079" s="4">
        <v>7</v>
      </c>
      <c r="AJ2079" s="4">
        <v>10</v>
      </c>
      <c r="AK2079" s="4">
        <v>10</v>
      </c>
      <c r="AL2079" s="4">
        <v>3</v>
      </c>
      <c r="AM2079" s="4">
        <v>3</v>
      </c>
      <c r="AN2079" s="4">
        <v>0</v>
      </c>
      <c r="AO2079" s="4">
        <v>0</v>
      </c>
      <c r="AP2079" s="3" t="s">
        <v>58</v>
      </c>
      <c r="AQ2079" s="3" t="s">
        <v>58</v>
      </c>
      <c r="AS2079" s="6" t="str">
        <f>HYPERLINK("https://creighton-primo.hosted.exlibrisgroup.com/primo-explore/search?tab=default_tab&amp;search_scope=EVERYTHING&amp;vid=01CRU&amp;lang=en_US&amp;offset=0&amp;query=any,contains,991004965819702656","Catalog Record")</f>
        <v>Catalog Record</v>
      </c>
      <c r="AT2079" s="6" t="str">
        <f>HYPERLINK("http://www.worldcat.org/oclc/6331543","WorldCat Record")</f>
        <v>WorldCat Record</v>
      </c>
      <c r="AU2079" s="3" t="s">
        <v>25370</v>
      </c>
      <c r="AV2079" s="3" t="s">
        <v>25371</v>
      </c>
      <c r="AW2079" s="3" t="s">
        <v>25372</v>
      </c>
      <c r="AX2079" s="3" t="s">
        <v>25372</v>
      </c>
      <c r="AY2079" s="3" t="s">
        <v>25373</v>
      </c>
      <c r="AZ2079" s="3" t="s">
        <v>73</v>
      </c>
      <c r="BB2079" s="3" t="s">
        <v>25374</v>
      </c>
      <c r="BC2079" s="3" t="s">
        <v>25375</v>
      </c>
      <c r="BD2079" s="3" t="s">
        <v>25376</v>
      </c>
    </row>
    <row r="2080" spans="1:56" ht="51" customHeight="1" x14ac:dyDescent="0.25">
      <c r="A2080" s="7" t="s">
        <v>58</v>
      </c>
      <c r="B2080" s="2" t="s">
        <v>25377</v>
      </c>
      <c r="C2080" s="2" t="s">
        <v>25378</v>
      </c>
      <c r="D2080" s="2" t="s">
        <v>25379</v>
      </c>
      <c r="F2080" s="3" t="s">
        <v>58</v>
      </c>
      <c r="G2080" s="3" t="s">
        <v>59</v>
      </c>
      <c r="H2080" s="3" t="s">
        <v>58</v>
      </c>
      <c r="I2080" s="3" t="s">
        <v>58</v>
      </c>
      <c r="J2080" s="3" t="s">
        <v>60</v>
      </c>
      <c r="K2080" s="2" t="s">
        <v>23418</v>
      </c>
      <c r="L2080" s="2" t="s">
        <v>25380</v>
      </c>
      <c r="M2080" s="3" t="s">
        <v>996</v>
      </c>
      <c r="N2080" s="2" t="s">
        <v>1611</v>
      </c>
      <c r="O2080" s="3" t="s">
        <v>63</v>
      </c>
      <c r="P2080" s="3" t="s">
        <v>2061</v>
      </c>
      <c r="R2080" s="3" t="s">
        <v>65</v>
      </c>
      <c r="S2080" s="4">
        <v>1</v>
      </c>
      <c r="T2080" s="4">
        <v>1</v>
      </c>
      <c r="U2080" s="5" t="s">
        <v>25381</v>
      </c>
      <c r="V2080" s="5" t="s">
        <v>25381</v>
      </c>
      <c r="W2080" s="5" t="s">
        <v>24572</v>
      </c>
      <c r="X2080" s="5" t="s">
        <v>24572</v>
      </c>
      <c r="Y2080" s="4">
        <v>527</v>
      </c>
      <c r="Z2080" s="4">
        <v>441</v>
      </c>
      <c r="AA2080" s="4">
        <v>448</v>
      </c>
      <c r="AB2080" s="4">
        <v>5</v>
      </c>
      <c r="AC2080" s="4">
        <v>5</v>
      </c>
      <c r="AD2080" s="4">
        <v>23</v>
      </c>
      <c r="AE2080" s="4">
        <v>24</v>
      </c>
      <c r="AF2080" s="4">
        <v>9</v>
      </c>
      <c r="AG2080" s="4">
        <v>10</v>
      </c>
      <c r="AH2080" s="4">
        <v>6</v>
      </c>
      <c r="AI2080" s="4">
        <v>6</v>
      </c>
      <c r="AJ2080" s="4">
        <v>9</v>
      </c>
      <c r="AK2080" s="4">
        <v>10</v>
      </c>
      <c r="AL2080" s="4">
        <v>4</v>
      </c>
      <c r="AM2080" s="4">
        <v>4</v>
      </c>
      <c r="AN2080" s="4">
        <v>0</v>
      </c>
      <c r="AO2080" s="4">
        <v>0</v>
      </c>
      <c r="AP2080" s="3" t="s">
        <v>58</v>
      </c>
      <c r="AQ2080" s="3" t="s">
        <v>58</v>
      </c>
      <c r="AS2080" s="6" t="str">
        <f>HYPERLINK("https://creighton-primo.hosted.exlibrisgroup.com/primo-explore/search?tab=default_tab&amp;search_scope=EVERYTHING&amp;vid=01CRU&amp;lang=en_US&amp;offset=0&amp;query=any,contains,991002295589702656","Catalog Record")</f>
        <v>Catalog Record</v>
      </c>
      <c r="AT2080" s="6" t="str">
        <f>HYPERLINK("http://www.worldcat.org/oclc/315291","WorldCat Record")</f>
        <v>WorldCat Record</v>
      </c>
      <c r="AU2080" s="3" t="s">
        <v>25382</v>
      </c>
      <c r="AV2080" s="3" t="s">
        <v>25383</v>
      </c>
      <c r="AW2080" s="3" t="s">
        <v>25384</v>
      </c>
      <c r="AX2080" s="3" t="s">
        <v>25384</v>
      </c>
      <c r="AY2080" s="3" t="s">
        <v>25385</v>
      </c>
      <c r="AZ2080" s="3" t="s">
        <v>73</v>
      </c>
      <c r="BB2080" s="3" t="s">
        <v>25386</v>
      </c>
      <c r="BC2080" s="3" t="s">
        <v>25387</v>
      </c>
      <c r="BD2080" s="3" t="s">
        <v>25388</v>
      </c>
    </row>
    <row r="2081" spans="1:56" ht="51" customHeight="1" x14ac:dyDescent="0.25">
      <c r="A2081" s="7" t="s">
        <v>58</v>
      </c>
      <c r="B2081" s="2" t="s">
        <v>25389</v>
      </c>
      <c r="C2081" s="2" t="s">
        <v>25390</v>
      </c>
      <c r="D2081" s="2" t="s">
        <v>25391</v>
      </c>
      <c r="F2081" s="3" t="s">
        <v>58</v>
      </c>
      <c r="G2081" s="3" t="s">
        <v>59</v>
      </c>
      <c r="H2081" s="3" t="s">
        <v>58</v>
      </c>
      <c r="I2081" s="3" t="s">
        <v>58</v>
      </c>
      <c r="J2081" s="3" t="s">
        <v>60</v>
      </c>
      <c r="K2081" s="2" t="s">
        <v>25392</v>
      </c>
      <c r="L2081" s="2" t="s">
        <v>25393</v>
      </c>
      <c r="M2081" s="3" t="s">
        <v>7660</v>
      </c>
      <c r="O2081" s="3" t="s">
        <v>63</v>
      </c>
      <c r="P2081" s="3" t="s">
        <v>214</v>
      </c>
      <c r="R2081" s="3" t="s">
        <v>65</v>
      </c>
      <c r="S2081" s="4">
        <v>1</v>
      </c>
      <c r="T2081" s="4">
        <v>1</v>
      </c>
      <c r="U2081" s="5" t="s">
        <v>25381</v>
      </c>
      <c r="V2081" s="5" t="s">
        <v>25381</v>
      </c>
      <c r="W2081" s="5" t="s">
        <v>24572</v>
      </c>
      <c r="X2081" s="5" t="s">
        <v>24572</v>
      </c>
      <c r="Y2081" s="4">
        <v>448</v>
      </c>
      <c r="Z2081" s="4">
        <v>406</v>
      </c>
      <c r="AA2081" s="4">
        <v>424</v>
      </c>
      <c r="AB2081" s="4">
        <v>5</v>
      </c>
      <c r="AC2081" s="4">
        <v>5</v>
      </c>
      <c r="AD2081" s="4">
        <v>19</v>
      </c>
      <c r="AE2081" s="4">
        <v>19</v>
      </c>
      <c r="AF2081" s="4">
        <v>5</v>
      </c>
      <c r="AG2081" s="4">
        <v>5</v>
      </c>
      <c r="AH2081" s="4">
        <v>5</v>
      </c>
      <c r="AI2081" s="4">
        <v>5</v>
      </c>
      <c r="AJ2081" s="4">
        <v>11</v>
      </c>
      <c r="AK2081" s="4">
        <v>11</v>
      </c>
      <c r="AL2081" s="4">
        <v>4</v>
      </c>
      <c r="AM2081" s="4">
        <v>4</v>
      </c>
      <c r="AN2081" s="4">
        <v>0</v>
      </c>
      <c r="AO2081" s="4">
        <v>0</v>
      </c>
      <c r="AP2081" s="3" t="s">
        <v>68</v>
      </c>
      <c r="AQ2081" s="3" t="s">
        <v>58</v>
      </c>
      <c r="AR2081" s="6" t="str">
        <f>HYPERLINK("http://catalog.hathitrust.org/Record/006574055","HathiTrust Record")</f>
        <v>HathiTrust Record</v>
      </c>
      <c r="AS2081" s="6" t="str">
        <f>HYPERLINK("https://creighton-primo.hosted.exlibrisgroup.com/primo-explore/search?tab=default_tab&amp;search_scope=EVERYTHING&amp;vid=01CRU&amp;lang=en_US&amp;offset=0&amp;query=any,contains,991003493229702656","Catalog Record")</f>
        <v>Catalog Record</v>
      </c>
      <c r="AT2081" s="6" t="str">
        <f>HYPERLINK("http://www.worldcat.org/oclc/1043453","WorldCat Record")</f>
        <v>WorldCat Record</v>
      </c>
      <c r="AU2081" s="3" t="s">
        <v>25394</v>
      </c>
      <c r="AV2081" s="3" t="s">
        <v>25395</v>
      </c>
      <c r="AW2081" s="3" t="s">
        <v>25396</v>
      </c>
      <c r="AX2081" s="3" t="s">
        <v>25396</v>
      </c>
      <c r="AY2081" s="3" t="s">
        <v>25397</v>
      </c>
      <c r="AZ2081" s="3" t="s">
        <v>73</v>
      </c>
      <c r="BC2081" s="3" t="s">
        <v>25398</v>
      </c>
      <c r="BD2081" s="3" t="s">
        <v>25399</v>
      </c>
    </row>
    <row r="2082" spans="1:56" ht="51" customHeight="1" x14ac:dyDescent="0.25">
      <c r="A2082" s="7" t="s">
        <v>58</v>
      </c>
      <c r="B2082" s="2" t="s">
        <v>25400</v>
      </c>
      <c r="C2082" s="2" t="s">
        <v>25401</v>
      </c>
      <c r="D2082" s="2" t="s">
        <v>25402</v>
      </c>
      <c r="F2082" s="3" t="s">
        <v>58</v>
      </c>
      <c r="G2082" s="3" t="s">
        <v>59</v>
      </c>
      <c r="H2082" s="3" t="s">
        <v>58</v>
      </c>
      <c r="I2082" s="3" t="s">
        <v>58</v>
      </c>
      <c r="J2082" s="3" t="s">
        <v>60</v>
      </c>
      <c r="L2082" s="2" t="s">
        <v>15802</v>
      </c>
      <c r="M2082" s="3" t="s">
        <v>759</v>
      </c>
      <c r="O2082" s="3" t="s">
        <v>63</v>
      </c>
      <c r="P2082" s="3" t="s">
        <v>2630</v>
      </c>
      <c r="Q2082" s="2" t="s">
        <v>12630</v>
      </c>
      <c r="R2082" s="3" t="s">
        <v>65</v>
      </c>
      <c r="S2082" s="4">
        <v>4</v>
      </c>
      <c r="T2082" s="4">
        <v>4</v>
      </c>
      <c r="U2082" s="5" t="s">
        <v>4156</v>
      </c>
      <c r="V2082" s="5" t="s">
        <v>4156</v>
      </c>
      <c r="W2082" s="5" t="s">
        <v>25029</v>
      </c>
      <c r="X2082" s="5" t="s">
        <v>25029</v>
      </c>
      <c r="Y2082" s="4">
        <v>447</v>
      </c>
      <c r="Z2082" s="4">
        <v>347</v>
      </c>
      <c r="AA2082" s="4">
        <v>365</v>
      </c>
      <c r="AB2082" s="4">
        <v>4</v>
      </c>
      <c r="AC2082" s="4">
        <v>4</v>
      </c>
      <c r="AD2082" s="4">
        <v>15</v>
      </c>
      <c r="AE2082" s="4">
        <v>15</v>
      </c>
      <c r="AF2082" s="4">
        <v>8</v>
      </c>
      <c r="AG2082" s="4">
        <v>8</v>
      </c>
      <c r="AH2082" s="4">
        <v>3</v>
      </c>
      <c r="AI2082" s="4">
        <v>3</v>
      </c>
      <c r="AJ2082" s="4">
        <v>6</v>
      </c>
      <c r="AK2082" s="4">
        <v>6</v>
      </c>
      <c r="AL2082" s="4">
        <v>3</v>
      </c>
      <c r="AM2082" s="4">
        <v>3</v>
      </c>
      <c r="AN2082" s="4">
        <v>0</v>
      </c>
      <c r="AO2082" s="4">
        <v>0</v>
      </c>
      <c r="AP2082" s="3" t="s">
        <v>58</v>
      </c>
      <c r="AQ2082" s="3" t="s">
        <v>68</v>
      </c>
      <c r="AR2082" s="6" t="str">
        <f>HYPERLINK("http://catalog.hathitrust.org/Record/000722249","HathiTrust Record")</f>
        <v>HathiTrust Record</v>
      </c>
      <c r="AS2082" s="6" t="str">
        <f>HYPERLINK("https://creighton-primo.hosted.exlibrisgroup.com/primo-explore/search?tab=default_tab&amp;search_scope=EVERYTHING&amp;vid=01CRU&amp;lang=en_US&amp;offset=0&amp;query=any,contains,991004943739702656","Catalog Record")</f>
        <v>Catalog Record</v>
      </c>
      <c r="AT2082" s="6" t="str">
        <f>HYPERLINK("http://www.worldcat.org/oclc/6196662","WorldCat Record")</f>
        <v>WorldCat Record</v>
      </c>
      <c r="AU2082" s="3" t="s">
        <v>25403</v>
      </c>
      <c r="AV2082" s="3" t="s">
        <v>25404</v>
      </c>
      <c r="AW2082" s="3" t="s">
        <v>25405</v>
      </c>
      <c r="AX2082" s="3" t="s">
        <v>25405</v>
      </c>
      <c r="AY2082" s="3" t="s">
        <v>25406</v>
      </c>
      <c r="AZ2082" s="3" t="s">
        <v>73</v>
      </c>
      <c r="BB2082" s="3" t="s">
        <v>25407</v>
      </c>
      <c r="BC2082" s="3" t="s">
        <v>25408</v>
      </c>
      <c r="BD2082" s="3" t="s">
        <v>25409</v>
      </c>
    </row>
    <row r="2083" spans="1:56" ht="51" customHeight="1" x14ac:dyDescent="0.25">
      <c r="A2083" s="7" t="s">
        <v>58</v>
      </c>
      <c r="B2083" s="2" t="s">
        <v>25410</v>
      </c>
      <c r="C2083" s="2" t="s">
        <v>25411</v>
      </c>
      <c r="D2083" s="2" t="s">
        <v>25412</v>
      </c>
      <c r="F2083" s="3" t="s">
        <v>58</v>
      </c>
      <c r="G2083" s="3" t="s">
        <v>59</v>
      </c>
      <c r="H2083" s="3" t="s">
        <v>58</v>
      </c>
      <c r="I2083" s="3" t="s">
        <v>58</v>
      </c>
      <c r="J2083" s="3" t="s">
        <v>60</v>
      </c>
      <c r="K2083" s="2" t="s">
        <v>25413</v>
      </c>
      <c r="L2083" s="2" t="s">
        <v>25414</v>
      </c>
      <c r="M2083" s="3" t="s">
        <v>898</v>
      </c>
      <c r="N2083" s="2" t="s">
        <v>338</v>
      </c>
      <c r="O2083" s="3" t="s">
        <v>63</v>
      </c>
      <c r="P2083" s="3" t="s">
        <v>214</v>
      </c>
      <c r="R2083" s="3" t="s">
        <v>65</v>
      </c>
      <c r="S2083" s="4">
        <v>2</v>
      </c>
      <c r="T2083" s="4">
        <v>2</v>
      </c>
      <c r="U2083" s="5" t="s">
        <v>21423</v>
      </c>
      <c r="V2083" s="5" t="s">
        <v>21423</v>
      </c>
      <c r="W2083" s="5" t="s">
        <v>2216</v>
      </c>
      <c r="X2083" s="5" t="s">
        <v>2216</v>
      </c>
      <c r="Y2083" s="4">
        <v>939</v>
      </c>
      <c r="Z2083" s="4">
        <v>861</v>
      </c>
      <c r="AA2083" s="4">
        <v>921</v>
      </c>
      <c r="AB2083" s="4">
        <v>7</v>
      </c>
      <c r="AC2083" s="4">
        <v>8</v>
      </c>
      <c r="AD2083" s="4">
        <v>17</v>
      </c>
      <c r="AE2083" s="4">
        <v>21</v>
      </c>
      <c r="AF2083" s="4">
        <v>5</v>
      </c>
      <c r="AG2083" s="4">
        <v>7</v>
      </c>
      <c r="AH2083" s="4">
        <v>5</v>
      </c>
      <c r="AI2083" s="4">
        <v>6</v>
      </c>
      <c r="AJ2083" s="4">
        <v>8</v>
      </c>
      <c r="AK2083" s="4">
        <v>10</v>
      </c>
      <c r="AL2083" s="4">
        <v>3</v>
      </c>
      <c r="AM2083" s="4">
        <v>4</v>
      </c>
      <c r="AN2083" s="4">
        <v>0</v>
      </c>
      <c r="AO2083" s="4">
        <v>0</v>
      </c>
      <c r="AP2083" s="3" t="s">
        <v>58</v>
      </c>
      <c r="AQ2083" s="3" t="s">
        <v>68</v>
      </c>
      <c r="AR2083" s="6" t="str">
        <f>HYPERLINK("http://catalog.hathitrust.org/Record/005288025","HathiTrust Record")</f>
        <v>HathiTrust Record</v>
      </c>
      <c r="AS2083" s="6" t="str">
        <f>HYPERLINK("https://creighton-primo.hosted.exlibrisgroup.com/primo-explore/search?tab=default_tab&amp;search_scope=EVERYTHING&amp;vid=01CRU&amp;lang=en_US&amp;offset=0&amp;query=any,contains,991004843079702656","Catalog Record")</f>
        <v>Catalog Record</v>
      </c>
      <c r="AT2083" s="6" t="str">
        <f>HYPERLINK("http://www.worldcat.org/oclc/62732875","WorldCat Record")</f>
        <v>WorldCat Record</v>
      </c>
      <c r="AU2083" s="3" t="s">
        <v>25415</v>
      </c>
      <c r="AV2083" s="3" t="s">
        <v>25416</v>
      </c>
      <c r="AW2083" s="3" t="s">
        <v>25417</v>
      </c>
      <c r="AX2083" s="3" t="s">
        <v>25417</v>
      </c>
      <c r="AY2083" s="3" t="s">
        <v>25418</v>
      </c>
      <c r="AZ2083" s="3" t="s">
        <v>73</v>
      </c>
      <c r="BB2083" s="3" t="s">
        <v>25419</v>
      </c>
      <c r="BC2083" s="3" t="s">
        <v>25420</v>
      </c>
      <c r="BD2083" s="3" t="s">
        <v>25421</v>
      </c>
    </row>
    <row r="2084" spans="1:56" ht="51" customHeight="1" x14ac:dyDescent="0.25">
      <c r="A2084" s="7" t="s">
        <v>58</v>
      </c>
      <c r="B2084" s="2" t="s">
        <v>25422</v>
      </c>
      <c r="C2084" s="2" t="s">
        <v>25423</v>
      </c>
      <c r="D2084" s="2" t="s">
        <v>25424</v>
      </c>
      <c r="F2084" s="3" t="s">
        <v>58</v>
      </c>
      <c r="G2084" s="3" t="s">
        <v>59</v>
      </c>
      <c r="H2084" s="3" t="s">
        <v>58</v>
      </c>
      <c r="I2084" s="3" t="s">
        <v>58</v>
      </c>
      <c r="J2084" s="3" t="s">
        <v>60</v>
      </c>
      <c r="K2084" s="2" t="s">
        <v>25425</v>
      </c>
      <c r="L2084" s="2" t="s">
        <v>25426</v>
      </c>
      <c r="M2084" s="3" t="s">
        <v>2326</v>
      </c>
      <c r="N2084" s="2" t="s">
        <v>25427</v>
      </c>
      <c r="O2084" s="3" t="s">
        <v>63</v>
      </c>
      <c r="P2084" s="3" t="s">
        <v>214</v>
      </c>
      <c r="R2084" s="3" t="s">
        <v>65</v>
      </c>
      <c r="S2084" s="4">
        <v>2</v>
      </c>
      <c r="T2084" s="4">
        <v>2</v>
      </c>
      <c r="U2084" s="5" t="s">
        <v>25428</v>
      </c>
      <c r="V2084" s="5" t="s">
        <v>25428</v>
      </c>
      <c r="W2084" s="5" t="s">
        <v>25429</v>
      </c>
      <c r="X2084" s="5" t="s">
        <v>25429</v>
      </c>
      <c r="Y2084" s="4">
        <v>1292</v>
      </c>
      <c r="Z2084" s="4">
        <v>1192</v>
      </c>
      <c r="AA2084" s="4">
        <v>1244</v>
      </c>
      <c r="AB2084" s="4">
        <v>10</v>
      </c>
      <c r="AC2084" s="4">
        <v>10</v>
      </c>
      <c r="AD2084" s="4">
        <v>27</v>
      </c>
      <c r="AE2084" s="4">
        <v>28</v>
      </c>
      <c r="AF2084" s="4">
        <v>13</v>
      </c>
      <c r="AG2084" s="4">
        <v>13</v>
      </c>
      <c r="AH2084" s="4">
        <v>6</v>
      </c>
      <c r="AI2084" s="4">
        <v>6</v>
      </c>
      <c r="AJ2084" s="4">
        <v>12</v>
      </c>
      <c r="AK2084" s="4">
        <v>13</v>
      </c>
      <c r="AL2084" s="4">
        <v>3</v>
      </c>
      <c r="AM2084" s="4">
        <v>3</v>
      </c>
      <c r="AN2084" s="4">
        <v>0</v>
      </c>
      <c r="AO2084" s="4">
        <v>0</v>
      </c>
      <c r="AP2084" s="3" t="s">
        <v>58</v>
      </c>
      <c r="AQ2084" s="3" t="s">
        <v>58</v>
      </c>
      <c r="AS2084" s="6" t="str">
        <f>HYPERLINK("https://creighton-primo.hosted.exlibrisgroup.com/primo-explore/search?tab=default_tab&amp;search_scope=EVERYTHING&amp;vid=01CRU&amp;lang=en_US&amp;offset=0&amp;query=any,contains,991005365179702656","Catalog Record")</f>
        <v>Catalog Record</v>
      </c>
      <c r="AT2084" s="6" t="str">
        <f>HYPERLINK("http://www.worldcat.org/oclc/310397746","WorldCat Record")</f>
        <v>WorldCat Record</v>
      </c>
      <c r="AU2084" s="3" t="s">
        <v>25430</v>
      </c>
      <c r="AV2084" s="3" t="s">
        <v>25431</v>
      </c>
      <c r="AW2084" s="3" t="s">
        <v>25432</v>
      </c>
      <c r="AX2084" s="3" t="s">
        <v>25432</v>
      </c>
      <c r="AY2084" s="3" t="s">
        <v>25433</v>
      </c>
      <c r="AZ2084" s="3" t="s">
        <v>73</v>
      </c>
      <c r="BB2084" s="3" t="s">
        <v>25434</v>
      </c>
      <c r="BC2084" s="3" t="s">
        <v>25435</v>
      </c>
      <c r="BD2084" s="3" t="s">
        <v>25436</v>
      </c>
    </row>
    <row r="2085" spans="1:56" ht="51" customHeight="1" x14ac:dyDescent="0.25">
      <c r="A2085" s="7" t="s">
        <v>58</v>
      </c>
      <c r="B2085" s="2" t="s">
        <v>25437</v>
      </c>
      <c r="C2085" s="2" t="s">
        <v>25438</v>
      </c>
      <c r="D2085" s="2" t="s">
        <v>25439</v>
      </c>
      <c r="F2085" s="3" t="s">
        <v>58</v>
      </c>
      <c r="G2085" s="3" t="s">
        <v>59</v>
      </c>
      <c r="H2085" s="3" t="s">
        <v>58</v>
      </c>
      <c r="I2085" s="3" t="s">
        <v>58</v>
      </c>
      <c r="J2085" s="3" t="s">
        <v>60</v>
      </c>
      <c r="K2085" s="2" t="s">
        <v>25440</v>
      </c>
      <c r="L2085" s="2" t="s">
        <v>25441</v>
      </c>
      <c r="M2085" s="3" t="s">
        <v>898</v>
      </c>
      <c r="O2085" s="3" t="s">
        <v>63</v>
      </c>
      <c r="P2085" s="3" t="s">
        <v>64</v>
      </c>
      <c r="R2085" s="3" t="s">
        <v>65</v>
      </c>
      <c r="S2085" s="4">
        <v>2</v>
      </c>
      <c r="T2085" s="4">
        <v>2</v>
      </c>
      <c r="U2085" s="5" t="s">
        <v>25442</v>
      </c>
      <c r="V2085" s="5" t="s">
        <v>25442</v>
      </c>
      <c r="W2085" s="5" t="s">
        <v>25442</v>
      </c>
      <c r="X2085" s="5" t="s">
        <v>25442</v>
      </c>
      <c r="Y2085" s="4">
        <v>82</v>
      </c>
      <c r="Z2085" s="4">
        <v>56</v>
      </c>
      <c r="AA2085" s="4">
        <v>64</v>
      </c>
      <c r="AB2085" s="4">
        <v>1</v>
      </c>
      <c r="AC2085" s="4">
        <v>1</v>
      </c>
      <c r="AD2085" s="4">
        <v>3</v>
      </c>
      <c r="AE2085" s="4">
        <v>4</v>
      </c>
      <c r="AF2085" s="4">
        <v>1</v>
      </c>
      <c r="AG2085" s="4">
        <v>1</v>
      </c>
      <c r="AH2085" s="4">
        <v>1</v>
      </c>
      <c r="AI2085" s="4">
        <v>1</v>
      </c>
      <c r="AJ2085" s="4">
        <v>3</v>
      </c>
      <c r="AK2085" s="4">
        <v>4</v>
      </c>
      <c r="AL2085" s="4">
        <v>0</v>
      </c>
      <c r="AM2085" s="4">
        <v>0</v>
      </c>
      <c r="AN2085" s="4">
        <v>0</v>
      </c>
      <c r="AO2085" s="4">
        <v>0</v>
      </c>
      <c r="AP2085" s="3" t="s">
        <v>58</v>
      </c>
      <c r="AQ2085" s="3" t="s">
        <v>68</v>
      </c>
      <c r="AR2085" s="6" t="str">
        <f>HYPERLINK("http://catalog.hathitrust.org/Record/005232863","HathiTrust Record")</f>
        <v>HathiTrust Record</v>
      </c>
      <c r="AS2085" s="6" t="str">
        <f>HYPERLINK("https://creighton-primo.hosted.exlibrisgroup.com/primo-explore/search?tab=default_tab&amp;search_scope=EVERYTHING&amp;vid=01CRU&amp;lang=en_US&amp;offset=0&amp;query=any,contains,991005083209702656","Catalog Record")</f>
        <v>Catalog Record</v>
      </c>
      <c r="AT2085" s="6" t="str">
        <f>HYPERLINK("http://www.worldcat.org/oclc/71242104","WorldCat Record")</f>
        <v>WorldCat Record</v>
      </c>
      <c r="AU2085" s="3" t="s">
        <v>25443</v>
      </c>
      <c r="AV2085" s="3" t="s">
        <v>25444</v>
      </c>
      <c r="AW2085" s="3" t="s">
        <v>25445</v>
      </c>
      <c r="AX2085" s="3" t="s">
        <v>25445</v>
      </c>
      <c r="AY2085" s="3" t="s">
        <v>25446</v>
      </c>
      <c r="AZ2085" s="3" t="s">
        <v>73</v>
      </c>
      <c r="BB2085" s="3" t="s">
        <v>25447</v>
      </c>
      <c r="BC2085" s="3" t="s">
        <v>25448</v>
      </c>
      <c r="BD2085" s="3" t="s">
        <v>25449</v>
      </c>
    </row>
    <row r="2086" spans="1:56" ht="51" customHeight="1" x14ac:dyDescent="0.25">
      <c r="A2086" s="7" t="s">
        <v>58</v>
      </c>
      <c r="B2086" s="2" t="s">
        <v>25450</v>
      </c>
      <c r="C2086" s="2" t="s">
        <v>25451</v>
      </c>
      <c r="D2086" s="2" t="s">
        <v>25452</v>
      </c>
      <c r="F2086" s="3" t="s">
        <v>58</v>
      </c>
      <c r="G2086" s="3" t="s">
        <v>59</v>
      </c>
      <c r="H2086" s="3" t="s">
        <v>58</v>
      </c>
      <c r="I2086" s="3" t="s">
        <v>58</v>
      </c>
      <c r="J2086" s="3" t="s">
        <v>60</v>
      </c>
      <c r="K2086" s="2" t="s">
        <v>23254</v>
      </c>
      <c r="L2086" s="2" t="s">
        <v>869</v>
      </c>
      <c r="M2086" s="3" t="s">
        <v>397</v>
      </c>
      <c r="N2086" s="2" t="s">
        <v>25453</v>
      </c>
      <c r="O2086" s="3" t="s">
        <v>63</v>
      </c>
      <c r="P2086" s="3" t="s">
        <v>214</v>
      </c>
      <c r="R2086" s="3" t="s">
        <v>65</v>
      </c>
      <c r="S2086" s="4">
        <v>6</v>
      </c>
      <c r="T2086" s="4">
        <v>6</v>
      </c>
      <c r="U2086" s="5" t="s">
        <v>23269</v>
      </c>
      <c r="V2086" s="5" t="s">
        <v>23269</v>
      </c>
      <c r="W2086" s="5" t="s">
        <v>20145</v>
      </c>
      <c r="X2086" s="5" t="s">
        <v>20145</v>
      </c>
      <c r="Y2086" s="4">
        <v>1643</v>
      </c>
      <c r="Z2086" s="4">
        <v>1545</v>
      </c>
      <c r="AA2086" s="4">
        <v>1621</v>
      </c>
      <c r="AB2086" s="4">
        <v>13</v>
      </c>
      <c r="AC2086" s="4">
        <v>13</v>
      </c>
      <c r="AD2086" s="4">
        <v>34</v>
      </c>
      <c r="AE2086" s="4">
        <v>38</v>
      </c>
      <c r="AF2086" s="4">
        <v>12</v>
      </c>
      <c r="AG2086" s="4">
        <v>14</v>
      </c>
      <c r="AH2086" s="4">
        <v>6</v>
      </c>
      <c r="AI2086" s="4">
        <v>8</v>
      </c>
      <c r="AJ2086" s="4">
        <v>14</v>
      </c>
      <c r="AK2086" s="4">
        <v>17</v>
      </c>
      <c r="AL2086" s="4">
        <v>7</v>
      </c>
      <c r="AM2086" s="4">
        <v>7</v>
      </c>
      <c r="AN2086" s="4">
        <v>0</v>
      </c>
      <c r="AO2086" s="4">
        <v>0</v>
      </c>
      <c r="AP2086" s="3" t="s">
        <v>58</v>
      </c>
      <c r="AQ2086" s="3" t="s">
        <v>68</v>
      </c>
      <c r="AR2086" s="6" t="str">
        <f>HYPERLINK("http://catalog.hathitrust.org/Record/000655825","HathiTrust Record")</f>
        <v>HathiTrust Record</v>
      </c>
      <c r="AS2086" s="6" t="str">
        <f>HYPERLINK("https://creighton-primo.hosted.exlibrisgroup.com/primo-explore/search?tab=default_tab&amp;search_scope=EVERYTHING&amp;vid=01CRU&amp;lang=en_US&amp;offset=0&amp;query=any,contains,991000597779702656","Catalog Record")</f>
        <v>Catalog Record</v>
      </c>
      <c r="AT2086" s="6" t="str">
        <f>HYPERLINK("http://www.worldcat.org/oclc/11814595","WorldCat Record")</f>
        <v>WorldCat Record</v>
      </c>
      <c r="AU2086" s="3" t="s">
        <v>25454</v>
      </c>
      <c r="AV2086" s="3" t="s">
        <v>25455</v>
      </c>
      <c r="AW2086" s="3" t="s">
        <v>25456</v>
      </c>
      <c r="AX2086" s="3" t="s">
        <v>25456</v>
      </c>
      <c r="AY2086" s="3" t="s">
        <v>25457</v>
      </c>
      <c r="AZ2086" s="3" t="s">
        <v>73</v>
      </c>
      <c r="BB2086" s="3" t="s">
        <v>25458</v>
      </c>
      <c r="BC2086" s="3" t="s">
        <v>25459</v>
      </c>
      <c r="BD2086" s="3" t="s">
        <v>25460</v>
      </c>
    </row>
    <row r="2087" spans="1:56" ht="51" customHeight="1" x14ac:dyDescent="0.25">
      <c r="A2087" s="7" t="s">
        <v>58</v>
      </c>
      <c r="B2087" s="2" t="s">
        <v>25461</v>
      </c>
      <c r="C2087" s="2" t="s">
        <v>25462</v>
      </c>
      <c r="D2087" s="2" t="s">
        <v>25463</v>
      </c>
      <c r="F2087" s="3" t="s">
        <v>58</v>
      </c>
      <c r="G2087" s="3" t="s">
        <v>59</v>
      </c>
      <c r="H2087" s="3" t="s">
        <v>58</v>
      </c>
      <c r="I2087" s="3" t="s">
        <v>58</v>
      </c>
      <c r="J2087" s="3" t="s">
        <v>60</v>
      </c>
      <c r="K2087" s="2" t="s">
        <v>25464</v>
      </c>
      <c r="L2087" s="2" t="s">
        <v>25465</v>
      </c>
      <c r="M2087" s="3" t="s">
        <v>15224</v>
      </c>
      <c r="O2087" s="3" t="s">
        <v>63</v>
      </c>
      <c r="P2087" s="3" t="s">
        <v>571</v>
      </c>
      <c r="R2087" s="3" t="s">
        <v>65</v>
      </c>
      <c r="S2087" s="4">
        <v>1</v>
      </c>
      <c r="T2087" s="4">
        <v>1</v>
      </c>
      <c r="U2087" s="5" t="s">
        <v>25381</v>
      </c>
      <c r="V2087" s="5" t="s">
        <v>25381</v>
      </c>
      <c r="W2087" s="5" t="s">
        <v>25126</v>
      </c>
      <c r="X2087" s="5" t="s">
        <v>25126</v>
      </c>
      <c r="Y2087" s="4">
        <v>240</v>
      </c>
      <c r="Z2087" s="4">
        <v>218</v>
      </c>
      <c r="AA2087" s="4">
        <v>242</v>
      </c>
      <c r="AB2087" s="4">
        <v>2</v>
      </c>
      <c r="AC2087" s="4">
        <v>3</v>
      </c>
      <c r="AD2087" s="4">
        <v>8</v>
      </c>
      <c r="AE2087" s="4">
        <v>11</v>
      </c>
      <c r="AF2087" s="4">
        <v>0</v>
      </c>
      <c r="AG2087" s="4">
        <v>1</v>
      </c>
      <c r="AH2087" s="4">
        <v>3</v>
      </c>
      <c r="AI2087" s="4">
        <v>4</v>
      </c>
      <c r="AJ2087" s="4">
        <v>5</v>
      </c>
      <c r="AK2087" s="4">
        <v>7</v>
      </c>
      <c r="AL2087" s="4">
        <v>1</v>
      </c>
      <c r="AM2087" s="4">
        <v>2</v>
      </c>
      <c r="AN2087" s="4">
        <v>0</v>
      </c>
      <c r="AO2087" s="4">
        <v>0</v>
      </c>
      <c r="AP2087" s="3" t="s">
        <v>68</v>
      </c>
      <c r="AQ2087" s="3" t="s">
        <v>58</v>
      </c>
      <c r="AR2087" s="6" t="str">
        <f>HYPERLINK("http://catalog.hathitrust.org/Record/001318422","HathiTrust Record")</f>
        <v>HathiTrust Record</v>
      </c>
      <c r="AS2087" s="6" t="str">
        <f>HYPERLINK("https://creighton-primo.hosted.exlibrisgroup.com/primo-explore/search?tab=default_tab&amp;search_scope=EVERYTHING&amp;vid=01CRU&amp;lang=en_US&amp;offset=0&amp;query=any,contains,991003644449702656","Catalog Record")</f>
        <v>Catalog Record</v>
      </c>
      <c r="AT2087" s="6" t="str">
        <f>HYPERLINK("http://www.worldcat.org/oclc/1243792","WorldCat Record")</f>
        <v>WorldCat Record</v>
      </c>
      <c r="AU2087" s="3" t="s">
        <v>25466</v>
      </c>
      <c r="AV2087" s="3" t="s">
        <v>25467</v>
      </c>
      <c r="AW2087" s="3" t="s">
        <v>25468</v>
      </c>
      <c r="AX2087" s="3" t="s">
        <v>25468</v>
      </c>
      <c r="AY2087" s="3" t="s">
        <v>25469</v>
      </c>
      <c r="AZ2087" s="3" t="s">
        <v>73</v>
      </c>
      <c r="BC2087" s="3" t="s">
        <v>25470</v>
      </c>
      <c r="BD2087" s="3" t="s">
        <v>25471</v>
      </c>
    </row>
    <row r="2088" spans="1:56" ht="51" customHeight="1" x14ac:dyDescent="0.25">
      <c r="A2088" s="7" t="s">
        <v>58</v>
      </c>
      <c r="B2088" s="2" t="s">
        <v>25472</v>
      </c>
      <c r="C2088" s="2" t="s">
        <v>25473</v>
      </c>
      <c r="D2088" s="2" t="s">
        <v>25474</v>
      </c>
      <c r="F2088" s="3" t="s">
        <v>58</v>
      </c>
      <c r="G2088" s="3" t="s">
        <v>59</v>
      </c>
      <c r="H2088" s="3" t="s">
        <v>58</v>
      </c>
      <c r="I2088" s="3" t="s">
        <v>58</v>
      </c>
      <c r="J2088" s="3" t="s">
        <v>60</v>
      </c>
      <c r="K2088" s="2" t="s">
        <v>25475</v>
      </c>
      <c r="L2088" s="2" t="s">
        <v>25476</v>
      </c>
      <c r="M2088" s="3" t="s">
        <v>996</v>
      </c>
      <c r="O2088" s="3" t="s">
        <v>63</v>
      </c>
      <c r="P2088" s="3" t="s">
        <v>214</v>
      </c>
      <c r="R2088" s="3" t="s">
        <v>65</v>
      </c>
      <c r="S2088" s="4">
        <v>1</v>
      </c>
      <c r="T2088" s="4">
        <v>1</v>
      </c>
      <c r="U2088" s="5" t="s">
        <v>25381</v>
      </c>
      <c r="V2088" s="5" t="s">
        <v>25381</v>
      </c>
      <c r="W2088" s="5" t="s">
        <v>24572</v>
      </c>
      <c r="X2088" s="5" t="s">
        <v>24572</v>
      </c>
      <c r="Y2088" s="4">
        <v>228</v>
      </c>
      <c r="Z2088" s="4">
        <v>200</v>
      </c>
      <c r="AA2088" s="4">
        <v>557</v>
      </c>
      <c r="AB2088" s="4">
        <v>4</v>
      </c>
      <c r="AC2088" s="4">
        <v>4</v>
      </c>
      <c r="AD2088" s="4">
        <v>17</v>
      </c>
      <c r="AE2088" s="4">
        <v>27</v>
      </c>
      <c r="AF2088" s="4">
        <v>3</v>
      </c>
      <c r="AG2088" s="4">
        <v>9</v>
      </c>
      <c r="AH2088" s="4">
        <v>7</v>
      </c>
      <c r="AI2088" s="4">
        <v>9</v>
      </c>
      <c r="AJ2088" s="4">
        <v>9</v>
      </c>
      <c r="AK2088" s="4">
        <v>14</v>
      </c>
      <c r="AL2088" s="4">
        <v>3</v>
      </c>
      <c r="AM2088" s="4">
        <v>3</v>
      </c>
      <c r="AN2088" s="4">
        <v>0</v>
      </c>
      <c r="AO2088" s="4">
        <v>0</v>
      </c>
      <c r="AP2088" s="3" t="s">
        <v>58</v>
      </c>
      <c r="AQ2088" s="3" t="s">
        <v>68</v>
      </c>
      <c r="AR2088" s="6" t="str">
        <f>HYPERLINK("http://catalog.hathitrust.org/Record/004411732","HathiTrust Record")</f>
        <v>HathiTrust Record</v>
      </c>
      <c r="AS2088" s="6" t="str">
        <f>HYPERLINK("https://creighton-primo.hosted.exlibrisgroup.com/primo-explore/search?tab=default_tab&amp;search_scope=EVERYTHING&amp;vid=01CRU&amp;lang=en_US&amp;offset=0&amp;query=any,contains,991002113779702656","Catalog Record")</f>
        <v>Catalog Record</v>
      </c>
      <c r="AT2088" s="6" t="str">
        <f>HYPERLINK("http://www.worldcat.org/oclc/267830","WorldCat Record")</f>
        <v>WorldCat Record</v>
      </c>
      <c r="AU2088" s="3" t="s">
        <v>25477</v>
      </c>
      <c r="AV2088" s="3" t="s">
        <v>25478</v>
      </c>
      <c r="AW2088" s="3" t="s">
        <v>25479</v>
      </c>
      <c r="AX2088" s="3" t="s">
        <v>25479</v>
      </c>
      <c r="AY2088" s="3" t="s">
        <v>25480</v>
      </c>
      <c r="AZ2088" s="3" t="s">
        <v>73</v>
      </c>
      <c r="BB2088" s="3" t="s">
        <v>25481</v>
      </c>
      <c r="BC2088" s="3" t="s">
        <v>25482</v>
      </c>
      <c r="BD2088" s="3" t="s">
        <v>25483</v>
      </c>
    </row>
    <row r="2089" spans="1:56" ht="51" customHeight="1" x14ac:dyDescent="0.25">
      <c r="A2089" s="7" t="s">
        <v>58</v>
      </c>
      <c r="B2089" s="2" t="s">
        <v>25484</v>
      </c>
      <c r="C2089" s="2" t="s">
        <v>25485</v>
      </c>
      <c r="D2089" s="2" t="s">
        <v>25486</v>
      </c>
      <c r="F2089" s="3" t="s">
        <v>58</v>
      </c>
      <c r="G2089" s="3" t="s">
        <v>59</v>
      </c>
      <c r="H2089" s="3" t="s">
        <v>58</v>
      </c>
      <c r="I2089" s="3" t="s">
        <v>58</v>
      </c>
      <c r="J2089" s="3" t="s">
        <v>60</v>
      </c>
      <c r="K2089" s="2" t="s">
        <v>25487</v>
      </c>
      <c r="L2089" s="2" t="s">
        <v>25488</v>
      </c>
      <c r="M2089" s="3" t="s">
        <v>10955</v>
      </c>
      <c r="O2089" s="3" t="s">
        <v>63</v>
      </c>
      <c r="P2089" s="3" t="s">
        <v>214</v>
      </c>
      <c r="R2089" s="3" t="s">
        <v>65</v>
      </c>
      <c r="S2089" s="4">
        <v>5</v>
      </c>
      <c r="T2089" s="4">
        <v>5</v>
      </c>
      <c r="U2089" s="5" t="s">
        <v>23444</v>
      </c>
      <c r="V2089" s="5" t="s">
        <v>23444</v>
      </c>
      <c r="W2089" s="5" t="s">
        <v>24572</v>
      </c>
      <c r="X2089" s="5" t="s">
        <v>24572</v>
      </c>
      <c r="Y2089" s="4">
        <v>673</v>
      </c>
      <c r="Z2089" s="4">
        <v>608</v>
      </c>
      <c r="AA2089" s="4">
        <v>722</v>
      </c>
      <c r="AB2089" s="4">
        <v>7</v>
      </c>
      <c r="AC2089" s="4">
        <v>7</v>
      </c>
      <c r="AD2089" s="4">
        <v>36</v>
      </c>
      <c r="AE2089" s="4">
        <v>42</v>
      </c>
      <c r="AF2089" s="4">
        <v>15</v>
      </c>
      <c r="AG2089" s="4">
        <v>17</v>
      </c>
      <c r="AH2089" s="4">
        <v>6</v>
      </c>
      <c r="AI2089" s="4">
        <v>9</v>
      </c>
      <c r="AJ2089" s="4">
        <v>18</v>
      </c>
      <c r="AK2089" s="4">
        <v>20</v>
      </c>
      <c r="AL2089" s="4">
        <v>6</v>
      </c>
      <c r="AM2089" s="4">
        <v>6</v>
      </c>
      <c r="AN2089" s="4">
        <v>0</v>
      </c>
      <c r="AO2089" s="4">
        <v>0</v>
      </c>
      <c r="AP2089" s="3" t="s">
        <v>68</v>
      </c>
      <c r="AQ2089" s="3" t="s">
        <v>58</v>
      </c>
      <c r="AR2089" s="6" t="str">
        <f>HYPERLINK("http://catalog.hathitrust.org/Record/001258519","HathiTrust Record")</f>
        <v>HathiTrust Record</v>
      </c>
      <c r="AS2089" s="6" t="str">
        <f>HYPERLINK("https://creighton-primo.hosted.exlibrisgroup.com/primo-explore/search?tab=default_tab&amp;search_scope=EVERYTHING&amp;vid=01CRU&amp;lang=en_US&amp;offset=0&amp;query=any,contains,991002715239702656","Catalog Record")</f>
        <v>Catalog Record</v>
      </c>
      <c r="AT2089" s="6" t="str">
        <f>HYPERLINK("http://www.worldcat.org/oclc/411072","WorldCat Record")</f>
        <v>WorldCat Record</v>
      </c>
      <c r="AU2089" s="3" t="s">
        <v>25489</v>
      </c>
      <c r="AV2089" s="3" t="s">
        <v>25490</v>
      </c>
      <c r="AW2089" s="3" t="s">
        <v>25491</v>
      </c>
      <c r="AX2089" s="3" t="s">
        <v>25491</v>
      </c>
      <c r="AY2089" s="3" t="s">
        <v>25492</v>
      </c>
      <c r="AZ2089" s="3" t="s">
        <v>73</v>
      </c>
      <c r="BC2089" s="3" t="s">
        <v>25493</v>
      </c>
      <c r="BD2089" s="3" t="s">
        <v>25494</v>
      </c>
    </row>
    <row r="2090" spans="1:56" ht="51" customHeight="1" x14ac:dyDescent="0.25">
      <c r="A2090" s="7" t="s">
        <v>58</v>
      </c>
      <c r="B2090" s="2" t="s">
        <v>25495</v>
      </c>
      <c r="C2090" s="2" t="s">
        <v>25496</v>
      </c>
      <c r="D2090" s="2" t="s">
        <v>25497</v>
      </c>
      <c r="F2090" s="3" t="s">
        <v>58</v>
      </c>
      <c r="G2090" s="3" t="s">
        <v>59</v>
      </c>
      <c r="H2090" s="3" t="s">
        <v>58</v>
      </c>
      <c r="I2090" s="3" t="s">
        <v>58</v>
      </c>
      <c r="J2090" s="3" t="s">
        <v>60</v>
      </c>
      <c r="K2090" s="2" t="s">
        <v>24313</v>
      </c>
      <c r="L2090" s="2" t="s">
        <v>25498</v>
      </c>
      <c r="M2090" s="3" t="s">
        <v>10955</v>
      </c>
      <c r="O2090" s="3" t="s">
        <v>63</v>
      </c>
      <c r="P2090" s="3" t="s">
        <v>214</v>
      </c>
      <c r="Q2090" s="2" t="s">
        <v>25499</v>
      </c>
      <c r="R2090" s="3" t="s">
        <v>65</v>
      </c>
      <c r="S2090" s="4">
        <v>4</v>
      </c>
      <c r="T2090" s="4">
        <v>4</v>
      </c>
      <c r="U2090" s="5" t="s">
        <v>25381</v>
      </c>
      <c r="V2090" s="5" t="s">
        <v>25381</v>
      </c>
      <c r="W2090" s="5" t="s">
        <v>24572</v>
      </c>
      <c r="X2090" s="5" t="s">
        <v>24572</v>
      </c>
      <c r="Y2090" s="4">
        <v>337</v>
      </c>
      <c r="Z2090" s="4">
        <v>323</v>
      </c>
      <c r="AA2090" s="4">
        <v>325</v>
      </c>
      <c r="AB2090" s="4">
        <v>5</v>
      </c>
      <c r="AC2090" s="4">
        <v>5</v>
      </c>
      <c r="AD2090" s="4">
        <v>19</v>
      </c>
      <c r="AE2090" s="4">
        <v>19</v>
      </c>
      <c r="AF2090" s="4">
        <v>5</v>
      </c>
      <c r="AG2090" s="4">
        <v>5</v>
      </c>
      <c r="AH2090" s="4">
        <v>3</v>
      </c>
      <c r="AI2090" s="4">
        <v>3</v>
      </c>
      <c r="AJ2090" s="4">
        <v>9</v>
      </c>
      <c r="AK2090" s="4">
        <v>9</v>
      </c>
      <c r="AL2090" s="4">
        <v>4</v>
      </c>
      <c r="AM2090" s="4">
        <v>4</v>
      </c>
      <c r="AN2090" s="4">
        <v>0</v>
      </c>
      <c r="AO2090" s="4">
        <v>0</v>
      </c>
      <c r="AP2090" s="3" t="s">
        <v>58</v>
      </c>
      <c r="AQ2090" s="3" t="s">
        <v>58</v>
      </c>
      <c r="AR2090" s="6" t="str">
        <f>HYPERLINK("http://catalog.hathitrust.org/Record/101976019","HathiTrust Record")</f>
        <v>HathiTrust Record</v>
      </c>
      <c r="AS2090" s="6" t="str">
        <f>HYPERLINK("https://creighton-primo.hosted.exlibrisgroup.com/primo-explore/search?tab=default_tab&amp;search_scope=EVERYTHING&amp;vid=01CRU&amp;lang=en_US&amp;offset=0&amp;query=any,contains,991004770059702656","Catalog Record")</f>
        <v>Catalog Record</v>
      </c>
      <c r="AT2090" s="6" t="str">
        <f>HYPERLINK("http://www.worldcat.org/oclc/5053716","WorldCat Record")</f>
        <v>WorldCat Record</v>
      </c>
      <c r="AU2090" s="3" t="s">
        <v>25500</v>
      </c>
      <c r="AV2090" s="3" t="s">
        <v>25501</v>
      </c>
      <c r="AW2090" s="3" t="s">
        <v>25502</v>
      </c>
      <c r="AX2090" s="3" t="s">
        <v>25502</v>
      </c>
      <c r="AY2090" s="3" t="s">
        <v>25503</v>
      </c>
      <c r="AZ2090" s="3" t="s">
        <v>73</v>
      </c>
      <c r="BC2090" s="3" t="s">
        <v>25504</v>
      </c>
      <c r="BD2090" s="3" t="s">
        <v>25505</v>
      </c>
    </row>
    <row r="2091" spans="1:56" ht="51" customHeight="1" x14ac:dyDescent="0.25">
      <c r="A2091" s="7" t="s">
        <v>58</v>
      </c>
      <c r="B2091" s="2" t="s">
        <v>25506</v>
      </c>
      <c r="C2091" s="2" t="s">
        <v>25507</v>
      </c>
      <c r="D2091" s="2" t="s">
        <v>25508</v>
      </c>
      <c r="F2091" s="3" t="s">
        <v>58</v>
      </c>
      <c r="G2091" s="3" t="s">
        <v>59</v>
      </c>
      <c r="H2091" s="3" t="s">
        <v>58</v>
      </c>
      <c r="I2091" s="3" t="s">
        <v>58</v>
      </c>
      <c r="J2091" s="3" t="s">
        <v>60</v>
      </c>
      <c r="K2091" s="2" t="s">
        <v>25509</v>
      </c>
      <c r="L2091" s="2" t="s">
        <v>25510</v>
      </c>
      <c r="M2091" s="3" t="s">
        <v>898</v>
      </c>
      <c r="O2091" s="3" t="s">
        <v>63</v>
      </c>
      <c r="P2091" s="3" t="s">
        <v>495</v>
      </c>
      <c r="R2091" s="3" t="s">
        <v>65</v>
      </c>
      <c r="S2091" s="4">
        <v>2</v>
      </c>
      <c r="T2091" s="4">
        <v>2</v>
      </c>
      <c r="U2091" s="5" t="s">
        <v>25511</v>
      </c>
      <c r="V2091" s="5" t="s">
        <v>25511</v>
      </c>
      <c r="W2091" s="5" t="s">
        <v>25512</v>
      </c>
      <c r="X2091" s="5" t="s">
        <v>25512</v>
      </c>
      <c r="Y2091" s="4">
        <v>210</v>
      </c>
      <c r="Z2091" s="4">
        <v>171</v>
      </c>
      <c r="AA2091" s="4">
        <v>172</v>
      </c>
      <c r="AB2091" s="4">
        <v>2</v>
      </c>
      <c r="AC2091" s="4">
        <v>2</v>
      </c>
      <c r="AD2091" s="4">
        <v>9</v>
      </c>
      <c r="AE2091" s="4">
        <v>9</v>
      </c>
      <c r="AF2091" s="4">
        <v>4</v>
      </c>
      <c r="AG2091" s="4">
        <v>4</v>
      </c>
      <c r="AH2091" s="4">
        <v>3</v>
      </c>
      <c r="AI2091" s="4">
        <v>3</v>
      </c>
      <c r="AJ2091" s="4">
        <v>6</v>
      </c>
      <c r="AK2091" s="4">
        <v>6</v>
      </c>
      <c r="AL2091" s="4">
        <v>1</v>
      </c>
      <c r="AM2091" s="4">
        <v>1</v>
      </c>
      <c r="AN2091" s="4">
        <v>0</v>
      </c>
      <c r="AO2091" s="4">
        <v>0</v>
      </c>
      <c r="AP2091" s="3" t="s">
        <v>58</v>
      </c>
      <c r="AQ2091" s="3" t="s">
        <v>68</v>
      </c>
      <c r="AR2091" s="6" t="str">
        <f>HYPERLINK("http://catalog.hathitrust.org/Record/005633160","HathiTrust Record")</f>
        <v>HathiTrust Record</v>
      </c>
      <c r="AS2091" s="6" t="str">
        <f>HYPERLINK("https://creighton-primo.hosted.exlibrisgroup.com/primo-explore/search?tab=default_tab&amp;search_scope=EVERYTHING&amp;vid=01CRU&amp;lang=en_US&amp;offset=0&amp;query=any,contains,991005256499702656","Catalog Record")</f>
        <v>Catalog Record</v>
      </c>
      <c r="AT2091" s="6" t="str">
        <f>HYPERLINK("http://www.worldcat.org/oclc/74986915","WorldCat Record")</f>
        <v>WorldCat Record</v>
      </c>
      <c r="AU2091" s="3" t="s">
        <v>25513</v>
      </c>
      <c r="AV2091" s="3" t="s">
        <v>25514</v>
      </c>
      <c r="AW2091" s="3" t="s">
        <v>25515</v>
      </c>
      <c r="AX2091" s="3" t="s">
        <v>25515</v>
      </c>
      <c r="AY2091" s="3" t="s">
        <v>25516</v>
      </c>
      <c r="AZ2091" s="3" t="s">
        <v>73</v>
      </c>
      <c r="BB2091" s="3" t="s">
        <v>25517</v>
      </c>
      <c r="BC2091" s="3" t="s">
        <v>25518</v>
      </c>
      <c r="BD2091" s="3" t="s">
        <v>25519</v>
      </c>
    </row>
    <row r="2092" spans="1:56" ht="51" customHeight="1" x14ac:dyDescent="0.25">
      <c r="A2092" s="7" t="s">
        <v>58</v>
      </c>
      <c r="B2092" s="2" t="s">
        <v>25520</v>
      </c>
      <c r="C2092" s="2" t="s">
        <v>25521</v>
      </c>
      <c r="D2092" s="2" t="s">
        <v>25522</v>
      </c>
      <c r="F2092" s="3" t="s">
        <v>58</v>
      </c>
      <c r="G2092" s="3" t="s">
        <v>59</v>
      </c>
      <c r="H2092" s="3" t="s">
        <v>58</v>
      </c>
      <c r="I2092" s="3" t="s">
        <v>58</v>
      </c>
      <c r="J2092" s="3" t="s">
        <v>60</v>
      </c>
      <c r="K2092" s="2" t="s">
        <v>25523</v>
      </c>
      <c r="L2092" s="2" t="s">
        <v>25524</v>
      </c>
      <c r="M2092" s="3" t="s">
        <v>261</v>
      </c>
      <c r="O2092" s="3" t="s">
        <v>63</v>
      </c>
      <c r="P2092" s="3" t="s">
        <v>10900</v>
      </c>
      <c r="Q2092" s="2" t="s">
        <v>25525</v>
      </c>
      <c r="R2092" s="3" t="s">
        <v>65</v>
      </c>
      <c r="S2092" s="4">
        <v>4</v>
      </c>
      <c r="T2092" s="4">
        <v>4</v>
      </c>
      <c r="U2092" s="5" t="s">
        <v>23444</v>
      </c>
      <c r="V2092" s="5" t="s">
        <v>23444</v>
      </c>
      <c r="W2092" s="5" t="s">
        <v>24572</v>
      </c>
      <c r="X2092" s="5" t="s">
        <v>24572</v>
      </c>
      <c r="Y2092" s="4">
        <v>389</v>
      </c>
      <c r="Z2092" s="4">
        <v>278</v>
      </c>
      <c r="AA2092" s="4">
        <v>281</v>
      </c>
      <c r="AB2092" s="4">
        <v>2</v>
      </c>
      <c r="AC2092" s="4">
        <v>2</v>
      </c>
      <c r="AD2092" s="4">
        <v>9</v>
      </c>
      <c r="AE2092" s="4">
        <v>9</v>
      </c>
      <c r="AF2092" s="4">
        <v>3</v>
      </c>
      <c r="AG2092" s="4">
        <v>3</v>
      </c>
      <c r="AH2092" s="4">
        <v>5</v>
      </c>
      <c r="AI2092" s="4">
        <v>5</v>
      </c>
      <c r="AJ2092" s="4">
        <v>5</v>
      </c>
      <c r="AK2092" s="4">
        <v>5</v>
      </c>
      <c r="AL2092" s="4">
        <v>1</v>
      </c>
      <c r="AM2092" s="4">
        <v>1</v>
      </c>
      <c r="AN2092" s="4">
        <v>0</v>
      </c>
      <c r="AO2092" s="4">
        <v>0</v>
      </c>
      <c r="AP2092" s="3" t="s">
        <v>58</v>
      </c>
      <c r="AQ2092" s="3" t="s">
        <v>68</v>
      </c>
      <c r="AR2092" s="6" t="str">
        <f>HYPERLINK("http://catalog.hathitrust.org/Record/000724035","HathiTrust Record")</f>
        <v>HathiTrust Record</v>
      </c>
      <c r="AS2092" s="6" t="str">
        <f>HYPERLINK("https://creighton-primo.hosted.exlibrisgroup.com/primo-explore/search?tab=default_tab&amp;search_scope=EVERYTHING&amp;vid=01CRU&amp;lang=en_US&amp;offset=0&amp;query=any,contains,991004072939702656","Catalog Record")</f>
        <v>Catalog Record</v>
      </c>
      <c r="AT2092" s="6" t="str">
        <f>HYPERLINK("http://www.worldcat.org/oclc/2309600","WorldCat Record")</f>
        <v>WorldCat Record</v>
      </c>
      <c r="AU2092" s="3" t="s">
        <v>25526</v>
      </c>
      <c r="AV2092" s="3" t="s">
        <v>25527</v>
      </c>
      <c r="AW2092" s="3" t="s">
        <v>25528</v>
      </c>
      <c r="AX2092" s="3" t="s">
        <v>25528</v>
      </c>
      <c r="AY2092" s="3" t="s">
        <v>25529</v>
      </c>
      <c r="AZ2092" s="3" t="s">
        <v>73</v>
      </c>
      <c r="BB2092" s="3" t="s">
        <v>25530</v>
      </c>
      <c r="BC2092" s="3" t="s">
        <v>25531</v>
      </c>
      <c r="BD2092" s="3" t="s">
        <v>25532</v>
      </c>
    </row>
    <row r="2093" spans="1:56" ht="51" customHeight="1" x14ac:dyDescent="0.25">
      <c r="A2093" s="7" t="s">
        <v>58</v>
      </c>
      <c r="B2093" s="2" t="s">
        <v>25533</v>
      </c>
      <c r="C2093" s="2" t="s">
        <v>25534</v>
      </c>
      <c r="D2093" s="2" t="s">
        <v>25535</v>
      </c>
      <c r="F2093" s="3" t="s">
        <v>58</v>
      </c>
      <c r="G2093" s="3" t="s">
        <v>59</v>
      </c>
      <c r="H2093" s="3" t="s">
        <v>58</v>
      </c>
      <c r="I2093" s="3" t="s">
        <v>58</v>
      </c>
      <c r="J2093" s="3" t="s">
        <v>60</v>
      </c>
      <c r="K2093" s="2" t="s">
        <v>25536</v>
      </c>
      <c r="L2093" s="2" t="s">
        <v>25537</v>
      </c>
      <c r="M2093" s="3" t="s">
        <v>12994</v>
      </c>
      <c r="O2093" s="3" t="s">
        <v>63</v>
      </c>
      <c r="P2093" s="3" t="s">
        <v>10900</v>
      </c>
      <c r="R2093" s="3" t="s">
        <v>65</v>
      </c>
      <c r="S2093" s="4">
        <v>4</v>
      </c>
      <c r="T2093" s="4">
        <v>4</v>
      </c>
      <c r="U2093" s="5" t="s">
        <v>24290</v>
      </c>
      <c r="V2093" s="5" t="s">
        <v>24290</v>
      </c>
      <c r="W2093" s="5" t="s">
        <v>25029</v>
      </c>
      <c r="X2093" s="5" t="s">
        <v>25029</v>
      </c>
      <c r="Y2093" s="4">
        <v>231</v>
      </c>
      <c r="Z2093" s="4">
        <v>188</v>
      </c>
      <c r="AA2093" s="4">
        <v>190</v>
      </c>
      <c r="AB2093" s="4">
        <v>3</v>
      </c>
      <c r="AC2093" s="4">
        <v>3</v>
      </c>
      <c r="AD2093" s="4">
        <v>7</v>
      </c>
      <c r="AE2093" s="4">
        <v>7</v>
      </c>
      <c r="AF2093" s="4">
        <v>3</v>
      </c>
      <c r="AG2093" s="4">
        <v>3</v>
      </c>
      <c r="AH2093" s="4">
        <v>0</v>
      </c>
      <c r="AI2093" s="4">
        <v>0</v>
      </c>
      <c r="AJ2093" s="4">
        <v>4</v>
      </c>
      <c r="AK2093" s="4">
        <v>4</v>
      </c>
      <c r="AL2093" s="4">
        <v>2</v>
      </c>
      <c r="AM2093" s="4">
        <v>2</v>
      </c>
      <c r="AN2093" s="4">
        <v>0</v>
      </c>
      <c r="AO2093" s="4">
        <v>0</v>
      </c>
      <c r="AP2093" s="3" t="s">
        <v>58</v>
      </c>
      <c r="AQ2093" s="3" t="s">
        <v>68</v>
      </c>
      <c r="AR2093" s="6" t="str">
        <f>HYPERLINK("http://catalog.hathitrust.org/Record/001258576","HathiTrust Record")</f>
        <v>HathiTrust Record</v>
      </c>
      <c r="AS2093" s="6" t="str">
        <f>HYPERLINK("https://creighton-primo.hosted.exlibrisgroup.com/primo-explore/search?tab=default_tab&amp;search_scope=EVERYTHING&amp;vid=01CRU&amp;lang=en_US&amp;offset=0&amp;query=any,contains,991004624269702656","Catalog Record")</f>
        <v>Catalog Record</v>
      </c>
      <c r="AT2093" s="6" t="str">
        <f>HYPERLINK("http://www.worldcat.org/oclc/4323928","WorldCat Record")</f>
        <v>WorldCat Record</v>
      </c>
      <c r="AU2093" s="3" t="s">
        <v>25538</v>
      </c>
      <c r="AV2093" s="3" t="s">
        <v>25539</v>
      </c>
      <c r="AW2093" s="3" t="s">
        <v>25540</v>
      </c>
      <c r="AX2093" s="3" t="s">
        <v>25540</v>
      </c>
      <c r="AY2093" s="3" t="s">
        <v>25541</v>
      </c>
      <c r="AZ2093" s="3" t="s">
        <v>73</v>
      </c>
      <c r="BC2093" s="3" t="s">
        <v>25542</v>
      </c>
      <c r="BD2093" s="3" t="s">
        <v>25543</v>
      </c>
    </row>
    <row r="2094" spans="1:56" ht="51" customHeight="1" x14ac:dyDescent="0.25">
      <c r="A2094" s="7" t="s">
        <v>58</v>
      </c>
      <c r="B2094" s="2" t="s">
        <v>25544</v>
      </c>
      <c r="C2094" s="2" t="s">
        <v>25545</v>
      </c>
      <c r="D2094" s="2" t="s">
        <v>25546</v>
      </c>
      <c r="F2094" s="3" t="s">
        <v>58</v>
      </c>
      <c r="G2094" s="3" t="s">
        <v>59</v>
      </c>
      <c r="H2094" s="3" t="s">
        <v>58</v>
      </c>
      <c r="I2094" s="3" t="s">
        <v>58</v>
      </c>
      <c r="J2094" s="3" t="s">
        <v>60</v>
      </c>
      <c r="K2094" s="2" t="s">
        <v>25547</v>
      </c>
      <c r="L2094" s="2" t="s">
        <v>5821</v>
      </c>
      <c r="M2094" s="3" t="s">
        <v>138</v>
      </c>
      <c r="O2094" s="3" t="s">
        <v>63</v>
      </c>
      <c r="P2094" s="3" t="s">
        <v>214</v>
      </c>
      <c r="R2094" s="3" t="s">
        <v>65</v>
      </c>
      <c r="S2094" s="4">
        <v>11</v>
      </c>
      <c r="T2094" s="4">
        <v>11</v>
      </c>
      <c r="U2094" s="5" t="s">
        <v>1024</v>
      </c>
      <c r="V2094" s="5" t="s">
        <v>1024</v>
      </c>
      <c r="W2094" s="5" t="s">
        <v>25029</v>
      </c>
      <c r="X2094" s="5" t="s">
        <v>25029</v>
      </c>
      <c r="Y2094" s="4">
        <v>590</v>
      </c>
      <c r="Z2094" s="4">
        <v>542</v>
      </c>
      <c r="AA2094" s="4">
        <v>551</v>
      </c>
      <c r="AB2094" s="4">
        <v>6</v>
      </c>
      <c r="AC2094" s="4">
        <v>6</v>
      </c>
      <c r="AD2094" s="4">
        <v>15</v>
      </c>
      <c r="AE2094" s="4">
        <v>15</v>
      </c>
      <c r="AF2094" s="4">
        <v>6</v>
      </c>
      <c r="AG2094" s="4">
        <v>6</v>
      </c>
      <c r="AH2094" s="4">
        <v>4</v>
      </c>
      <c r="AI2094" s="4">
        <v>4</v>
      </c>
      <c r="AJ2094" s="4">
        <v>7</v>
      </c>
      <c r="AK2094" s="4">
        <v>7</v>
      </c>
      <c r="AL2094" s="4">
        <v>3</v>
      </c>
      <c r="AM2094" s="4">
        <v>3</v>
      </c>
      <c r="AN2094" s="4">
        <v>0</v>
      </c>
      <c r="AO2094" s="4">
        <v>0</v>
      </c>
      <c r="AP2094" s="3" t="s">
        <v>58</v>
      </c>
      <c r="AQ2094" s="3" t="s">
        <v>68</v>
      </c>
      <c r="AR2094" s="6" t="str">
        <f>HYPERLINK("http://catalog.hathitrust.org/Record/000769446","HathiTrust Record")</f>
        <v>HathiTrust Record</v>
      </c>
      <c r="AS2094" s="6" t="str">
        <f>HYPERLINK("https://creighton-primo.hosted.exlibrisgroup.com/primo-explore/search?tab=default_tab&amp;search_scope=EVERYTHING&amp;vid=01CRU&amp;lang=en_US&amp;offset=0&amp;query=any,contains,991000025279702656","Catalog Record")</f>
        <v>Catalog Record</v>
      </c>
      <c r="AT2094" s="6" t="str">
        <f>HYPERLINK("http://www.worldcat.org/oclc/8588593","WorldCat Record")</f>
        <v>WorldCat Record</v>
      </c>
      <c r="AU2094" s="3" t="s">
        <v>25548</v>
      </c>
      <c r="AV2094" s="3" t="s">
        <v>25549</v>
      </c>
      <c r="AW2094" s="3" t="s">
        <v>25550</v>
      </c>
      <c r="AX2094" s="3" t="s">
        <v>25550</v>
      </c>
      <c r="AY2094" s="3" t="s">
        <v>25551</v>
      </c>
      <c r="AZ2094" s="3" t="s">
        <v>73</v>
      </c>
      <c r="BB2094" s="3" t="s">
        <v>25552</v>
      </c>
      <c r="BC2094" s="3" t="s">
        <v>25553</v>
      </c>
      <c r="BD2094" s="3" t="s">
        <v>25554</v>
      </c>
    </row>
    <row r="2095" spans="1:56" ht="51" customHeight="1" x14ac:dyDescent="0.25">
      <c r="A2095" s="7" t="s">
        <v>58</v>
      </c>
      <c r="B2095" s="2" t="s">
        <v>25555</v>
      </c>
      <c r="C2095" s="2" t="s">
        <v>25556</v>
      </c>
      <c r="D2095" s="2" t="s">
        <v>25557</v>
      </c>
      <c r="F2095" s="3" t="s">
        <v>58</v>
      </c>
      <c r="G2095" s="3" t="s">
        <v>59</v>
      </c>
      <c r="H2095" s="3" t="s">
        <v>58</v>
      </c>
      <c r="I2095" s="3" t="s">
        <v>58</v>
      </c>
      <c r="J2095" s="3" t="s">
        <v>60</v>
      </c>
      <c r="K2095" s="2" t="s">
        <v>25558</v>
      </c>
      <c r="L2095" s="2" t="s">
        <v>25559</v>
      </c>
      <c r="M2095" s="3" t="s">
        <v>10955</v>
      </c>
      <c r="O2095" s="3" t="s">
        <v>63</v>
      </c>
      <c r="P2095" s="3" t="s">
        <v>214</v>
      </c>
      <c r="R2095" s="3" t="s">
        <v>65</v>
      </c>
      <c r="S2095" s="4">
        <v>1</v>
      </c>
      <c r="T2095" s="4">
        <v>1</v>
      </c>
      <c r="U2095" s="5" t="s">
        <v>25560</v>
      </c>
      <c r="V2095" s="5" t="s">
        <v>25560</v>
      </c>
      <c r="W2095" s="5" t="s">
        <v>24572</v>
      </c>
      <c r="X2095" s="5" t="s">
        <v>24572</v>
      </c>
      <c r="Y2095" s="4">
        <v>507</v>
      </c>
      <c r="Z2095" s="4">
        <v>488</v>
      </c>
      <c r="AA2095" s="4">
        <v>598</v>
      </c>
      <c r="AB2095" s="4">
        <v>8</v>
      </c>
      <c r="AC2095" s="4">
        <v>8</v>
      </c>
      <c r="AD2095" s="4">
        <v>26</v>
      </c>
      <c r="AE2095" s="4">
        <v>31</v>
      </c>
      <c r="AF2095" s="4">
        <v>7</v>
      </c>
      <c r="AG2095" s="4">
        <v>11</v>
      </c>
      <c r="AH2095" s="4">
        <v>4</v>
      </c>
      <c r="AI2095" s="4">
        <v>6</v>
      </c>
      <c r="AJ2095" s="4">
        <v>10</v>
      </c>
      <c r="AK2095" s="4">
        <v>12</v>
      </c>
      <c r="AL2095" s="4">
        <v>7</v>
      </c>
      <c r="AM2095" s="4">
        <v>7</v>
      </c>
      <c r="AN2095" s="4">
        <v>0</v>
      </c>
      <c r="AO2095" s="4">
        <v>0</v>
      </c>
      <c r="AP2095" s="3" t="s">
        <v>58</v>
      </c>
      <c r="AQ2095" s="3" t="s">
        <v>68</v>
      </c>
      <c r="AR2095" s="6" t="str">
        <f>HYPERLINK("http://catalog.hathitrust.org/Record/001258612","HathiTrust Record")</f>
        <v>HathiTrust Record</v>
      </c>
      <c r="AS2095" s="6" t="str">
        <f>HYPERLINK("https://creighton-primo.hosted.exlibrisgroup.com/primo-explore/search?tab=default_tab&amp;search_scope=EVERYTHING&amp;vid=01CRU&amp;lang=en_US&amp;offset=0&amp;query=any,contains,991003228939702656","Catalog Record")</f>
        <v>Catalog Record</v>
      </c>
      <c r="AT2095" s="6" t="str">
        <f>HYPERLINK("http://www.worldcat.org/oclc/754026","WorldCat Record")</f>
        <v>WorldCat Record</v>
      </c>
      <c r="AU2095" s="3" t="s">
        <v>25561</v>
      </c>
      <c r="AV2095" s="3" t="s">
        <v>25562</v>
      </c>
      <c r="AW2095" s="3" t="s">
        <v>25563</v>
      </c>
      <c r="AX2095" s="3" t="s">
        <v>25563</v>
      </c>
      <c r="AY2095" s="3" t="s">
        <v>25564</v>
      </c>
      <c r="AZ2095" s="3" t="s">
        <v>73</v>
      </c>
      <c r="BB2095" s="3" t="s">
        <v>25565</v>
      </c>
      <c r="BC2095" s="3" t="s">
        <v>25566</v>
      </c>
      <c r="BD2095" s="3" t="s">
        <v>25567</v>
      </c>
    </row>
    <row r="2096" spans="1:56" ht="51" customHeight="1" x14ac:dyDescent="0.25">
      <c r="A2096" s="7" t="s">
        <v>58</v>
      </c>
      <c r="B2096" s="2" t="s">
        <v>25568</v>
      </c>
      <c r="C2096" s="2" t="s">
        <v>25569</v>
      </c>
      <c r="D2096" s="2" t="s">
        <v>25570</v>
      </c>
      <c r="F2096" s="3" t="s">
        <v>58</v>
      </c>
      <c r="G2096" s="3" t="s">
        <v>59</v>
      </c>
      <c r="H2096" s="3" t="s">
        <v>58</v>
      </c>
      <c r="I2096" s="3" t="s">
        <v>58</v>
      </c>
      <c r="J2096" s="3" t="s">
        <v>60</v>
      </c>
      <c r="K2096" s="2" t="s">
        <v>25571</v>
      </c>
      <c r="L2096" s="2" t="s">
        <v>25572</v>
      </c>
      <c r="M2096" s="3" t="s">
        <v>1720</v>
      </c>
      <c r="O2096" s="3" t="s">
        <v>63</v>
      </c>
      <c r="P2096" s="3" t="s">
        <v>411</v>
      </c>
      <c r="R2096" s="3" t="s">
        <v>65</v>
      </c>
      <c r="S2096" s="4">
        <v>2</v>
      </c>
      <c r="T2096" s="4">
        <v>2</v>
      </c>
      <c r="U2096" s="5" t="s">
        <v>25573</v>
      </c>
      <c r="V2096" s="5" t="s">
        <v>25573</v>
      </c>
      <c r="W2096" s="5" t="s">
        <v>24572</v>
      </c>
      <c r="X2096" s="5" t="s">
        <v>24572</v>
      </c>
      <c r="Y2096" s="4">
        <v>1222</v>
      </c>
      <c r="Z2096" s="4">
        <v>1082</v>
      </c>
      <c r="AA2096" s="4">
        <v>1206</v>
      </c>
      <c r="AB2096" s="4">
        <v>10</v>
      </c>
      <c r="AC2096" s="4">
        <v>10</v>
      </c>
      <c r="AD2096" s="4">
        <v>50</v>
      </c>
      <c r="AE2096" s="4">
        <v>58</v>
      </c>
      <c r="AF2096" s="4">
        <v>20</v>
      </c>
      <c r="AG2096" s="4">
        <v>25</v>
      </c>
      <c r="AH2096" s="4">
        <v>8</v>
      </c>
      <c r="AI2096" s="4">
        <v>10</v>
      </c>
      <c r="AJ2096" s="4">
        <v>21</v>
      </c>
      <c r="AK2096" s="4">
        <v>23</v>
      </c>
      <c r="AL2096" s="4">
        <v>9</v>
      </c>
      <c r="AM2096" s="4">
        <v>9</v>
      </c>
      <c r="AN2096" s="4">
        <v>1</v>
      </c>
      <c r="AO2096" s="4">
        <v>3</v>
      </c>
      <c r="AP2096" s="3" t="s">
        <v>58</v>
      </c>
      <c r="AQ2096" s="3" t="s">
        <v>58</v>
      </c>
      <c r="AS2096" s="6" t="str">
        <f>HYPERLINK("https://creighton-primo.hosted.exlibrisgroup.com/primo-explore/search?tab=default_tab&amp;search_scope=EVERYTHING&amp;vid=01CRU&amp;lang=en_US&amp;offset=0&amp;query=any,contains,991002071679702656","Catalog Record")</f>
        <v>Catalog Record</v>
      </c>
      <c r="AT2096" s="6" t="str">
        <f>HYPERLINK("http://www.worldcat.org/oclc/263583","WorldCat Record")</f>
        <v>WorldCat Record</v>
      </c>
      <c r="AU2096" s="3" t="s">
        <v>25574</v>
      </c>
      <c r="AV2096" s="3" t="s">
        <v>25575</v>
      </c>
      <c r="AW2096" s="3" t="s">
        <v>25576</v>
      </c>
      <c r="AX2096" s="3" t="s">
        <v>25576</v>
      </c>
      <c r="AY2096" s="3" t="s">
        <v>25577</v>
      </c>
      <c r="AZ2096" s="3" t="s">
        <v>73</v>
      </c>
      <c r="BC2096" s="3" t="s">
        <v>25578</v>
      </c>
      <c r="BD2096" s="3" t="s">
        <v>25579</v>
      </c>
    </row>
    <row r="2097" spans="1:56" ht="51" customHeight="1" x14ac:dyDescent="0.25">
      <c r="A2097" s="7" t="s">
        <v>58</v>
      </c>
      <c r="B2097" s="2" t="s">
        <v>25580</v>
      </c>
      <c r="C2097" s="2" t="s">
        <v>25581</v>
      </c>
      <c r="D2097" s="2" t="s">
        <v>25582</v>
      </c>
      <c r="F2097" s="3" t="s">
        <v>58</v>
      </c>
      <c r="G2097" s="3" t="s">
        <v>59</v>
      </c>
      <c r="H2097" s="3" t="s">
        <v>58</v>
      </c>
      <c r="I2097" s="3" t="s">
        <v>58</v>
      </c>
      <c r="J2097" s="3" t="s">
        <v>60</v>
      </c>
      <c r="K2097" s="2" t="s">
        <v>25583</v>
      </c>
      <c r="L2097" s="2" t="s">
        <v>25584</v>
      </c>
      <c r="M2097" s="3" t="s">
        <v>382</v>
      </c>
      <c r="O2097" s="3" t="s">
        <v>63</v>
      </c>
      <c r="P2097" s="3" t="s">
        <v>214</v>
      </c>
      <c r="R2097" s="3" t="s">
        <v>65</v>
      </c>
      <c r="S2097" s="4">
        <v>7</v>
      </c>
      <c r="T2097" s="4">
        <v>7</v>
      </c>
      <c r="U2097" s="5" t="s">
        <v>25585</v>
      </c>
      <c r="V2097" s="5" t="s">
        <v>25585</v>
      </c>
      <c r="W2097" s="5" t="s">
        <v>25586</v>
      </c>
      <c r="X2097" s="5" t="s">
        <v>25586</v>
      </c>
      <c r="Y2097" s="4">
        <v>814</v>
      </c>
      <c r="Z2097" s="4">
        <v>693</v>
      </c>
      <c r="AA2097" s="4">
        <v>720</v>
      </c>
      <c r="AB2097" s="4">
        <v>7</v>
      </c>
      <c r="AC2097" s="4">
        <v>7</v>
      </c>
      <c r="AD2097" s="4">
        <v>30</v>
      </c>
      <c r="AE2097" s="4">
        <v>30</v>
      </c>
      <c r="AF2097" s="4">
        <v>14</v>
      </c>
      <c r="AG2097" s="4">
        <v>14</v>
      </c>
      <c r="AH2097" s="4">
        <v>7</v>
      </c>
      <c r="AI2097" s="4">
        <v>7</v>
      </c>
      <c r="AJ2097" s="4">
        <v>14</v>
      </c>
      <c r="AK2097" s="4">
        <v>14</v>
      </c>
      <c r="AL2097" s="4">
        <v>5</v>
      </c>
      <c r="AM2097" s="4">
        <v>5</v>
      </c>
      <c r="AN2097" s="4">
        <v>0</v>
      </c>
      <c r="AO2097" s="4">
        <v>0</v>
      </c>
      <c r="AP2097" s="3" t="s">
        <v>58</v>
      </c>
      <c r="AQ2097" s="3" t="s">
        <v>68</v>
      </c>
      <c r="AR2097" s="6" t="str">
        <f>HYPERLINK("http://catalog.hathitrust.org/Record/004044350","HathiTrust Record")</f>
        <v>HathiTrust Record</v>
      </c>
      <c r="AS2097" s="6" t="str">
        <f>HYPERLINK("https://creighton-primo.hosted.exlibrisgroup.com/primo-explore/search?tab=default_tab&amp;search_scope=EVERYTHING&amp;vid=01CRU&amp;lang=en_US&amp;offset=0&amp;query=any,contains,991003541949702656","Catalog Record")</f>
        <v>Catalog Record</v>
      </c>
      <c r="AT2097" s="6" t="str">
        <f>HYPERLINK("http://www.worldcat.org/oclc/39786798","WorldCat Record")</f>
        <v>WorldCat Record</v>
      </c>
      <c r="AU2097" s="3" t="s">
        <v>25587</v>
      </c>
      <c r="AV2097" s="3" t="s">
        <v>25588</v>
      </c>
      <c r="AW2097" s="3" t="s">
        <v>25589</v>
      </c>
      <c r="AX2097" s="3" t="s">
        <v>25589</v>
      </c>
      <c r="AY2097" s="3" t="s">
        <v>25590</v>
      </c>
      <c r="AZ2097" s="3" t="s">
        <v>73</v>
      </c>
      <c r="BB2097" s="3" t="s">
        <v>25591</v>
      </c>
      <c r="BC2097" s="3" t="s">
        <v>25592</v>
      </c>
      <c r="BD2097" s="3" t="s">
        <v>25593</v>
      </c>
    </row>
    <row r="2098" spans="1:56" ht="51" customHeight="1" x14ac:dyDescent="0.25">
      <c r="A2098" s="7" t="s">
        <v>58</v>
      </c>
      <c r="B2098" s="2" t="s">
        <v>25594</v>
      </c>
      <c r="C2098" s="2" t="s">
        <v>25595</v>
      </c>
      <c r="D2098" s="2" t="s">
        <v>25596</v>
      </c>
      <c r="F2098" s="3" t="s">
        <v>58</v>
      </c>
      <c r="G2098" s="3" t="s">
        <v>59</v>
      </c>
      <c r="H2098" s="3" t="s">
        <v>58</v>
      </c>
      <c r="I2098" s="3" t="s">
        <v>58</v>
      </c>
      <c r="J2098" s="3" t="s">
        <v>60</v>
      </c>
      <c r="K2098" s="2" t="s">
        <v>25597</v>
      </c>
      <c r="L2098" s="2" t="s">
        <v>25598</v>
      </c>
      <c r="M2098" s="3" t="s">
        <v>2214</v>
      </c>
      <c r="O2098" s="3" t="s">
        <v>63</v>
      </c>
      <c r="P2098" s="3" t="s">
        <v>816</v>
      </c>
      <c r="R2098" s="3" t="s">
        <v>65</v>
      </c>
      <c r="S2098" s="4">
        <v>2</v>
      </c>
      <c r="T2098" s="4">
        <v>2</v>
      </c>
      <c r="U2098" s="5" t="s">
        <v>11584</v>
      </c>
      <c r="V2098" s="5" t="s">
        <v>11584</v>
      </c>
      <c r="W2098" s="5" t="s">
        <v>19691</v>
      </c>
      <c r="X2098" s="5" t="s">
        <v>19691</v>
      </c>
      <c r="Y2098" s="4">
        <v>509</v>
      </c>
      <c r="Z2098" s="4">
        <v>417</v>
      </c>
      <c r="AA2098" s="4">
        <v>458</v>
      </c>
      <c r="AB2098" s="4">
        <v>2</v>
      </c>
      <c r="AC2098" s="4">
        <v>4</v>
      </c>
      <c r="AD2098" s="4">
        <v>29</v>
      </c>
      <c r="AE2098" s="4">
        <v>33</v>
      </c>
      <c r="AF2098" s="4">
        <v>12</v>
      </c>
      <c r="AG2098" s="4">
        <v>13</v>
      </c>
      <c r="AH2098" s="4">
        <v>8</v>
      </c>
      <c r="AI2098" s="4">
        <v>8</v>
      </c>
      <c r="AJ2098" s="4">
        <v>17</v>
      </c>
      <c r="AK2098" s="4">
        <v>18</v>
      </c>
      <c r="AL2098" s="4">
        <v>1</v>
      </c>
      <c r="AM2098" s="4">
        <v>3</v>
      </c>
      <c r="AN2098" s="4">
        <v>0</v>
      </c>
      <c r="AO2098" s="4">
        <v>0</v>
      </c>
      <c r="AP2098" s="3" t="s">
        <v>58</v>
      </c>
      <c r="AQ2098" s="3" t="s">
        <v>68</v>
      </c>
      <c r="AR2098" s="6" t="str">
        <f>HYPERLINK("http://catalog.hathitrust.org/Record/004926339","HathiTrust Record")</f>
        <v>HathiTrust Record</v>
      </c>
      <c r="AS2098" s="6" t="str">
        <f>HYPERLINK("https://creighton-primo.hosted.exlibrisgroup.com/primo-explore/search?tab=default_tab&amp;search_scope=EVERYTHING&amp;vid=01CRU&amp;lang=en_US&amp;offset=0&amp;query=any,contains,991004847179702656","Catalog Record")</f>
        <v>Catalog Record</v>
      </c>
      <c r="AT2098" s="6" t="str">
        <f>HYPERLINK("http://www.worldcat.org/oclc/55948146","WorldCat Record")</f>
        <v>WorldCat Record</v>
      </c>
      <c r="AU2098" s="3" t="s">
        <v>25599</v>
      </c>
      <c r="AV2098" s="3" t="s">
        <v>25600</v>
      </c>
      <c r="AW2098" s="3" t="s">
        <v>25601</v>
      </c>
      <c r="AX2098" s="3" t="s">
        <v>25601</v>
      </c>
      <c r="AY2098" s="3" t="s">
        <v>25602</v>
      </c>
      <c r="AZ2098" s="3" t="s">
        <v>73</v>
      </c>
      <c r="BB2098" s="3" t="s">
        <v>25603</v>
      </c>
      <c r="BC2098" s="3" t="s">
        <v>25604</v>
      </c>
      <c r="BD2098" s="3" t="s">
        <v>25605</v>
      </c>
    </row>
    <row r="2099" spans="1:56" ht="51" customHeight="1" x14ac:dyDescent="0.25">
      <c r="A2099" s="7" t="s">
        <v>58</v>
      </c>
      <c r="B2099" s="2" t="s">
        <v>25606</v>
      </c>
      <c r="C2099" s="2" t="s">
        <v>25607</v>
      </c>
      <c r="D2099" s="2" t="s">
        <v>25608</v>
      </c>
      <c r="F2099" s="3" t="s">
        <v>58</v>
      </c>
      <c r="G2099" s="3" t="s">
        <v>59</v>
      </c>
      <c r="H2099" s="3" t="s">
        <v>58</v>
      </c>
      <c r="I2099" s="3" t="s">
        <v>58</v>
      </c>
      <c r="J2099" s="3" t="s">
        <v>60</v>
      </c>
      <c r="L2099" s="2" t="s">
        <v>25609</v>
      </c>
      <c r="M2099" s="3" t="s">
        <v>951</v>
      </c>
      <c r="O2099" s="3" t="s">
        <v>63</v>
      </c>
      <c r="P2099" s="3" t="s">
        <v>3109</v>
      </c>
      <c r="Q2099" s="2" t="s">
        <v>25610</v>
      </c>
      <c r="R2099" s="3" t="s">
        <v>65</v>
      </c>
      <c r="S2099" s="4">
        <v>3</v>
      </c>
      <c r="T2099" s="4">
        <v>3</v>
      </c>
      <c r="U2099" s="5" t="s">
        <v>25381</v>
      </c>
      <c r="V2099" s="5" t="s">
        <v>25381</v>
      </c>
      <c r="W2099" s="5" t="s">
        <v>14274</v>
      </c>
      <c r="X2099" s="5" t="s">
        <v>14274</v>
      </c>
      <c r="Y2099" s="4">
        <v>307</v>
      </c>
      <c r="Z2099" s="4">
        <v>228</v>
      </c>
      <c r="AA2099" s="4">
        <v>235</v>
      </c>
      <c r="AB2099" s="4">
        <v>2</v>
      </c>
      <c r="AC2099" s="4">
        <v>2</v>
      </c>
      <c r="AD2099" s="4">
        <v>15</v>
      </c>
      <c r="AE2099" s="4">
        <v>15</v>
      </c>
      <c r="AF2099" s="4">
        <v>4</v>
      </c>
      <c r="AG2099" s="4">
        <v>4</v>
      </c>
      <c r="AH2099" s="4">
        <v>7</v>
      </c>
      <c r="AI2099" s="4">
        <v>7</v>
      </c>
      <c r="AJ2099" s="4">
        <v>8</v>
      </c>
      <c r="AK2099" s="4">
        <v>8</v>
      </c>
      <c r="AL2099" s="4">
        <v>1</v>
      </c>
      <c r="AM2099" s="4">
        <v>1</v>
      </c>
      <c r="AN2099" s="4">
        <v>0</v>
      </c>
      <c r="AO2099" s="4">
        <v>0</v>
      </c>
      <c r="AP2099" s="3" t="s">
        <v>58</v>
      </c>
      <c r="AQ2099" s="3" t="s">
        <v>68</v>
      </c>
      <c r="AR2099" s="6" t="str">
        <f>HYPERLINK("http://catalog.hathitrust.org/Record/004106619","HathiTrust Record")</f>
        <v>HathiTrust Record</v>
      </c>
      <c r="AS2099" s="6" t="str">
        <f>HYPERLINK("https://creighton-primo.hosted.exlibrisgroup.com/primo-explore/search?tab=default_tab&amp;search_scope=EVERYTHING&amp;vid=01CRU&amp;lang=en_US&amp;offset=0&amp;query=any,contains,991003696229702656","Catalog Record")</f>
        <v>Catalog Record</v>
      </c>
      <c r="AT2099" s="6" t="str">
        <f>HYPERLINK("http://www.worldcat.org/oclc/43063265","WorldCat Record")</f>
        <v>WorldCat Record</v>
      </c>
      <c r="AU2099" s="3" t="s">
        <v>25611</v>
      </c>
      <c r="AV2099" s="3" t="s">
        <v>25612</v>
      </c>
      <c r="AW2099" s="3" t="s">
        <v>25613</v>
      </c>
      <c r="AX2099" s="3" t="s">
        <v>25613</v>
      </c>
      <c r="AY2099" s="3" t="s">
        <v>25614</v>
      </c>
      <c r="AZ2099" s="3" t="s">
        <v>73</v>
      </c>
      <c r="BB2099" s="3" t="s">
        <v>25615</v>
      </c>
      <c r="BC2099" s="3" t="s">
        <v>25616</v>
      </c>
      <c r="BD2099" s="3" t="s">
        <v>25617</v>
      </c>
    </row>
    <row r="2100" spans="1:56" ht="51" customHeight="1" x14ac:dyDescent="0.25">
      <c r="A2100" s="7" t="s">
        <v>58</v>
      </c>
      <c r="B2100" s="2" t="s">
        <v>25618</v>
      </c>
      <c r="C2100" s="2" t="s">
        <v>25619</v>
      </c>
      <c r="D2100" s="2" t="s">
        <v>25620</v>
      </c>
      <c r="F2100" s="3" t="s">
        <v>58</v>
      </c>
      <c r="G2100" s="3" t="s">
        <v>59</v>
      </c>
      <c r="H2100" s="3" t="s">
        <v>58</v>
      </c>
      <c r="I2100" s="3" t="s">
        <v>58</v>
      </c>
      <c r="J2100" s="3" t="s">
        <v>60</v>
      </c>
      <c r="K2100" s="2" t="s">
        <v>25621</v>
      </c>
      <c r="L2100" s="2" t="s">
        <v>25622</v>
      </c>
      <c r="M2100" s="3" t="s">
        <v>83</v>
      </c>
      <c r="O2100" s="3" t="s">
        <v>63</v>
      </c>
      <c r="P2100" s="3" t="s">
        <v>2061</v>
      </c>
      <c r="R2100" s="3" t="s">
        <v>65</v>
      </c>
      <c r="S2100" s="4">
        <v>4</v>
      </c>
      <c r="T2100" s="4">
        <v>4</v>
      </c>
      <c r="U2100" s="5" t="s">
        <v>25623</v>
      </c>
      <c r="V2100" s="5" t="s">
        <v>25623</v>
      </c>
      <c r="W2100" s="5" t="s">
        <v>25201</v>
      </c>
      <c r="X2100" s="5" t="s">
        <v>25201</v>
      </c>
      <c r="Y2100" s="4">
        <v>719</v>
      </c>
      <c r="Z2100" s="4">
        <v>582</v>
      </c>
      <c r="AA2100" s="4">
        <v>720</v>
      </c>
      <c r="AB2100" s="4">
        <v>5</v>
      </c>
      <c r="AC2100" s="4">
        <v>6</v>
      </c>
      <c r="AD2100" s="4">
        <v>30</v>
      </c>
      <c r="AE2100" s="4">
        <v>34</v>
      </c>
      <c r="AF2100" s="4">
        <v>12</v>
      </c>
      <c r="AG2100" s="4">
        <v>14</v>
      </c>
      <c r="AH2100" s="4">
        <v>7</v>
      </c>
      <c r="AI2100" s="4">
        <v>8</v>
      </c>
      <c r="AJ2100" s="4">
        <v>13</v>
      </c>
      <c r="AK2100" s="4">
        <v>15</v>
      </c>
      <c r="AL2100" s="4">
        <v>4</v>
      </c>
      <c r="AM2100" s="4">
        <v>5</v>
      </c>
      <c r="AN2100" s="4">
        <v>0</v>
      </c>
      <c r="AO2100" s="4">
        <v>0</v>
      </c>
      <c r="AP2100" s="3" t="s">
        <v>58</v>
      </c>
      <c r="AQ2100" s="3" t="s">
        <v>58</v>
      </c>
      <c r="AS2100" s="6" t="str">
        <f>HYPERLINK("https://creighton-primo.hosted.exlibrisgroup.com/primo-explore/search?tab=default_tab&amp;search_scope=EVERYTHING&amp;vid=01CRU&amp;lang=en_US&amp;offset=0&amp;query=any,contains,991004516669702656","Catalog Record")</f>
        <v>Catalog Record</v>
      </c>
      <c r="AT2100" s="6" t="str">
        <f>HYPERLINK("http://www.worldcat.org/oclc/3789561","WorldCat Record")</f>
        <v>WorldCat Record</v>
      </c>
      <c r="AU2100" s="3" t="s">
        <v>25624</v>
      </c>
      <c r="AV2100" s="3" t="s">
        <v>25625</v>
      </c>
      <c r="AW2100" s="3" t="s">
        <v>25626</v>
      </c>
      <c r="AX2100" s="3" t="s">
        <v>25626</v>
      </c>
      <c r="AY2100" s="3" t="s">
        <v>25627</v>
      </c>
      <c r="AZ2100" s="3" t="s">
        <v>73</v>
      </c>
      <c r="BB2100" s="3" t="s">
        <v>25628</v>
      </c>
      <c r="BC2100" s="3" t="s">
        <v>25629</v>
      </c>
      <c r="BD2100" s="3" t="s">
        <v>25630</v>
      </c>
    </row>
    <row r="2101" spans="1:56" ht="51" customHeight="1" x14ac:dyDescent="0.25">
      <c r="A2101" s="7" t="s">
        <v>58</v>
      </c>
      <c r="B2101" s="2" t="s">
        <v>25631</v>
      </c>
      <c r="C2101" s="2" t="s">
        <v>25632</v>
      </c>
      <c r="D2101" s="2" t="s">
        <v>25633</v>
      </c>
      <c r="F2101" s="3" t="s">
        <v>58</v>
      </c>
      <c r="G2101" s="3" t="s">
        <v>59</v>
      </c>
      <c r="H2101" s="3" t="s">
        <v>58</v>
      </c>
      <c r="I2101" s="3" t="s">
        <v>58</v>
      </c>
      <c r="J2101" s="3" t="s">
        <v>60</v>
      </c>
      <c r="K2101" s="2" t="s">
        <v>25634</v>
      </c>
      <c r="L2101" s="2" t="s">
        <v>25635</v>
      </c>
      <c r="M2101" s="3" t="s">
        <v>368</v>
      </c>
      <c r="O2101" s="3" t="s">
        <v>63</v>
      </c>
      <c r="P2101" s="3" t="s">
        <v>6817</v>
      </c>
      <c r="Q2101" s="2" t="s">
        <v>25636</v>
      </c>
      <c r="R2101" s="3" t="s">
        <v>65</v>
      </c>
      <c r="S2101" s="4">
        <v>3</v>
      </c>
      <c r="T2101" s="4">
        <v>3</v>
      </c>
      <c r="U2101" s="5" t="s">
        <v>17860</v>
      </c>
      <c r="V2101" s="5" t="s">
        <v>17860</v>
      </c>
      <c r="W2101" s="5" t="s">
        <v>23052</v>
      </c>
      <c r="X2101" s="5" t="s">
        <v>23052</v>
      </c>
      <c r="Y2101" s="4">
        <v>482</v>
      </c>
      <c r="Z2101" s="4">
        <v>377</v>
      </c>
      <c r="AA2101" s="4">
        <v>380</v>
      </c>
      <c r="AB2101" s="4">
        <v>3</v>
      </c>
      <c r="AC2101" s="4">
        <v>3</v>
      </c>
      <c r="AD2101" s="4">
        <v>18</v>
      </c>
      <c r="AE2101" s="4">
        <v>19</v>
      </c>
      <c r="AF2101" s="4">
        <v>7</v>
      </c>
      <c r="AG2101" s="4">
        <v>7</v>
      </c>
      <c r="AH2101" s="4">
        <v>5</v>
      </c>
      <c r="AI2101" s="4">
        <v>6</v>
      </c>
      <c r="AJ2101" s="4">
        <v>8</v>
      </c>
      <c r="AK2101" s="4">
        <v>9</v>
      </c>
      <c r="AL2101" s="4">
        <v>2</v>
      </c>
      <c r="AM2101" s="4">
        <v>2</v>
      </c>
      <c r="AN2101" s="4">
        <v>1</v>
      </c>
      <c r="AO2101" s="4">
        <v>1</v>
      </c>
      <c r="AP2101" s="3" t="s">
        <v>58</v>
      </c>
      <c r="AQ2101" s="3" t="s">
        <v>58</v>
      </c>
      <c r="AS2101" s="6" t="str">
        <f>HYPERLINK("https://creighton-primo.hosted.exlibrisgroup.com/primo-explore/search?tab=default_tab&amp;search_scope=EVERYTHING&amp;vid=01CRU&amp;lang=en_US&amp;offset=0&amp;query=any,contains,991004195929702656","Catalog Record")</f>
        <v>Catalog Record</v>
      </c>
      <c r="AT2101" s="6" t="str">
        <f>HYPERLINK("http://www.worldcat.org/oclc/2644550","WorldCat Record")</f>
        <v>WorldCat Record</v>
      </c>
      <c r="AU2101" s="3" t="s">
        <v>25637</v>
      </c>
      <c r="AV2101" s="3" t="s">
        <v>25638</v>
      </c>
      <c r="AW2101" s="3" t="s">
        <v>25639</v>
      </c>
      <c r="AX2101" s="3" t="s">
        <v>25639</v>
      </c>
      <c r="AY2101" s="3" t="s">
        <v>25640</v>
      </c>
      <c r="AZ2101" s="3" t="s">
        <v>73</v>
      </c>
      <c r="BB2101" s="3" t="s">
        <v>25641</v>
      </c>
      <c r="BC2101" s="3" t="s">
        <v>25642</v>
      </c>
      <c r="BD2101" s="3" t="s">
        <v>25643</v>
      </c>
    </row>
    <row r="2102" spans="1:56" ht="51" customHeight="1" x14ac:dyDescent="0.25">
      <c r="A2102" s="7" t="s">
        <v>58</v>
      </c>
      <c r="B2102" s="2" t="s">
        <v>25644</v>
      </c>
      <c r="C2102" s="2" t="s">
        <v>25645</v>
      </c>
      <c r="D2102" s="2" t="s">
        <v>25646</v>
      </c>
      <c r="F2102" s="3" t="s">
        <v>58</v>
      </c>
      <c r="G2102" s="3" t="s">
        <v>59</v>
      </c>
      <c r="H2102" s="3" t="s">
        <v>58</v>
      </c>
      <c r="I2102" s="3" t="s">
        <v>58</v>
      </c>
      <c r="J2102" s="3" t="s">
        <v>60</v>
      </c>
      <c r="K2102" s="2" t="s">
        <v>25647</v>
      </c>
      <c r="L2102" s="2" t="s">
        <v>25648</v>
      </c>
      <c r="M2102" s="3" t="s">
        <v>842</v>
      </c>
      <c r="O2102" s="3" t="s">
        <v>63</v>
      </c>
      <c r="P2102" s="3" t="s">
        <v>584</v>
      </c>
      <c r="R2102" s="3" t="s">
        <v>65</v>
      </c>
      <c r="S2102" s="4">
        <v>3</v>
      </c>
      <c r="T2102" s="4">
        <v>3</v>
      </c>
      <c r="U2102" s="5" t="s">
        <v>25176</v>
      </c>
      <c r="V2102" s="5" t="s">
        <v>25176</v>
      </c>
      <c r="W2102" s="5" t="s">
        <v>25029</v>
      </c>
      <c r="X2102" s="5" t="s">
        <v>25029</v>
      </c>
      <c r="Y2102" s="4">
        <v>566</v>
      </c>
      <c r="Z2102" s="4">
        <v>413</v>
      </c>
      <c r="AA2102" s="4">
        <v>435</v>
      </c>
      <c r="AB2102" s="4">
        <v>4</v>
      </c>
      <c r="AC2102" s="4">
        <v>4</v>
      </c>
      <c r="AD2102" s="4">
        <v>22</v>
      </c>
      <c r="AE2102" s="4">
        <v>22</v>
      </c>
      <c r="AF2102" s="4">
        <v>8</v>
      </c>
      <c r="AG2102" s="4">
        <v>8</v>
      </c>
      <c r="AH2102" s="4">
        <v>8</v>
      </c>
      <c r="AI2102" s="4">
        <v>8</v>
      </c>
      <c r="AJ2102" s="4">
        <v>9</v>
      </c>
      <c r="AK2102" s="4">
        <v>9</v>
      </c>
      <c r="AL2102" s="4">
        <v>3</v>
      </c>
      <c r="AM2102" s="4">
        <v>3</v>
      </c>
      <c r="AN2102" s="4">
        <v>1</v>
      </c>
      <c r="AO2102" s="4">
        <v>1</v>
      </c>
      <c r="AP2102" s="3" t="s">
        <v>58</v>
      </c>
      <c r="AQ2102" s="3" t="s">
        <v>68</v>
      </c>
      <c r="AR2102" s="6" t="str">
        <f>HYPERLINK("http://catalog.hathitrust.org/Record/000731119","HathiTrust Record")</f>
        <v>HathiTrust Record</v>
      </c>
      <c r="AS2102" s="6" t="str">
        <f>HYPERLINK("https://creighton-primo.hosted.exlibrisgroup.com/primo-explore/search?tab=default_tab&amp;search_scope=EVERYTHING&amp;vid=01CRU&amp;lang=en_US&amp;offset=0&amp;query=any,contains,991005091219702656","Catalog Record")</f>
        <v>Catalog Record</v>
      </c>
      <c r="AT2102" s="6" t="str">
        <f>HYPERLINK("http://www.worldcat.org/oclc/7222858","WorldCat Record")</f>
        <v>WorldCat Record</v>
      </c>
      <c r="AU2102" s="3" t="s">
        <v>25649</v>
      </c>
      <c r="AV2102" s="3" t="s">
        <v>25650</v>
      </c>
      <c r="AW2102" s="3" t="s">
        <v>25651</v>
      </c>
      <c r="AX2102" s="3" t="s">
        <v>25651</v>
      </c>
      <c r="AY2102" s="3" t="s">
        <v>25652</v>
      </c>
      <c r="AZ2102" s="3" t="s">
        <v>73</v>
      </c>
      <c r="BB2102" s="3" t="s">
        <v>25653</v>
      </c>
      <c r="BC2102" s="3" t="s">
        <v>25654</v>
      </c>
      <c r="BD2102" s="3" t="s">
        <v>25655</v>
      </c>
    </row>
    <row r="2103" spans="1:56" ht="51" customHeight="1" x14ac:dyDescent="0.25">
      <c r="A2103" s="7" t="s">
        <v>58</v>
      </c>
      <c r="B2103" s="2" t="s">
        <v>25656</v>
      </c>
      <c r="C2103" s="2" t="s">
        <v>25657</v>
      </c>
      <c r="D2103" s="2" t="s">
        <v>25658</v>
      </c>
      <c r="F2103" s="3" t="s">
        <v>58</v>
      </c>
      <c r="G2103" s="3" t="s">
        <v>59</v>
      </c>
      <c r="H2103" s="3" t="s">
        <v>58</v>
      </c>
      <c r="I2103" s="3" t="s">
        <v>58</v>
      </c>
      <c r="J2103" s="3" t="s">
        <v>60</v>
      </c>
      <c r="K2103" s="2" t="s">
        <v>25659</v>
      </c>
      <c r="L2103" s="2" t="s">
        <v>25660</v>
      </c>
      <c r="M2103" s="3" t="s">
        <v>996</v>
      </c>
      <c r="O2103" s="3" t="s">
        <v>63</v>
      </c>
      <c r="P2103" s="3" t="s">
        <v>2061</v>
      </c>
      <c r="R2103" s="3" t="s">
        <v>65</v>
      </c>
      <c r="S2103" s="4">
        <v>1</v>
      </c>
      <c r="T2103" s="4">
        <v>1</v>
      </c>
      <c r="U2103" s="5" t="s">
        <v>9778</v>
      </c>
      <c r="V2103" s="5" t="s">
        <v>9778</v>
      </c>
      <c r="W2103" s="5" t="s">
        <v>24572</v>
      </c>
      <c r="X2103" s="5" t="s">
        <v>24572</v>
      </c>
      <c r="Y2103" s="4">
        <v>431</v>
      </c>
      <c r="Z2103" s="4">
        <v>349</v>
      </c>
      <c r="AA2103" s="4">
        <v>351</v>
      </c>
      <c r="AB2103" s="4">
        <v>3</v>
      </c>
      <c r="AC2103" s="4">
        <v>3</v>
      </c>
      <c r="AD2103" s="4">
        <v>16</v>
      </c>
      <c r="AE2103" s="4">
        <v>16</v>
      </c>
      <c r="AF2103" s="4">
        <v>5</v>
      </c>
      <c r="AG2103" s="4">
        <v>5</v>
      </c>
      <c r="AH2103" s="4">
        <v>4</v>
      </c>
      <c r="AI2103" s="4">
        <v>4</v>
      </c>
      <c r="AJ2103" s="4">
        <v>8</v>
      </c>
      <c r="AK2103" s="4">
        <v>8</v>
      </c>
      <c r="AL2103" s="4">
        <v>2</v>
      </c>
      <c r="AM2103" s="4">
        <v>2</v>
      </c>
      <c r="AN2103" s="4">
        <v>0</v>
      </c>
      <c r="AO2103" s="4">
        <v>0</v>
      </c>
      <c r="AP2103" s="3" t="s">
        <v>58</v>
      </c>
      <c r="AQ2103" s="3" t="s">
        <v>68</v>
      </c>
      <c r="AR2103" s="6" t="str">
        <f>HYPERLINK("http://catalog.hathitrust.org/Record/001267580","HathiTrust Record")</f>
        <v>HathiTrust Record</v>
      </c>
      <c r="AS2103" s="6" t="str">
        <f>HYPERLINK("https://creighton-primo.hosted.exlibrisgroup.com/primo-explore/search?tab=default_tab&amp;search_scope=EVERYTHING&amp;vid=01CRU&amp;lang=en_US&amp;offset=0&amp;query=any,contains,991003295949702656","Catalog Record")</f>
        <v>Catalog Record</v>
      </c>
      <c r="AT2103" s="6" t="str">
        <f>HYPERLINK("http://www.worldcat.org/oclc/818107","WorldCat Record")</f>
        <v>WorldCat Record</v>
      </c>
      <c r="AU2103" s="3" t="s">
        <v>25661</v>
      </c>
      <c r="AV2103" s="3" t="s">
        <v>25662</v>
      </c>
      <c r="AW2103" s="3" t="s">
        <v>25663</v>
      </c>
      <c r="AX2103" s="3" t="s">
        <v>25663</v>
      </c>
      <c r="AY2103" s="3" t="s">
        <v>25664</v>
      </c>
      <c r="AZ2103" s="3" t="s">
        <v>73</v>
      </c>
      <c r="BB2103" s="3" t="s">
        <v>25665</v>
      </c>
      <c r="BC2103" s="3" t="s">
        <v>25666</v>
      </c>
      <c r="BD2103" s="3" t="s">
        <v>25667</v>
      </c>
    </row>
    <row r="2104" spans="1:56" ht="51" customHeight="1" x14ac:dyDescent="0.25">
      <c r="A2104" s="7" t="s">
        <v>58</v>
      </c>
      <c r="B2104" s="2" t="s">
        <v>25668</v>
      </c>
      <c r="C2104" s="2" t="s">
        <v>25669</v>
      </c>
      <c r="D2104" s="2" t="s">
        <v>25670</v>
      </c>
      <c r="F2104" s="3" t="s">
        <v>58</v>
      </c>
      <c r="G2104" s="3" t="s">
        <v>59</v>
      </c>
      <c r="H2104" s="3" t="s">
        <v>58</v>
      </c>
      <c r="I2104" s="3" t="s">
        <v>58</v>
      </c>
      <c r="J2104" s="3" t="s">
        <v>60</v>
      </c>
      <c r="K2104" s="2" t="s">
        <v>25671</v>
      </c>
      <c r="L2104" s="2" t="s">
        <v>25672</v>
      </c>
      <c r="M2104" s="3" t="s">
        <v>4851</v>
      </c>
      <c r="O2104" s="3" t="s">
        <v>63</v>
      </c>
      <c r="P2104" s="3" t="s">
        <v>214</v>
      </c>
      <c r="Q2104" s="2" t="s">
        <v>25673</v>
      </c>
      <c r="R2104" s="3" t="s">
        <v>65</v>
      </c>
      <c r="S2104" s="4">
        <v>4</v>
      </c>
      <c r="T2104" s="4">
        <v>4</v>
      </c>
      <c r="U2104" s="5" t="s">
        <v>25674</v>
      </c>
      <c r="V2104" s="5" t="s">
        <v>25674</v>
      </c>
      <c r="W2104" s="5" t="s">
        <v>24572</v>
      </c>
      <c r="X2104" s="5" t="s">
        <v>24572</v>
      </c>
      <c r="Y2104" s="4">
        <v>591</v>
      </c>
      <c r="Z2104" s="4">
        <v>534</v>
      </c>
      <c r="AA2104" s="4">
        <v>628</v>
      </c>
      <c r="AB2104" s="4">
        <v>3</v>
      </c>
      <c r="AC2104" s="4">
        <v>3</v>
      </c>
      <c r="AD2104" s="4">
        <v>22</v>
      </c>
      <c r="AE2104" s="4">
        <v>24</v>
      </c>
      <c r="AF2104" s="4">
        <v>8</v>
      </c>
      <c r="AG2104" s="4">
        <v>9</v>
      </c>
      <c r="AH2104" s="4">
        <v>5</v>
      </c>
      <c r="AI2104" s="4">
        <v>6</v>
      </c>
      <c r="AJ2104" s="4">
        <v>12</v>
      </c>
      <c r="AK2104" s="4">
        <v>12</v>
      </c>
      <c r="AL2104" s="4">
        <v>2</v>
      </c>
      <c r="AM2104" s="4">
        <v>2</v>
      </c>
      <c r="AN2104" s="4">
        <v>0</v>
      </c>
      <c r="AO2104" s="4">
        <v>0</v>
      </c>
      <c r="AP2104" s="3" t="s">
        <v>58</v>
      </c>
      <c r="AQ2104" s="3" t="s">
        <v>68</v>
      </c>
      <c r="AR2104" s="6" t="str">
        <f>HYPERLINK("http://catalog.hathitrust.org/Record/001258280","HathiTrust Record")</f>
        <v>HathiTrust Record</v>
      </c>
      <c r="AS2104" s="6" t="str">
        <f>HYPERLINK("https://creighton-primo.hosted.exlibrisgroup.com/primo-explore/search?tab=default_tab&amp;search_scope=EVERYTHING&amp;vid=01CRU&amp;lang=en_US&amp;offset=0&amp;query=any,contains,991004537189702656","Catalog Record")</f>
        <v>Catalog Record</v>
      </c>
      <c r="AT2104" s="6" t="str">
        <f>HYPERLINK("http://www.worldcat.org/oclc/3873474","WorldCat Record")</f>
        <v>WorldCat Record</v>
      </c>
      <c r="AU2104" s="3" t="s">
        <v>25675</v>
      </c>
      <c r="AV2104" s="3" t="s">
        <v>25676</v>
      </c>
      <c r="AW2104" s="3" t="s">
        <v>25677</v>
      </c>
      <c r="AX2104" s="3" t="s">
        <v>25677</v>
      </c>
      <c r="AY2104" s="3" t="s">
        <v>25678</v>
      </c>
      <c r="AZ2104" s="3" t="s">
        <v>73</v>
      </c>
      <c r="BC2104" s="3" t="s">
        <v>25679</v>
      </c>
      <c r="BD2104" s="3" t="s">
        <v>25680</v>
      </c>
    </row>
    <row r="2105" spans="1:56" ht="51" customHeight="1" x14ac:dyDescent="0.25">
      <c r="A2105" s="7" t="s">
        <v>58</v>
      </c>
      <c r="B2105" s="2" t="s">
        <v>25681</v>
      </c>
      <c r="C2105" s="2" t="s">
        <v>25682</v>
      </c>
      <c r="D2105" s="2" t="s">
        <v>25683</v>
      </c>
      <c r="F2105" s="3" t="s">
        <v>58</v>
      </c>
      <c r="G2105" s="3" t="s">
        <v>59</v>
      </c>
      <c r="H2105" s="3" t="s">
        <v>58</v>
      </c>
      <c r="I2105" s="3" t="s">
        <v>58</v>
      </c>
      <c r="J2105" s="3" t="s">
        <v>60</v>
      </c>
      <c r="K2105" s="2" t="s">
        <v>25684</v>
      </c>
      <c r="L2105" s="2" t="s">
        <v>25685</v>
      </c>
      <c r="M2105" s="3" t="s">
        <v>2757</v>
      </c>
      <c r="O2105" s="3" t="s">
        <v>63</v>
      </c>
      <c r="P2105" s="3" t="s">
        <v>214</v>
      </c>
      <c r="R2105" s="3" t="s">
        <v>65</v>
      </c>
      <c r="S2105" s="4">
        <v>1</v>
      </c>
      <c r="T2105" s="4">
        <v>1</v>
      </c>
      <c r="U2105" s="5" t="s">
        <v>25686</v>
      </c>
      <c r="V2105" s="5" t="s">
        <v>25686</v>
      </c>
      <c r="W2105" s="5" t="s">
        <v>24572</v>
      </c>
      <c r="X2105" s="5" t="s">
        <v>24572</v>
      </c>
      <c r="Y2105" s="4">
        <v>499</v>
      </c>
      <c r="Z2105" s="4">
        <v>440</v>
      </c>
      <c r="AA2105" s="4">
        <v>602</v>
      </c>
      <c r="AB2105" s="4">
        <v>4</v>
      </c>
      <c r="AC2105" s="4">
        <v>4</v>
      </c>
      <c r="AD2105" s="4">
        <v>19</v>
      </c>
      <c r="AE2105" s="4">
        <v>27</v>
      </c>
      <c r="AF2105" s="4">
        <v>4</v>
      </c>
      <c r="AG2105" s="4">
        <v>8</v>
      </c>
      <c r="AH2105" s="4">
        <v>3</v>
      </c>
      <c r="AI2105" s="4">
        <v>7</v>
      </c>
      <c r="AJ2105" s="4">
        <v>12</v>
      </c>
      <c r="AK2105" s="4">
        <v>15</v>
      </c>
      <c r="AL2105" s="4">
        <v>3</v>
      </c>
      <c r="AM2105" s="4">
        <v>3</v>
      </c>
      <c r="AN2105" s="4">
        <v>0</v>
      </c>
      <c r="AO2105" s="4">
        <v>0</v>
      </c>
      <c r="AP2105" s="3" t="s">
        <v>58</v>
      </c>
      <c r="AQ2105" s="3" t="s">
        <v>68</v>
      </c>
      <c r="AR2105" s="6" t="str">
        <f>HYPERLINK("http://catalog.hathitrust.org/Record/001258292","HathiTrust Record")</f>
        <v>HathiTrust Record</v>
      </c>
      <c r="AS2105" s="6" t="str">
        <f>HYPERLINK("https://creighton-primo.hosted.exlibrisgroup.com/primo-explore/search?tab=default_tab&amp;search_scope=EVERYTHING&amp;vid=01CRU&amp;lang=en_US&amp;offset=0&amp;query=any,contains,991003722889702656","Catalog Record")</f>
        <v>Catalog Record</v>
      </c>
      <c r="AT2105" s="6" t="str">
        <f>HYPERLINK("http://www.worldcat.org/oclc/1367263","WorldCat Record")</f>
        <v>WorldCat Record</v>
      </c>
      <c r="AU2105" s="3" t="s">
        <v>25687</v>
      </c>
      <c r="AV2105" s="3" t="s">
        <v>25688</v>
      </c>
      <c r="AW2105" s="3" t="s">
        <v>25689</v>
      </c>
      <c r="AX2105" s="3" t="s">
        <v>25689</v>
      </c>
      <c r="AY2105" s="3" t="s">
        <v>25690</v>
      </c>
      <c r="AZ2105" s="3" t="s">
        <v>73</v>
      </c>
      <c r="BC2105" s="3" t="s">
        <v>25691</v>
      </c>
      <c r="BD2105" s="3" t="s">
        <v>25692</v>
      </c>
    </row>
    <row r="2106" spans="1:56" ht="51" customHeight="1" x14ac:dyDescent="0.25">
      <c r="A2106" s="7" t="s">
        <v>58</v>
      </c>
      <c r="B2106" s="2" t="s">
        <v>25693</v>
      </c>
      <c r="C2106" s="2" t="s">
        <v>25694</v>
      </c>
      <c r="D2106" s="2" t="s">
        <v>25695</v>
      </c>
      <c r="F2106" s="3" t="s">
        <v>58</v>
      </c>
      <c r="G2106" s="3" t="s">
        <v>59</v>
      </c>
      <c r="H2106" s="3" t="s">
        <v>58</v>
      </c>
      <c r="I2106" s="3" t="s">
        <v>58</v>
      </c>
      <c r="J2106" s="3" t="s">
        <v>60</v>
      </c>
      <c r="L2106" s="2" t="s">
        <v>25696</v>
      </c>
      <c r="M2106" s="3" t="s">
        <v>996</v>
      </c>
      <c r="O2106" s="3" t="s">
        <v>63</v>
      </c>
      <c r="P2106" s="3" t="s">
        <v>214</v>
      </c>
      <c r="Q2106" s="2" t="s">
        <v>25697</v>
      </c>
      <c r="R2106" s="3" t="s">
        <v>65</v>
      </c>
      <c r="S2106" s="4">
        <v>2</v>
      </c>
      <c r="T2106" s="4">
        <v>2</v>
      </c>
      <c r="U2106" s="5" t="s">
        <v>20789</v>
      </c>
      <c r="V2106" s="5" t="s">
        <v>20789</v>
      </c>
      <c r="W2106" s="5" t="s">
        <v>25698</v>
      </c>
      <c r="X2106" s="5" t="s">
        <v>25698</v>
      </c>
      <c r="Y2106" s="4">
        <v>391</v>
      </c>
      <c r="Z2106" s="4">
        <v>350</v>
      </c>
      <c r="AA2106" s="4">
        <v>579</v>
      </c>
      <c r="AB2106" s="4">
        <v>1</v>
      </c>
      <c r="AC2106" s="4">
        <v>2</v>
      </c>
      <c r="AD2106" s="4">
        <v>7</v>
      </c>
      <c r="AE2106" s="4">
        <v>12</v>
      </c>
      <c r="AF2106" s="4">
        <v>4</v>
      </c>
      <c r="AG2106" s="4">
        <v>6</v>
      </c>
      <c r="AH2106" s="4">
        <v>2</v>
      </c>
      <c r="AI2106" s="4">
        <v>2</v>
      </c>
      <c r="AJ2106" s="4">
        <v>3</v>
      </c>
      <c r="AK2106" s="4">
        <v>6</v>
      </c>
      <c r="AL2106" s="4">
        <v>0</v>
      </c>
      <c r="AM2106" s="4">
        <v>1</v>
      </c>
      <c r="AN2106" s="4">
        <v>0</v>
      </c>
      <c r="AO2106" s="4">
        <v>0</v>
      </c>
      <c r="AP2106" s="3" t="s">
        <v>58</v>
      </c>
      <c r="AQ2106" s="3" t="s">
        <v>68</v>
      </c>
      <c r="AR2106" s="6" t="str">
        <f>HYPERLINK("http://catalog.hathitrust.org/Record/001871949","HathiTrust Record")</f>
        <v>HathiTrust Record</v>
      </c>
      <c r="AS2106" s="6" t="str">
        <f>HYPERLINK("https://creighton-primo.hosted.exlibrisgroup.com/primo-explore/search?tab=default_tab&amp;search_scope=EVERYTHING&amp;vid=01CRU&amp;lang=en_US&amp;offset=0&amp;query=any,contains,991003093789702656","Catalog Record")</f>
        <v>Catalog Record</v>
      </c>
      <c r="AT2106" s="6" t="str">
        <f>HYPERLINK("http://www.worldcat.org/oclc/644000","WorldCat Record")</f>
        <v>WorldCat Record</v>
      </c>
      <c r="AU2106" s="3" t="s">
        <v>25699</v>
      </c>
      <c r="AV2106" s="3" t="s">
        <v>25700</v>
      </c>
      <c r="AW2106" s="3" t="s">
        <v>25701</v>
      </c>
      <c r="AX2106" s="3" t="s">
        <v>25701</v>
      </c>
      <c r="AY2106" s="3" t="s">
        <v>25702</v>
      </c>
      <c r="AZ2106" s="3" t="s">
        <v>73</v>
      </c>
      <c r="BB2106" s="3" t="s">
        <v>25703</v>
      </c>
      <c r="BC2106" s="3" t="s">
        <v>25704</v>
      </c>
      <c r="BD2106" s="3" t="s">
        <v>25705</v>
      </c>
    </row>
    <row r="2107" spans="1:56" ht="51" customHeight="1" x14ac:dyDescent="0.25">
      <c r="A2107" s="7" t="s">
        <v>58</v>
      </c>
      <c r="B2107" s="2" t="s">
        <v>25706</v>
      </c>
      <c r="C2107" s="2" t="s">
        <v>25707</v>
      </c>
      <c r="D2107" s="2" t="s">
        <v>25708</v>
      </c>
      <c r="F2107" s="3" t="s">
        <v>58</v>
      </c>
      <c r="G2107" s="3" t="s">
        <v>59</v>
      </c>
      <c r="H2107" s="3" t="s">
        <v>58</v>
      </c>
      <c r="I2107" s="3" t="s">
        <v>58</v>
      </c>
      <c r="J2107" s="3" t="s">
        <v>60</v>
      </c>
      <c r="L2107" s="2" t="s">
        <v>25709</v>
      </c>
      <c r="M2107" s="3" t="s">
        <v>1399</v>
      </c>
      <c r="N2107" s="2" t="s">
        <v>1009</v>
      </c>
      <c r="O2107" s="3" t="s">
        <v>63</v>
      </c>
      <c r="P2107" s="3" t="s">
        <v>214</v>
      </c>
      <c r="R2107" s="3" t="s">
        <v>65</v>
      </c>
      <c r="S2107" s="4">
        <v>11</v>
      </c>
      <c r="T2107" s="4">
        <v>11</v>
      </c>
      <c r="U2107" s="5" t="s">
        <v>25710</v>
      </c>
      <c r="V2107" s="5" t="s">
        <v>25710</v>
      </c>
      <c r="W2107" s="5" t="s">
        <v>25029</v>
      </c>
      <c r="X2107" s="5" t="s">
        <v>25029</v>
      </c>
      <c r="Y2107" s="4">
        <v>315</v>
      </c>
      <c r="Z2107" s="4">
        <v>282</v>
      </c>
      <c r="AA2107" s="4">
        <v>284</v>
      </c>
      <c r="AB2107" s="4">
        <v>4</v>
      </c>
      <c r="AC2107" s="4">
        <v>4</v>
      </c>
      <c r="AD2107" s="4">
        <v>8</v>
      </c>
      <c r="AE2107" s="4">
        <v>8</v>
      </c>
      <c r="AF2107" s="4">
        <v>2</v>
      </c>
      <c r="AG2107" s="4">
        <v>2</v>
      </c>
      <c r="AH2107" s="4">
        <v>0</v>
      </c>
      <c r="AI2107" s="4">
        <v>0</v>
      </c>
      <c r="AJ2107" s="4">
        <v>4</v>
      </c>
      <c r="AK2107" s="4">
        <v>4</v>
      </c>
      <c r="AL2107" s="4">
        <v>3</v>
      </c>
      <c r="AM2107" s="4">
        <v>3</v>
      </c>
      <c r="AN2107" s="4">
        <v>0</v>
      </c>
      <c r="AO2107" s="4">
        <v>0</v>
      </c>
      <c r="AP2107" s="3" t="s">
        <v>58</v>
      </c>
      <c r="AQ2107" s="3" t="s">
        <v>68</v>
      </c>
      <c r="AR2107" s="6" t="str">
        <f>HYPERLINK("http://catalog.hathitrust.org/Record/007107719","HathiTrust Record")</f>
        <v>HathiTrust Record</v>
      </c>
      <c r="AS2107" s="6" t="str">
        <f>HYPERLINK("https://creighton-primo.hosted.exlibrisgroup.com/primo-explore/search?tab=default_tab&amp;search_scope=EVERYTHING&amp;vid=01CRU&amp;lang=en_US&amp;offset=0&amp;query=any,contains,991001277439702656","Catalog Record")</f>
        <v>Catalog Record</v>
      </c>
      <c r="AT2107" s="6" t="str">
        <f>HYPERLINK("http://www.worldcat.org/oclc/17877552","WorldCat Record")</f>
        <v>WorldCat Record</v>
      </c>
      <c r="AU2107" s="3" t="s">
        <v>25711</v>
      </c>
      <c r="AV2107" s="3" t="s">
        <v>25712</v>
      </c>
      <c r="AW2107" s="3" t="s">
        <v>25713</v>
      </c>
      <c r="AX2107" s="3" t="s">
        <v>25713</v>
      </c>
      <c r="AY2107" s="3" t="s">
        <v>25714</v>
      </c>
      <c r="AZ2107" s="3" t="s">
        <v>73</v>
      </c>
      <c r="BB2107" s="3" t="s">
        <v>25715</v>
      </c>
      <c r="BC2107" s="3" t="s">
        <v>25716</v>
      </c>
      <c r="BD2107" s="3" t="s">
        <v>25717</v>
      </c>
    </row>
    <row r="2108" spans="1:56" ht="51" customHeight="1" x14ac:dyDescent="0.25">
      <c r="A2108" s="7" t="s">
        <v>58</v>
      </c>
      <c r="B2108" s="2" t="s">
        <v>25718</v>
      </c>
      <c r="C2108" s="2" t="s">
        <v>25719</v>
      </c>
      <c r="D2108" s="2" t="s">
        <v>25720</v>
      </c>
      <c r="F2108" s="3" t="s">
        <v>58</v>
      </c>
      <c r="G2108" s="3" t="s">
        <v>59</v>
      </c>
      <c r="H2108" s="3" t="s">
        <v>58</v>
      </c>
      <c r="I2108" s="3" t="s">
        <v>58</v>
      </c>
      <c r="J2108" s="3" t="s">
        <v>60</v>
      </c>
      <c r="L2108" s="2" t="s">
        <v>25721</v>
      </c>
      <c r="M2108" s="3" t="s">
        <v>1357</v>
      </c>
      <c r="O2108" s="3" t="s">
        <v>63</v>
      </c>
      <c r="P2108" s="3" t="s">
        <v>214</v>
      </c>
      <c r="R2108" s="3" t="s">
        <v>65</v>
      </c>
      <c r="S2108" s="4">
        <v>4</v>
      </c>
      <c r="T2108" s="4">
        <v>4</v>
      </c>
      <c r="U2108" s="5" t="s">
        <v>20012</v>
      </c>
      <c r="V2108" s="5" t="s">
        <v>20012</v>
      </c>
      <c r="W2108" s="5" t="s">
        <v>7158</v>
      </c>
      <c r="X2108" s="5" t="s">
        <v>7158</v>
      </c>
      <c r="Y2108" s="4">
        <v>509</v>
      </c>
      <c r="Z2108" s="4">
        <v>452</v>
      </c>
      <c r="AA2108" s="4">
        <v>504</v>
      </c>
      <c r="AB2108" s="4">
        <v>3</v>
      </c>
      <c r="AC2108" s="4">
        <v>3</v>
      </c>
      <c r="AD2108" s="4">
        <v>19</v>
      </c>
      <c r="AE2108" s="4">
        <v>19</v>
      </c>
      <c r="AF2108" s="4">
        <v>9</v>
      </c>
      <c r="AG2108" s="4">
        <v>9</v>
      </c>
      <c r="AH2108" s="4">
        <v>4</v>
      </c>
      <c r="AI2108" s="4">
        <v>4</v>
      </c>
      <c r="AJ2108" s="4">
        <v>10</v>
      </c>
      <c r="AK2108" s="4">
        <v>10</v>
      </c>
      <c r="AL2108" s="4">
        <v>2</v>
      </c>
      <c r="AM2108" s="4">
        <v>2</v>
      </c>
      <c r="AN2108" s="4">
        <v>0</v>
      </c>
      <c r="AO2108" s="4">
        <v>0</v>
      </c>
      <c r="AP2108" s="3" t="s">
        <v>58</v>
      </c>
      <c r="AQ2108" s="3" t="s">
        <v>68</v>
      </c>
      <c r="AR2108" s="6" t="str">
        <f>HYPERLINK("http://catalog.hathitrust.org/Record/001258295","HathiTrust Record")</f>
        <v>HathiTrust Record</v>
      </c>
      <c r="AS2108" s="6" t="str">
        <f>HYPERLINK("https://creighton-primo.hosted.exlibrisgroup.com/primo-explore/search?tab=default_tab&amp;search_scope=EVERYTHING&amp;vid=01CRU&amp;lang=en_US&amp;offset=0&amp;query=any,contains,991000140309702656","Catalog Record")</f>
        <v>Catalog Record</v>
      </c>
      <c r="AT2108" s="6" t="str">
        <f>HYPERLINK("http://www.worldcat.org/oclc/57595","WorldCat Record")</f>
        <v>WorldCat Record</v>
      </c>
      <c r="AU2108" s="3" t="s">
        <v>25722</v>
      </c>
      <c r="AV2108" s="3" t="s">
        <v>25723</v>
      </c>
      <c r="AW2108" s="3" t="s">
        <v>25724</v>
      </c>
      <c r="AX2108" s="3" t="s">
        <v>25724</v>
      </c>
      <c r="AY2108" s="3" t="s">
        <v>25725</v>
      </c>
      <c r="AZ2108" s="3" t="s">
        <v>73</v>
      </c>
      <c r="BC2108" s="3" t="s">
        <v>25726</v>
      </c>
      <c r="BD2108" s="3" t="s">
        <v>25727</v>
      </c>
    </row>
    <row r="2109" spans="1:56" ht="51" customHeight="1" x14ac:dyDescent="0.25">
      <c r="A2109" s="7" t="s">
        <v>58</v>
      </c>
      <c r="B2109" s="2" t="s">
        <v>25728</v>
      </c>
      <c r="C2109" s="2" t="s">
        <v>25729</v>
      </c>
      <c r="D2109" s="2" t="s">
        <v>25730</v>
      </c>
      <c r="F2109" s="3" t="s">
        <v>58</v>
      </c>
      <c r="G2109" s="3" t="s">
        <v>59</v>
      </c>
      <c r="H2109" s="3" t="s">
        <v>58</v>
      </c>
      <c r="I2109" s="3" t="s">
        <v>58</v>
      </c>
      <c r="J2109" s="3" t="s">
        <v>60</v>
      </c>
      <c r="L2109" s="2" t="s">
        <v>25731</v>
      </c>
      <c r="M2109" s="3" t="s">
        <v>368</v>
      </c>
      <c r="O2109" s="3" t="s">
        <v>63</v>
      </c>
      <c r="P2109" s="3" t="s">
        <v>1837</v>
      </c>
      <c r="R2109" s="3" t="s">
        <v>65</v>
      </c>
      <c r="S2109" s="4">
        <v>1</v>
      </c>
      <c r="T2109" s="4">
        <v>1</v>
      </c>
      <c r="U2109" s="5" t="s">
        <v>4156</v>
      </c>
      <c r="V2109" s="5" t="s">
        <v>4156</v>
      </c>
      <c r="W2109" s="5" t="s">
        <v>25126</v>
      </c>
      <c r="X2109" s="5" t="s">
        <v>25126</v>
      </c>
      <c r="Y2109" s="4">
        <v>176</v>
      </c>
      <c r="Z2109" s="4">
        <v>146</v>
      </c>
      <c r="AA2109" s="4">
        <v>148</v>
      </c>
      <c r="AB2109" s="4">
        <v>2</v>
      </c>
      <c r="AC2109" s="4">
        <v>2</v>
      </c>
      <c r="AD2109" s="4">
        <v>6</v>
      </c>
      <c r="AE2109" s="4">
        <v>6</v>
      </c>
      <c r="AF2109" s="4">
        <v>0</v>
      </c>
      <c r="AG2109" s="4">
        <v>0</v>
      </c>
      <c r="AH2109" s="4">
        <v>3</v>
      </c>
      <c r="AI2109" s="4">
        <v>3</v>
      </c>
      <c r="AJ2109" s="4">
        <v>3</v>
      </c>
      <c r="AK2109" s="4">
        <v>3</v>
      </c>
      <c r="AL2109" s="4">
        <v>1</v>
      </c>
      <c r="AM2109" s="4">
        <v>1</v>
      </c>
      <c r="AN2109" s="4">
        <v>0</v>
      </c>
      <c r="AO2109" s="4">
        <v>0</v>
      </c>
      <c r="AP2109" s="3" t="s">
        <v>58</v>
      </c>
      <c r="AQ2109" s="3" t="s">
        <v>58</v>
      </c>
      <c r="AS2109" s="6" t="str">
        <f>HYPERLINK("https://creighton-primo.hosted.exlibrisgroup.com/primo-explore/search?tab=default_tab&amp;search_scope=EVERYTHING&amp;vid=01CRU&amp;lang=en_US&amp;offset=0&amp;query=any,contains,991001209089702656","Catalog Record")</f>
        <v>Catalog Record</v>
      </c>
      <c r="AT2109" s="6" t="str">
        <f>HYPERLINK("http://www.worldcat.org/oclc/17381112","WorldCat Record")</f>
        <v>WorldCat Record</v>
      </c>
      <c r="AU2109" s="3" t="s">
        <v>25732</v>
      </c>
      <c r="AV2109" s="3" t="s">
        <v>25733</v>
      </c>
      <c r="AW2109" s="3" t="s">
        <v>25734</v>
      </c>
      <c r="AX2109" s="3" t="s">
        <v>25734</v>
      </c>
      <c r="AY2109" s="3" t="s">
        <v>25735</v>
      </c>
      <c r="AZ2109" s="3" t="s">
        <v>73</v>
      </c>
      <c r="BC2109" s="3" t="s">
        <v>25736</v>
      </c>
      <c r="BD2109" s="3" t="s">
        <v>25737</v>
      </c>
    </row>
    <row r="2110" spans="1:56" ht="51" customHeight="1" x14ac:dyDescent="0.25">
      <c r="A2110" s="7" t="s">
        <v>58</v>
      </c>
      <c r="B2110" s="2" t="s">
        <v>25738</v>
      </c>
      <c r="C2110" s="2" t="s">
        <v>25739</v>
      </c>
      <c r="D2110" s="2" t="s">
        <v>25740</v>
      </c>
      <c r="F2110" s="3" t="s">
        <v>58</v>
      </c>
      <c r="G2110" s="3" t="s">
        <v>59</v>
      </c>
      <c r="H2110" s="3" t="s">
        <v>58</v>
      </c>
      <c r="I2110" s="3" t="s">
        <v>58</v>
      </c>
      <c r="J2110" s="3" t="s">
        <v>60</v>
      </c>
      <c r="K2110" s="2" t="s">
        <v>25741</v>
      </c>
      <c r="L2110" s="2" t="s">
        <v>25742</v>
      </c>
      <c r="M2110" s="3" t="s">
        <v>1720</v>
      </c>
      <c r="O2110" s="3" t="s">
        <v>63</v>
      </c>
      <c r="P2110" s="3" t="s">
        <v>214</v>
      </c>
      <c r="R2110" s="3" t="s">
        <v>65</v>
      </c>
      <c r="S2110" s="4">
        <v>2</v>
      </c>
      <c r="T2110" s="4">
        <v>2</v>
      </c>
      <c r="U2110" s="5" t="s">
        <v>25743</v>
      </c>
      <c r="V2110" s="5" t="s">
        <v>25743</v>
      </c>
      <c r="W2110" s="5" t="s">
        <v>24572</v>
      </c>
      <c r="X2110" s="5" t="s">
        <v>24572</v>
      </c>
      <c r="Y2110" s="4">
        <v>390</v>
      </c>
      <c r="Z2110" s="4">
        <v>356</v>
      </c>
      <c r="AA2110" s="4">
        <v>363</v>
      </c>
      <c r="AB2110" s="4">
        <v>2</v>
      </c>
      <c r="AC2110" s="4">
        <v>2</v>
      </c>
      <c r="AD2110" s="4">
        <v>26</v>
      </c>
      <c r="AE2110" s="4">
        <v>26</v>
      </c>
      <c r="AF2110" s="4">
        <v>9</v>
      </c>
      <c r="AG2110" s="4">
        <v>9</v>
      </c>
      <c r="AH2110" s="4">
        <v>5</v>
      </c>
      <c r="AI2110" s="4">
        <v>5</v>
      </c>
      <c r="AJ2110" s="4">
        <v>23</v>
      </c>
      <c r="AK2110" s="4">
        <v>23</v>
      </c>
      <c r="AL2110" s="4">
        <v>0</v>
      </c>
      <c r="AM2110" s="4">
        <v>0</v>
      </c>
      <c r="AN2110" s="4">
        <v>0</v>
      </c>
      <c r="AO2110" s="4">
        <v>0</v>
      </c>
      <c r="AP2110" s="3" t="s">
        <v>58</v>
      </c>
      <c r="AQ2110" s="3" t="s">
        <v>68</v>
      </c>
      <c r="AR2110" s="6" t="str">
        <f>HYPERLINK("http://catalog.hathitrust.org/Record/001258312","HathiTrust Record")</f>
        <v>HathiTrust Record</v>
      </c>
      <c r="AS2110" s="6" t="str">
        <f>HYPERLINK("https://creighton-primo.hosted.exlibrisgroup.com/primo-explore/search?tab=default_tab&amp;search_scope=EVERYTHING&amp;vid=01CRU&amp;lang=en_US&amp;offset=0&amp;query=any,contains,991003567539702656","Catalog Record")</f>
        <v>Catalog Record</v>
      </c>
      <c r="AT2110" s="6" t="str">
        <f>HYPERLINK("http://www.worldcat.org/oclc/1141213","WorldCat Record")</f>
        <v>WorldCat Record</v>
      </c>
      <c r="AU2110" s="3" t="s">
        <v>25744</v>
      </c>
      <c r="AV2110" s="3" t="s">
        <v>25745</v>
      </c>
      <c r="AW2110" s="3" t="s">
        <v>25746</v>
      </c>
      <c r="AX2110" s="3" t="s">
        <v>25746</v>
      </c>
      <c r="AY2110" s="3" t="s">
        <v>25747</v>
      </c>
      <c r="AZ2110" s="3" t="s">
        <v>73</v>
      </c>
      <c r="BC2110" s="3" t="s">
        <v>25748</v>
      </c>
      <c r="BD2110" s="3" t="s">
        <v>25749</v>
      </c>
    </row>
    <row r="2111" spans="1:56" ht="51" customHeight="1" x14ac:dyDescent="0.25">
      <c r="A2111" s="7" t="s">
        <v>58</v>
      </c>
      <c r="B2111" s="2" t="s">
        <v>25750</v>
      </c>
      <c r="C2111" s="2" t="s">
        <v>25751</v>
      </c>
      <c r="D2111" s="2" t="s">
        <v>25752</v>
      </c>
      <c r="F2111" s="3" t="s">
        <v>58</v>
      </c>
      <c r="G2111" s="3" t="s">
        <v>59</v>
      </c>
      <c r="H2111" s="3" t="s">
        <v>58</v>
      </c>
      <c r="I2111" s="3" t="s">
        <v>58</v>
      </c>
      <c r="J2111" s="3" t="s">
        <v>60</v>
      </c>
      <c r="K2111" s="2" t="s">
        <v>25753</v>
      </c>
      <c r="L2111" s="2" t="s">
        <v>15158</v>
      </c>
      <c r="M2111" s="3" t="s">
        <v>183</v>
      </c>
      <c r="N2111" s="2" t="s">
        <v>1009</v>
      </c>
      <c r="O2111" s="3" t="s">
        <v>63</v>
      </c>
      <c r="P2111" s="3" t="s">
        <v>2061</v>
      </c>
      <c r="R2111" s="3" t="s">
        <v>65</v>
      </c>
      <c r="S2111" s="4">
        <v>3</v>
      </c>
      <c r="T2111" s="4">
        <v>3</v>
      </c>
      <c r="U2111" s="5" t="s">
        <v>1747</v>
      </c>
      <c r="V2111" s="5" t="s">
        <v>1747</v>
      </c>
      <c r="W2111" s="5" t="s">
        <v>11401</v>
      </c>
      <c r="X2111" s="5" t="s">
        <v>11401</v>
      </c>
      <c r="Y2111" s="4">
        <v>515</v>
      </c>
      <c r="Z2111" s="4">
        <v>459</v>
      </c>
      <c r="AA2111" s="4">
        <v>491</v>
      </c>
      <c r="AB2111" s="4">
        <v>6</v>
      </c>
      <c r="AC2111" s="4">
        <v>6</v>
      </c>
      <c r="AD2111" s="4">
        <v>31</v>
      </c>
      <c r="AE2111" s="4">
        <v>31</v>
      </c>
      <c r="AF2111" s="4">
        <v>13</v>
      </c>
      <c r="AG2111" s="4">
        <v>13</v>
      </c>
      <c r="AH2111" s="4">
        <v>6</v>
      </c>
      <c r="AI2111" s="4">
        <v>6</v>
      </c>
      <c r="AJ2111" s="4">
        <v>16</v>
      </c>
      <c r="AK2111" s="4">
        <v>16</v>
      </c>
      <c r="AL2111" s="4">
        <v>5</v>
      </c>
      <c r="AM2111" s="4">
        <v>5</v>
      </c>
      <c r="AN2111" s="4">
        <v>0</v>
      </c>
      <c r="AO2111" s="4">
        <v>0</v>
      </c>
      <c r="AP2111" s="3" t="s">
        <v>58</v>
      </c>
      <c r="AQ2111" s="3" t="s">
        <v>58</v>
      </c>
      <c r="AS2111" s="6" t="str">
        <f>HYPERLINK("https://creighton-primo.hosted.exlibrisgroup.com/primo-explore/search?tab=default_tab&amp;search_scope=EVERYTHING&amp;vid=01CRU&amp;lang=en_US&amp;offset=0&amp;query=any,contains,991004327029702656","Catalog Record")</f>
        <v>Catalog Record</v>
      </c>
      <c r="AT2111" s="6" t="str">
        <f>HYPERLINK("http://www.worldcat.org/oclc/3044138","WorldCat Record")</f>
        <v>WorldCat Record</v>
      </c>
      <c r="AU2111" s="3" t="s">
        <v>25754</v>
      </c>
      <c r="AV2111" s="3" t="s">
        <v>25755</v>
      </c>
      <c r="AW2111" s="3" t="s">
        <v>25756</v>
      </c>
      <c r="AX2111" s="3" t="s">
        <v>25756</v>
      </c>
      <c r="AY2111" s="3" t="s">
        <v>25757</v>
      </c>
      <c r="AZ2111" s="3" t="s">
        <v>73</v>
      </c>
      <c r="BB2111" s="3" t="s">
        <v>25758</v>
      </c>
      <c r="BC2111" s="3" t="s">
        <v>25759</v>
      </c>
      <c r="BD2111" s="3" t="s">
        <v>25760</v>
      </c>
    </row>
    <row r="2112" spans="1:56" ht="51" customHeight="1" x14ac:dyDescent="0.25">
      <c r="A2112" s="7" t="s">
        <v>58</v>
      </c>
      <c r="B2112" s="2" t="s">
        <v>25761</v>
      </c>
      <c r="C2112" s="2" t="s">
        <v>25762</v>
      </c>
      <c r="D2112" s="2" t="s">
        <v>25763</v>
      </c>
      <c r="F2112" s="3" t="s">
        <v>58</v>
      </c>
      <c r="G2112" s="3" t="s">
        <v>59</v>
      </c>
      <c r="H2112" s="3" t="s">
        <v>58</v>
      </c>
      <c r="I2112" s="3" t="s">
        <v>58</v>
      </c>
      <c r="J2112" s="3" t="s">
        <v>60</v>
      </c>
      <c r="K2112" s="2" t="s">
        <v>25764</v>
      </c>
      <c r="L2112" s="2" t="s">
        <v>25765</v>
      </c>
      <c r="M2112" s="3" t="s">
        <v>1385</v>
      </c>
      <c r="O2112" s="3" t="s">
        <v>63</v>
      </c>
      <c r="P2112" s="3" t="s">
        <v>214</v>
      </c>
      <c r="R2112" s="3" t="s">
        <v>65</v>
      </c>
      <c r="S2112" s="4">
        <v>7</v>
      </c>
      <c r="T2112" s="4">
        <v>7</v>
      </c>
      <c r="U2112" s="5" t="s">
        <v>5306</v>
      </c>
      <c r="V2112" s="5" t="s">
        <v>5306</v>
      </c>
      <c r="W2112" s="5" t="s">
        <v>25766</v>
      </c>
      <c r="X2112" s="5" t="s">
        <v>25766</v>
      </c>
      <c r="Y2112" s="4">
        <v>432</v>
      </c>
      <c r="Z2112" s="4">
        <v>391</v>
      </c>
      <c r="AA2112" s="4">
        <v>393</v>
      </c>
      <c r="AB2112" s="4">
        <v>3</v>
      </c>
      <c r="AC2112" s="4">
        <v>3</v>
      </c>
      <c r="AD2112" s="4">
        <v>11</v>
      </c>
      <c r="AE2112" s="4">
        <v>11</v>
      </c>
      <c r="AF2112" s="4">
        <v>3</v>
      </c>
      <c r="AG2112" s="4">
        <v>3</v>
      </c>
      <c r="AH2112" s="4">
        <v>5</v>
      </c>
      <c r="AI2112" s="4">
        <v>5</v>
      </c>
      <c r="AJ2112" s="4">
        <v>5</v>
      </c>
      <c r="AK2112" s="4">
        <v>5</v>
      </c>
      <c r="AL2112" s="4">
        <v>1</v>
      </c>
      <c r="AM2112" s="4">
        <v>1</v>
      </c>
      <c r="AN2112" s="4">
        <v>0</v>
      </c>
      <c r="AO2112" s="4">
        <v>0</v>
      </c>
      <c r="AP2112" s="3" t="s">
        <v>58</v>
      </c>
      <c r="AQ2112" s="3" t="s">
        <v>68</v>
      </c>
      <c r="AR2112" s="6" t="str">
        <f>HYPERLINK("http://catalog.hathitrust.org/Record/000014988","HathiTrust Record")</f>
        <v>HathiTrust Record</v>
      </c>
      <c r="AS2112" s="6" t="str">
        <f>HYPERLINK("https://creighton-primo.hosted.exlibrisgroup.com/primo-explore/search?tab=default_tab&amp;search_scope=EVERYTHING&amp;vid=01CRU&amp;lang=en_US&amp;offset=0&amp;query=any,contains,991003396639702656","Catalog Record")</f>
        <v>Catalog Record</v>
      </c>
      <c r="AT2112" s="6" t="str">
        <f>HYPERLINK("http://www.worldcat.org/oclc/934774","WorldCat Record")</f>
        <v>WorldCat Record</v>
      </c>
      <c r="AU2112" s="3" t="s">
        <v>25767</v>
      </c>
      <c r="AV2112" s="3" t="s">
        <v>25768</v>
      </c>
      <c r="AW2112" s="3" t="s">
        <v>25769</v>
      </c>
      <c r="AX2112" s="3" t="s">
        <v>25769</v>
      </c>
      <c r="AY2112" s="3" t="s">
        <v>25770</v>
      </c>
      <c r="AZ2112" s="3" t="s">
        <v>73</v>
      </c>
      <c r="BB2112" s="3" t="s">
        <v>25771</v>
      </c>
      <c r="BC2112" s="3" t="s">
        <v>25772</v>
      </c>
      <c r="BD2112" s="3" t="s">
        <v>25773</v>
      </c>
    </row>
    <row r="2113" spans="1:56" ht="51" customHeight="1" x14ac:dyDescent="0.25">
      <c r="A2113" s="7" t="s">
        <v>58</v>
      </c>
      <c r="B2113" s="2" t="s">
        <v>25774</v>
      </c>
      <c r="C2113" s="2" t="s">
        <v>25775</v>
      </c>
      <c r="D2113" s="2" t="s">
        <v>25776</v>
      </c>
      <c r="F2113" s="3" t="s">
        <v>58</v>
      </c>
      <c r="G2113" s="3" t="s">
        <v>59</v>
      </c>
      <c r="H2113" s="3" t="s">
        <v>58</v>
      </c>
      <c r="I2113" s="3" t="s">
        <v>58</v>
      </c>
      <c r="J2113" s="3" t="s">
        <v>60</v>
      </c>
      <c r="K2113" s="2" t="s">
        <v>25777</v>
      </c>
      <c r="L2113" s="2" t="s">
        <v>25778</v>
      </c>
      <c r="M2113" s="3" t="s">
        <v>1499</v>
      </c>
      <c r="O2113" s="3" t="s">
        <v>63</v>
      </c>
      <c r="P2113" s="3" t="s">
        <v>214</v>
      </c>
      <c r="Q2113" s="2" t="s">
        <v>25779</v>
      </c>
      <c r="R2113" s="3" t="s">
        <v>65</v>
      </c>
      <c r="S2113" s="4">
        <v>6</v>
      </c>
      <c r="T2113" s="4">
        <v>6</v>
      </c>
      <c r="U2113" s="5" t="s">
        <v>4102</v>
      </c>
      <c r="V2113" s="5" t="s">
        <v>4102</v>
      </c>
      <c r="W2113" s="5" t="s">
        <v>23052</v>
      </c>
      <c r="X2113" s="5" t="s">
        <v>23052</v>
      </c>
      <c r="Y2113" s="4">
        <v>232</v>
      </c>
      <c r="Z2113" s="4">
        <v>204</v>
      </c>
      <c r="AA2113" s="4">
        <v>417</v>
      </c>
      <c r="AB2113" s="4">
        <v>1</v>
      </c>
      <c r="AC2113" s="4">
        <v>2</v>
      </c>
      <c r="AD2113" s="4">
        <v>8</v>
      </c>
      <c r="AE2113" s="4">
        <v>18</v>
      </c>
      <c r="AF2113" s="4">
        <v>4</v>
      </c>
      <c r="AG2113" s="4">
        <v>6</v>
      </c>
      <c r="AH2113" s="4">
        <v>1</v>
      </c>
      <c r="AI2113" s="4">
        <v>3</v>
      </c>
      <c r="AJ2113" s="4">
        <v>3</v>
      </c>
      <c r="AK2113" s="4">
        <v>9</v>
      </c>
      <c r="AL2113" s="4">
        <v>0</v>
      </c>
      <c r="AM2113" s="4">
        <v>1</v>
      </c>
      <c r="AN2113" s="4">
        <v>1</v>
      </c>
      <c r="AO2113" s="4">
        <v>1</v>
      </c>
      <c r="AP2113" s="3" t="s">
        <v>58</v>
      </c>
      <c r="AQ2113" s="3" t="s">
        <v>58</v>
      </c>
      <c r="AS2113" s="6" t="str">
        <f>HYPERLINK("https://creighton-primo.hosted.exlibrisgroup.com/primo-explore/search?tab=default_tab&amp;search_scope=EVERYTHING&amp;vid=01CRU&amp;lang=en_US&amp;offset=0&amp;query=any,contains,991002721109702656","Catalog Record")</f>
        <v>Catalog Record</v>
      </c>
      <c r="AT2113" s="6" t="str">
        <f>HYPERLINK("http://www.worldcat.org/oclc/412619","WorldCat Record")</f>
        <v>WorldCat Record</v>
      </c>
      <c r="AU2113" s="3" t="s">
        <v>25780</v>
      </c>
      <c r="AV2113" s="3" t="s">
        <v>25781</v>
      </c>
      <c r="AW2113" s="3" t="s">
        <v>25782</v>
      </c>
      <c r="AX2113" s="3" t="s">
        <v>25782</v>
      </c>
      <c r="AY2113" s="3" t="s">
        <v>25783</v>
      </c>
      <c r="AZ2113" s="3" t="s">
        <v>73</v>
      </c>
      <c r="BC2113" s="3" t="s">
        <v>25784</v>
      </c>
      <c r="BD2113" s="3" t="s">
        <v>25785</v>
      </c>
    </row>
    <row r="2114" spans="1:56" ht="51" customHeight="1" x14ac:dyDescent="0.25">
      <c r="A2114" s="7" t="s">
        <v>58</v>
      </c>
      <c r="B2114" s="2" t="s">
        <v>25786</v>
      </c>
      <c r="C2114" s="2" t="s">
        <v>25787</v>
      </c>
      <c r="D2114" s="2" t="s">
        <v>25788</v>
      </c>
      <c r="F2114" s="3" t="s">
        <v>58</v>
      </c>
      <c r="G2114" s="3" t="s">
        <v>59</v>
      </c>
      <c r="H2114" s="3" t="s">
        <v>58</v>
      </c>
      <c r="I2114" s="3" t="s">
        <v>58</v>
      </c>
      <c r="J2114" s="3" t="s">
        <v>60</v>
      </c>
      <c r="K2114" s="2" t="s">
        <v>25777</v>
      </c>
      <c r="L2114" s="2" t="s">
        <v>25789</v>
      </c>
      <c r="M2114" s="3" t="s">
        <v>261</v>
      </c>
      <c r="N2114" s="2" t="s">
        <v>338</v>
      </c>
      <c r="O2114" s="3" t="s">
        <v>63</v>
      </c>
      <c r="P2114" s="3" t="s">
        <v>214</v>
      </c>
      <c r="R2114" s="3" t="s">
        <v>65</v>
      </c>
      <c r="S2114" s="4">
        <v>2</v>
      </c>
      <c r="T2114" s="4">
        <v>2</v>
      </c>
      <c r="U2114" s="5" t="s">
        <v>4102</v>
      </c>
      <c r="V2114" s="5" t="s">
        <v>4102</v>
      </c>
      <c r="W2114" s="5" t="s">
        <v>25790</v>
      </c>
      <c r="X2114" s="5" t="s">
        <v>25790</v>
      </c>
      <c r="Y2114" s="4">
        <v>446</v>
      </c>
      <c r="Z2114" s="4">
        <v>398</v>
      </c>
      <c r="AA2114" s="4">
        <v>400</v>
      </c>
      <c r="AB2114" s="4">
        <v>2</v>
      </c>
      <c r="AC2114" s="4">
        <v>2</v>
      </c>
      <c r="AD2114" s="4">
        <v>6</v>
      </c>
      <c r="AE2114" s="4">
        <v>6</v>
      </c>
      <c r="AF2114" s="4">
        <v>1</v>
      </c>
      <c r="AG2114" s="4">
        <v>1</v>
      </c>
      <c r="AH2114" s="4">
        <v>2</v>
      </c>
      <c r="AI2114" s="4">
        <v>2</v>
      </c>
      <c r="AJ2114" s="4">
        <v>4</v>
      </c>
      <c r="AK2114" s="4">
        <v>4</v>
      </c>
      <c r="AL2114" s="4">
        <v>1</v>
      </c>
      <c r="AM2114" s="4">
        <v>1</v>
      </c>
      <c r="AN2114" s="4">
        <v>0</v>
      </c>
      <c r="AO2114" s="4">
        <v>0</v>
      </c>
      <c r="AP2114" s="3" t="s">
        <v>58</v>
      </c>
      <c r="AQ2114" s="3" t="s">
        <v>68</v>
      </c>
      <c r="AR2114" s="6" t="str">
        <f>HYPERLINK("http://catalog.hathitrust.org/Record/000041657","HathiTrust Record")</f>
        <v>HathiTrust Record</v>
      </c>
      <c r="AS2114" s="6" t="str">
        <f>HYPERLINK("https://creighton-primo.hosted.exlibrisgroup.com/primo-explore/search?tab=default_tab&amp;search_scope=EVERYTHING&amp;vid=01CRU&amp;lang=en_US&amp;offset=0&amp;query=any,contains,991003596679702656","Catalog Record")</f>
        <v>Catalog Record</v>
      </c>
      <c r="AT2114" s="6" t="str">
        <f>HYPERLINK("http://www.worldcat.org/oclc/1175824","WorldCat Record")</f>
        <v>WorldCat Record</v>
      </c>
      <c r="AU2114" s="3" t="s">
        <v>25791</v>
      </c>
      <c r="AV2114" s="3" t="s">
        <v>25792</v>
      </c>
      <c r="AW2114" s="3" t="s">
        <v>25793</v>
      </c>
      <c r="AX2114" s="3" t="s">
        <v>25793</v>
      </c>
      <c r="AY2114" s="3" t="s">
        <v>25794</v>
      </c>
      <c r="AZ2114" s="3" t="s">
        <v>73</v>
      </c>
      <c r="BB2114" s="3" t="s">
        <v>25795</v>
      </c>
      <c r="BC2114" s="3" t="s">
        <v>25796</v>
      </c>
      <c r="BD2114" s="3" t="s">
        <v>25797</v>
      </c>
    </row>
    <row r="2115" spans="1:56" ht="51" customHeight="1" x14ac:dyDescent="0.25">
      <c r="A2115" s="7" t="s">
        <v>58</v>
      </c>
      <c r="B2115" s="2" t="s">
        <v>25798</v>
      </c>
      <c r="C2115" s="2" t="s">
        <v>25799</v>
      </c>
      <c r="D2115" s="2" t="s">
        <v>25800</v>
      </c>
      <c r="F2115" s="3" t="s">
        <v>58</v>
      </c>
      <c r="G2115" s="3" t="s">
        <v>59</v>
      </c>
      <c r="H2115" s="3" t="s">
        <v>58</v>
      </c>
      <c r="I2115" s="3" t="s">
        <v>58</v>
      </c>
      <c r="J2115" s="3" t="s">
        <v>60</v>
      </c>
      <c r="K2115" s="2" t="s">
        <v>25801</v>
      </c>
      <c r="L2115" s="2" t="s">
        <v>25802</v>
      </c>
      <c r="M2115" s="3" t="s">
        <v>1499</v>
      </c>
      <c r="O2115" s="3" t="s">
        <v>63</v>
      </c>
      <c r="P2115" s="3" t="s">
        <v>584</v>
      </c>
      <c r="R2115" s="3" t="s">
        <v>65</v>
      </c>
      <c r="S2115" s="4">
        <v>1</v>
      </c>
      <c r="T2115" s="4">
        <v>1</v>
      </c>
      <c r="U2115" s="5" t="s">
        <v>25803</v>
      </c>
      <c r="V2115" s="5" t="s">
        <v>25803</v>
      </c>
      <c r="W2115" s="5" t="s">
        <v>24572</v>
      </c>
      <c r="X2115" s="5" t="s">
        <v>24572</v>
      </c>
      <c r="Y2115" s="4">
        <v>173</v>
      </c>
      <c r="Z2115" s="4">
        <v>79</v>
      </c>
      <c r="AA2115" s="4">
        <v>664</v>
      </c>
      <c r="AB2115" s="4">
        <v>1</v>
      </c>
      <c r="AC2115" s="4">
        <v>6</v>
      </c>
      <c r="AD2115" s="4">
        <v>4</v>
      </c>
      <c r="AE2115" s="4">
        <v>31</v>
      </c>
      <c r="AF2115" s="4">
        <v>1</v>
      </c>
      <c r="AG2115" s="4">
        <v>12</v>
      </c>
      <c r="AH2115" s="4">
        <v>3</v>
      </c>
      <c r="AI2115" s="4">
        <v>7</v>
      </c>
      <c r="AJ2115" s="4">
        <v>1</v>
      </c>
      <c r="AK2115" s="4">
        <v>13</v>
      </c>
      <c r="AL2115" s="4">
        <v>0</v>
      </c>
      <c r="AM2115" s="4">
        <v>5</v>
      </c>
      <c r="AN2115" s="4">
        <v>0</v>
      </c>
      <c r="AO2115" s="4">
        <v>0</v>
      </c>
      <c r="AP2115" s="3" t="s">
        <v>58</v>
      </c>
      <c r="AQ2115" s="3" t="s">
        <v>68</v>
      </c>
      <c r="AR2115" s="6" t="str">
        <f>HYPERLINK("http://catalog.hathitrust.org/Record/007124652","HathiTrust Record")</f>
        <v>HathiTrust Record</v>
      </c>
      <c r="AS2115" s="6" t="str">
        <f>HYPERLINK("https://creighton-primo.hosted.exlibrisgroup.com/primo-explore/search?tab=default_tab&amp;search_scope=EVERYTHING&amp;vid=01CRU&amp;lang=en_US&amp;offset=0&amp;query=any,contains,991002817579702656","Catalog Record")</f>
        <v>Catalog Record</v>
      </c>
      <c r="AT2115" s="6" t="str">
        <f>HYPERLINK("http://www.worldcat.org/oclc/462245","WorldCat Record")</f>
        <v>WorldCat Record</v>
      </c>
      <c r="AU2115" s="3" t="s">
        <v>25804</v>
      </c>
      <c r="AV2115" s="3" t="s">
        <v>25805</v>
      </c>
      <c r="AW2115" s="3" t="s">
        <v>25806</v>
      </c>
      <c r="AX2115" s="3" t="s">
        <v>25806</v>
      </c>
      <c r="AY2115" s="3" t="s">
        <v>25807</v>
      </c>
      <c r="AZ2115" s="3" t="s">
        <v>73</v>
      </c>
      <c r="BB2115" s="3" t="s">
        <v>25808</v>
      </c>
      <c r="BC2115" s="3" t="s">
        <v>25809</v>
      </c>
      <c r="BD2115" s="3" t="s">
        <v>25810</v>
      </c>
    </row>
    <row r="2116" spans="1:56" ht="51" customHeight="1" x14ac:dyDescent="0.25">
      <c r="A2116" s="7" t="s">
        <v>58</v>
      </c>
      <c r="B2116" s="2" t="s">
        <v>25811</v>
      </c>
      <c r="C2116" s="2" t="s">
        <v>25812</v>
      </c>
      <c r="D2116" s="2" t="s">
        <v>25813</v>
      </c>
      <c r="F2116" s="3" t="s">
        <v>58</v>
      </c>
      <c r="G2116" s="3" t="s">
        <v>59</v>
      </c>
      <c r="H2116" s="3" t="s">
        <v>58</v>
      </c>
      <c r="I2116" s="3" t="s">
        <v>58</v>
      </c>
      <c r="J2116" s="3" t="s">
        <v>60</v>
      </c>
      <c r="L2116" s="2" t="s">
        <v>25814</v>
      </c>
      <c r="M2116" s="3" t="s">
        <v>1499</v>
      </c>
      <c r="O2116" s="3" t="s">
        <v>63</v>
      </c>
      <c r="P2116" s="3" t="s">
        <v>981</v>
      </c>
      <c r="R2116" s="3" t="s">
        <v>65</v>
      </c>
      <c r="S2116" s="4">
        <v>2</v>
      </c>
      <c r="T2116" s="4">
        <v>2</v>
      </c>
      <c r="U2116" s="5" t="s">
        <v>20012</v>
      </c>
      <c r="V2116" s="5" t="s">
        <v>20012</v>
      </c>
      <c r="W2116" s="5" t="s">
        <v>7158</v>
      </c>
      <c r="X2116" s="5" t="s">
        <v>7158</v>
      </c>
      <c r="Y2116" s="4">
        <v>732</v>
      </c>
      <c r="Z2116" s="4">
        <v>636</v>
      </c>
      <c r="AA2116" s="4">
        <v>691</v>
      </c>
      <c r="AB2116" s="4">
        <v>3</v>
      </c>
      <c r="AC2116" s="4">
        <v>3</v>
      </c>
      <c r="AD2116" s="4">
        <v>25</v>
      </c>
      <c r="AE2116" s="4">
        <v>30</v>
      </c>
      <c r="AF2116" s="4">
        <v>12</v>
      </c>
      <c r="AG2116" s="4">
        <v>12</v>
      </c>
      <c r="AH2116" s="4">
        <v>5</v>
      </c>
      <c r="AI2116" s="4">
        <v>8</v>
      </c>
      <c r="AJ2116" s="4">
        <v>12</v>
      </c>
      <c r="AK2116" s="4">
        <v>15</v>
      </c>
      <c r="AL2116" s="4">
        <v>2</v>
      </c>
      <c r="AM2116" s="4">
        <v>2</v>
      </c>
      <c r="AN2116" s="4">
        <v>0</v>
      </c>
      <c r="AO2116" s="4">
        <v>0</v>
      </c>
      <c r="AP2116" s="3" t="s">
        <v>58</v>
      </c>
      <c r="AQ2116" s="3" t="s">
        <v>68</v>
      </c>
      <c r="AR2116" s="6" t="str">
        <f>HYPERLINK("http://catalog.hathitrust.org/Record/001258353","HathiTrust Record")</f>
        <v>HathiTrust Record</v>
      </c>
      <c r="AS2116" s="6" t="str">
        <f>HYPERLINK("https://creighton-primo.hosted.exlibrisgroup.com/primo-explore/search?tab=default_tab&amp;search_scope=EVERYTHING&amp;vid=01CRU&amp;lang=en_US&amp;offset=0&amp;query=any,contains,991002776069702656","Catalog Record")</f>
        <v>Catalog Record</v>
      </c>
      <c r="AT2116" s="6" t="str">
        <f>HYPERLINK("http://www.worldcat.org/oclc/438724","WorldCat Record")</f>
        <v>WorldCat Record</v>
      </c>
      <c r="AU2116" s="3" t="s">
        <v>25815</v>
      </c>
      <c r="AV2116" s="3" t="s">
        <v>25816</v>
      </c>
      <c r="AW2116" s="3" t="s">
        <v>25817</v>
      </c>
      <c r="AX2116" s="3" t="s">
        <v>25817</v>
      </c>
      <c r="AY2116" s="3" t="s">
        <v>25818</v>
      </c>
      <c r="AZ2116" s="3" t="s">
        <v>73</v>
      </c>
      <c r="BC2116" s="3" t="s">
        <v>25819</v>
      </c>
      <c r="BD2116" s="3" t="s">
        <v>25820</v>
      </c>
    </row>
    <row r="2117" spans="1:56" ht="51" customHeight="1" x14ac:dyDescent="0.25">
      <c r="A2117" s="7" t="s">
        <v>58</v>
      </c>
      <c r="B2117" s="2" t="s">
        <v>25821</v>
      </c>
      <c r="C2117" s="2" t="s">
        <v>25822</v>
      </c>
      <c r="D2117" s="2" t="s">
        <v>25823</v>
      </c>
      <c r="F2117" s="3" t="s">
        <v>58</v>
      </c>
      <c r="G2117" s="3" t="s">
        <v>59</v>
      </c>
      <c r="H2117" s="3" t="s">
        <v>58</v>
      </c>
      <c r="I2117" s="3" t="s">
        <v>58</v>
      </c>
      <c r="J2117" s="3" t="s">
        <v>60</v>
      </c>
      <c r="K2117" s="2" t="s">
        <v>25824</v>
      </c>
      <c r="L2117" s="2" t="s">
        <v>22178</v>
      </c>
      <c r="M2117" s="3" t="s">
        <v>1153</v>
      </c>
      <c r="O2117" s="3" t="s">
        <v>63</v>
      </c>
      <c r="P2117" s="3" t="s">
        <v>214</v>
      </c>
      <c r="R2117" s="3" t="s">
        <v>65</v>
      </c>
      <c r="S2117" s="4">
        <v>5</v>
      </c>
      <c r="T2117" s="4">
        <v>5</v>
      </c>
      <c r="U2117" s="5" t="s">
        <v>25803</v>
      </c>
      <c r="V2117" s="5" t="s">
        <v>25803</v>
      </c>
      <c r="W2117" s="5" t="s">
        <v>18602</v>
      </c>
      <c r="X2117" s="5" t="s">
        <v>18602</v>
      </c>
      <c r="Y2117" s="4">
        <v>669</v>
      </c>
      <c r="Z2117" s="4">
        <v>576</v>
      </c>
      <c r="AA2117" s="4">
        <v>713</v>
      </c>
      <c r="AB2117" s="4">
        <v>6</v>
      </c>
      <c r="AC2117" s="4">
        <v>6</v>
      </c>
      <c r="AD2117" s="4">
        <v>30</v>
      </c>
      <c r="AE2117" s="4">
        <v>32</v>
      </c>
      <c r="AF2117" s="4">
        <v>12</v>
      </c>
      <c r="AG2117" s="4">
        <v>12</v>
      </c>
      <c r="AH2117" s="4">
        <v>7</v>
      </c>
      <c r="AI2117" s="4">
        <v>8</v>
      </c>
      <c r="AJ2117" s="4">
        <v>13</v>
      </c>
      <c r="AK2117" s="4">
        <v>13</v>
      </c>
      <c r="AL2117" s="4">
        <v>5</v>
      </c>
      <c r="AM2117" s="4">
        <v>5</v>
      </c>
      <c r="AN2117" s="4">
        <v>0</v>
      </c>
      <c r="AO2117" s="4">
        <v>1</v>
      </c>
      <c r="AP2117" s="3" t="s">
        <v>58</v>
      </c>
      <c r="AQ2117" s="3" t="s">
        <v>68</v>
      </c>
      <c r="AR2117" s="6" t="str">
        <f>HYPERLINK("http://catalog.hathitrust.org/Record/001258369","HathiTrust Record")</f>
        <v>HathiTrust Record</v>
      </c>
      <c r="AS2117" s="6" t="str">
        <f>HYPERLINK("https://creighton-primo.hosted.exlibrisgroup.com/primo-explore/search?tab=default_tab&amp;search_scope=EVERYTHING&amp;vid=01CRU&amp;lang=en_US&amp;offset=0&amp;query=any,contains,991002970339702656","Catalog Record")</f>
        <v>Catalog Record</v>
      </c>
      <c r="AT2117" s="6" t="str">
        <f>HYPERLINK("http://www.worldcat.org/oclc/548245","WorldCat Record")</f>
        <v>WorldCat Record</v>
      </c>
      <c r="AU2117" s="3" t="s">
        <v>25825</v>
      </c>
      <c r="AV2117" s="3" t="s">
        <v>25826</v>
      </c>
      <c r="AW2117" s="3" t="s">
        <v>25827</v>
      </c>
      <c r="AX2117" s="3" t="s">
        <v>25827</v>
      </c>
      <c r="AY2117" s="3" t="s">
        <v>25828</v>
      </c>
      <c r="AZ2117" s="3" t="s">
        <v>73</v>
      </c>
      <c r="BC2117" s="3" t="s">
        <v>25829</v>
      </c>
      <c r="BD2117" s="3" t="s">
        <v>25830</v>
      </c>
    </row>
    <row r="2118" spans="1:56" ht="51" customHeight="1" x14ac:dyDescent="0.25">
      <c r="A2118" s="7" t="s">
        <v>58</v>
      </c>
      <c r="B2118" s="2" t="s">
        <v>25831</v>
      </c>
      <c r="C2118" s="2" t="s">
        <v>25832</v>
      </c>
      <c r="D2118" s="2" t="s">
        <v>25833</v>
      </c>
      <c r="F2118" s="3" t="s">
        <v>58</v>
      </c>
      <c r="G2118" s="3" t="s">
        <v>59</v>
      </c>
      <c r="H2118" s="3" t="s">
        <v>58</v>
      </c>
      <c r="I2118" s="3" t="s">
        <v>58</v>
      </c>
      <c r="J2118" s="3" t="s">
        <v>60</v>
      </c>
      <c r="K2118" s="2" t="s">
        <v>25834</v>
      </c>
      <c r="L2118" s="2" t="s">
        <v>25835</v>
      </c>
      <c r="M2118" s="3" t="s">
        <v>2706</v>
      </c>
      <c r="O2118" s="3" t="s">
        <v>63</v>
      </c>
      <c r="P2118" s="3" t="s">
        <v>584</v>
      </c>
      <c r="R2118" s="3" t="s">
        <v>65</v>
      </c>
      <c r="S2118" s="4">
        <v>1</v>
      </c>
      <c r="T2118" s="4">
        <v>1</v>
      </c>
      <c r="U2118" s="5" t="s">
        <v>17910</v>
      </c>
      <c r="V2118" s="5" t="s">
        <v>17910</v>
      </c>
      <c r="W2118" s="5" t="s">
        <v>25029</v>
      </c>
      <c r="X2118" s="5" t="s">
        <v>25029</v>
      </c>
      <c r="Y2118" s="4">
        <v>120</v>
      </c>
      <c r="Z2118" s="4">
        <v>80</v>
      </c>
      <c r="AA2118" s="4">
        <v>90</v>
      </c>
      <c r="AB2118" s="4">
        <v>2</v>
      </c>
      <c r="AC2118" s="4">
        <v>2</v>
      </c>
      <c r="AD2118" s="4">
        <v>6</v>
      </c>
      <c r="AE2118" s="4">
        <v>6</v>
      </c>
      <c r="AF2118" s="4">
        <v>1</v>
      </c>
      <c r="AG2118" s="4">
        <v>1</v>
      </c>
      <c r="AH2118" s="4">
        <v>3</v>
      </c>
      <c r="AI2118" s="4">
        <v>3</v>
      </c>
      <c r="AJ2118" s="4">
        <v>4</v>
      </c>
      <c r="AK2118" s="4">
        <v>4</v>
      </c>
      <c r="AL2118" s="4">
        <v>1</v>
      </c>
      <c r="AM2118" s="4">
        <v>1</v>
      </c>
      <c r="AN2118" s="4">
        <v>0</v>
      </c>
      <c r="AO2118" s="4">
        <v>0</v>
      </c>
      <c r="AP2118" s="3" t="s">
        <v>58</v>
      </c>
      <c r="AQ2118" s="3" t="s">
        <v>68</v>
      </c>
      <c r="AR2118" s="6" t="str">
        <f>HYPERLINK("http://catalog.hathitrust.org/Record/001258378","HathiTrust Record")</f>
        <v>HathiTrust Record</v>
      </c>
      <c r="AS2118" s="6" t="str">
        <f>HYPERLINK("https://creighton-primo.hosted.exlibrisgroup.com/primo-explore/search?tab=default_tab&amp;search_scope=EVERYTHING&amp;vid=01CRU&amp;lang=en_US&amp;offset=0&amp;query=any,contains,991004556199702656","Catalog Record")</f>
        <v>Catalog Record</v>
      </c>
      <c r="AT2118" s="6" t="str">
        <f>HYPERLINK("http://www.worldcat.org/oclc/3966673","WorldCat Record")</f>
        <v>WorldCat Record</v>
      </c>
      <c r="AU2118" s="3" t="s">
        <v>25836</v>
      </c>
      <c r="AV2118" s="3" t="s">
        <v>25837</v>
      </c>
      <c r="AW2118" s="3" t="s">
        <v>25838</v>
      </c>
      <c r="AX2118" s="3" t="s">
        <v>25838</v>
      </c>
      <c r="AY2118" s="3" t="s">
        <v>25839</v>
      </c>
      <c r="AZ2118" s="3" t="s">
        <v>73</v>
      </c>
      <c r="BC2118" s="3" t="s">
        <v>25840</v>
      </c>
      <c r="BD2118" s="3" t="s">
        <v>25841</v>
      </c>
    </row>
    <row r="2119" spans="1:56" ht="51" customHeight="1" x14ac:dyDescent="0.25">
      <c r="A2119" s="7" t="s">
        <v>58</v>
      </c>
      <c r="B2119" s="2" t="s">
        <v>25842</v>
      </c>
      <c r="C2119" s="2" t="s">
        <v>25843</v>
      </c>
      <c r="D2119" s="2" t="s">
        <v>25844</v>
      </c>
      <c r="F2119" s="3" t="s">
        <v>58</v>
      </c>
      <c r="G2119" s="3" t="s">
        <v>59</v>
      </c>
      <c r="H2119" s="3" t="s">
        <v>58</v>
      </c>
      <c r="I2119" s="3" t="s">
        <v>58</v>
      </c>
      <c r="J2119" s="3" t="s">
        <v>60</v>
      </c>
      <c r="K2119" s="2" t="s">
        <v>25845</v>
      </c>
      <c r="L2119" s="2" t="s">
        <v>25622</v>
      </c>
      <c r="M2119" s="3" t="s">
        <v>83</v>
      </c>
      <c r="O2119" s="3" t="s">
        <v>63</v>
      </c>
      <c r="P2119" s="3" t="s">
        <v>2061</v>
      </c>
      <c r="R2119" s="3" t="s">
        <v>65</v>
      </c>
      <c r="S2119" s="4">
        <v>5</v>
      </c>
      <c r="T2119" s="4">
        <v>5</v>
      </c>
      <c r="U2119" s="5" t="s">
        <v>1136</v>
      </c>
      <c r="V2119" s="5" t="s">
        <v>1136</v>
      </c>
      <c r="W2119" s="5" t="s">
        <v>24572</v>
      </c>
      <c r="X2119" s="5" t="s">
        <v>24572</v>
      </c>
      <c r="Y2119" s="4">
        <v>647</v>
      </c>
      <c r="Z2119" s="4">
        <v>508</v>
      </c>
      <c r="AA2119" s="4">
        <v>548</v>
      </c>
      <c r="AB2119" s="4">
        <v>4</v>
      </c>
      <c r="AC2119" s="4">
        <v>4</v>
      </c>
      <c r="AD2119" s="4">
        <v>25</v>
      </c>
      <c r="AE2119" s="4">
        <v>27</v>
      </c>
      <c r="AF2119" s="4">
        <v>7</v>
      </c>
      <c r="AG2119" s="4">
        <v>9</v>
      </c>
      <c r="AH2119" s="4">
        <v>8</v>
      </c>
      <c r="AI2119" s="4">
        <v>8</v>
      </c>
      <c r="AJ2119" s="4">
        <v>12</v>
      </c>
      <c r="AK2119" s="4">
        <v>13</v>
      </c>
      <c r="AL2119" s="4">
        <v>3</v>
      </c>
      <c r="AM2119" s="4">
        <v>3</v>
      </c>
      <c r="AN2119" s="4">
        <v>0</v>
      </c>
      <c r="AO2119" s="4">
        <v>0</v>
      </c>
      <c r="AP2119" s="3" t="s">
        <v>58</v>
      </c>
      <c r="AQ2119" s="3" t="s">
        <v>58</v>
      </c>
      <c r="AS2119" s="6" t="str">
        <f>HYPERLINK("https://creighton-primo.hosted.exlibrisgroup.com/primo-explore/search?tab=default_tab&amp;search_scope=EVERYTHING&amp;vid=01CRU&amp;lang=en_US&amp;offset=0&amp;query=any,contains,991004557329702656","Catalog Record")</f>
        <v>Catalog Record</v>
      </c>
      <c r="AT2119" s="6" t="str">
        <f>HYPERLINK("http://www.worldcat.org/oclc/3972837","WorldCat Record")</f>
        <v>WorldCat Record</v>
      </c>
      <c r="AU2119" s="3" t="s">
        <v>25846</v>
      </c>
      <c r="AV2119" s="3" t="s">
        <v>25847</v>
      </c>
      <c r="AW2119" s="3" t="s">
        <v>25848</v>
      </c>
      <c r="AX2119" s="3" t="s">
        <v>25848</v>
      </c>
      <c r="AY2119" s="3" t="s">
        <v>25849</v>
      </c>
      <c r="AZ2119" s="3" t="s">
        <v>73</v>
      </c>
      <c r="BB2119" s="3" t="s">
        <v>25850</v>
      </c>
      <c r="BC2119" s="3" t="s">
        <v>25851</v>
      </c>
      <c r="BD2119" s="3" t="s">
        <v>25852</v>
      </c>
    </row>
    <row r="2120" spans="1:56" ht="51" customHeight="1" x14ac:dyDescent="0.25">
      <c r="A2120" s="7" t="s">
        <v>58</v>
      </c>
      <c r="B2120" s="2" t="s">
        <v>25853</v>
      </c>
      <c r="C2120" s="2" t="s">
        <v>25854</v>
      </c>
      <c r="D2120" s="2" t="s">
        <v>25855</v>
      </c>
      <c r="F2120" s="3" t="s">
        <v>58</v>
      </c>
      <c r="G2120" s="3" t="s">
        <v>59</v>
      </c>
      <c r="H2120" s="3" t="s">
        <v>58</v>
      </c>
      <c r="I2120" s="3" t="s">
        <v>58</v>
      </c>
      <c r="J2120" s="3" t="s">
        <v>60</v>
      </c>
      <c r="K2120" s="2" t="s">
        <v>25856</v>
      </c>
      <c r="L2120" s="2" t="s">
        <v>25857</v>
      </c>
      <c r="M2120" s="3" t="s">
        <v>1499</v>
      </c>
      <c r="O2120" s="3" t="s">
        <v>63</v>
      </c>
      <c r="P2120" s="3" t="s">
        <v>214</v>
      </c>
      <c r="R2120" s="3" t="s">
        <v>65</v>
      </c>
      <c r="S2120" s="4">
        <v>2</v>
      </c>
      <c r="T2120" s="4">
        <v>2</v>
      </c>
      <c r="U2120" s="5" t="s">
        <v>11940</v>
      </c>
      <c r="V2120" s="5" t="s">
        <v>11940</v>
      </c>
      <c r="W2120" s="5" t="s">
        <v>24572</v>
      </c>
      <c r="X2120" s="5" t="s">
        <v>24572</v>
      </c>
      <c r="Y2120" s="4">
        <v>919</v>
      </c>
      <c r="Z2120" s="4">
        <v>825</v>
      </c>
      <c r="AA2120" s="4">
        <v>964</v>
      </c>
      <c r="AB2120" s="4">
        <v>7</v>
      </c>
      <c r="AC2120" s="4">
        <v>8</v>
      </c>
      <c r="AD2120" s="4">
        <v>36</v>
      </c>
      <c r="AE2120" s="4">
        <v>43</v>
      </c>
      <c r="AF2120" s="4">
        <v>14</v>
      </c>
      <c r="AG2120" s="4">
        <v>17</v>
      </c>
      <c r="AH2120" s="4">
        <v>8</v>
      </c>
      <c r="AI2120" s="4">
        <v>8</v>
      </c>
      <c r="AJ2120" s="4">
        <v>18</v>
      </c>
      <c r="AK2120" s="4">
        <v>22</v>
      </c>
      <c r="AL2120" s="4">
        <v>5</v>
      </c>
      <c r="AM2120" s="4">
        <v>6</v>
      </c>
      <c r="AN2120" s="4">
        <v>0</v>
      </c>
      <c r="AO2120" s="4">
        <v>0</v>
      </c>
      <c r="AP2120" s="3" t="s">
        <v>58</v>
      </c>
      <c r="AQ2120" s="3" t="s">
        <v>68</v>
      </c>
      <c r="AR2120" s="6" t="str">
        <f>HYPERLINK("http://catalog.hathitrust.org/Record/001258410","HathiTrust Record")</f>
        <v>HathiTrust Record</v>
      </c>
      <c r="AS2120" s="6" t="str">
        <f>HYPERLINK("https://creighton-primo.hosted.exlibrisgroup.com/primo-explore/search?tab=default_tab&amp;search_scope=EVERYTHING&amp;vid=01CRU&amp;lang=en_US&amp;offset=0&amp;query=any,contains,991002804259702656","Catalog Record")</f>
        <v>Catalog Record</v>
      </c>
      <c r="AT2120" s="6" t="str">
        <f>HYPERLINK("http://www.worldcat.org/oclc/448988","WorldCat Record")</f>
        <v>WorldCat Record</v>
      </c>
      <c r="AU2120" s="3" t="s">
        <v>25858</v>
      </c>
      <c r="AV2120" s="3" t="s">
        <v>25859</v>
      </c>
      <c r="AW2120" s="3" t="s">
        <v>25860</v>
      </c>
      <c r="AX2120" s="3" t="s">
        <v>25860</v>
      </c>
      <c r="AY2120" s="3" t="s">
        <v>25861</v>
      </c>
      <c r="AZ2120" s="3" t="s">
        <v>73</v>
      </c>
      <c r="BC2120" s="3" t="s">
        <v>25862</v>
      </c>
      <c r="BD2120" s="3" t="s">
        <v>25863</v>
      </c>
    </row>
    <row r="2121" spans="1:56" ht="51" customHeight="1" x14ac:dyDescent="0.25">
      <c r="A2121" s="7" t="s">
        <v>58</v>
      </c>
      <c r="B2121" s="2" t="s">
        <v>25864</v>
      </c>
      <c r="C2121" s="2" t="s">
        <v>25865</v>
      </c>
      <c r="D2121" s="2" t="s">
        <v>25866</v>
      </c>
      <c r="E2121" s="3" t="s">
        <v>223</v>
      </c>
      <c r="F2121" s="3" t="s">
        <v>58</v>
      </c>
      <c r="G2121" s="3" t="s">
        <v>59</v>
      </c>
      <c r="H2121" s="3" t="s">
        <v>58</v>
      </c>
      <c r="I2121" s="3" t="s">
        <v>58</v>
      </c>
      <c r="J2121" s="3" t="s">
        <v>60</v>
      </c>
      <c r="K2121" s="2" t="s">
        <v>25867</v>
      </c>
      <c r="L2121" s="2" t="s">
        <v>25868</v>
      </c>
      <c r="M2121" s="3" t="s">
        <v>1385</v>
      </c>
      <c r="O2121" s="3" t="s">
        <v>63</v>
      </c>
      <c r="P2121" s="3" t="s">
        <v>214</v>
      </c>
      <c r="Q2121" s="2" t="s">
        <v>25869</v>
      </c>
      <c r="R2121" s="3" t="s">
        <v>65</v>
      </c>
      <c r="S2121" s="4">
        <v>3</v>
      </c>
      <c r="T2121" s="4">
        <v>3</v>
      </c>
      <c r="U2121" s="5" t="s">
        <v>25870</v>
      </c>
      <c r="V2121" s="5" t="s">
        <v>25870</v>
      </c>
      <c r="W2121" s="5" t="s">
        <v>24572</v>
      </c>
      <c r="X2121" s="5" t="s">
        <v>24572</v>
      </c>
      <c r="Y2121" s="4">
        <v>308</v>
      </c>
      <c r="Z2121" s="4">
        <v>291</v>
      </c>
      <c r="AA2121" s="4">
        <v>311</v>
      </c>
      <c r="AB2121" s="4">
        <v>1</v>
      </c>
      <c r="AC2121" s="4">
        <v>1</v>
      </c>
      <c r="AD2121" s="4">
        <v>11</v>
      </c>
      <c r="AE2121" s="4">
        <v>11</v>
      </c>
      <c r="AF2121" s="4">
        <v>5</v>
      </c>
      <c r="AG2121" s="4">
        <v>5</v>
      </c>
      <c r="AH2121" s="4">
        <v>2</v>
      </c>
      <c r="AI2121" s="4">
        <v>2</v>
      </c>
      <c r="AJ2121" s="4">
        <v>7</v>
      </c>
      <c r="AK2121" s="4">
        <v>7</v>
      </c>
      <c r="AL2121" s="4">
        <v>0</v>
      </c>
      <c r="AM2121" s="4">
        <v>0</v>
      </c>
      <c r="AN2121" s="4">
        <v>1</v>
      </c>
      <c r="AO2121" s="4">
        <v>1</v>
      </c>
      <c r="AP2121" s="3" t="s">
        <v>58</v>
      </c>
      <c r="AQ2121" s="3" t="s">
        <v>58</v>
      </c>
      <c r="AS2121" s="6" t="str">
        <f>HYPERLINK("https://creighton-primo.hosted.exlibrisgroup.com/primo-explore/search?tab=default_tab&amp;search_scope=EVERYTHING&amp;vid=01CRU&amp;lang=en_US&amp;offset=0&amp;query=any,contains,991003167769702656","Catalog Record")</f>
        <v>Catalog Record</v>
      </c>
      <c r="AT2121" s="6" t="str">
        <f>HYPERLINK("http://www.worldcat.org/oclc/704878","WorldCat Record")</f>
        <v>WorldCat Record</v>
      </c>
      <c r="AU2121" s="3" t="s">
        <v>25871</v>
      </c>
      <c r="AV2121" s="3" t="s">
        <v>25872</v>
      </c>
      <c r="AW2121" s="3" t="s">
        <v>25873</v>
      </c>
      <c r="AX2121" s="3" t="s">
        <v>25873</v>
      </c>
      <c r="AY2121" s="3" t="s">
        <v>25874</v>
      </c>
      <c r="AZ2121" s="3" t="s">
        <v>73</v>
      </c>
      <c r="BB2121" s="3" t="s">
        <v>25875</v>
      </c>
      <c r="BC2121" s="3" t="s">
        <v>25876</v>
      </c>
      <c r="BD2121" s="3" t="s">
        <v>25877</v>
      </c>
    </row>
    <row r="2122" spans="1:56" ht="51" customHeight="1" x14ac:dyDescent="0.25">
      <c r="A2122" s="7" t="s">
        <v>58</v>
      </c>
      <c r="B2122" s="2" t="s">
        <v>25878</v>
      </c>
      <c r="C2122" s="2" t="s">
        <v>25879</v>
      </c>
      <c r="D2122" s="2" t="s">
        <v>25880</v>
      </c>
      <c r="F2122" s="3" t="s">
        <v>58</v>
      </c>
      <c r="G2122" s="3" t="s">
        <v>59</v>
      </c>
      <c r="H2122" s="3" t="s">
        <v>58</v>
      </c>
      <c r="I2122" s="3" t="s">
        <v>58</v>
      </c>
      <c r="J2122" s="3" t="s">
        <v>60</v>
      </c>
      <c r="L2122" s="2" t="s">
        <v>25881</v>
      </c>
      <c r="M2122" s="3" t="s">
        <v>1784</v>
      </c>
      <c r="O2122" s="3" t="s">
        <v>63</v>
      </c>
      <c r="P2122" s="3" t="s">
        <v>214</v>
      </c>
      <c r="R2122" s="3" t="s">
        <v>65</v>
      </c>
      <c r="S2122" s="4">
        <v>4</v>
      </c>
      <c r="T2122" s="4">
        <v>4</v>
      </c>
      <c r="U2122" s="5" t="s">
        <v>1136</v>
      </c>
      <c r="V2122" s="5" t="s">
        <v>1136</v>
      </c>
      <c r="W2122" s="5" t="s">
        <v>20145</v>
      </c>
      <c r="X2122" s="5" t="s">
        <v>20145</v>
      </c>
      <c r="Y2122" s="4">
        <v>617</v>
      </c>
      <c r="Z2122" s="4">
        <v>484</v>
      </c>
      <c r="AA2122" s="4">
        <v>491</v>
      </c>
      <c r="AB2122" s="4">
        <v>4</v>
      </c>
      <c r="AC2122" s="4">
        <v>4</v>
      </c>
      <c r="AD2122" s="4">
        <v>24</v>
      </c>
      <c r="AE2122" s="4">
        <v>24</v>
      </c>
      <c r="AF2122" s="4">
        <v>9</v>
      </c>
      <c r="AG2122" s="4">
        <v>9</v>
      </c>
      <c r="AH2122" s="4">
        <v>7</v>
      </c>
      <c r="AI2122" s="4">
        <v>7</v>
      </c>
      <c r="AJ2122" s="4">
        <v>11</v>
      </c>
      <c r="AK2122" s="4">
        <v>11</v>
      </c>
      <c r="AL2122" s="4">
        <v>3</v>
      </c>
      <c r="AM2122" s="4">
        <v>3</v>
      </c>
      <c r="AN2122" s="4">
        <v>1</v>
      </c>
      <c r="AO2122" s="4">
        <v>1</v>
      </c>
      <c r="AP2122" s="3" t="s">
        <v>58</v>
      </c>
      <c r="AQ2122" s="3" t="s">
        <v>68</v>
      </c>
      <c r="AR2122" s="6" t="str">
        <f>HYPERLINK("http://catalog.hathitrust.org/Record/000256104","HathiTrust Record")</f>
        <v>HathiTrust Record</v>
      </c>
      <c r="AS2122" s="6" t="str">
        <f>HYPERLINK("https://creighton-primo.hosted.exlibrisgroup.com/primo-explore/search?tab=default_tab&amp;search_scope=EVERYTHING&amp;vid=01CRU&amp;lang=en_US&amp;offset=0&amp;query=any,contains,991004654379702656","Catalog Record")</f>
        <v>Catalog Record</v>
      </c>
      <c r="AT2122" s="6" t="str">
        <f>HYPERLINK("http://www.worldcat.org/oclc/4494862","WorldCat Record")</f>
        <v>WorldCat Record</v>
      </c>
      <c r="AU2122" s="3" t="s">
        <v>25882</v>
      </c>
      <c r="AV2122" s="3" t="s">
        <v>25883</v>
      </c>
      <c r="AW2122" s="3" t="s">
        <v>25884</v>
      </c>
      <c r="AX2122" s="3" t="s">
        <v>25884</v>
      </c>
      <c r="AY2122" s="3" t="s">
        <v>25885</v>
      </c>
      <c r="AZ2122" s="3" t="s">
        <v>73</v>
      </c>
      <c r="BB2122" s="3" t="s">
        <v>25886</v>
      </c>
      <c r="BC2122" s="3" t="s">
        <v>25887</v>
      </c>
      <c r="BD2122" s="3" t="s">
        <v>25888</v>
      </c>
    </row>
    <row r="2123" spans="1:56" ht="51" customHeight="1" x14ac:dyDescent="0.25">
      <c r="A2123" s="7" t="s">
        <v>58</v>
      </c>
      <c r="B2123" s="2" t="s">
        <v>25889</v>
      </c>
      <c r="C2123" s="2" t="s">
        <v>25890</v>
      </c>
      <c r="D2123" s="2" t="s">
        <v>25891</v>
      </c>
      <c r="F2123" s="3" t="s">
        <v>58</v>
      </c>
      <c r="G2123" s="3" t="s">
        <v>59</v>
      </c>
      <c r="H2123" s="3" t="s">
        <v>58</v>
      </c>
      <c r="I2123" s="3" t="s">
        <v>58</v>
      </c>
      <c r="J2123" s="3" t="s">
        <v>60</v>
      </c>
      <c r="K2123" s="2" t="s">
        <v>25892</v>
      </c>
      <c r="L2123" s="2" t="s">
        <v>25893</v>
      </c>
      <c r="M2123" s="3" t="s">
        <v>996</v>
      </c>
      <c r="O2123" s="3" t="s">
        <v>63</v>
      </c>
      <c r="P2123" s="3" t="s">
        <v>2061</v>
      </c>
      <c r="R2123" s="3" t="s">
        <v>65</v>
      </c>
      <c r="S2123" s="4">
        <v>4</v>
      </c>
      <c r="T2123" s="4">
        <v>4</v>
      </c>
      <c r="U2123" s="5" t="s">
        <v>11940</v>
      </c>
      <c r="V2123" s="5" t="s">
        <v>11940</v>
      </c>
      <c r="W2123" s="5" t="s">
        <v>25894</v>
      </c>
      <c r="X2123" s="5" t="s">
        <v>25894</v>
      </c>
      <c r="Y2123" s="4">
        <v>1097</v>
      </c>
      <c r="Z2123" s="4">
        <v>915</v>
      </c>
      <c r="AA2123" s="4">
        <v>986</v>
      </c>
      <c r="AB2123" s="4">
        <v>6</v>
      </c>
      <c r="AC2123" s="4">
        <v>6</v>
      </c>
      <c r="AD2123" s="4">
        <v>35</v>
      </c>
      <c r="AE2123" s="4">
        <v>36</v>
      </c>
      <c r="AF2123" s="4">
        <v>13</v>
      </c>
      <c r="AG2123" s="4">
        <v>14</v>
      </c>
      <c r="AH2123" s="4">
        <v>8</v>
      </c>
      <c r="AI2123" s="4">
        <v>8</v>
      </c>
      <c r="AJ2123" s="4">
        <v>18</v>
      </c>
      <c r="AK2123" s="4">
        <v>18</v>
      </c>
      <c r="AL2123" s="4">
        <v>5</v>
      </c>
      <c r="AM2123" s="4">
        <v>5</v>
      </c>
      <c r="AN2123" s="4">
        <v>0</v>
      </c>
      <c r="AO2123" s="4">
        <v>0</v>
      </c>
      <c r="AP2123" s="3" t="s">
        <v>58</v>
      </c>
      <c r="AQ2123" s="3" t="s">
        <v>68</v>
      </c>
      <c r="AR2123" s="6" t="str">
        <f>HYPERLINK("http://catalog.hathitrust.org/Record/001258438","HathiTrust Record")</f>
        <v>HathiTrust Record</v>
      </c>
      <c r="AS2123" s="6" t="str">
        <f>HYPERLINK("https://creighton-primo.hosted.exlibrisgroup.com/primo-explore/search?tab=default_tab&amp;search_scope=EVERYTHING&amp;vid=01CRU&amp;lang=en_US&amp;offset=0&amp;query=any,contains,991002896109702656","Catalog Record")</f>
        <v>Catalog Record</v>
      </c>
      <c r="AT2123" s="6" t="str">
        <f>HYPERLINK("http://www.worldcat.org/oclc/514381","WorldCat Record")</f>
        <v>WorldCat Record</v>
      </c>
      <c r="AU2123" s="3" t="s">
        <v>25895</v>
      </c>
      <c r="AV2123" s="3" t="s">
        <v>25896</v>
      </c>
      <c r="AW2123" s="3" t="s">
        <v>25897</v>
      </c>
      <c r="AX2123" s="3" t="s">
        <v>25897</v>
      </c>
      <c r="AY2123" s="3" t="s">
        <v>25898</v>
      </c>
      <c r="AZ2123" s="3" t="s">
        <v>73</v>
      </c>
      <c r="BB2123" s="3" t="s">
        <v>25899</v>
      </c>
      <c r="BC2123" s="3" t="s">
        <v>25900</v>
      </c>
      <c r="BD2123" s="3" t="s">
        <v>25901</v>
      </c>
    </row>
    <row r="2124" spans="1:56" ht="51" customHeight="1" x14ac:dyDescent="0.25">
      <c r="A2124" s="7" t="s">
        <v>58</v>
      </c>
      <c r="B2124" s="2" t="s">
        <v>25902</v>
      </c>
      <c r="C2124" s="2" t="s">
        <v>25903</v>
      </c>
      <c r="D2124" s="2" t="s">
        <v>25904</v>
      </c>
      <c r="F2124" s="3" t="s">
        <v>58</v>
      </c>
      <c r="G2124" s="3" t="s">
        <v>59</v>
      </c>
      <c r="H2124" s="3" t="s">
        <v>58</v>
      </c>
      <c r="I2124" s="3" t="s">
        <v>58</v>
      </c>
      <c r="J2124" s="3" t="s">
        <v>60</v>
      </c>
      <c r="K2124" s="2" t="s">
        <v>25905</v>
      </c>
      <c r="L2124" s="2" t="s">
        <v>25906</v>
      </c>
      <c r="M2124" s="3" t="s">
        <v>1385</v>
      </c>
      <c r="N2124" s="2" t="s">
        <v>1470</v>
      </c>
      <c r="O2124" s="3" t="s">
        <v>63</v>
      </c>
      <c r="P2124" s="3" t="s">
        <v>214</v>
      </c>
      <c r="R2124" s="3" t="s">
        <v>65</v>
      </c>
      <c r="S2124" s="4">
        <v>1</v>
      </c>
      <c r="T2124" s="4">
        <v>1</v>
      </c>
      <c r="U2124" s="5" t="s">
        <v>24980</v>
      </c>
      <c r="V2124" s="5" t="s">
        <v>24980</v>
      </c>
      <c r="W2124" s="5" t="s">
        <v>24572</v>
      </c>
      <c r="X2124" s="5" t="s">
        <v>24572</v>
      </c>
      <c r="Y2124" s="4">
        <v>595</v>
      </c>
      <c r="Z2124" s="4">
        <v>495</v>
      </c>
      <c r="AA2124" s="4">
        <v>504</v>
      </c>
      <c r="AB2124" s="4">
        <v>3</v>
      </c>
      <c r="AC2124" s="4">
        <v>3</v>
      </c>
      <c r="AD2124" s="4">
        <v>19</v>
      </c>
      <c r="AE2124" s="4">
        <v>19</v>
      </c>
      <c r="AF2124" s="4">
        <v>5</v>
      </c>
      <c r="AG2124" s="4">
        <v>5</v>
      </c>
      <c r="AH2124" s="4">
        <v>7</v>
      </c>
      <c r="AI2124" s="4">
        <v>7</v>
      </c>
      <c r="AJ2124" s="4">
        <v>9</v>
      </c>
      <c r="AK2124" s="4">
        <v>9</v>
      </c>
      <c r="AL2124" s="4">
        <v>2</v>
      </c>
      <c r="AM2124" s="4">
        <v>2</v>
      </c>
      <c r="AN2124" s="4">
        <v>0</v>
      </c>
      <c r="AO2124" s="4">
        <v>0</v>
      </c>
      <c r="AP2124" s="3" t="s">
        <v>58</v>
      </c>
      <c r="AQ2124" s="3" t="s">
        <v>68</v>
      </c>
      <c r="AR2124" s="6" t="str">
        <f>HYPERLINK("http://catalog.hathitrust.org/Record/001258441","HathiTrust Record")</f>
        <v>HathiTrust Record</v>
      </c>
      <c r="AS2124" s="6" t="str">
        <f>HYPERLINK("https://creighton-primo.hosted.exlibrisgroup.com/primo-explore/search?tab=default_tab&amp;search_scope=EVERYTHING&amp;vid=01CRU&amp;lang=en_US&amp;offset=0&amp;query=any,contains,991003328089702656","Catalog Record")</f>
        <v>Catalog Record</v>
      </c>
      <c r="AT2124" s="6" t="str">
        <f>HYPERLINK("http://www.worldcat.org/oclc/858305","WorldCat Record")</f>
        <v>WorldCat Record</v>
      </c>
      <c r="AU2124" s="3" t="s">
        <v>25907</v>
      </c>
      <c r="AV2124" s="3" t="s">
        <v>25908</v>
      </c>
      <c r="AW2124" s="3" t="s">
        <v>25909</v>
      </c>
      <c r="AX2124" s="3" t="s">
        <v>25909</v>
      </c>
      <c r="AY2124" s="3" t="s">
        <v>25910</v>
      </c>
      <c r="AZ2124" s="3" t="s">
        <v>73</v>
      </c>
      <c r="BB2124" s="3" t="s">
        <v>25911</v>
      </c>
      <c r="BC2124" s="3" t="s">
        <v>25912</v>
      </c>
      <c r="BD2124" s="3" t="s">
        <v>25913</v>
      </c>
    </row>
    <row r="2125" spans="1:56" ht="51" customHeight="1" x14ac:dyDescent="0.25">
      <c r="A2125" s="7" t="s">
        <v>58</v>
      </c>
      <c r="B2125" s="2" t="s">
        <v>25914</v>
      </c>
      <c r="C2125" s="2" t="s">
        <v>25915</v>
      </c>
      <c r="D2125" s="2" t="s">
        <v>25916</v>
      </c>
      <c r="F2125" s="3" t="s">
        <v>58</v>
      </c>
      <c r="G2125" s="3" t="s">
        <v>59</v>
      </c>
      <c r="H2125" s="3" t="s">
        <v>58</v>
      </c>
      <c r="I2125" s="3" t="s">
        <v>58</v>
      </c>
      <c r="J2125" s="3" t="s">
        <v>60</v>
      </c>
      <c r="K2125" s="2" t="s">
        <v>25917</v>
      </c>
      <c r="L2125" s="2" t="s">
        <v>24436</v>
      </c>
      <c r="M2125" s="3" t="s">
        <v>1499</v>
      </c>
      <c r="N2125" s="2" t="s">
        <v>25918</v>
      </c>
      <c r="O2125" s="3" t="s">
        <v>63</v>
      </c>
      <c r="P2125" s="3" t="s">
        <v>2061</v>
      </c>
      <c r="R2125" s="3" t="s">
        <v>65</v>
      </c>
      <c r="S2125" s="4">
        <v>1</v>
      </c>
      <c r="T2125" s="4">
        <v>1</v>
      </c>
      <c r="U2125" s="5" t="s">
        <v>25919</v>
      </c>
      <c r="V2125" s="5" t="s">
        <v>25919</v>
      </c>
      <c r="W2125" s="5" t="s">
        <v>24572</v>
      </c>
      <c r="X2125" s="5" t="s">
        <v>24572</v>
      </c>
      <c r="Y2125" s="4">
        <v>837</v>
      </c>
      <c r="Z2125" s="4">
        <v>671</v>
      </c>
      <c r="AA2125" s="4">
        <v>1148</v>
      </c>
      <c r="AB2125" s="4">
        <v>4</v>
      </c>
      <c r="AC2125" s="4">
        <v>8</v>
      </c>
      <c r="AD2125" s="4">
        <v>32</v>
      </c>
      <c r="AE2125" s="4">
        <v>54</v>
      </c>
      <c r="AF2125" s="4">
        <v>13</v>
      </c>
      <c r="AG2125" s="4">
        <v>23</v>
      </c>
      <c r="AH2125" s="4">
        <v>7</v>
      </c>
      <c r="AI2125" s="4">
        <v>10</v>
      </c>
      <c r="AJ2125" s="4">
        <v>18</v>
      </c>
      <c r="AK2125" s="4">
        <v>26</v>
      </c>
      <c r="AL2125" s="4">
        <v>3</v>
      </c>
      <c r="AM2125" s="4">
        <v>7</v>
      </c>
      <c r="AN2125" s="4">
        <v>0</v>
      </c>
      <c r="AO2125" s="4">
        <v>1</v>
      </c>
      <c r="AP2125" s="3" t="s">
        <v>58</v>
      </c>
      <c r="AQ2125" s="3" t="s">
        <v>68</v>
      </c>
      <c r="AR2125" s="6" t="str">
        <f>HYPERLINK("http://catalog.hathitrust.org/Record/001267607","HathiTrust Record")</f>
        <v>HathiTrust Record</v>
      </c>
      <c r="AS2125" s="6" t="str">
        <f>HYPERLINK("https://creighton-primo.hosted.exlibrisgroup.com/primo-explore/search?tab=default_tab&amp;search_scope=EVERYTHING&amp;vid=01CRU&amp;lang=en_US&amp;offset=0&amp;query=any,contains,991001027789702656","Catalog Record")</f>
        <v>Catalog Record</v>
      </c>
      <c r="AT2125" s="6" t="str">
        <f>HYPERLINK("http://www.worldcat.org/oclc/174950","WorldCat Record")</f>
        <v>WorldCat Record</v>
      </c>
      <c r="AU2125" s="3" t="s">
        <v>25920</v>
      </c>
      <c r="AV2125" s="3" t="s">
        <v>25921</v>
      </c>
      <c r="AW2125" s="3" t="s">
        <v>25922</v>
      </c>
      <c r="AX2125" s="3" t="s">
        <v>25922</v>
      </c>
      <c r="AY2125" s="3" t="s">
        <v>25923</v>
      </c>
      <c r="AZ2125" s="3" t="s">
        <v>73</v>
      </c>
      <c r="BC2125" s="3" t="s">
        <v>25924</v>
      </c>
      <c r="BD2125" s="3" t="s">
        <v>25925</v>
      </c>
    </row>
    <row r="2126" spans="1:56" ht="51" customHeight="1" x14ac:dyDescent="0.25">
      <c r="A2126" s="7" t="s">
        <v>58</v>
      </c>
      <c r="B2126" s="2" t="s">
        <v>25926</v>
      </c>
      <c r="C2126" s="2" t="s">
        <v>25927</v>
      </c>
      <c r="D2126" s="2" t="s">
        <v>25928</v>
      </c>
      <c r="F2126" s="3" t="s">
        <v>58</v>
      </c>
      <c r="G2126" s="3" t="s">
        <v>59</v>
      </c>
      <c r="H2126" s="3" t="s">
        <v>58</v>
      </c>
      <c r="I2126" s="3" t="s">
        <v>58</v>
      </c>
      <c r="J2126" s="3" t="s">
        <v>60</v>
      </c>
      <c r="K2126" s="2" t="s">
        <v>25929</v>
      </c>
      <c r="L2126" s="2" t="s">
        <v>25930</v>
      </c>
      <c r="M2126" s="3" t="s">
        <v>1385</v>
      </c>
      <c r="N2126" s="2" t="s">
        <v>1470</v>
      </c>
      <c r="O2126" s="3" t="s">
        <v>63</v>
      </c>
      <c r="P2126" s="3" t="s">
        <v>214</v>
      </c>
      <c r="R2126" s="3" t="s">
        <v>65</v>
      </c>
      <c r="S2126" s="4">
        <v>3</v>
      </c>
      <c r="T2126" s="4">
        <v>3</v>
      </c>
      <c r="U2126" s="5" t="s">
        <v>20789</v>
      </c>
      <c r="V2126" s="5" t="s">
        <v>20789</v>
      </c>
      <c r="W2126" s="5" t="s">
        <v>25931</v>
      </c>
      <c r="X2126" s="5" t="s">
        <v>25931</v>
      </c>
      <c r="Y2126" s="4">
        <v>914</v>
      </c>
      <c r="Z2126" s="4">
        <v>825</v>
      </c>
      <c r="AA2126" s="4">
        <v>890</v>
      </c>
      <c r="AB2126" s="4">
        <v>7</v>
      </c>
      <c r="AC2126" s="4">
        <v>7</v>
      </c>
      <c r="AD2126" s="4">
        <v>29</v>
      </c>
      <c r="AE2126" s="4">
        <v>33</v>
      </c>
      <c r="AF2126" s="4">
        <v>10</v>
      </c>
      <c r="AG2126" s="4">
        <v>11</v>
      </c>
      <c r="AH2126" s="4">
        <v>6</v>
      </c>
      <c r="AI2126" s="4">
        <v>7</v>
      </c>
      <c r="AJ2126" s="4">
        <v>14</v>
      </c>
      <c r="AK2126" s="4">
        <v>17</v>
      </c>
      <c r="AL2126" s="4">
        <v>5</v>
      </c>
      <c r="AM2126" s="4">
        <v>5</v>
      </c>
      <c r="AN2126" s="4">
        <v>0</v>
      </c>
      <c r="AO2126" s="4">
        <v>0</v>
      </c>
      <c r="AP2126" s="3" t="s">
        <v>58</v>
      </c>
      <c r="AQ2126" s="3" t="s">
        <v>68</v>
      </c>
      <c r="AR2126" s="6" t="str">
        <f>HYPERLINK("http://catalog.hathitrust.org/Record/001258449","HathiTrust Record")</f>
        <v>HathiTrust Record</v>
      </c>
      <c r="AS2126" s="6" t="str">
        <f>HYPERLINK("https://creighton-primo.hosted.exlibrisgroup.com/primo-explore/search?tab=default_tab&amp;search_scope=EVERYTHING&amp;vid=01CRU&amp;lang=en_US&amp;offset=0&amp;query=any,contains,991003200369702656","Catalog Record")</f>
        <v>Catalog Record</v>
      </c>
      <c r="AT2126" s="6" t="str">
        <f>HYPERLINK("http://www.worldcat.org/oclc/724393","WorldCat Record")</f>
        <v>WorldCat Record</v>
      </c>
      <c r="AU2126" s="3" t="s">
        <v>25932</v>
      </c>
      <c r="AV2126" s="3" t="s">
        <v>25933</v>
      </c>
      <c r="AW2126" s="3" t="s">
        <v>25934</v>
      </c>
      <c r="AX2126" s="3" t="s">
        <v>25934</v>
      </c>
      <c r="AY2126" s="3" t="s">
        <v>25935</v>
      </c>
      <c r="AZ2126" s="3" t="s">
        <v>73</v>
      </c>
      <c r="BB2126" s="3" t="s">
        <v>25936</v>
      </c>
      <c r="BC2126" s="3" t="s">
        <v>25937</v>
      </c>
      <c r="BD2126" s="3" t="s">
        <v>25938</v>
      </c>
    </row>
    <row r="2127" spans="1:56" ht="51" customHeight="1" x14ac:dyDescent="0.25">
      <c r="A2127" s="7" t="s">
        <v>58</v>
      </c>
      <c r="B2127" s="2" t="s">
        <v>25939</v>
      </c>
      <c r="C2127" s="2" t="s">
        <v>25940</v>
      </c>
      <c r="D2127" s="2" t="s">
        <v>25941</v>
      </c>
      <c r="F2127" s="3" t="s">
        <v>58</v>
      </c>
      <c r="G2127" s="3" t="s">
        <v>59</v>
      </c>
      <c r="H2127" s="3" t="s">
        <v>58</v>
      </c>
      <c r="I2127" s="3" t="s">
        <v>58</v>
      </c>
      <c r="J2127" s="3" t="s">
        <v>60</v>
      </c>
      <c r="K2127" s="2" t="s">
        <v>25942</v>
      </c>
      <c r="L2127" s="2" t="s">
        <v>25943</v>
      </c>
      <c r="M2127" s="3" t="s">
        <v>1091</v>
      </c>
      <c r="O2127" s="3" t="s">
        <v>63</v>
      </c>
      <c r="P2127" s="3" t="s">
        <v>584</v>
      </c>
      <c r="R2127" s="3" t="s">
        <v>65</v>
      </c>
      <c r="S2127" s="4">
        <v>2</v>
      </c>
      <c r="T2127" s="4">
        <v>2</v>
      </c>
      <c r="U2127" s="5" t="s">
        <v>25944</v>
      </c>
      <c r="V2127" s="5" t="s">
        <v>25944</v>
      </c>
      <c r="W2127" s="5" t="s">
        <v>25944</v>
      </c>
      <c r="X2127" s="5" t="s">
        <v>25944</v>
      </c>
      <c r="Y2127" s="4">
        <v>187</v>
      </c>
      <c r="Z2127" s="4">
        <v>155</v>
      </c>
      <c r="AA2127" s="4">
        <v>244</v>
      </c>
      <c r="AB2127" s="4">
        <v>2</v>
      </c>
      <c r="AC2127" s="4">
        <v>3</v>
      </c>
      <c r="AD2127" s="4">
        <v>10</v>
      </c>
      <c r="AE2127" s="4">
        <v>14</v>
      </c>
      <c r="AF2127" s="4">
        <v>4</v>
      </c>
      <c r="AG2127" s="4">
        <v>5</v>
      </c>
      <c r="AH2127" s="4">
        <v>3</v>
      </c>
      <c r="AI2127" s="4">
        <v>5</v>
      </c>
      <c r="AJ2127" s="4">
        <v>5</v>
      </c>
      <c r="AK2127" s="4">
        <v>6</v>
      </c>
      <c r="AL2127" s="4">
        <v>1</v>
      </c>
      <c r="AM2127" s="4">
        <v>2</v>
      </c>
      <c r="AN2127" s="4">
        <v>0</v>
      </c>
      <c r="AO2127" s="4">
        <v>0</v>
      </c>
      <c r="AP2127" s="3" t="s">
        <v>58</v>
      </c>
      <c r="AQ2127" s="3" t="s">
        <v>58</v>
      </c>
      <c r="AS2127" s="6" t="str">
        <f>HYPERLINK("https://creighton-primo.hosted.exlibrisgroup.com/primo-explore/search?tab=default_tab&amp;search_scope=EVERYTHING&amp;vid=01CRU&amp;lang=en_US&amp;offset=0&amp;query=any,contains,991004158429702656","Catalog Record")</f>
        <v>Catalog Record</v>
      </c>
      <c r="AT2127" s="6" t="str">
        <f>HYPERLINK("http://www.worldcat.org/oclc/48003941","WorldCat Record")</f>
        <v>WorldCat Record</v>
      </c>
      <c r="AU2127" s="3" t="s">
        <v>25945</v>
      </c>
      <c r="AV2127" s="3" t="s">
        <v>25946</v>
      </c>
      <c r="AW2127" s="3" t="s">
        <v>25947</v>
      </c>
      <c r="AX2127" s="3" t="s">
        <v>25947</v>
      </c>
      <c r="AY2127" s="3" t="s">
        <v>25948</v>
      </c>
      <c r="AZ2127" s="3" t="s">
        <v>73</v>
      </c>
      <c r="BB2127" s="3" t="s">
        <v>25949</v>
      </c>
      <c r="BC2127" s="3" t="s">
        <v>25950</v>
      </c>
      <c r="BD2127" s="3" t="s">
        <v>25951</v>
      </c>
    </row>
    <row r="2128" spans="1:56" ht="51" customHeight="1" x14ac:dyDescent="0.25">
      <c r="A2128" s="7" t="s">
        <v>58</v>
      </c>
      <c r="B2128" s="2" t="s">
        <v>25952</v>
      </c>
      <c r="C2128" s="2" t="s">
        <v>25953</v>
      </c>
      <c r="D2128" s="2" t="s">
        <v>25954</v>
      </c>
      <c r="F2128" s="3" t="s">
        <v>58</v>
      </c>
      <c r="G2128" s="3" t="s">
        <v>59</v>
      </c>
      <c r="H2128" s="3" t="s">
        <v>58</v>
      </c>
      <c r="I2128" s="3" t="s">
        <v>58</v>
      </c>
      <c r="J2128" s="3" t="s">
        <v>60</v>
      </c>
      <c r="K2128" s="2" t="s">
        <v>23267</v>
      </c>
      <c r="L2128" s="2" t="s">
        <v>25955</v>
      </c>
      <c r="M2128" s="3" t="s">
        <v>62</v>
      </c>
      <c r="N2128" s="2" t="s">
        <v>13327</v>
      </c>
      <c r="O2128" s="3" t="s">
        <v>63</v>
      </c>
      <c r="P2128" s="3" t="s">
        <v>214</v>
      </c>
      <c r="R2128" s="3" t="s">
        <v>65</v>
      </c>
      <c r="S2128" s="4">
        <v>1</v>
      </c>
      <c r="T2128" s="4">
        <v>1</v>
      </c>
      <c r="U2128" s="5" t="s">
        <v>25790</v>
      </c>
      <c r="V2128" s="5" t="s">
        <v>25790</v>
      </c>
      <c r="W2128" s="5" t="s">
        <v>25790</v>
      </c>
      <c r="X2128" s="5" t="s">
        <v>25790</v>
      </c>
      <c r="Y2128" s="4">
        <v>697</v>
      </c>
      <c r="Z2128" s="4">
        <v>661</v>
      </c>
      <c r="AA2128" s="4">
        <v>966</v>
      </c>
      <c r="AB2128" s="4">
        <v>4</v>
      </c>
      <c r="AC2128" s="4">
        <v>5</v>
      </c>
      <c r="AD2128" s="4">
        <v>20</v>
      </c>
      <c r="AE2128" s="4">
        <v>31</v>
      </c>
      <c r="AF2128" s="4">
        <v>7</v>
      </c>
      <c r="AG2128" s="4">
        <v>13</v>
      </c>
      <c r="AH2128" s="4">
        <v>3</v>
      </c>
      <c r="AI2128" s="4">
        <v>5</v>
      </c>
      <c r="AJ2128" s="4">
        <v>10</v>
      </c>
      <c r="AK2128" s="4">
        <v>14</v>
      </c>
      <c r="AL2128" s="4">
        <v>3</v>
      </c>
      <c r="AM2128" s="4">
        <v>4</v>
      </c>
      <c r="AN2128" s="4">
        <v>0</v>
      </c>
      <c r="AO2128" s="4">
        <v>1</v>
      </c>
      <c r="AP2128" s="3" t="s">
        <v>58</v>
      </c>
      <c r="AQ2128" s="3" t="s">
        <v>68</v>
      </c>
      <c r="AR2128" s="6" t="str">
        <f>HYPERLINK("http://catalog.hathitrust.org/Record/001258458","HathiTrust Record")</f>
        <v>HathiTrust Record</v>
      </c>
      <c r="AS2128" s="6" t="str">
        <f>HYPERLINK("https://creighton-primo.hosted.exlibrisgroup.com/primo-explore/search?tab=default_tab&amp;search_scope=EVERYTHING&amp;vid=01CRU&amp;lang=en_US&amp;offset=0&amp;query=any,contains,991000858179702656","Catalog Record")</f>
        <v>Catalog Record</v>
      </c>
      <c r="AT2128" s="6" t="str">
        <f>HYPERLINK("http://www.worldcat.org/oclc/149977","WorldCat Record")</f>
        <v>WorldCat Record</v>
      </c>
      <c r="AU2128" s="3" t="s">
        <v>25956</v>
      </c>
      <c r="AV2128" s="3" t="s">
        <v>25957</v>
      </c>
      <c r="AW2128" s="3" t="s">
        <v>25958</v>
      </c>
      <c r="AX2128" s="3" t="s">
        <v>25958</v>
      </c>
      <c r="AY2128" s="3" t="s">
        <v>25959</v>
      </c>
      <c r="AZ2128" s="3" t="s">
        <v>73</v>
      </c>
      <c r="BB2128" s="3" t="s">
        <v>25960</v>
      </c>
      <c r="BC2128" s="3" t="s">
        <v>25961</v>
      </c>
      <c r="BD2128" s="3" t="s">
        <v>25962</v>
      </c>
    </row>
    <row r="2129" spans="1:56" ht="51" customHeight="1" x14ac:dyDescent="0.25">
      <c r="A2129" s="7" t="s">
        <v>58</v>
      </c>
      <c r="B2129" s="2" t="s">
        <v>25963</v>
      </c>
      <c r="C2129" s="2" t="s">
        <v>25964</v>
      </c>
      <c r="D2129" s="2" t="s">
        <v>25965</v>
      </c>
      <c r="F2129" s="3" t="s">
        <v>58</v>
      </c>
      <c r="G2129" s="3" t="s">
        <v>59</v>
      </c>
      <c r="H2129" s="3" t="s">
        <v>58</v>
      </c>
      <c r="I2129" s="3" t="s">
        <v>58</v>
      </c>
      <c r="J2129" s="3" t="s">
        <v>60</v>
      </c>
      <c r="K2129" s="2" t="s">
        <v>25966</v>
      </c>
      <c r="L2129" s="2" t="s">
        <v>25967</v>
      </c>
      <c r="M2129" s="3" t="s">
        <v>249</v>
      </c>
      <c r="O2129" s="3" t="s">
        <v>63</v>
      </c>
      <c r="P2129" s="3" t="s">
        <v>214</v>
      </c>
      <c r="Q2129" s="2" t="s">
        <v>25968</v>
      </c>
      <c r="R2129" s="3" t="s">
        <v>65</v>
      </c>
      <c r="S2129" s="4">
        <v>1</v>
      </c>
      <c r="T2129" s="4">
        <v>1</v>
      </c>
      <c r="U2129" s="5" t="s">
        <v>25969</v>
      </c>
      <c r="V2129" s="5" t="s">
        <v>25969</v>
      </c>
      <c r="W2129" s="5" t="s">
        <v>572</v>
      </c>
      <c r="X2129" s="5" t="s">
        <v>572</v>
      </c>
      <c r="Y2129" s="4">
        <v>120</v>
      </c>
      <c r="Z2129" s="4">
        <v>92</v>
      </c>
      <c r="AA2129" s="4">
        <v>514</v>
      </c>
      <c r="AB2129" s="4">
        <v>1</v>
      </c>
      <c r="AC2129" s="4">
        <v>3</v>
      </c>
      <c r="AD2129" s="4">
        <v>5</v>
      </c>
      <c r="AE2129" s="4">
        <v>24</v>
      </c>
      <c r="AF2129" s="4">
        <v>2</v>
      </c>
      <c r="AG2129" s="4">
        <v>8</v>
      </c>
      <c r="AH2129" s="4">
        <v>0</v>
      </c>
      <c r="AI2129" s="4">
        <v>4</v>
      </c>
      <c r="AJ2129" s="4">
        <v>4</v>
      </c>
      <c r="AK2129" s="4">
        <v>16</v>
      </c>
      <c r="AL2129" s="4">
        <v>0</v>
      </c>
      <c r="AM2129" s="4">
        <v>2</v>
      </c>
      <c r="AN2129" s="4">
        <v>0</v>
      </c>
      <c r="AO2129" s="4">
        <v>0</v>
      </c>
      <c r="AP2129" s="3" t="s">
        <v>58</v>
      </c>
      <c r="AQ2129" s="3" t="s">
        <v>68</v>
      </c>
      <c r="AR2129" s="6" t="str">
        <f>HYPERLINK("http://catalog.hathitrust.org/Record/006045297","HathiTrust Record")</f>
        <v>HathiTrust Record</v>
      </c>
      <c r="AS2129" s="6" t="str">
        <f>HYPERLINK("https://creighton-primo.hosted.exlibrisgroup.com/primo-explore/search?tab=default_tab&amp;search_scope=EVERYTHING&amp;vid=01CRU&amp;lang=en_US&amp;offset=0&amp;query=any,contains,991000260369702656","Catalog Record")</f>
        <v>Catalog Record</v>
      </c>
      <c r="AT2129" s="6" t="str">
        <f>HYPERLINK("http://www.worldcat.org/oclc/9802830","WorldCat Record")</f>
        <v>WorldCat Record</v>
      </c>
      <c r="AU2129" s="3" t="s">
        <v>25970</v>
      </c>
      <c r="AV2129" s="3" t="s">
        <v>25971</v>
      </c>
      <c r="AW2129" s="3" t="s">
        <v>25972</v>
      </c>
      <c r="AX2129" s="3" t="s">
        <v>25972</v>
      </c>
      <c r="AY2129" s="3" t="s">
        <v>25973</v>
      </c>
      <c r="AZ2129" s="3" t="s">
        <v>73</v>
      </c>
      <c r="BC2129" s="3" t="s">
        <v>25974</v>
      </c>
      <c r="BD2129" s="3" t="s">
        <v>25975</v>
      </c>
    </row>
    <row r="2130" spans="1:56" ht="51" customHeight="1" x14ac:dyDescent="0.25">
      <c r="A2130" s="7" t="s">
        <v>58</v>
      </c>
      <c r="B2130" s="2" t="s">
        <v>25976</v>
      </c>
      <c r="C2130" s="2" t="s">
        <v>25977</v>
      </c>
      <c r="D2130" s="2" t="s">
        <v>25978</v>
      </c>
      <c r="F2130" s="3" t="s">
        <v>58</v>
      </c>
      <c r="G2130" s="3" t="s">
        <v>59</v>
      </c>
      <c r="H2130" s="3" t="s">
        <v>58</v>
      </c>
      <c r="I2130" s="3" t="s">
        <v>58</v>
      </c>
      <c r="J2130" s="3" t="s">
        <v>60</v>
      </c>
      <c r="K2130" s="2" t="s">
        <v>25979</v>
      </c>
      <c r="L2130" s="2" t="s">
        <v>25980</v>
      </c>
      <c r="M2130" s="3" t="s">
        <v>745</v>
      </c>
      <c r="O2130" s="3" t="s">
        <v>63</v>
      </c>
      <c r="P2130" s="3" t="s">
        <v>571</v>
      </c>
      <c r="Q2130" s="2" t="s">
        <v>25981</v>
      </c>
      <c r="R2130" s="3" t="s">
        <v>65</v>
      </c>
      <c r="S2130" s="4">
        <v>1</v>
      </c>
      <c r="T2130" s="4">
        <v>1</v>
      </c>
      <c r="U2130" s="5" t="s">
        <v>5540</v>
      </c>
      <c r="V2130" s="5" t="s">
        <v>5540</v>
      </c>
      <c r="W2130" s="5" t="s">
        <v>7158</v>
      </c>
      <c r="X2130" s="5" t="s">
        <v>7158</v>
      </c>
      <c r="Y2130" s="4">
        <v>329</v>
      </c>
      <c r="Z2130" s="4">
        <v>277</v>
      </c>
      <c r="AA2130" s="4">
        <v>281</v>
      </c>
      <c r="AB2130" s="4">
        <v>3</v>
      </c>
      <c r="AC2130" s="4">
        <v>3</v>
      </c>
      <c r="AD2130" s="4">
        <v>15</v>
      </c>
      <c r="AE2130" s="4">
        <v>15</v>
      </c>
      <c r="AF2130" s="4">
        <v>3</v>
      </c>
      <c r="AG2130" s="4">
        <v>3</v>
      </c>
      <c r="AH2130" s="4">
        <v>4</v>
      </c>
      <c r="AI2130" s="4">
        <v>4</v>
      </c>
      <c r="AJ2130" s="4">
        <v>8</v>
      </c>
      <c r="AK2130" s="4">
        <v>8</v>
      </c>
      <c r="AL2130" s="4">
        <v>2</v>
      </c>
      <c r="AM2130" s="4">
        <v>2</v>
      </c>
      <c r="AN2130" s="4">
        <v>0</v>
      </c>
      <c r="AO2130" s="4">
        <v>0</v>
      </c>
      <c r="AP2130" s="3" t="s">
        <v>58</v>
      </c>
      <c r="AQ2130" s="3" t="s">
        <v>68</v>
      </c>
      <c r="AR2130" s="6" t="str">
        <f>HYPERLINK("http://catalog.hathitrust.org/Record/001872011","HathiTrust Record")</f>
        <v>HathiTrust Record</v>
      </c>
      <c r="AS2130" s="6" t="str">
        <f>HYPERLINK("https://creighton-primo.hosted.exlibrisgroup.com/primo-explore/search?tab=default_tab&amp;search_scope=EVERYTHING&amp;vid=01CRU&amp;lang=en_US&amp;offset=0&amp;query=any,contains,991003701669702656","Catalog Record")</f>
        <v>Catalog Record</v>
      </c>
      <c r="AT2130" s="6" t="str">
        <f>HYPERLINK("http://www.worldcat.org/oclc/14142362","WorldCat Record")</f>
        <v>WorldCat Record</v>
      </c>
      <c r="AU2130" s="3" t="s">
        <v>25982</v>
      </c>
      <c r="AV2130" s="3" t="s">
        <v>25983</v>
      </c>
      <c r="AW2130" s="3" t="s">
        <v>25984</v>
      </c>
      <c r="AX2130" s="3" t="s">
        <v>25984</v>
      </c>
      <c r="AY2130" s="3" t="s">
        <v>25985</v>
      </c>
      <c r="AZ2130" s="3" t="s">
        <v>73</v>
      </c>
      <c r="BC2130" s="3" t="s">
        <v>25986</v>
      </c>
      <c r="BD2130" s="3" t="s">
        <v>25987</v>
      </c>
    </row>
    <row r="2131" spans="1:56" ht="51" customHeight="1" x14ac:dyDescent="0.25">
      <c r="A2131" s="7" t="s">
        <v>58</v>
      </c>
      <c r="B2131" s="2" t="s">
        <v>25988</v>
      </c>
      <c r="C2131" s="2" t="s">
        <v>25989</v>
      </c>
      <c r="D2131" s="2" t="s">
        <v>25990</v>
      </c>
      <c r="F2131" s="3" t="s">
        <v>58</v>
      </c>
      <c r="G2131" s="3" t="s">
        <v>59</v>
      </c>
      <c r="H2131" s="3" t="s">
        <v>58</v>
      </c>
      <c r="I2131" s="3" t="s">
        <v>58</v>
      </c>
      <c r="J2131" s="3" t="s">
        <v>60</v>
      </c>
      <c r="K2131" s="2" t="s">
        <v>25991</v>
      </c>
      <c r="L2131" s="2" t="s">
        <v>25992</v>
      </c>
      <c r="M2131" s="3" t="s">
        <v>368</v>
      </c>
      <c r="O2131" s="3" t="s">
        <v>63</v>
      </c>
      <c r="P2131" s="3" t="s">
        <v>214</v>
      </c>
      <c r="Q2131" s="2" t="s">
        <v>25993</v>
      </c>
      <c r="R2131" s="3" t="s">
        <v>65</v>
      </c>
      <c r="S2131" s="4">
        <v>2</v>
      </c>
      <c r="T2131" s="4">
        <v>2</v>
      </c>
      <c r="U2131" s="5" t="s">
        <v>14135</v>
      </c>
      <c r="V2131" s="5" t="s">
        <v>14135</v>
      </c>
      <c r="W2131" s="5" t="s">
        <v>24572</v>
      </c>
      <c r="X2131" s="5" t="s">
        <v>24572</v>
      </c>
      <c r="Y2131" s="4">
        <v>407</v>
      </c>
      <c r="Z2131" s="4">
        <v>302</v>
      </c>
      <c r="AA2131" s="4">
        <v>326</v>
      </c>
      <c r="AB2131" s="4">
        <v>3</v>
      </c>
      <c r="AC2131" s="4">
        <v>3</v>
      </c>
      <c r="AD2131" s="4">
        <v>18</v>
      </c>
      <c r="AE2131" s="4">
        <v>18</v>
      </c>
      <c r="AF2131" s="4">
        <v>5</v>
      </c>
      <c r="AG2131" s="4">
        <v>5</v>
      </c>
      <c r="AH2131" s="4">
        <v>5</v>
      </c>
      <c r="AI2131" s="4">
        <v>5</v>
      </c>
      <c r="AJ2131" s="4">
        <v>10</v>
      </c>
      <c r="AK2131" s="4">
        <v>10</v>
      </c>
      <c r="AL2131" s="4">
        <v>2</v>
      </c>
      <c r="AM2131" s="4">
        <v>2</v>
      </c>
      <c r="AN2131" s="4">
        <v>0</v>
      </c>
      <c r="AO2131" s="4">
        <v>0</v>
      </c>
      <c r="AP2131" s="3" t="s">
        <v>58</v>
      </c>
      <c r="AQ2131" s="3" t="s">
        <v>58</v>
      </c>
      <c r="AS2131" s="6" t="str">
        <f>HYPERLINK("https://creighton-primo.hosted.exlibrisgroup.com/primo-explore/search?tab=default_tab&amp;search_scope=EVERYTHING&amp;vid=01CRU&amp;lang=en_US&amp;offset=0&amp;query=any,contains,991003958999702656","Catalog Record")</f>
        <v>Catalog Record</v>
      </c>
      <c r="AT2131" s="6" t="str">
        <f>HYPERLINK("http://www.worldcat.org/oclc/1973875","WorldCat Record")</f>
        <v>WorldCat Record</v>
      </c>
      <c r="AU2131" s="3" t="s">
        <v>25994</v>
      </c>
      <c r="AV2131" s="3" t="s">
        <v>25995</v>
      </c>
      <c r="AW2131" s="3" t="s">
        <v>25996</v>
      </c>
      <c r="AX2131" s="3" t="s">
        <v>25996</v>
      </c>
      <c r="AY2131" s="3" t="s">
        <v>25997</v>
      </c>
      <c r="AZ2131" s="3" t="s">
        <v>73</v>
      </c>
      <c r="BB2131" s="3" t="s">
        <v>25998</v>
      </c>
      <c r="BC2131" s="3" t="s">
        <v>25999</v>
      </c>
      <c r="BD2131" s="3" t="s">
        <v>26000</v>
      </c>
    </row>
    <row r="2132" spans="1:56" ht="51" customHeight="1" x14ac:dyDescent="0.25">
      <c r="A2132" s="7" t="s">
        <v>58</v>
      </c>
      <c r="B2132" s="2" t="s">
        <v>26001</v>
      </c>
      <c r="C2132" s="2" t="s">
        <v>26002</v>
      </c>
      <c r="D2132" s="2" t="s">
        <v>26003</v>
      </c>
      <c r="F2132" s="3" t="s">
        <v>58</v>
      </c>
      <c r="G2132" s="3" t="s">
        <v>59</v>
      </c>
      <c r="H2132" s="3" t="s">
        <v>58</v>
      </c>
      <c r="I2132" s="3" t="s">
        <v>58</v>
      </c>
      <c r="J2132" s="3" t="s">
        <v>60</v>
      </c>
      <c r="K2132" s="2" t="s">
        <v>26004</v>
      </c>
      <c r="L2132" s="2" t="s">
        <v>26005</v>
      </c>
      <c r="M2132" s="3" t="s">
        <v>1091</v>
      </c>
      <c r="N2132" s="2" t="s">
        <v>338</v>
      </c>
      <c r="O2132" s="3" t="s">
        <v>63</v>
      </c>
      <c r="P2132" s="3" t="s">
        <v>214</v>
      </c>
      <c r="R2132" s="3" t="s">
        <v>65</v>
      </c>
      <c r="S2132" s="4">
        <v>3</v>
      </c>
      <c r="T2132" s="4">
        <v>3</v>
      </c>
      <c r="U2132" s="5" t="s">
        <v>4972</v>
      </c>
      <c r="V2132" s="5" t="s">
        <v>4972</v>
      </c>
      <c r="W2132" s="5" t="s">
        <v>4972</v>
      </c>
      <c r="X2132" s="5" t="s">
        <v>4972</v>
      </c>
      <c r="Y2132" s="4">
        <v>536</v>
      </c>
      <c r="Z2132" s="4">
        <v>525</v>
      </c>
      <c r="AA2132" s="4">
        <v>608</v>
      </c>
      <c r="AB2132" s="4">
        <v>33</v>
      </c>
      <c r="AC2132" s="4">
        <v>34</v>
      </c>
      <c r="AD2132" s="4">
        <v>8</v>
      </c>
      <c r="AE2132" s="4">
        <v>8</v>
      </c>
      <c r="AF2132" s="4">
        <v>1</v>
      </c>
      <c r="AG2132" s="4">
        <v>1</v>
      </c>
      <c r="AH2132" s="4">
        <v>3</v>
      </c>
      <c r="AI2132" s="4">
        <v>3</v>
      </c>
      <c r="AJ2132" s="4">
        <v>2</v>
      </c>
      <c r="AK2132" s="4">
        <v>2</v>
      </c>
      <c r="AL2132" s="4">
        <v>4</v>
      </c>
      <c r="AM2132" s="4">
        <v>4</v>
      </c>
      <c r="AN2132" s="4">
        <v>0</v>
      </c>
      <c r="AO2132" s="4">
        <v>0</v>
      </c>
      <c r="AP2132" s="3" t="s">
        <v>58</v>
      </c>
      <c r="AQ2132" s="3" t="s">
        <v>68</v>
      </c>
      <c r="AR2132" s="6" t="str">
        <f>HYPERLINK("http://catalog.hathitrust.org/Record/004214982","HathiTrust Record")</f>
        <v>HathiTrust Record</v>
      </c>
      <c r="AS2132" s="6" t="str">
        <f>HYPERLINK("https://creighton-primo.hosted.exlibrisgroup.com/primo-explore/search?tab=default_tab&amp;search_scope=EVERYTHING&amp;vid=01CRU&amp;lang=en_US&amp;offset=0&amp;query=any,contains,991003684269702656","Catalog Record")</f>
        <v>Catalog Record</v>
      </c>
      <c r="AT2132" s="6" t="str">
        <f>HYPERLINK("http://www.worldcat.org/oclc/48401438","WorldCat Record")</f>
        <v>WorldCat Record</v>
      </c>
      <c r="AU2132" s="3" t="s">
        <v>26006</v>
      </c>
      <c r="AV2132" s="3" t="s">
        <v>26007</v>
      </c>
      <c r="AW2132" s="3" t="s">
        <v>26008</v>
      </c>
      <c r="AX2132" s="3" t="s">
        <v>26008</v>
      </c>
      <c r="AY2132" s="3" t="s">
        <v>26009</v>
      </c>
      <c r="AZ2132" s="3" t="s">
        <v>73</v>
      </c>
      <c r="BB2132" s="3" t="s">
        <v>26010</v>
      </c>
      <c r="BC2132" s="3" t="s">
        <v>26011</v>
      </c>
      <c r="BD2132" s="3" t="s">
        <v>26012</v>
      </c>
    </row>
    <row r="2133" spans="1:56" ht="51" customHeight="1" x14ac:dyDescent="0.25">
      <c r="A2133" s="7" t="s">
        <v>58</v>
      </c>
      <c r="B2133" s="2" t="s">
        <v>26013</v>
      </c>
      <c r="C2133" s="2" t="s">
        <v>26014</v>
      </c>
      <c r="D2133" s="2" t="s">
        <v>26015</v>
      </c>
      <c r="F2133" s="3" t="s">
        <v>58</v>
      </c>
      <c r="G2133" s="3" t="s">
        <v>59</v>
      </c>
      <c r="H2133" s="3" t="s">
        <v>58</v>
      </c>
      <c r="I2133" s="3" t="s">
        <v>58</v>
      </c>
      <c r="J2133" s="3" t="s">
        <v>60</v>
      </c>
      <c r="L2133" s="2" t="s">
        <v>26016</v>
      </c>
      <c r="M2133" s="3" t="s">
        <v>397</v>
      </c>
      <c r="O2133" s="3" t="s">
        <v>63</v>
      </c>
      <c r="P2133" s="3" t="s">
        <v>214</v>
      </c>
      <c r="R2133" s="3" t="s">
        <v>65</v>
      </c>
      <c r="S2133" s="4">
        <v>3</v>
      </c>
      <c r="T2133" s="4">
        <v>3</v>
      </c>
      <c r="U2133" s="5" t="s">
        <v>19561</v>
      </c>
      <c r="V2133" s="5" t="s">
        <v>19561</v>
      </c>
      <c r="W2133" s="5" t="s">
        <v>25029</v>
      </c>
      <c r="X2133" s="5" t="s">
        <v>25029</v>
      </c>
      <c r="Y2133" s="4">
        <v>211</v>
      </c>
      <c r="Z2133" s="4">
        <v>170</v>
      </c>
      <c r="AA2133" s="4">
        <v>172</v>
      </c>
      <c r="AB2133" s="4">
        <v>2</v>
      </c>
      <c r="AC2133" s="4">
        <v>2</v>
      </c>
      <c r="AD2133" s="4">
        <v>4</v>
      </c>
      <c r="AE2133" s="4">
        <v>4</v>
      </c>
      <c r="AF2133" s="4">
        <v>0</v>
      </c>
      <c r="AG2133" s="4">
        <v>0</v>
      </c>
      <c r="AH2133" s="4">
        <v>1</v>
      </c>
      <c r="AI2133" s="4">
        <v>1</v>
      </c>
      <c r="AJ2133" s="4">
        <v>2</v>
      </c>
      <c r="AK2133" s="4">
        <v>2</v>
      </c>
      <c r="AL2133" s="4">
        <v>1</v>
      </c>
      <c r="AM2133" s="4">
        <v>1</v>
      </c>
      <c r="AN2133" s="4">
        <v>0</v>
      </c>
      <c r="AO2133" s="4">
        <v>0</v>
      </c>
      <c r="AP2133" s="3" t="s">
        <v>58</v>
      </c>
      <c r="AQ2133" s="3" t="s">
        <v>68</v>
      </c>
      <c r="AR2133" s="6" t="str">
        <f>HYPERLINK("http://catalog.hathitrust.org/Record/000466096","HathiTrust Record")</f>
        <v>HathiTrust Record</v>
      </c>
      <c r="AS2133" s="6" t="str">
        <f>HYPERLINK("https://creighton-primo.hosted.exlibrisgroup.com/primo-explore/search?tab=default_tab&amp;search_scope=EVERYTHING&amp;vid=01CRU&amp;lang=en_US&amp;offset=0&amp;query=any,contains,991000649279702656","Catalog Record")</f>
        <v>Catalog Record</v>
      </c>
      <c r="AT2133" s="6" t="str">
        <f>HYPERLINK("http://www.worldcat.org/oclc/12160476","WorldCat Record")</f>
        <v>WorldCat Record</v>
      </c>
      <c r="AU2133" s="3" t="s">
        <v>26017</v>
      </c>
      <c r="AV2133" s="3" t="s">
        <v>26018</v>
      </c>
      <c r="AW2133" s="3" t="s">
        <v>26019</v>
      </c>
      <c r="AX2133" s="3" t="s">
        <v>26019</v>
      </c>
      <c r="AY2133" s="3" t="s">
        <v>26020</v>
      </c>
      <c r="AZ2133" s="3" t="s">
        <v>73</v>
      </c>
      <c r="BB2133" s="3" t="s">
        <v>26021</v>
      </c>
      <c r="BC2133" s="3" t="s">
        <v>26022</v>
      </c>
      <c r="BD2133" s="3" t="s">
        <v>26023</v>
      </c>
    </row>
    <row r="2134" spans="1:56" ht="51" customHeight="1" x14ac:dyDescent="0.25">
      <c r="A2134" s="7" t="s">
        <v>58</v>
      </c>
      <c r="B2134" s="2" t="s">
        <v>26024</v>
      </c>
      <c r="C2134" s="2" t="s">
        <v>26025</v>
      </c>
      <c r="D2134" s="2" t="s">
        <v>26026</v>
      </c>
      <c r="F2134" s="3" t="s">
        <v>58</v>
      </c>
      <c r="G2134" s="3" t="s">
        <v>59</v>
      </c>
      <c r="H2134" s="3" t="s">
        <v>58</v>
      </c>
      <c r="I2134" s="3" t="s">
        <v>58</v>
      </c>
      <c r="J2134" s="3" t="s">
        <v>60</v>
      </c>
      <c r="K2134" s="2" t="s">
        <v>25753</v>
      </c>
      <c r="L2134" s="2" t="s">
        <v>21299</v>
      </c>
      <c r="M2134" s="3" t="s">
        <v>397</v>
      </c>
      <c r="O2134" s="3" t="s">
        <v>63</v>
      </c>
      <c r="P2134" s="3" t="s">
        <v>2630</v>
      </c>
      <c r="R2134" s="3" t="s">
        <v>65</v>
      </c>
      <c r="S2134" s="4">
        <v>4</v>
      </c>
      <c r="T2134" s="4">
        <v>4</v>
      </c>
      <c r="U2134" s="5" t="s">
        <v>4367</v>
      </c>
      <c r="V2134" s="5" t="s">
        <v>4367</v>
      </c>
      <c r="W2134" s="5" t="s">
        <v>9175</v>
      </c>
      <c r="X2134" s="5" t="s">
        <v>9175</v>
      </c>
      <c r="Y2134" s="4">
        <v>589</v>
      </c>
      <c r="Z2134" s="4">
        <v>474</v>
      </c>
      <c r="AA2134" s="4">
        <v>481</v>
      </c>
      <c r="AB2134" s="4">
        <v>7</v>
      </c>
      <c r="AC2134" s="4">
        <v>7</v>
      </c>
      <c r="AD2134" s="4">
        <v>28</v>
      </c>
      <c r="AE2134" s="4">
        <v>28</v>
      </c>
      <c r="AF2134" s="4">
        <v>8</v>
      </c>
      <c r="AG2134" s="4">
        <v>8</v>
      </c>
      <c r="AH2134" s="4">
        <v>8</v>
      </c>
      <c r="AI2134" s="4">
        <v>8</v>
      </c>
      <c r="AJ2134" s="4">
        <v>11</v>
      </c>
      <c r="AK2134" s="4">
        <v>11</v>
      </c>
      <c r="AL2134" s="4">
        <v>6</v>
      </c>
      <c r="AM2134" s="4">
        <v>6</v>
      </c>
      <c r="AN2134" s="4">
        <v>1</v>
      </c>
      <c r="AO2134" s="4">
        <v>1</v>
      </c>
      <c r="AP2134" s="3" t="s">
        <v>58</v>
      </c>
      <c r="AQ2134" s="3" t="s">
        <v>68</v>
      </c>
      <c r="AR2134" s="6" t="str">
        <f>HYPERLINK("http://catalog.hathitrust.org/Record/000345439","HathiTrust Record")</f>
        <v>HathiTrust Record</v>
      </c>
      <c r="AS2134" s="6" t="str">
        <f>HYPERLINK("https://creighton-primo.hosted.exlibrisgroup.com/primo-explore/search?tab=default_tab&amp;search_scope=EVERYTHING&amp;vid=01CRU&amp;lang=en_US&amp;offset=0&amp;query=any,contains,991000566459702656","Catalog Record")</f>
        <v>Catalog Record</v>
      </c>
      <c r="AT2134" s="6" t="str">
        <f>HYPERLINK("http://www.worldcat.org/oclc/11622313","WorldCat Record")</f>
        <v>WorldCat Record</v>
      </c>
      <c r="AU2134" s="3" t="s">
        <v>26027</v>
      </c>
      <c r="AV2134" s="3" t="s">
        <v>26028</v>
      </c>
      <c r="AW2134" s="3" t="s">
        <v>26029</v>
      </c>
      <c r="AX2134" s="3" t="s">
        <v>26029</v>
      </c>
      <c r="AY2134" s="3" t="s">
        <v>26030</v>
      </c>
      <c r="AZ2134" s="3" t="s">
        <v>73</v>
      </c>
      <c r="BB2134" s="3" t="s">
        <v>26031</v>
      </c>
      <c r="BC2134" s="3" t="s">
        <v>26032</v>
      </c>
      <c r="BD2134" s="3" t="s">
        <v>26033</v>
      </c>
    </row>
    <row r="2135" spans="1:56" ht="51" customHeight="1" x14ac:dyDescent="0.25">
      <c r="A2135" s="7" t="s">
        <v>58</v>
      </c>
      <c r="B2135" s="2" t="s">
        <v>26034</v>
      </c>
      <c r="C2135" s="2" t="s">
        <v>26035</v>
      </c>
      <c r="D2135" s="2" t="s">
        <v>26036</v>
      </c>
      <c r="F2135" s="3" t="s">
        <v>58</v>
      </c>
      <c r="G2135" s="3" t="s">
        <v>59</v>
      </c>
      <c r="H2135" s="3" t="s">
        <v>58</v>
      </c>
      <c r="I2135" s="3" t="s">
        <v>58</v>
      </c>
      <c r="J2135" s="3" t="s">
        <v>60</v>
      </c>
      <c r="K2135" s="2" t="s">
        <v>26037</v>
      </c>
      <c r="L2135" s="2" t="s">
        <v>26038</v>
      </c>
      <c r="M2135" s="3" t="s">
        <v>800</v>
      </c>
      <c r="N2135" s="2" t="s">
        <v>338</v>
      </c>
      <c r="O2135" s="3" t="s">
        <v>63</v>
      </c>
      <c r="P2135" s="3" t="s">
        <v>214</v>
      </c>
      <c r="R2135" s="3" t="s">
        <v>65</v>
      </c>
      <c r="S2135" s="4">
        <v>4</v>
      </c>
      <c r="T2135" s="4">
        <v>4</v>
      </c>
      <c r="U2135" s="5" t="s">
        <v>25176</v>
      </c>
      <c r="V2135" s="5" t="s">
        <v>25176</v>
      </c>
      <c r="W2135" s="5" t="s">
        <v>26039</v>
      </c>
      <c r="X2135" s="5" t="s">
        <v>26039</v>
      </c>
      <c r="Y2135" s="4">
        <v>838</v>
      </c>
      <c r="Z2135" s="4">
        <v>658</v>
      </c>
      <c r="AA2135" s="4">
        <v>765</v>
      </c>
      <c r="AB2135" s="4">
        <v>5</v>
      </c>
      <c r="AC2135" s="4">
        <v>5</v>
      </c>
      <c r="AD2135" s="4">
        <v>31</v>
      </c>
      <c r="AE2135" s="4">
        <v>34</v>
      </c>
      <c r="AF2135" s="4">
        <v>11</v>
      </c>
      <c r="AG2135" s="4">
        <v>12</v>
      </c>
      <c r="AH2135" s="4">
        <v>6</v>
      </c>
      <c r="AI2135" s="4">
        <v>7</v>
      </c>
      <c r="AJ2135" s="4">
        <v>17</v>
      </c>
      <c r="AK2135" s="4">
        <v>17</v>
      </c>
      <c r="AL2135" s="4">
        <v>4</v>
      </c>
      <c r="AM2135" s="4">
        <v>4</v>
      </c>
      <c r="AN2135" s="4">
        <v>2</v>
      </c>
      <c r="AO2135" s="4">
        <v>3</v>
      </c>
      <c r="AP2135" s="3" t="s">
        <v>58</v>
      </c>
      <c r="AQ2135" s="3" t="s">
        <v>58</v>
      </c>
      <c r="AS2135" s="6" t="str">
        <f>HYPERLINK("https://creighton-primo.hosted.exlibrisgroup.com/primo-explore/search?tab=default_tab&amp;search_scope=EVERYTHING&amp;vid=01CRU&amp;lang=en_US&amp;offset=0&amp;query=any,contains,991002407399702656","Catalog Record")</f>
        <v>Catalog Record</v>
      </c>
      <c r="AT2135" s="6" t="str">
        <f>HYPERLINK("http://www.worldcat.org/oclc/31328285","WorldCat Record")</f>
        <v>WorldCat Record</v>
      </c>
      <c r="AU2135" s="3" t="s">
        <v>26040</v>
      </c>
      <c r="AV2135" s="3" t="s">
        <v>26041</v>
      </c>
      <c r="AW2135" s="3" t="s">
        <v>26042</v>
      </c>
      <c r="AX2135" s="3" t="s">
        <v>26042</v>
      </c>
      <c r="AY2135" s="3" t="s">
        <v>26043</v>
      </c>
      <c r="AZ2135" s="3" t="s">
        <v>73</v>
      </c>
      <c r="BB2135" s="3" t="s">
        <v>26044</v>
      </c>
      <c r="BC2135" s="3" t="s">
        <v>26045</v>
      </c>
      <c r="BD2135" s="3" t="s">
        <v>26046</v>
      </c>
    </row>
    <row r="2136" spans="1:56" ht="51" customHeight="1" x14ac:dyDescent="0.25">
      <c r="A2136" s="7" t="s">
        <v>58</v>
      </c>
      <c r="B2136" s="2" t="s">
        <v>26047</v>
      </c>
      <c r="C2136" s="2" t="s">
        <v>26048</v>
      </c>
      <c r="D2136" s="2" t="s">
        <v>26049</v>
      </c>
      <c r="F2136" s="3" t="s">
        <v>58</v>
      </c>
      <c r="G2136" s="3" t="s">
        <v>59</v>
      </c>
      <c r="H2136" s="3" t="s">
        <v>58</v>
      </c>
      <c r="I2136" s="3" t="s">
        <v>58</v>
      </c>
      <c r="J2136" s="3" t="s">
        <v>60</v>
      </c>
      <c r="L2136" s="2" t="s">
        <v>26050</v>
      </c>
      <c r="M2136" s="3" t="s">
        <v>1061</v>
      </c>
      <c r="N2136" s="2" t="s">
        <v>424</v>
      </c>
      <c r="O2136" s="3" t="s">
        <v>63</v>
      </c>
      <c r="P2136" s="3" t="s">
        <v>214</v>
      </c>
      <c r="R2136" s="3" t="s">
        <v>65</v>
      </c>
      <c r="S2136" s="4">
        <v>2</v>
      </c>
      <c r="T2136" s="4">
        <v>2</v>
      </c>
      <c r="U2136" s="5" t="s">
        <v>24834</v>
      </c>
      <c r="V2136" s="5" t="s">
        <v>24834</v>
      </c>
      <c r="W2136" s="5" t="s">
        <v>10066</v>
      </c>
      <c r="X2136" s="5" t="s">
        <v>10066</v>
      </c>
      <c r="Y2136" s="4">
        <v>613</v>
      </c>
      <c r="Z2136" s="4">
        <v>495</v>
      </c>
      <c r="AA2136" s="4">
        <v>512</v>
      </c>
      <c r="AB2136" s="4">
        <v>3</v>
      </c>
      <c r="AC2136" s="4">
        <v>3</v>
      </c>
      <c r="AD2136" s="4">
        <v>28</v>
      </c>
      <c r="AE2136" s="4">
        <v>28</v>
      </c>
      <c r="AF2136" s="4">
        <v>12</v>
      </c>
      <c r="AG2136" s="4">
        <v>12</v>
      </c>
      <c r="AH2136" s="4">
        <v>7</v>
      </c>
      <c r="AI2136" s="4">
        <v>7</v>
      </c>
      <c r="AJ2136" s="4">
        <v>16</v>
      </c>
      <c r="AK2136" s="4">
        <v>16</v>
      </c>
      <c r="AL2136" s="4">
        <v>2</v>
      </c>
      <c r="AM2136" s="4">
        <v>2</v>
      </c>
      <c r="AN2136" s="4">
        <v>1</v>
      </c>
      <c r="AO2136" s="4">
        <v>1</v>
      </c>
      <c r="AP2136" s="3" t="s">
        <v>58</v>
      </c>
      <c r="AQ2136" s="3" t="s">
        <v>58</v>
      </c>
      <c r="AS2136" s="6" t="str">
        <f>HYPERLINK("https://creighton-primo.hosted.exlibrisgroup.com/primo-explore/search?tab=default_tab&amp;search_scope=EVERYTHING&amp;vid=01CRU&amp;lang=en_US&amp;offset=0&amp;query=any,contains,991002700899702656","Catalog Record")</f>
        <v>Catalog Record</v>
      </c>
      <c r="AT2136" s="6" t="str">
        <f>HYPERLINK("http://www.worldcat.org/oclc/35262436","WorldCat Record")</f>
        <v>WorldCat Record</v>
      </c>
      <c r="AU2136" s="3" t="s">
        <v>26051</v>
      </c>
      <c r="AV2136" s="3" t="s">
        <v>26052</v>
      </c>
      <c r="AW2136" s="3" t="s">
        <v>26053</v>
      </c>
      <c r="AX2136" s="3" t="s">
        <v>26053</v>
      </c>
      <c r="AY2136" s="3" t="s">
        <v>26054</v>
      </c>
      <c r="AZ2136" s="3" t="s">
        <v>73</v>
      </c>
      <c r="BB2136" s="3" t="s">
        <v>26055</v>
      </c>
      <c r="BC2136" s="3" t="s">
        <v>26056</v>
      </c>
      <c r="BD2136" s="3" t="s">
        <v>26057</v>
      </c>
    </row>
    <row r="2137" spans="1:56" ht="51" customHeight="1" x14ac:dyDescent="0.25">
      <c r="A2137" s="7" t="s">
        <v>58</v>
      </c>
      <c r="B2137" s="2" t="s">
        <v>26058</v>
      </c>
      <c r="C2137" s="2" t="s">
        <v>26059</v>
      </c>
      <c r="D2137" s="2" t="s">
        <v>26060</v>
      </c>
      <c r="F2137" s="3" t="s">
        <v>58</v>
      </c>
      <c r="G2137" s="3" t="s">
        <v>59</v>
      </c>
      <c r="H2137" s="3" t="s">
        <v>58</v>
      </c>
      <c r="I2137" s="3" t="s">
        <v>58</v>
      </c>
      <c r="J2137" s="3" t="s">
        <v>60</v>
      </c>
      <c r="K2137" s="2" t="s">
        <v>26061</v>
      </c>
      <c r="L2137" s="2" t="s">
        <v>25584</v>
      </c>
      <c r="M2137" s="3" t="s">
        <v>382</v>
      </c>
      <c r="O2137" s="3" t="s">
        <v>63</v>
      </c>
      <c r="P2137" s="3" t="s">
        <v>214</v>
      </c>
      <c r="Q2137" s="2" t="s">
        <v>26062</v>
      </c>
      <c r="R2137" s="3" t="s">
        <v>65</v>
      </c>
      <c r="S2137" s="4">
        <v>4</v>
      </c>
      <c r="T2137" s="4">
        <v>4</v>
      </c>
      <c r="U2137" s="5" t="s">
        <v>26063</v>
      </c>
      <c r="V2137" s="5" t="s">
        <v>26063</v>
      </c>
      <c r="W2137" s="5" t="s">
        <v>26064</v>
      </c>
      <c r="X2137" s="5" t="s">
        <v>26064</v>
      </c>
      <c r="Y2137" s="4">
        <v>531</v>
      </c>
      <c r="Z2137" s="4">
        <v>433</v>
      </c>
      <c r="AA2137" s="4">
        <v>1471</v>
      </c>
      <c r="AB2137" s="4">
        <v>4</v>
      </c>
      <c r="AC2137" s="4">
        <v>7</v>
      </c>
      <c r="AD2137" s="4">
        <v>31</v>
      </c>
      <c r="AE2137" s="4">
        <v>41</v>
      </c>
      <c r="AF2137" s="4">
        <v>11</v>
      </c>
      <c r="AG2137" s="4">
        <v>16</v>
      </c>
      <c r="AH2137" s="4">
        <v>8</v>
      </c>
      <c r="AI2137" s="4">
        <v>9</v>
      </c>
      <c r="AJ2137" s="4">
        <v>17</v>
      </c>
      <c r="AK2137" s="4">
        <v>19</v>
      </c>
      <c r="AL2137" s="4">
        <v>3</v>
      </c>
      <c r="AM2137" s="4">
        <v>6</v>
      </c>
      <c r="AN2137" s="4">
        <v>0</v>
      </c>
      <c r="AO2137" s="4">
        <v>0</v>
      </c>
      <c r="AP2137" s="3" t="s">
        <v>58</v>
      </c>
      <c r="AQ2137" s="3" t="s">
        <v>58</v>
      </c>
      <c r="AS2137" s="6" t="str">
        <f>HYPERLINK("https://creighton-primo.hosted.exlibrisgroup.com/primo-explore/search?tab=default_tab&amp;search_scope=EVERYTHING&amp;vid=01CRU&amp;lang=en_US&amp;offset=0&amp;query=any,contains,991002922539702656","Catalog Record")</f>
        <v>Catalog Record</v>
      </c>
      <c r="AT2137" s="6" t="str">
        <f>HYPERLINK("http://www.worldcat.org/oclc/38842079","WorldCat Record")</f>
        <v>WorldCat Record</v>
      </c>
      <c r="AU2137" s="3" t="s">
        <v>26065</v>
      </c>
      <c r="AV2137" s="3" t="s">
        <v>26066</v>
      </c>
      <c r="AW2137" s="3" t="s">
        <v>26067</v>
      </c>
      <c r="AX2137" s="3" t="s">
        <v>26067</v>
      </c>
      <c r="AY2137" s="3" t="s">
        <v>26068</v>
      </c>
      <c r="AZ2137" s="3" t="s">
        <v>73</v>
      </c>
      <c r="BB2137" s="3" t="s">
        <v>26069</v>
      </c>
      <c r="BC2137" s="3" t="s">
        <v>26070</v>
      </c>
      <c r="BD2137" s="3" t="s">
        <v>26071</v>
      </c>
    </row>
    <row r="2138" spans="1:56" ht="51" customHeight="1" x14ac:dyDescent="0.25">
      <c r="A2138" s="7" t="s">
        <v>58</v>
      </c>
      <c r="B2138" s="2" t="s">
        <v>26072</v>
      </c>
      <c r="C2138" s="2" t="s">
        <v>26073</v>
      </c>
      <c r="D2138" s="2" t="s">
        <v>26074</v>
      </c>
      <c r="F2138" s="3" t="s">
        <v>58</v>
      </c>
      <c r="G2138" s="3" t="s">
        <v>59</v>
      </c>
      <c r="H2138" s="3" t="s">
        <v>58</v>
      </c>
      <c r="I2138" s="3" t="s">
        <v>58</v>
      </c>
      <c r="J2138" s="3" t="s">
        <v>60</v>
      </c>
      <c r="K2138" s="2" t="s">
        <v>26075</v>
      </c>
      <c r="L2138" s="2" t="s">
        <v>26076</v>
      </c>
      <c r="M2138" s="3" t="s">
        <v>196</v>
      </c>
      <c r="N2138" s="2" t="s">
        <v>26077</v>
      </c>
      <c r="O2138" s="3" t="s">
        <v>63</v>
      </c>
      <c r="P2138" s="3" t="s">
        <v>3403</v>
      </c>
      <c r="R2138" s="3" t="s">
        <v>65</v>
      </c>
      <c r="S2138" s="4">
        <v>5</v>
      </c>
      <c r="T2138" s="4">
        <v>5</v>
      </c>
      <c r="U2138" s="5" t="s">
        <v>12800</v>
      </c>
      <c r="V2138" s="5" t="s">
        <v>12800</v>
      </c>
      <c r="W2138" s="5" t="s">
        <v>11838</v>
      </c>
      <c r="X2138" s="5" t="s">
        <v>11838</v>
      </c>
      <c r="Y2138" s="4">
        <v>797</v>
      </c>
      <c r="Z2138" s="4">
        <v>641</v>
      </c>
      <c r="AA2138" s="4">
        <v>835</v>
      </c>
      <c r="AB2138" s="4">
        <v>9</v>
      </c>
      <c r="AC2138" s="4">
        <v>10</v>
      </c>
      <c r="AD2138" s="4">
        <v>19</v>
      </c>
      <c r="AE2138" s="4">
        <v>24</v>
      </c>
      <c r="AF2138" s="4">
        <v>5</v>
      </c>
      <c r="AG2138" s="4">
        <v>7</v>
      </c>
      <c r="AH2138" s="4">
        <v>5</v>
      </c>
      <c r="AI2138" s="4">
        <v>6</v>
      </c>
      <c r="AJ2138" s="4">
        <v>9</v>
      </c>
      <c r="AK2138" s="4">
        <v>11</v>
      </c>
      <c r="AL2138" s="4">
        <v>5</v>
      </c>
      <c r="AM2138" s="4">
        <v>6</v>
      </c>
      <c r="AN2138" s="4">
        <v>0</v>
      </c>
      <c r="AO2138" s="4">
        <v>0</v>
      </c>
      <c r="AP2138" s="3" t="s">
        <v>58</v>
      </c>
      <c r="AQ2138" s="3" t="s">
        <v>68</v>
      </c>
      <c r="AR2138" s="6" t="str">
        <f>HYPERLINK("http://catalog.hathitrust.org/Record/003063227","HathiTrust Record")</f>
        <v>HathiTrust Record</v>
      </c>
      <c r="AS2138" s="6" t="str">
        <f>HYPERLINK("https://creighton-primo.hosted.exlibrisgroup.com/primo-explore/search?tab=default_tab&amp;search_scope=EVERYTHING&amp;vid=01CRU&amp;lang=en_US&amp;offset=0&amp;query=any,contains,991002643809702656","Catalog Record")</f>
        <v>Catalog Record</v>
      </c>
      <c r="AT2138" s="6" t="str">
        <f>HYPERLINK("http://www.worldcat.org/oclc/34601210","WorldCat Record")</f>
        <v>WorldCat Record</v>
      </c>
      <c r="AU2138" s="3" t="s">
        <v>26078</v>
      </c>
      <c r="AV2138" s="3" t="s">
        <v>26079</v>
      </c>
      <c r="AW2138" s="3" t="s">
        <v>26080</v>
      </c>
      <c r="AX2138" s="3" t="s">
        <v>26080</v>
      </c>
      <c r="AY2138" s="3" t="s">
        <v>26081</v>
      </c>
      <c r="AZ2138" s="3" t="s">
        <v>73</v>
      </c>
      <c r="BB2138" s="3" t="s">
        <v>26082</v>
      </c>
      <c r="BC2138" s="3" t="s">
        <v>26083</v>
      </c>
      <c r="BD2138" s="3" t="s">
        <v>26084</v>
      </c>
    </row>
    <row r="2139" spans="1:56" ht="51" customHeight="1" x14ac:dyDescent="0.25">
      <c r="A2139" s="7" t="s">
        <v>58</v>
      </c>
      <c r="B2139" s="2" t="s">
        <v>26085</v>
      </c>
      <c r="C2139" s="2" t="s">
        <v>26086</v>
      </c>
      <c r="D2139" s="2" t="s">
        <v>26087</v>
      </c>
      <c r="F2139" s="3" t="s">
        <v>58</v>
      </c>
      <c r="G2139" s="3" t="s">
        <v>59</v>
      </c>
      <c r="H2139" s="3" t="s">
        <v>58</v>
      </c>
      <c r="I2139" s="3" t="s">
        <v>58</v>
      </c>
      <c r="J2139" s="3" t="s">
        <v>60</v>
      </c>
      <c r="K2139" s="2" t="s">
        <v>26088</v>
      </c>
      <c r="L2139" s="2" t="s">
        <v>26089</v>
      </c>
      <c r="M2139" s="3" t="s">
        <v>855</v>
      </c>
      <c r="O2139" s="3" t="s">
        <v>63</v>
      </c>
      <c r="P2139" s="3" t="s">
        <v>354</v>
      </c>
      <c r="R2139" s="3" t="s">
        <v>65</v>
      </c>
      <c r="S2139" s="4">
        <v>9</v>
      </c>
      <c r="T2139" s="4">
        <v>9</v>
      </c>
      <c r="U2139" s="5" t="s">
        <v>24736</v>
      </c>
      <c r="V2139" s="5" t="s">
        <v>24736</v>
      </c>
      <c r="W2139" s="5" t="s">
        <v>26090</v>
      </c>
      <c r="X2139" s="5" t="s">
        <v>26090</v>
      </c>
      <c r="Y2139" s="4">
        <v>222</v>
      </c>
      <c r="Z2139" s="4">
        <v>145</v>
      </c>
      <c r="AA2139" s="4">
        <v>152</v>
      </c>
      <c r="AB2139" s="4">
        <v>1</v>
      </c>
      <c r="AC2139" s="4">
        <v>1</v>
      </c>
      <c r="AD2139" s="4">
        <v>8</v>
      </c>
      <c r="AE2139" s="4">
        <v>8</v>
      </c>
      <c r="AF2139" s="4">
        <v>1</v>
      </c>
      <c r="AG2139" s="4">
        <v>1</v>
      </c>
      <c r="AH2139" s="4">
        <v>3</v>
      </c>
      <c r="AI2139" s="4">
        <v>3</v>
      </c>
      <c r="AJ2139" s="4">
        <v>4</v>
      </c>
      <c r="AK2139" s="4">
        <v>4</v>
      </c>
      <c r="AL2139" s="4">
        <v>0</v>
      </c>
      <c r="AM2139" s="4">
        <v>0</v>
      </c>
      <c r="AN2139" s="4">
        <v>1</v>
      </c>
      <c r="AO2139" s="4">
        <v>1</v>
      </c>
      <c r="AP2139" s="3" t="s">
        <v>58</v>
      </c>
      <c r="AQ2139" s="3" t="s">
        <v>68</v>
      </c>
      <c r="AR2139" s="6" t="str">
        <f>HYPERLINK("http://catalog.hathitrust.org/Record/002706525","HathiTrust Record")</f>
        <v>HathiTrust Record</v>
      </c>
      <c r="AS2139" s="6" t="str">
        <f>HYPERLINK("https://creighton-primo.hosted.exlibrisgroup.com/primo-explore/search?tab=default_tab&amp;search_scope=EVERYTHING&amp;vid=01CRU&amp;lang=en_US&amp;offset=0&amp;query=any,contains,991002069429702656","Catalog Record")</f>
        <v>Catalog Record</v>
      </c>
      <c r="AT2139" s="6" t="str">
        <f>HYPERLINK("http://www.worldcat.org/oclc/26504189","WorldCat Record")</f>
        <v>WorldCat Record</v>
      </c>
      <c r="AU2139" s="3" t="s">
        <v>26091</v>
      </c>
      <c r="AV2139" s="3" t="s">
        <v>26092</v>
      </c>
      <c r="AW2139" s="3" t="s">
        <v>26093</v>
      </c>
      <c r="AX2139" s="3" t="s">
        <v>26093</v>
      </c>
      <c r="AY2139" s="3" t="s">
        <v>26094</v>
      </c>
      <c r="AZ2139" s="3" t="s">
        <v>73</v>
      </c>
      <c r="BB2139" s="3" t="s">
        <v>26095</v>
      </c>
      <c r="BC2139" s="3" t="s">
        <v>26096</v>
      </c>
      <c r="BD2139" s="3" t="s">
        <v>26097</v>
      </c>
    </row>
    <row r="2140" spans="1:56" ht="51" customHeight="1" x14ac:dyDescent="0.25">
      <c r="A2140" s="7" t="s">
        <v>58</v>
      </c>
      <c r="B2140" s="2" t="s">
        <v>26098</v>
      </c>
      <c r="C2140" s="2" t="s">
        <v>26099</v>
      </c>
      <c r="D2140" s="2" t="s">
        <v>26100</v>
      </c>
      <c r="F2140" s="3" t="s">
        <v>58</v>
      </c>
      <c r="G2140" s="3" t="s">
        <v>59</v>
      </c>
      <c r="H2140" s="3" t="s">
        <v>58</v>
      </c>
      <c r="I2140" s="3" t="s">
        <v>58</v>
      </c>
      <c r="J2140" s="3" t="s">
        <v>60</v>
      </c>
      <c r="K2140" s="2" t="s">
        <v>26101</v>
      </c>
      <c r="L2140" s="2" t="s">
        <v>10810</v>
      </c>
      <c r="M2140" s="3" t="s">
        <v>759</v>
      </c>
      <c r="O2140" s="3" t="s">
        <v>63</v>
      </c>
      <c r="P2140" s="3" t="s">
        <v>3109</v>
      </c>
      <c r="R2140" s="3" t="s">
        <v>65</v>
      </c>
      <c r="S2140" s="4">
        <v>3</v>
      </c>
      <c r="T2140" s="4">
        <v>3</v>
      </c>
      <c r="U2140" s="5" t="s">
        <v>20789</v>
      </c>
      <c r="V2140" s="5" t="s">
        <v>20789</v>
      </c>
      <c r="W2140" s="5" t="s">
        <v>25029</v>
      </c>
      <c r="X2140" s="5" t="s">
        <v>25029</v>
      </c>
      <c r="Y2140" s="4">
        <v>519</v>
      </c>
      <c r="Z2140" s="4">
        <v>416</v>
      </c>
      <c r="AA2140" s="4">
        <v>418</v>
      </c>
      <c r="AB2140" s="4">
        <v>3</v>
      </c>
      <c r="AC2140" s="4">
        <v>3</v>
      </c>
      <c r="AD2140" s="4">
        <v>20</v>
      </c>
      <c r="AE2140" s="4">
        <v>20</v>
      </c>
      <c r="AF2140" s="4">
        <v>7</v>
      </c>
      <c r="AG2140" s="4">
        <v>7</v>
      </c>
      <c r="AH2140" s="4">
        <v>4</v>
      </c>
      <c r="AI2140" s="4">
        <v>4</v>
      </c>
      <c r="AJ2140" s="4">
        <v>10</v>
      </c>
      <c r="AK2140" s="4">
        <v>10</v>
      </c>
      <c r="AL2140" s="4">
        <v>2</v>
      </c>
      <c r="AM2140" s="4">
        <v>2</v>
      </c>
      <c r="AN2140" s="4">
        <v>1</v>
      </c>
      <c r="AO2140" s="4">
        <v>1</v>
      </c>
      <c r="AP2140" s="3" t="s">
        <v>58</v>
      </c>
      <c r="AQ2140" s="3" t="s">
        <v>68</v>
      </c>
      <c r="AR2140" s="6" t="str">
        <f>HYPERLINK("http://catalog.hathitrust.org/Record/000128543","HathiTrust Record")</f>
        <v>HathiTrust Record</v>
      </c>
      <c r="AS2140" s="6" t="str">
        <f>HYPERLINK("https://creighton-primo.hosted.exlibrisgroup.com/primo-explore/search?tab=default_tab&amp;search_scope=EVERYTHING&amp;vid=01CRU&amp;lang=en_US&amp;offset=0&amp;query=any,contains,991004978769702656","Catalog Record")</f>
        <v>Catalog Record</v>
      </c>
      <c r="AT2140" s="6" t="str">
        <f>HYPERLINK("http://www.worldcat.org/oclc/6420759","WorldCat Record")</f>
        <v>WorldCat Record</v>
      </c>
      <c r="AU2140" s="3" t="s">
        <v>26102</v>
      </c>
      <c r="AV2140" s="3" t="s">
        <v>26103</v>
      </c>
      <c r="AW2140" s="3" t="s">
        <v>26104</v>
      </c>
      <c r="AX2140" s="3" t="s">
        <v>26104</v>
      </c>
      <c r="AY2140" s="3" t="s">
        <v>26105</v>
      </c>
      <c r="AZ2140" s="3" t="s">
        <v>73</v>
      </c>
      <c r="BB2140" s="3" t="s">
        <v>26106</v>
      </c>
      <c r="BC2140" s="3" t="s">
        <v>26107</v>
      </c>
      <c r="BD2140" s="3" t="s">
        <v>26108</v>
      </c>
    </row>
    <row r="2141" spans="1:56" ht="51" customHeight="1" x14ac:dyDescent="0.25">
      <c r="A2141" s="7" t="s">
        <v>58</v>
      </c>
      <c r="B2141" s="2" t="s">
        <v>26109</v>
      </c>
      <c r="C2141" s="2" t="s">
        <v>26110</v>
      </c>
      <c r="D2141" s="2" t="s">
        <v>26111</v>
      </c>
      <c r="F2141" s="3" t="s">
        <v>58</v>
      </c>
      <c r="G2141" s="3" t="s">
        <v>59</v>
      </c>
      <c r="H2141" s="3" t="s">
        <v>58</v>
      </c>
      <c r="I2141" s="3" t="s">
        <v>58</v>
      </c>
      <c r="J2141" s="3" t="s">
        <v>60</v>
      </c>
      <c r="K2141" s="2" t="s">
        <v>26112</v>
      </c>
      <c r="L2141" s="2" t="s">
        <v>26113</v>
      </c>
      <c r="M2141" s="3" t="s">
        <v>196</v>
      </c>
      <c r="O2141" s="3" t="s">
        <v>63</v>
      </c>
      <c r="P2141" s="3" t="s">
        <v>214</v>
      </c>
      <c r="R2141" s="3" t="s">
        <v>65</v>
      </c>
      <c r="S2141" s="4">
        <v>5</v>
      </c>
      <c r="T2141" s="4">
        <v>5</v>
      </c>
      <c r="U2141" s="5" t="s">
        <v>7028</v>
      </c>
      <c r="V2141" s="5" t="s">
        <v>7028</v>
      </c>
      <c r="W2141" s="5" t="s">
        <v>13484</v>
      </c>
      <c r="X2141" s="5" t="s">
        <v>13484</v>
      </c>
      <c r="Y2141" s="4">
        <v>314</v>
      </c>
      <c r="Z2141" s="4">
        <v>223</v>
      </c>
      <c r="AA2141" s="4">
        <v>229</v>
      </c>
      <c r="AB2141" s="4">
        <v>2</v>
      </c>
      <c r="AC2141" s="4">
        <v>2</v>
      </c>
      <c r="AD2141" s="4">
        <v>16</v>
      </c>
      <c r="AE2141" s="4">
        <v>16</v>
      </c>
      <c r="AF2141" s="4">
        <v>4</v>
      </c>
      <c r="AG2141" s="4">
        <v>4</v>
      </c>
      <c r="AH2141" s="4">
        <v>7</v>
      </c>
      <c r="AI2141" s="4">
        <v>7</v>
      </c>
      <c r="AJ2141" s="4">
        <v>8</v>
      </c>
      <c r="AK2141" s="4">
        <v>8</v>
      </c>
      <c r="AL2141" s="4">
        <v>1</v>
      </c>
      <c r="AM2141" s="4">
        <v>1</v>
      </c>
      <c r="AN2141" s="4">
        <v>0</v>
      </c>
      <c r="AO2141" s="4">
        <v>0</v>
      </c>
      <c r="AP2141" s="3" t="s">
        <v>58</v>
      </c>
      <c r="AQ2141" s="3" t="s">
        <v>58</v>
      </c>
      <c r="AS2141" s="6" t="str">
        <f>HYPERLINK("https://creighton-primo.hosted.exlibrisgroup.com/primo-explore/search?tab=default_tab&amp;search_scope=EVERYTHING&amp;vid=01CRU&amp;lang=en_US&amp;offset=0&amp;query=any,contains,991002641799702656","Catalog Record")</f>
        <v>Catalog Record</v>
      </c>
      <c r="AT2141" s="6" t="str">
        <f>HYPERLINK("http://www.worldcat.org/oclc/34583832","WorldCat Record")</f>
        <v>WorldCat Record</v>
      </c>
      <c r="AU2141" s="3" t="s">
        <v>26114</v>
      </c>
      <c r="AV2141" s="3" t="s">
        <v>26115</v>
      </c>
      <c r="AW2141" s="3" t="s">
        <v>26116</v>
      </c>
      <c r="AX2141" s="3" t="s">
        <v>26116</v>
      </c>
      <c r="AY2141" s="3" t="s">
        <v>26117</v>
      </c>
      <c r="AZ2141" s="3" t="s">
        <v>73</v>
      </c>
      <c r="BB2141" s="3" t="s">
        <v>26118</v>
      </c>
      <c r="BC2141" s="3" t="s">
        <v>26119</v>
      </c>
      <c r="BD2141" s="3" t="s">
        <v>26120</v>
      </c>
    </row>
    <row r="2142" spans="1:56" ht="51" customHeight="1" x14ac:dyDescent="0.25">
      <c r="A2142" s="7" t="s">
        <v>58</v>
      </c>
      <c r="B2142" s="2" t="s">
        <v>26121</v>
      </c>
      <c r="C2142" s="2" t="s">
        <v>26122</v>
      </c>
      <c r="D2142" s="2" t="s">
        <v>26123</v>
      </c>
      <c r="F2142" s="3" t="s">
        <v>58</v>
      </c>
      <c r="G2142" s="3" t="s">
        <v>59</v>
      </c>
      <c r="H2142" s="3" t="s">
        <v>58</v>
      </c>
      <c r="I2142" s="3" t="s">
        <v>58</v>
      </c>
      <c r="J2142" s="3" t="s">
        <v>60</v>
      </c>
      <c r="K2142" s="2" t="s">
        <v>26124</v>
      </c>
      <c r="L2142" s="2" t="s">
        <v>26125</v>
      </c>
      <c r="M2142" s="3" t="s">
        <v>138</v>
      </c>
      <c r="O2142" s="3" t="s">
        <v>63</v>
      </c>
      <c r="P2142" s="3" t="s">
        <v>214</v>
      </c>
      <c r="R2142" s="3" t="s">
        <v>65</v>
      </c>
      <c r="S2142" s="4">
        <v>3</v>
      </c>
      <c r="T2142" s="4">
        <v>3</v>
      </c>
      <c r="U2142" s="5" t="s">
        <v>7647</v>
      </c>
      <c r="V2142" s="5" t="s">
        <v>7647</v>
      </c>
      <c r="W2142" s="5" t="s">
        <v>20145</v>
      </c>
      <c r="X2142" s="5" t="s">
        <v>20145</v>
      </c>
      <c r="Y2142" s="4">
        <v>1417</v>
      </c>
      <c r="Z2142" s="4">
        <v>1328</v>
      </c>
      <c r="AA2142" s="4">
        <v>1730</v>
      </c>
      <c r="AB2142" s="4">
        <v>8</v>
      </c>
      <c r="AC2142" s="4">
        <v>11</v>
      </c>
      <c r="AD2142" s="4">
        <v>35</v>
      </c>
      <c r="AE2142" s="4">
        <v>45</v>
      </c>
      <c r="AF2142" s="4">
        <v>14</v>
      </c>
      <c r="AG2142" s="4">
        <v>19</v>
      </c>
      <c r="AH2142" s="4">
        <v>6</v>
      </c>
      <c r="AI2142" s="4">
        <v>8</v>
      </c>
      <c r="AJ2142" s="4">
        <v>16</v>
      </c>
      <c r="AK2142" s="4">
        <v>22</v>
      </c>
      <c r="AL2142" s="4">
        <v>6</v>
      </c>
      <c r="AM2142" s="4">
        <v>8</v>
      </c>
      <c r="AN2142" s="4">
        <v>0</v>
      </c>
      <c r="AO2142" s="4">
        <v>0</v>
      </c>
      <c r="AP2142" s="3" t="s">
        <v>58</v>
      </c>
      <c r="AQ2142" s="3" t="s">
        <v>68</v>
      </c>
      <c r="AR2142" s="6" t="str">
        <f>HYPERLINK("http://catalog.hathitrust.org/Record/000761296","HathiTrust Record")</f>
        <v>HathiTrust Record</v>
      </c>
      <c r="AS2142" s="6" t="str">
        <f>HYPERLINK("https://creighton-primo.hosted.exlibrisgroup.com/primo-explore/search?tab=default_tab&amp;search_scope=EVERYTHING&amp;vid=01CRU&amp;lang=en_US&amp;offset=0&amp;query=any,contains,991005225189702656","Catalog Record")</f>
        <v>Catalog Record</v>
      </c>
      <c r="AT2142" s="6" t="str">
        <f>HYPERLINK("http://www.worldcat.org/oclc/8280788","WorldCat Record")</f>
        <v>WorldCat Record</v>
      </c>
      <c r="AU2142" s="3" t="s">
        <v>26126</v>
      </c>
      <c r="AV2142" s="3" t="s">
        <v>26127</v>
      </c>
      <c r="AW2142" s="3" t="s">
        <v>26128</v>
      </c>
      <c r="AX2142" s="3" t="s">
        <v>26128</v>
      </c>
      <c r="AY2142" s="3" t="s">
        <v>26129</v>
      </c>
      <c r="AZ2142" s="3" t="s">
        <v>73</v>
      </c>
      <c r="BB2142" s="3" t="s">
        <v>26130</v>
      </c>
      <c r="BC2142" s="3" t="s">
        <v>26131</v>
      </c>
      <c r="BD2142" s="3" t="s">
        <v>26132</v>
      </c>
    </row>
    <row r="2143" spans="1:56" ht="51" customHeight="1" x14ac:dyDescent="0.25">
      <c r="A2143" s="7" t="s">
        <v>58</v>
      </c>
      <c r="B2143" s="2" t="s">
        <v>26133</v>
      </c>
      <c r="C2143" s="2" t="s">
        <v>26134</v>
      </c>
      <c r="D2143" s="2" t="s">
        <v>26135</v>
      </c>
      <c r="F2143" s="3" t="s">
        <v>58</v>
      </c>
      <c r="G2143" s="3" t="s">
        <v>59</v>
      </c>
      <c r="H2143" s="3" t="s">
        <v>58</v>
      </c>
      <c r="I2143" s="3" t="s">
        <v>58</v>
      </c>
      <c r="J2143" s="3" t="s">
        <v>60</v>
      </c>
      <c r="K2143" s="2" t="s">
        <v>25571</v>
      </c>
      <c r="L2143" s="2" t="s">
        <v>26136</v>
      </c>
      <c r="M2143" s="3" t="s">
        <v>524</v>
      </c>
      <c r="O2143" s="3" t="s">
        <v>63</v>
      </c>
      <c r="P2143" s="3" t="s">
        <v>411</v>
      </c>
      <c r="R2143" s="3" t="s">
        <v>65</v>
      </c>
      <c r="S2143" s="4">
        <v>4</v>
      </c>
      <c r="T2143" s="4">
        <v>4</v>
      </c>
      <c r="U2143" s="5" t="s">
        <v>12015</v>
      </c>
      <c r="V2143" s="5" t="s">
        <v>12015</v>
      </c>
      <c r="W2143" s="5" t="s">
        <v>25029</v>
      </c>
      <c r="X2143" s="5" t="s">
        <v>25029</v>
      </c>
      <c r="Y2143" s="4">
        <v>636</v>
      </c>
      <c r="Z2143" s="4">
        <v>511</v>
      </c>
      <c r="AA2143" s="4">
        <v>516</v>
      </c>
      <c r="AB2143" s="4">
        <v>5</v>
      </c>
      <c r="AC2143" s="4">
        <v>5</v>
      </c>
      <c r="AD2143" s="4">
        <v>33</v>
      </c>
      <c r="AE2143" s="4">
        <v>33</v>
      </c>
      <c r="AF2143" s="4">
        <v>14</v>
      </c>
      <c r="AG2143" s="4">
        <v>14</v>
      </c>
      <c r="AH2143" s="4">
        <v>8</v>
      </c>
      <c r="AI2143" s="4">
        <v>8</v>
      </c>
      <c r="AJ2143" s="4">
        <v>17</v>
      </c>
      <c r="AK2143" s="4">
        <v>17</v>
      </c>
      <c r="AL2143" s="4">
        <v>4</v>
      </c>
      <c r="AM2143" s="4">
        <v>4</v>
      </c>
      <c r="AN2143" s="4">
        <v>1</v>
      </c>
      <c r="AO2143" s="4">
        <v>1</v>
      </c>
      <c r="AP2143" s="3" t="s">
        <v>58</v>
      </c>
      <c r="AQ2143" s="3" t="s">
        <v>58</v>
      </c>
      <c r="AS2143" s="6" t="str">
        <f>HYPERLINK("https://creighton-primo.hosted.exlibrisgroup.com/primo-explore/search?tab=default_tab&amp;search_scope=EVERYTHING&amp;vid=01CRU&amp;lang=en_US&amp;offset=0&amp;query=any,contains,991000640529702656","Catalog Record")</f>
        <v>Catalog Record</v>
      </c>
      <c r="AT2143" s="6" t="str">
        <f>HYPERLINK("http://www.worldcat.org/oclc/12104016","WorldCat Record")</f>
        <v>WorldCat Record</v>
      </c>
      <c r="AU2143" s="3" t="s">
        <v>26137</v>
      </c>
      <c r="AV2143" s="3" t="s">
        <v>26138</v>
      </c>
      <c r="AW2143" s="3" t="s">
        <v>26139</v>
      </c>
      <c r="AX2143" s="3" t="s">
        <v>26139</v>
      </c>
      <c r="AY2143" s="3" t="s">
        <v>26140</v>
      </c>
      <c r="AZ2143" s="3" t="s">
        <v>73</v>
      </c>
      <c r="BB2143" s="3" t="s">
        <v>26141</v>
      </c>
      <c r="BC2143" s="3" t="s">
        <v>26142</v>
      </c>
      <c r="BD2143" s="3" t="s">
        <v>26143</v>
      </c>
    </row>
    <row r="2144" spans="1:56" ht="51" customHeight="1" x14ac:dyDescent="0.25">
      <c r="A2144" s="7" t="s">
        <v>58</v>
      </c>
      <c r="B2144" s="2" t="s">
        <v>26144</v>
      </c>
      <c r="C2144" s="2" t="s">
        <v>26145</v>
      </c>
      <c r="D2144" s="2" t="s">
        <v>26146</v>
      </c>
      <c r="F2144" s="3" t="s">
        <v>58</v>
      </c>
      <c r="G2144" s="3" t="s">
        <v>59</v>
      </c>
      <c r="H2144" s="3" t="s">
        <v>58</v>
      </c>
      <c r="I2144" s="3" t="s">
        <v>58</v>
      </c>
      <c r="J2144" s="3" t="s">
        <v>60</v>
      </c>
      <c r="K2144" s="2" t="s">
        <v>26147</v>
      </c>
      <c r="L2144" s="2" t="s">
        <v>26148</v>
      </c>
      <c r="M2144" s="3" t="s">
        <v>62</v>
      </c>
      <c r="O2144" s="3" t="s">
        <v>63</v>
      </c>
      <c r="P2144" s="3" t="s">
        <v>510</v>
      </c>
      <c r="R2144" s="3" t="s">
        <v>65</v>
      </c>
      <c r="S2144" s="4">
        <v>2</v>
      </c>
      <c r="T2144" s="4">
        <v>2</v>
      </c>
      <c r="U2144" s="5" t="s">
        <v>7605</v>
      </c>
      <c r="V2144" s="5" t="s">
        <v>7605</v>
      </c>
      <c r="W2144" s="5" t="s">
        <v>24893</v>
      </c>
      <c r="X2144" s="5" t="s">
        <v>24893</v>
      </c>
      <c r="Y2144" s="4">
        <v>164</v>
      </c>
      <c r="Z2144" s="4">
        <v>129</v>
      </c>
      <c r="AA2144" s="4">
        <v>487</v>
      </c>
      <c r="AB2144" s="4">
        <v>4</v>
      </c>
      <c r="AC2144" s="4">
        <v>5</v>
      </c>
      <c r="AD2144" s="4">
        <v>12</v>
      </c>
      <c r="AE2144" s="4">
        <v>23</v>
      </c>
      <c r="AF2144" s="4">
        <v>2</v>
      </c>
      <c r="AG2144" s="4">
        <v>7</v>
      </c>
      <c r="AH2144" s="4">
        <v>3</v>
      </c>
      <c r="AI2144" s="4">
        <v>5</v>
      </c>
      <c r="AJ2144" s="4">
        <v>5</v>
      </c>
      <c r="AK2144" s="4">
        <v>10</v>
      </c>
      <c r="AL2144" s="4">
        <v>3</v>
      </c>
      <c r="AM2144" s="4">
        <v>4</v>
      </c>
      <c r="AN2144" s="4">
        <v>0</v>
      </c>
      <c r="AO2144" s="4">
        <v>0</v>
      </c>
      <c r="AP2144" s="3" t="s">
        <v>58</v>
      </c>
      <c r="AQ2144" s="3" t="s">
        <v>68</v>
      </c>
      <c r="AR2144" s="6" t="str">
        <f>HYPERLINK("http://catalog.hathitrust.org/Record/009813223","HathiTrust Record")</f>
        <v>HathiTrust Record</v>
      </c>
      <c r="AS2144" s="6" t="str">
        <f>HYPERLINK("https://creighton-primo.hosted.exlibrisgroup.com/primo-explore/search?tab=default_tab&amp;search_scope=EVERYTHING&amp;vid=01CRU&amp;lang=en_US&amp;offset=0&amp;query=any,contains,991001229889702656","Catalog Record")</f>
        <v>Catalog Record</v>
      </c>
      <c r="AT2144" s="6" t="str">
        <f>HYPERLINK("http://www.worldcat.org/oclc/202621","WorldCat Record")</f>
        <v>WorldCat Record</v>
      </c>
      <c r="AU2144" s="3" t="s">
        <v>26149</v>
      </c>
      <c r="AV2144" s="3" t="s">
        <v>26150</v>
      </c>
      <c r="AW2144" s="3" t="s">
        <v>26151</v>
      </c>
      <c r="AX2144" s="3" t="s">
        <v>26151</v>
      </c>
      <c r="AY2144" s="3" t="s">
        <v>26152</v>
      </c>
      <c r="AZ2144" s="3" t="s">
        <v>73</v>
      </c>
      <c r="BB2144" s="3" t="s">
        <v>26153</v>
      </c>
      <c r="BC2144" s="3" t="s">
        <v>26154</v>
      </c>
      <c r="BD2144" s="3" t="s">
        <v>26155</v>
      </c>
    </row>
    <row r="2145" spans="1:56" ht="51" customHeight="1" x14ac:dyDescent="0.25">
      <c r="A2145" s="7" t="s">
        <v>58</v>
      </c>
      <c r="B2145" s="2" t="s">
        <v>26156</v>
      </c>
      <c r="C2145" s="2" t="s">
        <v>26157</v>
      </c>
      <c r="D2145" s="2" t="s">
        <v>26158</v>
      </c>
      <c r="F2145" s="3" t="s">
        <v>58</v>
      </c>
      <c r="G2145" s="3" t="s">
        <v>59</v>
      </c>
      <c r="H2145" s="3" t="s">
        <v>58</v>
      </c>
      <c r="I2145" s="3" t="s">
        <v>58</v>
      </c>
      <c r="J2145" s="3" t="s">
        <v>60</v>
      </c>
      <c r="K2145" s="2" t="s">
        <v>23254</v>
      </c>
      <c r="L2145" s="2" t="s">
        <v>26159</v>
      </c>
      <c r="M2145" s="3" t="s">
        <v>1544</v>
      </c>
      <c r="N2145" s="2" t="s">
        <v>338</v>
      </c>
      <c r="O2145" s="3" t="s">
        <v>63</v>
      </c>
      <c r="P2145" s="3" t="s">
        <v>816</v>
      </c>
      <c r="R2145" s="3" t="s">
        <v>65</v>
      </c>
      <c r="S2145" s="4">
        <v>8</v>
      </c>
      <c r="T2145" s="4">
        <v>8</v>
      </c>
      <c r="U2145" s="5" t="s">
        <v>23269</v>
      </c>
      <c r="V2145" s="5" t="s">
        <v>23269</v>
      </c>
      <c r="W2145" s="5" t="s">
        <v>2436</v>
      </c>
      <c r="X2145" s="5" t="s">
        <v>2436</v>
      </c>
      <c r="Y2145" s="4">
        <v>1433</v>
      </c>
      <c r="Z2145" s="4">
        <v>1315</v>
      </c>
      <c r="AA2145" s="4">
        <v>1417</v>
      </c>
      <c r="AB2145" s="4">
        <v>9</v>
      </c>
      <c r="AC2145" s="4">
        <v>10</v>
      </c>
      <c r="AD2145" s="4">
        <v>36</v>
      </c>
      <c r="AE2145" s="4">
        <v>40</v>
      </c>
      <c r="AF2145" s="4">
        <v>13</v>
      </c>
      <c r="AG2145" s="4">
        <v>14</v>
      </c>
      <c r="AH2145" s="4">
        <v>6</v>
      </c>
      <c r="AI2145" s="4">
        <v>8</v>
      </c>
      <c r="AJ2145" s="4">
        <v>17</v>
      </c>
      <c r="AK2145" s="4">
        <v>18</v>
      </c>
      <c r="AL2145" s="4">
        <v>7</v>
      </c>
      <c r="AM2145" s="4">
        <v>8</v>
      </c>
      <c r="AN2145" s="4">
        <v>0</v>
      </c>
      <c r="AO2145" s="4">
        <v>0</v>
      </c>
      <c r="AP2145" s="3" t="s">
        <v>58</v>
      </c>
      <c r="AQ2145" s="3" t="s">
        <v>58</v>
      </c>
      <c r="AS2145" s="6" t="str">
        <f>HYPERLINK("https://creighton-primo.hosted.exlibrisgroup.com/primo-explore/search?tab=default_tab&amp;search_scope=EVERYTHING&amp;vid=01CRU&amp;lang=en_US&amp;offset=0&amp;query=any,contains,991001934669702656","Catalog Record")</f>
        <v>Catalog Record</v>
      </c>
      <c r="AT2145" s="6" t="str">
        <f>HYPERLINK("http://www.worldcat.org/oclc/24430377","WorldCat Record")</f>
        <v>WorldCat Record</v>
      </c>
      <c r="AU2145" s="3" t="s">
        <v>26160</v>
      </c>
      <c r="AV2145" s="3" t="s">
        <v>26161</v>
      </c>
      <c r="AW2145" s="3" t="s">
        <v>26162</v>
      </c>
      <c r="AX2145" s="3" t="s">
        <v>26162</v>
      </c>
      <c r="AY2145" s="3" t="s">
        <v>26163</v>
      </c>
      <c r="AZ2145" s="3" t="s">
        <v>73</v>
      </c>
      <c r="BB2145" s="3" t="s">
        <v>26164</v>
      </c>
      <c r="BC2145" s="3" t="s">
        <v>26165</v>
      </c>
      <c r="BD2145" s="3" t="s">
        <v>26166</v>
      </c>
    </row>
    <row r="2146" spans="1:56" ht="51" customHeight="1" x14ac:dyDescent="0.25">
      <c r="A2146" s="7" t="s">
        <v>58</v>
      </c>
      <c r="B2146" s="2" t="s">
        <v>26167</v>
      </c>
      <c r="C2146" s="2" t="s">
        <v>26168</v>
      </c>
      <c r="D2146" s="2" t="s">
        <v>26169</v>
      </c>
      <c r="F2146" s="3" t="s">
        <v>58</v>
      </c>
      <c r="G2146" s="3" t="s">
        <v>59</v>
      </c>
      <c r="H2146" s="3" t="s">
        <v>58</v>
      </c>
      <c r="I2146" s="3" t="s">
        <v>58</v>
      </c>
      <c r="J2146" s="3" t="s">
        <v>60</v>
      </c>
      <c r="K2146" s="2" t="s">
        <v>26170</v>
      </c>
      <c r="L2146" s="2" t="s">
        <v>13483</v>
      </c>
      <c r="M2146" s="3" t="s">
        <v>196</v>
      </c>
      <c r="N2146" s="2" t="s">
        <v>338</v>
      </c>
      <c r="O2146" s="3" t="s">
        <v>63</v>
      </c>
      <c r="P2146" s="3" t="s">
        <v>214</v>
      </c>
      <c r="R2146" s="3" t="s">
        <v>65</v>
      </c>
      <c r="S2146" s="4">
        <v>3</v>
      </c>
      <c r="T2146" s="4">
        <v>3</v>
      </c>
      <c r="U2146" s="5" t="s">
        <v>26171</v>
      </c>
      <c r="V2146" s="5" t="s">
        <v>26171</v>
      </c>
      <c r="W2146" s="5" t="s">
        <v>16923</v>
      </c>
      <c r="X2146" s="5" t="s">
        <v>16923</v>
      </c>
      <c r="Y2146" s="4">
        <v>344</v>
      </c>
      <c r="Z2146" s="4">
        <v>293</v>
      </c>
      <c r="AA2146" s="4">
        <v>299</v>
      </c>
      <c r="AB2146" s="4">
        <v>3</v>
      </c>
      <c r="AC2146" s="4">
        <v>3</v>
      </c>
      <c r="AD2146" s="4">
        <v>17</v>
      </c>
      <c r="AE2146" s="4">
        <v>17</v>
      </c>
      <c r="AF2146" s="4">
        <v>6</v>
      </c>
      <c r="AG2146" s="4">
        <v>6</v>
      </c>
      <c r="AH2146" s="4">
        <v>5</v>
      </c>
      <c r="AI2146" s="4">
        <v>5</v>
      </c>
      <c r="AJ2146" s="4">
        <v>10</v>
      </c>
      <c r="AK2146" s="4">
        <v>10</v>
      </c>
      <c r="AL2146" s="4">
        <v>2</v>
      </c>
      <c r="AM2146" s="4">
        <v>2</v>
      </c>
      <c r="AN2146" s="4">
        <v>0</v>
      </c>
      <c r="AO2146" s="4">
        <v>0</v>
      </c>
      <c r="AP2146" s="3" t="s">
        <v>58</v>
      </c>
      <c r="AQ2146" s="3" t="s">
        <v>58</v>
      </c>
      <c r="AS2146" s="6" t="str">
        <f>HYPERLINK("https://creighton-primo.hosted.exlibrisgroup.com/primo-explore/search?tab=default_tab&amp;search_scope=EVERYTHING&amp;vid=01CRU&amp;lang=en_US&amp;offset=0&amp;query=any,contains,991002697909702656","Catalog Record")</f>
        <v>Catalog Record</v>
      </c>
      <c r="AT2146" s="6" t="str">
        <f>HYPERLINK("http://www.worldcat.org/oclc/35223155","WorldCat Record")</f>
        <v>WorldCat Record</v>
      </c>
      <c r="AU2146" s="3" t="s">
        <v>26172</v>
      </c>
      <c r="AV2146" s="3" t="s">
        <v>26173</v>
      </c>
      <c r="AW2146" s="3" t="s">
        <v>26174</v>
      </c>
      <c r="AX2146" s="3" t="s">
        <v>26174</v>
      </c>
      <c r="AY2146" s="3" t="s">
        <v>26175</v>
      </c>
      <c r="AZ2146" s="3" t="s">
        <v>73</v>
      </c>
      <c r="BB2146" s="3" t="s">
        <v>26176</v>
      </c>
      <c r="BC2146" s="3" t="s">
        <v>26177</v>
      </c>
      <c r="BD2146" s="3" t="s">
        <v>26178</v>
      </c>
    </row>
    <row r="2147" spans="1:56" ht="51" customHeight="1" x14ac:dyDescent="0.25">
      <c r="A2147" s="7" t="s">
        <v>58</v>
      </c>
      <c r="B2147" s="2" t="s">
        <v>26179</v>
      </c>
      <c r="C2147" s="2" t="s">
        <v>26180</v>
      </c>
      <c r="D2147" s="2" t="s">
        <v>26181</v>
      </c>
      <c r="F2147" s="3" t="s">
        <v>58</v>
      </c>
      <c r="G2147" s="3" t="s">
        <v>59</v>
      </c>
      <c r="H2147" s="3" t="s">
        <v>58</v>
      </c>
      <c r="I2147" s="3" t="s">
        <v>58</v>
      </c>
      <c r="J2147" s="3" t="s">
        <v>60</v>
      </c>
      <c r="K2147" s="2" t="s">
        <v>26182</v>
      </c>
      <c r="L2147" s="2" t="s">
        <v>26183</v>
      </c>
      <c r="M2147" s="3" t="s">
        <v>1499</v>
      </c>
      <c r="O2147" s="3" t="s">
        <v>63</v>
      </c>
      <c r="P2147" s="3" t="s">
        <v>23392</v>
      </c>
      <c r="R2147" s="3" t="s">
        <v>65</v>
      </c>
      <c r="S2147" s="4">
        <v>1</v>
      </c>
      <c r="T2147" s="4">
        <v>1</v>
      </c>
      <c r="U2147" s="5" t="s">
        <v>26184</v>
      </c>
      <c r="V2147" s="5" t="s">
        <v>26184</v>
      </c>
      <c r="W2147" s="5" t="s">
        <v>24572</v>
      </c>
      <c r="X2147" s="5" t="s">
        <v>24572</v>
      </c>
      <c r="Y2147" s="4">
        <v>232</v>
      </c>
      <c r="Z2147" s="4">
        <v>194</v>
      </c>
      <c r="AA2147" s="4">
        <v>196</v>
      </c>
      <c r="AB2147" s="4">
        <v>2</v>
      </c>
      <c r="AC2147" s="4">
        <v>2</v>
      </c>
      <c r="AD2147" s="4">
        <v>8</v>
      </c>
      <c r="AE2147" s="4">
        <v>8</v>
      </c>
      <c r="AF2147" s="4">
        <v>4</v>
      </c>
      <c r="AG2147" s="4">
        <v>4</v>
      </c>
      <c r="AH2147" s="4">
        <v>2</v>
      </c>
      <c r="AI2147" s="4">
        <v>2</v>
      </c>
      <c r="AJ2147" s="4">
        <v>3</v>
      </c>
      <c r="AK2147" s="4">
        <v>3</v>
      </c>
      <c r="AL2147" s="4">
        <v>1</v>
      </c>
      <c r="AM2147" s="4">
        <v>1</v>
      </c>
      <c r="AN2147" s="4">
        <v>0</v>
      </c>
      <c r="AO2147" s="4">
        <v>0</v>
      </c>
      <c r="AP2147" s="3" t="s">
        <v>58</v>
      </c>
      <c r="AQ2147" s="3" t="s">
        <v>68</v>
      </c>
      <c r="AR2147" s="6" t="str">
        <f>HYPERLINK("http://catalog.hathitrust.org/Record/003293458","HathiTrust Record")</f>
        <v>HathiTrust Record</v>
      </c>
      <c r="AS2147" s="6" t="str">
        <f>HYPERLINK("https://creighton-primo.hosted.exlibrisgroup.com/primo-explore/search?tab=default_tab&amp;search_scope=EVERYTHING&amp;vid=01CRU&amp;lang=en_US&amp;offset=0&amp;query=any,contains,991000006379702656","Catalog Record")</f>
        <v>Catalog Record</v>
      </c>
      <c r="AT2147" s="6" t="str">
        <f>HYPERLINK("http://www.worldcat.org/oclc/13559","WorldCat Record")</f>
        <v>WorldCat Record</v>
      </c>
      <c r="AU2147" s="3" t="s">
        <v>26185</v>
      </c>
      <c r="AV2147" s="3" t="s">
        <v>26186</v>
      </c>
      <c r="AW2147" s="3" t="s">
        <v>26187</v>
      </c>
      <c r="AX2147" s="3" t="s">
        <v>26187</v>
      </c>
      <c r="AY2147" s="3" t="s">
        <v>26188</v>
      </c>
      <c r="AZ2147" s="3" t="s">
        <v>73</v>
      </c>
      <c r="BC2147" s="3" t="s">
        <v>26189</v>
      </c>
      <c r="BD2147" s="3" t="s">
        <v>26190</v>
      </c>
    </row>
    <row r="2148" spans="1:56" ht="51" customHeight="1" x14ac:dyDescent="0.25">
      <c r="A2148" s="7" t="s">
        <v>58</v>
      </c>
      <c r="B2148" s="2" t="s">
        <v>26191</v>
      </c>
      <c r="C2148" s="2" t="s">
        <v>26192</v>
      </c>
      <c r="D2148" s="2" t="s">
        <v>26193</v>
      </c>
      <c r="F2148" s="3" t="s">
        <v>58</v>
      </c>
      <c r="G2148" s="3" t="s">
        <v>59</v>
      </c>
      <c r="H2148" s="3" t="s">
        <v>58</v>
      </c>
      <c r="I2148" s="3" t="s">
        <v>58</v>
      </c>
      <c r="J2148" s="3" t="s">
        <v>60</v>
      </c>
      <c r="K2148" s="2" t="s">
        <v>26194</v>
      </c>
      <c r="L2148" s="2" t="s">
        <v>26195</v>
      </c>
      <c r="M2148" s="3" t="s">
        <v>101</v>
      </c>
      <c r="O2148" s="3" t="s">
        <v>63</v>
      </c>
      <c r="P2148" s="3" t="s">
        <v>214</v>
      </c>
      <c r="R2148" s="3" t="s">
        <v>65</v>
      </c>
      <c r="S2148" s="4">
        <v>1</v>
      </c>
      <c r="T2148" s="4">
        <v>1</v>
      </c>
      <c r="U2148" s="5" t="s">
        <v>26184</v>
      </c>
      <c r="V2148" s="5" t="s">
        <v>26184</v>
      </c>
      <c r="W2148" s="5" t="s">
        <v>20145</v>
      </c>
      <c r="X2148" s="5" t="s">
        <v>20145</v>
      </c>
      <c r="Y2148" s="4">
        <v>1267</v>
      </c>
      <c r="Z2148" s="4">
        <v>1150</v>
      </c>
      <c r="AA2148" s="4">
        <v>1196</v>
      </c>
      <c r="AB2148" s="4">
        <v>9</v>
      </c>
      <c r="AC2148" s="4">
        <v>10</v>
      </c>
      <c r="AD2148" s="4">
        <v>29</v>
      </c>
      <c r="AE2148" s="4">
        <v>33</v>
      </c>
      <c r="AF2148" s="4">
        <v>10</v>
      </c>
      <c r="AG2148" s="4">
        <v>12</v>
      </c>
      <c r="AH2148" s="4">
        <v>5</v>
      </c>
      <c r="AI2148" s="4">
        <v>6</v>
      </c>
      <c r="AJ2148" s="4">
        <v>13</v>
      </c>
      <c r="AK2148" s="4">
        <v>13</v>
      </c>
      <c r="AL2148" s="4">
        <v>7</v>
      </c>
      <c r="AM2148" s="4">
        <v>8</v>
      </c>
      <c r="AN2148" s="4">
        <v>0</v>
      </c>
      <c r="AO2148" s="4">
        <v>0</v>
      </c>
      <c r="AP2148" s="3" t="s">
        <v>58</v>
      </c>
      <c r="AQ2148" s="3" t="s">
        <v>68</v>
      </c>
      <c r="AR2148" s="6" t="str">
        <f>HYPERLINK("http://catalog.hathitrust.org/Record/000282126","HathiTrust Record")</f>
        <v>HathiTrust Record</v>
      </c>
      <c r="AS2148" s="6" t="str">
        <f>HYPERLINK("https://creighton-primo.hosted.exlibrisgroup.com/primo-explore/search?tab=default_tab&amp;search_scope=EVERYTHING&amp;vid=01CRU&amp;lang=en_US&amp;offset=0&amp;query=any,contains,991000251189702656","Catalog Record")</f>
        <v>Catalog Record</v>
      </c>
      <c r="AT2148" s="6" t="str">
        <f>HYPERLINK("http://www.worldcat.org/oclc/9757798","WorldCat Record")</f>
        <v>WorldCat Record</v>
      </c>
      <c r="AU2148" s="3" t="s">
        <v>26196</v>
      </c>
      <c r="AV2148" s="3" t="s">
        <v>26197</v>
      </c>
      <c r="AW2148" s="3" t="s">
        <v>26198</v>
      </c>
      <c r="AX2148" s="3" t="s">
        <v>26198</v>
      </c>
      <c r="AY2148" s="3" t="s">
        <v>26199</v>
      </c>
      <c r="AZ2148" s="3" t="s">
        <v>73</v>
      </c>
      <c r="BB2148" s="3" t="s">
        <v>26200</v>
      </c>
      <c r="BC2148" s="3" t="s">
        <v>26201</v>
      </c>
      <c r="BD2148" s="3" t="s">
        <v>26202</v>
      </c>
    </row>
    <row r="2149" spans="1:56" ht="51" customHeight="1" x14ac:dyDescent="0.25">
      <c r="A2149" s="7" t="s">
        <v>58</v>
      </c>
      <c r="B2149" s="2" t="s">
        <v>26203</v>
      </c>
      <c r="C2149" s="2" t="s">
        <v>26204</v>
      </c>
      <c r="D2149" s="2" t="s">
        <v>26205</v>
      </c>
      <c r="F2149" s="3" t="s">
        <v>58</v>
      </c>
      <c r="G2149" s="3" t="s">
        <v>59</v>
      </c>
      <c r="H2149" s="3" t="s">
        <v>58</v>
      </c>
      <c r="I2149" s="3" t="s">
        <v>58</v>
      </c>
      <c r="J2149" s="3" t="s">
        <v>60</v>
      </c>
      <c r="K2149" s="2" t="s">
        <v>26206</v>
      </c>
      <c r="L2149" s="2" t="s">
        <v>26207</v>
      </c>
      <c r="M2149" s="3" t="s">
        <v>183</v>
      </c>
      <c r="N2149" s="2" t="s">
        <v>338</v>
      </c>
      <c r="O2149" s="3" t="s">
        <v>63</v>
      </c>
      <c r="P2149" s="3" t="s">
        <v>816</v>
      </c>
      <c r="R2149" s="3" t="s">
        <v>65</v>
      </c>
      <c r="S2149" s="4">
        <v>2</v>
      </c>
      <c r="T2149" s="4">
        <v>2</v>
      </c>
      <c r="U2149" s="5" t="s">
        <v>26184</v>
      </c>
      <c r="V2149" s="5" t="s">
        <v>26184</v>
      </c>
      <c r="W2149" s="5" t="s">
        <v>25029</v>
      </c>
      <c r="X2149" s="5" t="s">
        <v>25029</v>
      </c>
      <c r="Y2149" s="4">
        <v>1439</v>
      </c>
      <c r="Z2149" s="4">
        <v>1293</v>
      </c>
      <c r="AA2149" s="4">
        <v>1302</v>
      </c>
      <c r="AB2149" s="4">
        <v>11</v>
      </c>
      <c r="AC2149" s="4">
        <v>11</v>
      </c>
      <c r="AD2149" s="4">
        <v>37</v>
      </c>
      <c r="AE2149" s="4">
        <v>38</v>
      </c>
      <c r="AF2149" s="4">
        <v>16</v>
      </c>
      <c r="AG2149" s="4">
        <v>17</v>
      </c>
      <c r="AH2149" s="4">
        <v>7</v>
      </c>
      <c r="AI2149" s="4">
        <v>8</v>
      </c>
      <c r="AJ2149" s="4">
        <v>15</v>
      </c>
      <c r="AK2149" s="4">
        <v>15</v>
      </c>
      <c r="AL2149" s="4">
        <v>7</v>
      </c>
      <c r="AM2149" s="4">
        <v>7</v>
      </c>
      <c r="AN2149" s="4">
        <v>0</v>
      </c>
      <c r="AO2149" s="4">
        <v>0</v>
      </c>
      <c r="AP2149" s="3" t="s">
        <v>58</v>
      </c>
      <c r="AQ2149" s="3" t="s">
        <v>58</v>
      </c>
      <c r="AS2149" s="6" t="str">
        <f>HYPERLINK("https://creighton-primo.hosted.exlibrisgroup.com/primo-explore/search?tab=default_tab&amp;search_scope=EVERYTHING&amp;vid=01CRU&amp;lang=en_US&amp;offset=0&amp;query=any,contains,991004246299702656","Catalog Record")</f>
        <v>Catalog Record</v>
      </c>
      <c r="AT2149" s="6" t="str">
        <f>HYPERLINK("http://www.worldcat.org/oclc/2798518","WorldCat Record")</f>
        <v>WorldCat Record</v>
      </c>
      <c r="AU2149" s="3" t="s">
        <v>26208</v>
      </c>
      <c r="AV2149" s="3" t="s">
        <v>26209</v>
      </c>
      <c r="AW2149" s="3" t="s">
        <v>26210</v>
      </c>
      <c r="AX2149" s="3" t="s">
        <v>26210</v>
      </c>
      <c r="AY2149" s="3" t="s">
        <v>26211</v>
      </c>
      <c r="AZ2149" s="3" t="s">
        <v>73</v>
      </c>
      <c r="BB2149" s="3" t="s">
        <v>26212</v>
      </c>
      <c r="BC2149" s="3" t="s">
        <v>26213</v>
      </c>
      <c r="BD2149" s="3" t="s">
        <v>26214</v>
      </c>
    </row>
    <row r="2150" spans="1:56" ht="51" customHeight="1" x14ac:dyDescent="0.25">
      <c r="A2150" s="7" t="s">
        <v>58</v>
      </c>
      <c r="B2150" s="2" t="s">
        <v>26215</v>
      </c>
      <c r="C2150" s="2" t="s">
        <v>26216</v>
      </c>
      <c r="D2150" s="2" t="s">
        <v>26217</v>
      </c>
      <c r="F2150" s="3" t="s">
        <v>58</v>
      </c>
      <c r="G2150" s="3" t="s">
        <v>59</v>
      </c>
      <c r="H2150" s="3" t="s">
        <v>58</v>
      </c>
      <c r="I2150" s="3" t="s">
        <v>58</v>
      </c>
      <c r="J2150" s="3" t="s">
        <v>60</v>
      </c>
      <c r="K2150" s="2" t="s">
        <v>26218</v>
      </c>
      <c r="L2150" s="2" t="s">
        <v>26219</v>
      </c>
      <c r="M2150" s="3" t="s">
        <v>1385</v>
      </c>
      <c r="O2150" s="3" t="s">
        <v>63</v>
      </c>
      <c r="P2150" s="3" t="s">
        <v>16606</v>
      </c>
      <c r="R2150" s="3" t="s">
        <v>65</v>
      </c>
      <c r="S2150" s="4">
        <v>1</v>
      </c>
      <c r="T2150" s="4">
        <v>1</v>
      </c>
      <c r="U2150" s="5" t="s">
        <v>26220</v>
      </c>
      <c r="V2150" s="5" t="s">
        <v>26220</v>
      </c>
      <c r="W2150" s="5" t="s">
        <v>24572</v>
      </c>
      <c r="X2150" s="5" t="s">
        <v>24572</v>
      </c>
      <c r="Y2150" s="4">
        <v>169</v>
      </c>
      <c r="Z2150" s="4">
        <v>152</v>
      </c>
      <c r="AA2150" s="4">
        <v>152</v>
      </c>
      <c r="AB2150" s="4">
        <v>2</v>
      </c>
      <c r="AC2150" s="4">
        <v>2</v>
      </c>
      <c r="AD2150" s="4">
        <v>11</v>
      </c>
      <c r="AE2150" s="4">
        <v>11</v>
      </c>
      <c r="AF2150" s="4">
        <v>2</v>
      </c>
      <c r="AG2150" s="4">
        <v>2</v>
      </c>
      <c r="AH2150" s="4">
        <v>4</v>
      </c>
      <c r="AI2150" s="4">
        <v>4</v>
      </c>
      <c r="AJ2150" s="4">
        <v>8</v>
      </c>
      <c r="AK2150" s="4">
        <v>8</v>
      </c>
      <c r="AL2150" s="4">
        <v>1</v>
      </c>
      <c r="AM2150" s="4">
        <v>1</v>
      </c>
      <c r="AN2150" s="4">
        <v>0</v>
      </c>
      <c r="AO2150" s="4">
        <v>0</v>
      </c>
      <c r="AP2150" s="3" t="s">
        <v>58</v>
      </c>
      <c r="AQ2150" s="3" t="s">
        <v>58</v>
      </c>
      <c r="AS2150" s="6" t="str">
        <f>HYPERLINK("https://creighton-primo.hosted.exlibrisgroup.com/primo-explore/search?tab=default_tab&amp;search_scope=EVERYTHING&amp;vid=01CRU&amp;lang=en_US&amp;offset=0&amp;query=any,contains,991004305389702656","Catalog Record")</f>
        <v>Catalog Record</v>
      </c>
      <c r="AT2150" s="6" t="str">
        <f>HYPERLINK("http://www.worldcat.org/oclc/2983150","WorldCat Record")</f>
        <v>WorldCat Record</v>
      </c>
      <c r="AU2150" s="3" t="s">
        <v>26221</v>
      </c>
      <c r="AV2150" s="3" t="s">
        <v>26222</v>
      </c>
      <c r="AW2150" s="3" t="s">
        <v>26223</v>
      </c>
      <c r="AX2150" s="3" t="s">
        <v>26223</v>
      </c>
      <c r="AY2150" s="3" t="s">
        <v>26224</v>
      </c>
      <c r="AZ2150" s="3" t="s">
        <v>73</v>
      </c>
      <c r="BC2150" s="3" t="s">
        <v>26225</v>
      </c>
      <c r="BD2150" s="3" t="s">
        <v>26226</v>
      </c>
    </row>
    <row r="2151" spans="1:56" ht="51" customHeight="1" x14ac:dyDescent="0.25">
      <c r="A2151" s="7" t="s">
        <v>58</v>
      </c>
      <c r="B2151" s="2" t="s">
        <v>26227</v>
      </c>
      <c r="C2151" s="2" t="s">
        <v>26228</v>
      </c>
      <c r="D2151" s="2" t="s">
        <v>26229</v>
      </c>
      <c r="F2151" s="3" t="s">
        <v>58</v>
      </c>
      <c r="G2151" s="3" t="s">
        <v>59</v>
      </c>
      <c r="H2151" s="3" t="s">
        <v>58</v>
      </c>
      <c r="I2151" s="3" t="s">
        <v>58</v>
      </c>
      <c r="J2151" s="3" t="s">
        <v>60</v>
      </c>
      <c r="K2151" s="2" t="s">
        <v>26230</v>
      </c>
      <c r="L2151" s="2" t="s">
        <v>26231</v>
      </c>
      <c r="M2151" s="3" t="s">
        <v>368</v>
      </c>
      <c r="O2151" s="3" t="s">
        <v>63</v>
      </c>
      <c r="P2151" s="3" t="s">
        <v>214</v>
      </c>
      <c r="R2151" s="3" t="s">
        <v>65</v>
      </c>
      <c r="S2151" s="4">
        <v>2</v>
      </c>
      <c r="T2151" s="4">
        <v>2</v>
      </c>
      <c r="U2151" s="5" t="s">
        <v>23269</v>
      </c>
      <c r="V2151" s="5" t="s">
        <v>23269</v>
      </c>
      <c r="W2151" s="5" t="s">
        <v>24572</v>
      </c>
      <c r="X2151" s="5" t="s">
        <v>24572</v>
      </c>
      <c r="Y2151" s="4">
        <v>1093</v>
      </c>
      <c r="Z2151" s="4">
        <v>1002</v>
      </c>
      <c r="AA2151" s="4">
        <v>1010</v>
      </c>
      <c r="AB2151" s="4">
        <v>9</v>
      </c>
      <c r="AC2151" s="4">
        <v>9</v>
      </c>
      <c r="AD2151" s="4">
        <v>32</v>
      </c>
      <c r="AE2151" s="4">
        <v>32</v>
      </c>
      <c r="AF2151" s="4">
        <v>11</v>
      </c>
      <c r="AG2151" s="4">
        <v>11</v>
      </c>
      <c r="AH2151" s="4">
        <v>7</v>
      </c>
      <c r="AI2151" s="4">
        <v>7</v>
      </c>
      <c r="AJ2151" s="4">
        <v>15</v>
      </c>
      <c r="AK2151" s="4">
        <v>15</v>
      </c>
      <c r="AL2151" s="4">
        <v>6</v>
      </c>
      <c r="AM2151" s="4">
        <v>6</v>
      </c>
      <c r="AN2151" s="4">
        <v>1</v>
      </c>
      <c r="AO2151" s="4">
        <v>1</v>
      </c>
      <c r="AP2151" s="3" t="s">
        <v>58</v>
      </c>
      <c r="AQ2151" s="3" t="s">
        <v>68</v>
      </c>
      <c r="AR2151" s="6" t="str">
        <f>HYPERLINK("http://catalog.hathitrust.org/Record/000715715","HathiTrust Record")</f>
        <v>HathiTrust Record</v>
      </c>
      <c r="AS2151" s="6" t="str">
        <f>HYPERLINK("https://creighton-primo.hosted.exlibrisgroup.com/primo-explore/search?tab=default_tab&amp;search_scope=EVERYTHING&amp;vid=01CRU&amp;lang=en_US&amp;offset=0&amp;query=any,contains,991004021459702656","Catalog Record")</f>
        <v>Catalog Record</v>
      </c>
      <c r="AT2151" s="6" t="str">
        <f>HYPERLINK("http://www.worldcat.org/oclc/2121645","WorldCat Record")</f>
        <v>WorldCat Record</v>
      </c>
      <c r="AU2151" s="3" t="s">
        <v>26232</v>
      </c>
      <c r="AV2151" s="3" t="s">
        <v>26233</v>
      </c>
      <c r="AW2151" s="3" t="s">
        <v>26234</v>
      </c>
      <c r="AX2151" s="3" t="s">
        <v>26234</v>
      </c>
      <c r="AY2151" s="3" t="s">
        <v>26235</v>
      </c>
      <c r="AZ2151" s="3" t="s">
        <v>73</v>
      </c>
      <c r="BB2151" s="3" t="s">
        <v>26236</v>
      </c>
      <c r="BC2151" s="3" t="s">
        <v>26237</v>
      </c>
      <c r="BD2151" s="3" t="s">
        <v>26238</v>
      </c>
    </row>
    <row r="2152" spans="1:56" ht="51" customHeight="1" x14ac:dyDescent="0.25">
      <c r="A2152" s="7" t="s">
        <v>58</v>
      </c>
      <c r="B2152" s="2" t="s">
        <v>26239</v>
      </c>
      <c r="C2152" s="2" t="s">
        <v>26240</v>
      </c>
      <c r="D2152" s="2" t="s">
        <v>26241</v>
      </c>
      <c r="F2152" s="3" t="s">
        <v>58</v>
      </c>
      <c r="G2152" s="3" t="s">
        <v>59</v>
      </c>
      <c r="H2152" s="3" t="s">
        <v>58</v>
      </c>
      <c r="I2152" s="3" t="s">
        <v>58</v>
      </c>
      <c r="J2152" s="3" t="s">
        <v>60</v>
      </c>
      <c r="K2152" s="2" t="s">
        <v>26242</v>
      </c>
      <c r="L2152" s="2" t="s">
        <v>26243</v>
      </c>
      <c r="M2152" s="3" t="s">
        <v>842</v>
      </c>
      <c r="O2152" s="3" t="s">
        <v>63</v>
      </c>
      <c r="P2152" s="3" t="s">
        <v>214</v>
      </c>
      <c r="R2152" s="3" t="s">
        <v>65</v>
      </c>
      <c r="S2152" s="4">
        <v>2</v>
      </c>
      <c r="T2152" s="4">
        <v>2</v>
      </c>
      <c r="U2152" s="5" t="s">
        <v>26220</v>
      </c>
      <c r="V2152" s="5" t="s">
        <v>26220</v>
      </c>
      <c r="W2152" s="5" t="s">
        <v>25029</v>
      </c>
      <c r="X2152" s="5" t="s">
        <v>25029</v>
      </c>
      <c r="Y2152" s="4">
        <v>483</v>
      </c>
      <c r="Z2152" s="4">
        <v>372</v>
      </c>
      <c r="AA2152" s="4">
        <v>384</v>
      </c>
      <c r="AB2152" s="4">
        <v>2</v>
      </c>
      <c r="AC2152" s="4">
        <v>2</v>
      </c>
      <c r="AD2152" s="4">
        <v>22</v>
      </c>
      <c r="AE2152" s="4">
        <v>23</v>
      </c>
      <c r="AF2152" s="4">
        <v>9</v>
      </c>
      <c r="AG2152" s="4">
        <v>10</v>
      </c>
      <c r="AH2152" s="4">
        <v>6</v>
      </c>
      <c r="AI2152" s="4">
        <v>6</v>
      </c>
      <c r="AJ2152" s="4">
        <v>12</v>
      </c>
      <c r="AK2152" s="4">
        <v>13</v>
      </c>
      <c r="AL2152" s="4">
        <v>1</v>
      </c>
      <c r="AM2152" s="4">
        <v>1</v>
      </c>
      <c r="AN2152" s="4">
        <v>0</v>
      </c>
      <c r="AO2152" s="4">
        <v>0</v>
      </c>
      <c r="AP2152" s="3" t="s">
        <v>58</v>
      </c>
      <c r="AQ2152" s="3" t="s">
        <v>68</v>
      </c>
      <c r="AR2152" s="6" t="str">
        <f>HYPERLINK("http://catalog.hathitrust.org/Record/000763380","HathiTrust Record")</f>
        <v>HathiTrust Record</v>
      </c>
      <c r="AS2152" s="6" t="str">
        <f>HYPERLINK("https://creighton-primo.hosted.exlibrisgroup.com/primo-explore/search?tab=default_tab&amp;search_scope=EVERYTHING&amp;vid=01CRU&amp;lang=en_US&amp;offset=0&amp;query=any,contains,991005230909702656","Catalog Record")</f>
        <v>Catalog Record</v>
      </c>
      <c r="AT2152" s="6" t="str">
        <f>HYPERLINK("http://www.worldcat.org/oclc/9687101","WorldCat Record")</f>
        <v>WorldCat Record</v>
      </c>
      <c r="AU2152" s="3" t="s">
        <v>26244</v>
      </c>
      <c r="AV2152" s="3" t="s">
        <v>26245</v>
      </c>
      <c r="AW2152" s="3" t="s">
        <v>26246</v>
      </c>
      <c r="AX2152" s="3" t="s">
        <v>26246</v>
      </c>
      <c r="AY2152" s="3" t="s">
        <v>26247</v>
      </c>
      <c r="AZ2152" s="3" t="s">
        <v>73</v>
      </c>
      <c r="BC2152" s="3" t="s">
        <v>26248</v>
      </c>
      <c r="BD2152" s="3" t="s">
        <v>26249</v>
      </c>
    </row>
    <row r="2153" spans="1:56" ht="51" customHeight="1" x14ac:dyDescent="0.25">
      <c r="A2153" s="7" t="s">
        <v>58</v>
      </c>
      <c r="B2153" s="2" t="s">
        <v>26250</v>
      </c>
      <c r="C2153" s="2" t="s">
        <v>26251</v>
      </c>
      <c r="D2153" s="2" t="s">
        <v>26252</v>
      </c>
      <c r="E2153" s="3" t="s">
        <v>223</v>
      </c>
      <c r="F2153" s="3" t="s">
        <v>58</v>
      </c>
      <c r="G2153" s="3" t="s">
        <v>59</v>
      </c>
      <c r="H2153" s="3" t="s">
        <v>58</v>
      </c>
      <c r="I2153" s="3" t="s">
        <v>58</v>
      </c>
      <c r="J2153" s="3" t="s">
        <v>60</v>
      </c>
      <c r="K2153" s="2" t="s">
        <v>26253</v>
      </c>
      <c r="L2153" s="2" t="s">
        <v>26254</v>
      </c>
      <c r="M2153" s="3" t="s">
        <v>842</v>
      </c>
      <c r="N2153" s="2" t="s">
        <v>338</v>
      </c>
      <c r="O2153" s="3" t="s">
        <v>63</v>
      </c>
      <c r="P2153" s="3" t="s">
        <v>23024</v>
      </c>
      <c r="R2153" s="3" t="s">
        <v>65</v>
      </c>
      <c r="S2153" s="4">
        <v>4</v>
      </c>
      <c r="T2153" s="4">
        <v>4</v>
      </c>
      <c r="U2153" s="5" t="s">
        <v>24834</v>
      </c>
      <c r="V2153" s="5" t="s">
        <v>24834</v>
      </c>
      <c r="W2153" s="5" t="s">
        <v>25029</v>
      </c>
      <c r="X2153" s="5" t="s">
        <v>25029</v>
      </c>
      <c r="Y2153" s="4">
        <v>304</v>
      </c>
      <c r="Z2153" s="4">
        <v>235</v>
      </c>
      <c r="AA2153" s="4">
        <v>237</v>
      </c>
      <c r="AB2153" s="4">
        <v>2</v>
      </c>
      <c r="AC2153" s="4">
        <v>2</v>
      </c>
      <c r="AD2153" s="4">
        <v>10</v>
      </c>
      <c r="AE2153" s="4">
        <v>10</v>
      </c>
      <c r="AF2153" s="4">
        <v>2</v>
      </c>
      <c r="AG2153" s="4">
        <v>2</v>
      </c>
      <c r="AH2153" s="4">
        <v>5</v>
      </c>
      <c r="AI2153" s="4">
        <v>5</v>
      </c>
      <c r="AJ2153" s="4">
        <v>5</v>
      </c>
      <c r="AK2153" s="4">
        <v>5</v>
      </c>
      <c r="AL2153" s="4">
        <v>1</v>
      </c>
      <c r="AM2153" s="4">
        <v>1</v>
      </c>
      <c r="AN2153" s="4">
        <v>0</v>
      </c>
      <c r="AO2153" s="4">
        <v>0</v>
      </c>
      <c r="AP2153" s="3" t="s">
        <v>58</v>
      </c>
      <c r="AQ2153" s="3" t="s">
        <v>68</v>
      </c>
      <c r="AR2153" s="6" t="str">
        <f>HYPERLINK("http://catalog.hathitrust.org/Record/000191583","HathiTrust Record")</f>
        <v>HathiTrust Record</v>
      </c>
      <c r="AS2153" s="6" t="str">
        <f>HYPERLINK("https://creighton-primo.hosted.exlibrisgroup.com/primo-explore/search?tab=default_tab&amp;search_scope=EVERYTHING&amp;vid=01CRU&amp;lang=en_US&amp;offset=0&amp;query=any,contains,991005227699702656","Catalog Record")</f>
        <v>Catalog Record</v>
      </c>
      <c r="AT2153" s="6" t="str">
        <f>HYPERLINK("http://www.worldcat.org/oclc/8284054","WorldCat Record")</f>
        <v>WorldCat Record</v>
      </c>
      <c r="AU2153" s="3" t="s">
        <v>26255</v>
      </c>
      <c r="AV2153" s="3" t="s">
        <v>26256</v>
      </c>
      <c r="AW2153" s="3" t="s">
        <v>26257</v>
      </c>
      <c r="AX2153" s="3" t="s">
        <v>26257</v>
      </c>
      <c r="AY2153" s="3" t="s">
        <v>26258</v>
      </c>
      <c r="AZ2153" s="3" t="s">
        <v>73</v>
      </c>
      <c r="BC2153" s="3" t="s">
        <v>26259</v>
      </c>
      <c r="BD2153" s="3" t="s">
        <v>26260</v>
      </c>
    </row>
    <row r="2154" spans="1:56" ht="51" customHeight="1" x14ac:dyDescent="0.25">
      <c r="A2154" s="7" t="s">
        <v>58</v>
      </c>
      <c r="B2154" s="2" t="s">
        <v>26261</v>
      </c>
      <c r="C2154" s="2" t="s">
        <v>26262</v>
      </c>
      <c r="D2154" s="2" t="s">
        <v>26263</v>
      </c>
      <c r="F2154" s="3" t="s">
        <v>58</v>
      </c>
      <c r="G2154" s="3" t="s">
        <v>59</v>
      </c>
      <c r="H2154" s="3" t="s">
        <v>58</v>
      </c>
      <c r="I2154" s="3" t="s">
        <v>58</v>
      </c>
      <c r="J2154" s="3" t="s">
        <v>60</v>
      </c>
      <c r="K2154" s="2" t="s">
        <v>26264</v>
      </c>
      <c r="L2154" s="2" t="s">
        <v>799</v>
      </c>
      <c r="M2154" s="3" t="s">
        <v>800</v>
      </c>
      <c r="O2154" s="3" t="s">
        <v>63</v>
      </c>
      <c r="P2154" s="3" t="s">
        <v>214</v>
      </c>
      <c r="Q2154" s="2" t="s">
        <v>801</v>
      </c>
      <c r="R2154" s="3" t="s">
        <v>65</v>
      </c>
      <c r="S2154" s="4">
        <v>7</v>
      </c>
      <c r="T2154" s="4">
        <v>7</v>
      </c>
      <c r="U2154" s="5" t="s">
        <v>24834</v>
      </c>
      <c r="V2154" s="5" t="s">
        <v>24834</v>
      </c>
      <c r="W2154" s="5" t="s">
        <v>26265</v>
      </c>
      <c r="X2154" s="5" t="s">
        <v>26265</v>
      </c>
      <c r="Y2154" s="4">
        <v>121</v>
      </c>
      <c r="Z2154" s="4">
        <v>110</v>
      </c>
      <c r="AA2154" s="4">
        <v>661</v>
      </c>
      <c r="AB2154" s="4">
        <v>2</v>
      </c>
      <c r="AC2154" s="4">
        <v>4</v>
      </c>
      <c r="AD2154" s="4">
        <v>8</v>
      </c>
      <c r="AE2154" s="4">
        <v>29</v>
      </c>
      <c r="AF2154" s="4">
        <v>5</v>
      </c>
      <c r="AG2154" s="4">
        <v>11</v>
      </c>
      <c r="AH2154" s="4">
        <v>3</v>
      </c>
      <c r="AI2154" s="4">
        <v>8</v>
      </c>
      <c r="AJ2154" s="4">
        <v>2</v>
      </c>
      <c r="AK2154" s="4">
        <v>15</v>
      </c>
      <c r="AL2154" s="4">
        <v>1</v>
      </c>
      <c r="AM2154" s="4">
        <v>3</v>
      </c>
      <c r="AN2154" s="4">
        <v>0</v>
      </c>
      <c r="AO2154" s="4">
        <v>0</v>
      </c>
      <c r="AP2154" s="3" t="s">
        <v>58</v>
      </c>
      <c r="AQ2154" s="3" t="s">
        <v>58</v>
      </c>
      <c r="AS2154" s="6" t="str">
        <f>HYPERLINK("https://creighton-primo.hosted.exlibrisgroup.com/primo-explore/search?tab=default_tab&amp;search_scope=EVERYTHING&amp;vid=01CRU&amp;lang=en_US&amp;offset=0&amp;query=any,contains,991002440529702656","Catalog Record")</f>
        <v>Catalog Record</v>
      </c>
      <c r="AT2154" s="6" t="str">
        <f>HYPERLINK("http://www.worldcat.org/oclc/31815173","WorldCat Record")</f>
        <v>WorldCat Record</v>
      </c>
      <c r="AU2154" s="3" t="s">
        <v>26266</v>
      </c>
      <c r="AV2154" s="3" t="s">
        <v>26267</v>
      </c>
      <c r="AW2154" s="3" t="s">
        <v>26268</v>
      </c>
      <c r="AX2154" s="3" t="s">
        <v>26268</v>
      </c>
      <c r="AY2154" s="3" t="s">
        <v>26269</v>
      </c>
      <c r="AZ2154" s="3" t="s">
        <v>73</v>
      </c>
      <c r="BB2154" s="3" t="s">
        <v>26270</v>
      </c>
      <c r="BC2154" s="3" t="s">
        <v>26271</v>
      </c>
      <c r="BD2154" s="3" t="s">
        <v>26272</v>
      </c>
    </row>
    <row r="2155" spans="1:56" ht="51" customHeight="1" x14ac:dyDescent="0.25">
      <c r="A2155" s="7" t="s">
        <v>58</v>
      </c>
      <c r="B2155" s="2" t="s">
        <v>26273</v>
      </c>
      <c r="C2155" s="2" t="s">
        <v>26274</v>
      </c>
      <c r="D2155" s="2" t="s">
        <v>26275</v>
      </c>
      <c r="F2155" s="3" t="s">
        <v>58</v>
      </c>
      <c r="G2155" s="3" t="s">
        <v>59</v>
      </c>
      <c r="H2155" s="3" t="s">
        <v>58</v>
      </c>
      <c r="I2155" s="3" t="s">
        <v>58</v>
      </c>
      <c r="J2155" s="3" t="s">
        <v>60</v>
      </c>
      <c r="K2155" s="2" t="s">
        <v>26276</v>
      </c>
      <c r="L2155" s="2" t="s">
        <v>26277</v>
      </c>
      <c r="M2155" s="3" t="s">
        <v>423</v>
      </c>
      <c r="N2155" s="2" t="s">
        <v>2091</v>
      </c>
      <c r="O2155" s="3" t="s">
        <v>63</v>
      </c>
      <c r="P2155" s="3" t="s">
        <v>214</v>
      </c>
      <c r="R2155" s="3" t="s">
        <v>65</v>
      </c>
      <c r="S2155" s="4">
        <v>2</v>
      </c>
      <c r="T2155" s="4">
        <v>2</v>
      </c>
      <c r="U2155" s="5" t="s">
        <v>1747</v>
      </c>
      <c r="V2155" s="5" t="s">
        <v>1747</v>
      </c>
      <c r="W2155" s="5" t="s">
        <v>26278</v>
      </c>
      <c r="X2155" s="5" t="s">
        <v>26278</v>
      </c>
      <c r="Y2155" s="4">
        <v>289</v>
      </c>
      <c r="Z2155" s="4">
        <v>222</v>
      </c>
      <c r="AA2155" s="4">
        <v>252</v>
      </c>
      <c r="AB2155" s="4">
        <v>2</v>
      </c>
      <c r="AC2155" s="4">
        <v>2</v>
      </c>
      <c r="AD2155" s="4">
        <v>13</v>
      </c>
      <c r="AE2155" s="4">
        <v>14</v>
      </c>
      <c r="AF2155" s="4">
        <v>4</v>
      </c>
      <c r="AG2155" s="4">
        <v>5</v>
      </c>
      <c r="AH2155" s="4">
        <v>4</v>
      </c>
      <c r="AI2155" s="4">
        <v>4</v>
      </c>
      <c r="AJ2155" s="4">
        <v>8</v>
      </c>
      <c r="AK2155" s="4">
        <v>9</v>
      </c>
      <c r="AL2155" s="4">
        <v>1</v>
      </c>
      <c r="AM2155" s="4">
        <v>1</v>
      </c>
      <c r="AN2155" s="4">
        <v>0</v>
      </c>
      <c r="AO2155" s="4">
        <v>0</v>
      </c>
      <c r="AP2155" s="3" t="s">
        <v>58</v>
      </c>
      <c r="AQ2155" s="3" t="s">
        <v>58</v>
      </c>
      <c r="AS2155" s="6" t="str">
        <f>HYPERLINK("https://creighton-primo.hosted.exlibrisgroup.com/primo-explore/search?tab=default_tab&amp;search_scope=EVERYTHING&amp;vid=01CRU&amp;lang=en_US&amp;offset=0&amp;query=any,contains,991002857909702656","Catalog Record")</f>
        <v>Catalog Record</v>
      </c>
      <c r="AT2155" s="6" t="str">
        <f>HYPERLINK("http://www.worldcat.org/oclc/37663511","WorldCat Record")</f>
        <v>WorldCat Record</v>
      </c>
      <c r="AU2155" s="3" t="s">
        <v>26279</v>
      </c>
      <c r="AV2155" s="3" t="s">
        <v>26280</v>
      </c>
      <c r="AW2155" s="3" t="s">
        <v>26281</v>
      </c>
      <c r="AX2155" s="3" t="s">
        <v>26281</v>
      </c>
      <c r="AY2155" s="3" t="s">
        <v>26282</v>
      </c>
      <c r="AZ2155" s="3" t="s">
        <v>73</v>
      </c>
      <c r="BB2155" s="3" t="s">
        <v>26283</v>
      </c>
      <c r="BC2155" s="3" t="s">
        <v>26284</v>
      </c>
      <c r="BD2155" s="3" t="s">
        <v>26285</v>
      </c>
    </row>
    <row r="2156" spans="1:56" ht="51" customHeight="1" x14ac:dyDescent="0.25">
      <c r="A2156" s="7" t="s">
        <v>58</v>
      </c>
      <c r="B2156" s="2" t="s">
        <v>26286</v>
      </c>
      <c r="C2156" s="2" t="s">
        <v>26287</v>
      </c>
      <c r="D2156" s="2" t="s">
        <v>26288</v>
      </c>
      <c r="E2156" s="3" t="s">
        <v>223</v>
      </c>
      <c r="F2156" s="3" t="s">
        <v>58</v>
      </c>
      <c r="G2156" s="3" t="s">
        <v>59</v>
      </c>
      <c r="H2156" s="3" t="s">
        <v>58</v>
      </c>
      <c r="I2156" s="3" t="s">
        <v>58</v>
      </c>
      <c r="J2156" s="3" t="s">
        <v>60</v>
      </c>
      <c r="K2156" s="2" t="s">
        <v>26289</v>
      </c>
      <c r="L2156" s="2" t="s">
        <v>26290</v>
      </c>
      <c r="M2156" s="3" t="s">
        <v>1544</v>
      </c>
      <c r="O2156" s="3" t="s">
        <v>63</v>
      </c>
      <c r="P2156" s="3" t="s">
        <v>214</v>
      </c>
      <c r="R2156" s="3" t="s">
        <v>65</v>
      </c>
      <c r="S2156" s="4">
        <v>2</v>
      </c>
      <c r="T2156" s="4">
        <v>2</v>
      </c>
      <c r="U2156" s="5" t="s">
        <v>26291</v>
      </c>
      <c r="V2156" s="5" t="s">
        <v>26291</v>
      </c>
      <c r="W2156" s="5" t="s">
        <v>2633</v>
      </c>
      <c r="X2156" s="5" t="s">
        <v>2633</v>
      </c>
      <c r="Y2156" s="4">
        <v>436</v>
      </c>
      <c r="Z2156" s="4">
        <v>337</v>
      </c>
      <c r="AA2156" s="4">
        <v>358</v>
      </c>
      <c r="AB2156" s="4">
        <v>3</v>
      </c>
      <c r="AC2156" s="4">
        <v>3</v>
      </c>
      <c r="AD2156" s="4">
        <v>23</v>
      </c>
      <c r="AE2156" s="4">
        <v>23</v>
      </c>
      <c r="AF2156" s="4">
        <v>10</v>
      </c>
      <c r="AG2156" s="4">
        <v>10</v>
      </c>
      <c r="AH2156" s="4">
        <v>7</v>
      </c>
      <c r="AI2156" s="4">
        <v>7</v>
      </c>
      <c r="AJ2156" s="4">
        <v>11</v>
      </c>
      <c r="AK2156" s="4">
        <v>11</v>
      </c>
      <c r="AL2156" s="4">
        <v>2</v>
      </c>
      <c r="AM2156" s="4">
        <v>2</v>
      </c>
      <c r="AN2156" s="4">
        <v>0</v>
      </c>
      <c r="AO2156" s="4">
        <v>0</v>
      </c>
      <c r="AP2156" s="3" t="s">
        <v>58</v>
      </c>
      <c r="AQ2156" s="3" t="s">
        <v>68</v>
      </c>
      <c r="AR2156" s="6" t="str">
        <f>HYPERLINK("http://catalog.hathitrust.org/Record/002643362","HathiTrust Record")</f>
        <v>HathiTrust Record</v>
      </c>
      <c r="AS2156" s="6" t="str">
        <f>HYPERLINK("https://creighton-primo.hosted.exlibrisgroup.com/primo-explore/search?tab=default_tab&amp;search_scope=EVERYTHING&amp;vid=01CRU&amp;lang=en_US&amp;offset=0&amp;query=any,contains,991002065749702656","Catalog Record")</f>
        <v>Catalog Record</v>
      </c>
      <c r="AT2156" s="6" t="str">
        <f>HYPERLINK("http://www.worldcat.org/oclc/26403345","WorldCat Record")</f>
        <v>WorldCat Record</v>
      </c>
      <c r="AU2156" s="3" t="s">
        <v>26292</v>
      </c>
      <c r="AV2156" s="3" t="s">
        <v>26293</v>
      </c>
      <c r="AW2156" s="3" t="s">
        <v>26294</v>
      </c>
      <c r="AX2156" s="3" t="s">
        <v>26294</v>
      </c>
      <c r="AY2156" s="3" t="s">
        <v>26295</v>
      </c>
      <c r="AZ2156" s="3" t="s">
        <v>73</v>
      </c>
      <c r="BB2156" s="3" t="s">
        <v>26296</v>
      </c>
      <c r="BC2156" s="3" t="s">
        <v>26297</v>
      </c>
      <c r="BD2156" s="3" t="s">
        <v>26298</v>
      </c>
    </row>
    <row r="2157" spans="1:56" ht="51" customHeight="1" x14ac:dyDescent="0.25">
      <c r="A2157" s="7" t="s">
        <v>58</v>
      </c>
      <c r="B2157" s="2" t="s">
        <v>26299</v>
      </c>
      <c r="C2157" s="2" t="s">
        <v>26300</v>
      </c>
      <c r="D2157" s="2" t="s">
        <v>26301</v>
      </c>
      <c r="F2157" s="3" t="s">
        <v>58</v>
      </c>
      <c r="G2157" s="3" t="s">
        <v>59</v>
      </c>
      <c r="H2157" s="3" t="s">
        <v>58</v>
      </c>
      <c r="I2157" s="3" t="s">
        <v>58</v>
      </c>
      <c r="J2157" s="3" t="s">
        <v>60</v>
      </c>
      <c r="K2157" s="2" t="s">
        <v>26289</v>
      </c>
      <c r="L2157" s="2" t="s">
        <v>26302</v>
      </c>
      <c r="M2157" s="3" t="s">
        <v>1357</v>
      </c>
      <c r="O2157" s="3" t="s">
        <v>63</v>
      </c>
      <c r="P2157" s="3" t="s">
        <v>584</v>
      </c>
      <c r="R2157" s="3" t="s">
        <v>65</v>
      </c>
      <c r="S2157" s="4">
        <v>6</v>
      </c>
      <c r="T2157" s="4">
        <v>6</v>
      </c>
      <c r="U2157" s="5" t="s">
        <v>26303</v>
      </c>
      <c r="V2157" s="5" t="s">
        <v>26303</v>
      </c>
      <c r="W2157" s="5" t="s">
        <v>14491</v>
      </c>
      <c r="X2157" s="5" t="s">
        <v>14491</v>
      </c>
      <c r="Y2157" s="4">
        <v>877</v>
      </c>
      <c r="Z2157" s="4">
        <v>739</v>
      </c>
      <c r="AA2157" s="4">
        <v>746</v>
      </c>
      <c r="AB2157" s="4">
        <v>5</v>
      </c>
      <c r="AC2157" s="4">
        <v>5</v>
      </c>
      <c r="AD2157" s="4">
        <v>29</v>
      </c>
      <c r="AE2157" s="4">
        <v>29</v>
      </c>
      <c r="AF2157" s="4">
        <v>11</v>
      </c>
      <c r="AG2157" s="4">
        <v>11</v>
      </c>
      <c r="AH2157" s="4">
        <v>9</v>
      </c>
      <c r="AI2157" s="4">
        <v>9</v>
      </c>
      <c r="AJ2157" s="4">
        <v>13</v>
      </c>
      <c r="AK2157" s="4">
        <v>13</v>
      </c>
      <c r="AL2157" s="4">
        <v>4</v>
      </c>
      <c r="AM2157" s="4">
        <v>4</v>
      </c>
      <c r="AN2157" s="4">
        <v>0</v>
      </c>
      <c r="AO2157" s="4">
        <v>0</v>
      </c>
      <c r="AP2157" s="3" t="s">
        <v>58</v>
      </c>
      <c r="AQ2157" s="3" t="s">
        <v>68</v>
      </c>
      <c r="AR2157" s="6" t="str">
        <f>HYPERLINK("http://catalog.hathitrust.org/Record/001258674","HathiTrust Record")</f>
        <v>HathiTrust Record</v>
      </c>
      <c r="AS2157" s="6" t="str">
        <f>HYPERLINK("https://creighton-primo.hosted.exlibrisgroup.com/primo-explore/search?tab=default_tab&amp;search_scope=EVERYTHING&amp;vid=01CRU&amp;lang=en_US&amp;offset=0&amp;query=any,contains,991000624079702656","Catalog Record")</f>
        <v>Catalog Record</v>
      </c>
      <c r="AT2157" s="6" t="str">
        <f>HYPERLINK("http://www.worldcat.org/oclc/103384","WorldCat Record")</f>
        <v>WorldCat Record</v>
      </c>
      <c r="AU2157" s="3" t="s">
        <v>26304</v>
      </c>
      <c r="AV2157" s="3" t="s">
        <v>26305</v>
      </c>
      <c r="AW2157" s="3" t="s">
        <v>26306</v>
      </c>
      <c r="AX2157" s="3" t="s">
        <v>26306</v>
      </c>
      <c r="AY2157" s="3" t="s">
        <v>26307</v>
      </c>
      <c r="AZ2157" s="3" t="s">
        <v>73</v>
      </c>
      <c r="BB2157" s="3" t="s">
        <v>26308</v>
      </c>
      <c r="BC2157" s="3" t="s">
        <v>26309</v>
      </c>
      <c r="BD2157" s="3" t="s">
        <v>26310</v>
      </c>
    </row>
    <row r="2158" spans="1:56" ht="51" customHeight="1" x14ac:dyDescent="0.25">
      <c r="A2158" s="7" t="s">
        <v>58</v>
      </c>
      <c r="B2158" s="2" t="s">
        <v>26311</v>
      </c>
      <c r="C2158" s="2" t="s">
        <v>26312</v>
      </c>
      <c r="D2158" s="2" t="s">
        <v>26313</v>
      </c>
      <c r="F2158" s="3" t="s">
        <v>58</v>
      </c>
      <c r="G2158" s="3" t="s">
        <v>59</v>
      </c>
      <c r="H2158" s="3" t="s">
        <v>58</v>
      </c>
      <c r="I2158" s="3" t="s">
        <v>58</v>
      </c>
      <c r="J2158" s="3" t="s">
        <v>60</v>
      </c>
      <c r="K2158" s="2" t="s">
        <v>26289</v>
      </c>
      <c r="L2158" s="2" t="s">
        <v>17871</v>
      </c>
      <c r="M2158" s="3" t="s">
        <v>1357</v>
      </c>
      <c r="O2158" s="3" t="s">
        <v>63</v>
      </c>
      <c r="P2158" s="3" t="s">
        <v>214</v>
      </c>
      <c r="R2158" s="3" t="s">
        <v>65</v>
      </c>
      <c r="S2158" s="4">
        <v>1</v>
      </c>
      <c r="T2158" s="4">
        <v>1</v>
      </c>
      <c r="U2158" s="5" t="s">
        <v>26314</v>
      </c>
      <c r="V2158" s="5" t="s">
        <v>26314</v>
      </c>
      <c r="W2158" s="5" t="s">
        <v>24880</v>
      </c>
      <c r="X2158" s="5" t="s">
        <v>24880</v>
      </c>
      <c r="Y2158" s="4">
        <v>260</v>
      </c>
      <c r="Z2158" s="4">
        <v>228</v>
      </c>
      <c r="AA2158" s="4">
        <v>701</v>
      </c>
      <c r="AB2158" s="4">
        <v>2</v>
      </c>
      <c r="AC2158" s="4">
        <v>5</v>
      </c>
      <c r="AD2158" s="4">
        <v>7</v>
      </c>
      <c r="AE2158" s="4">
        <v>33</v>
      </c>
      <c r="AF2158" s="4">
        <v>4</v>
      </c>
      <c r="AG2158" s="4">
        <v>16</v>
      </c>
      <c r="AH2158" s="4">
        <v>1</v>
      </c>
      <c r="AI2158" s="4">
        <v>6</v>
      </c>
      <c r="AJ2158" s="4">
        <v>5</v>
      </c>
      <c r="AK2158" s="4">
        <v>17</v>
      </c>
      <c r="AL2158" s="4">
        <v>0</v>
      </c>
      <c r="AM2158" s="4">
        <v>3</v>
      </c>
      <c r="AN2158" s="4">
        <v>0</v>
      </c>
      <c r="AO2158" s="4">
        <v>1</v>
      </c>
      <c r="AP2158" s="3" t="s">
        <v>58</v>
      </c>
      <c r="AQ2158" s="3" t="s">
        <v>68</v>
      </c>
      <c r="AR2158" s="6" t="str">
        <f>HYPERLINK("http://catalog.hathitrust.org/Record/001258421","HathiTrust Record")</f>
        <v>HathiTrust Record</v>
      </c>
      <c r="AS2158" s="6" t="str">
        <f>HYPERLINK("https://creighton-primo.hosted.exlibrisgroup.com/primo-explore/search?tab=default_tab&amp;search_scope=EVERYTHING&amp;vid=01CRU&amp;lang=en_US&amp;offset=0&amp;query=any,contains,991000568409702656","Catalog Record")</f>
        <v>Catalog Record</v>
      </c>
      <c r="AT2158" s="6" t="str">
        <f>HYPERLINK("http://www.worldcat.org/oclc/94516","WorldCat Record")</f>
        <v>WorldCat Record</v>
      </c>
      <c r="AU2158" s="3" t="s">
        <v>26315</v>
      </c>
      <c r="AV2158" s="3" t="s">
        <v>26316</v>
      </c>
      <c r="AW2158" s="3" t="s">
        <v>26317</v>
      </c>
      <c r="AX2158" s="3" t="s">
        <v>26317</v>
      </c>
      <c r="AY2158" s="3" t="s">
        <v>26318</v>
      </c>
      <c r="AZ2158" s="3" t="s">
        <v>73</v>
      </c>
      <c r="BC2158" s="3" t="s">
        <v>26319</v>
      </c>
      <c r="BD2158" s="3" t="s">
        <v>26320</v>
      </c>
    </row>
    <row r="2159" spans="1:56" ht="51" customHeight="1" x14ac:dyDescent="0.25">
      <c r="A2159" s="7" t="s">
        <v>58</v>
      </c>
      <c r="B2159" s="2" t="s">
        <v>26321</v>
      </c>
      <c r="C2159" s="2" t="s">
        <v>26322</v>
      </c>
      <c r="D2159" s="2" t="s">
        <v>26323</v>
      </c>
      <c r="F2159" s="3" t="s">
        <v>58</v>
      </c>
      <c r="G2159" s="3" t="s">
        <v>59</v>
      </c>
      <c r="H2159" s="3" t="s">
        <v>58</v>
      </c>
      <c r="I2159" s="3" t="s">
        <v>58</v>
      </c>
      <c r="J2159" s="3" t="s">
        <v>60</v>
      </c>
      <c r="K2159" s="2" t="s">
        <v>26324</v>
      </c>
      <c r="L2159" s="2" t="s">
        <v>26325</v>
      </c>
      <c r="M2159" s="3" t="s">
        <v>1784</v>
      </c>
      <c r="O2159" s="3" t="s">
        <v>63</v>
      </c>
      <c r="P2159" s="3" t="s">
        <v>2061</v>
      </c>
      <c r="R2159" s="3" t="s">
        <v>65</v>
      </c>
      <c r="S2159" s="4">
        <v>4</v>
      </c>
      <c r="T2159" s="4">
        <v>4</v>
      </c>
      <c r="U2159" s="5" t="s">
        <v>26326</v>
      </c>
      <c r="V2159" s="5" t="s">
        <v>26326</v>
      </c>
      <c r="W2159" s="5" t="s">
        <v>25029</v>
      </c>
      <c r="X2159" s="5" t="s">
        <v>25029</v>
      </c>
      <c r="Y2159" s="4">
        <v>256</v>
      </c>
      <c r="Z2159" s="4">
        <v>221</v>
      </c>
      <c r="AA2159" s="4">
        <v>229</v>
      </c>
      <c r="AB2159" s="4">
        <v>2</v>
      </c>
      <c r="AC2159" s="4">
        <v>2</v>
      </c>
      <c r="AD2159" s="4">
        <v>10</v>
      </c>
      <c r="AE2159" s="4">
        <v>10</v>
      </c>
      <c r="AF2159" s="4">
        <v>3</v>
      </c>
      <c r="AG2159" s="4">
        <v>3</v>
      </c>
      <c r="AH2159" s="4">
        <v>2</v>
      </c>
      <c r="AI2159" s="4">
        <v>2</v>
      </c>
      <c r="AJ2159" s="4">
        <v>7</v>
      </c>
      <c r="AK2159" s="4">
        <v>7</v>
      </c>
      <c r="AL2159" s="4">
        <v>1</v>
      </c>
      <c r="AM2159" s="4">
        <v>1</v>
      </c>
      <c r="AN2159" s="4">
        <v>0</v>
      </c>
      <c r="AO2159" s="4">
        <v>0</v>
      </c>
      <c r="AP2159" s="3" t="s">
        <v>58</v>
      </c>
      <c r="AQ2159" s="3" t="s">
        <v>68</v>
      </c>
      <c r="AR2159" s="6" t="str">
        <f>HYPERLINK("http://catalog.hathitrust.org/Record/000715078","HathiTrust Record")</f>
        <v>HathiTrust Record</v>
      </c>
      <c r="AS2159" s="6" t="str">
        <f>HYPERLINK("https://creighton-primo.hosted.exlibrisgroup.com/primo-explore/search?tab=default_tab&amp;search_scope=EVERYTHING&amp;vid=01CRU&amp;lang=en_US&amp;offset=0&amp;query=any,contains,991004822049702656","Catalog Record")</f>
        <v>Catalog Record</v>
      </c>
      <c r="AT2159" s="6" t="str">
        <f>HYPERLINK("http://www.worldcat.org/oclc/5336695","WorldCat Record")</f>
        <v>WorldCat Record</v>
      </c>
      <c r="AU2159" s="3" t="s">
        <v>26327</v>
      </c>
      <c r="AV2159" s="3" t="s">
        <v>26328</v>
      </c>
      <c r="AW2159" s="3" t="s">
        <v>26329</v>
      </c>
      <c r="AX2159" s="3" t="s">
        <v>26329</v>
      </c>
      <c r="AY2159" s="3" t="s">
        <v>26330</v>
      </c>
      <c r="AZ2159" s="3" t="s">
        <v>73</v>
      </c>
      <c r="BB2159" s="3" t="s">
        <v>26331</v>
      </c>
      <c r="BC2159" s="3" t="s">
        <v>26332</v>
      </c>
      <c r="BD2159" s="3" t="s">
        <v>26333</v>
      </c>
    </row>
    <row r="2160" spans="1:56" ht="51" customHeight="1" x14ac:dyDescent="0.25">
      <c r="A2160" s="7" t="s">
        <v>58</v>
      </c>
      <c r="B2160" s="2" t="s">
        <v>26334</v>
      </c>
      <c r="C2160" s="2" t="s">
        <v>26335</v>
      </c>
      <c r="D2160" s="2" t="s">
        <v>26336</v>
      </c>
      <c r="F2160" s="3" t="s">
        <v>58</v>
      </c>
      <c r="G2160" s="3" t="s">
        <v>59</v>
      </c>
      <c r="H2160" s="3" t="s">
        <v>58</v>
      </c>
      <c r="I2160" s="3" t="s">
        <v>58</v>
      </c>
      <c r="J2160" s="3" t="s">
        <v>60</v>
      </c>
      <c r="K2160" s="2" t="s">
        <v>26337</v>
      </c>
      <c r="L2160" s="2" t="s">
        <v>3080</v>
      </c>
      <c r="M2160" s="3" t="s">
        <v>183</v>
      </c>
      <c r="O2160" s="3" t="s">
        <v>63</v>
      </c>
      <c r="P2160" s="3" t="s">
        <v>214</v>
      </c>
      <c r="R2160" s="3" t="s">
        <v>65</v>
      </c>
      <c r="S2160" s="4">
        <v>4</v>
      </c>
      <c r="T2160" s="4">
        <v>4</v>
      </c>
      <c r="U2160" s="5" t="s">
        <v>17860</v>
      </c>
      <c r="V2160" s="5" t="s">
        <v>17860</v>
      </c>
      <c r="W2160" s="5" t="s">
        <v>26338</v>
      </c>
      <c r="X2160" s="5" t="s">
        <v>26338</v>
      </c>
      <c r="Y2160" s="4">
        <v>677</v>
      </c>
      <c r="Z2160" s="4">
        <v>621</v>
      </c>
      <c r="AA2160" s="4">
        <v>621</v>
      </c>
      <c r="AB2160" s="4">
        <v>4</v>
      </c>
      <c r="AC2160" s="4">
        <v>4</v>
      </c>
      <c r="AD2160" s="4">
        <v>19</v>
      </c>
      <c r="AE2160" s="4">
        <v>19</v>
      </c>
      <c r="AF2160" s="4">
        <v>7</v>
      </c>
      <c r="AG2160" s="4">
        <v>7</v>
      </c>
      <c r="AH2160" s="4">
        <v>5</v>
      </c>
      <c r="AI2160" s="4">
        <v>5</v>
      </c>
      <c r="AJ2160" s="4">
        <v>7</v>
      </c>
      <c r="AK2160" s="4">
        <v>7</v>
      </c>
      <c r="AL2160" s="4">
        <v>3</v>
      </c>
      <c r="AM2160" s="4">
        <v>3</v>
      </c>
      <c r="AN2160" s="4">
        <v>0</v>
      </c>
      <c r="AO2160" s="4">
        <v>0</v>
      </c>
      <c r="AP2160" s="3" t="s">
        <v>58</v>
      </c>
      <c r="AQ2160" s="3" t="s">
        <v>58</v>
      </c>
      <c r="AS2160" s="6" t="str">
        <f>HYPERLINK("https://creighton-primo.hosted.exlibrisgroup.com/primo-explore/search?tab=default_tab&amp;search_scope=EVERYTHING&amp;vid=01CRU&amp;lang=en_US&amp;offset=0&amp;query=any,contains,991004299749702656","Catalog Record")</f>
        <v>Catalog Record</v>
      </c>
      <c r="AT2160" s="6" t="str">
        <f>HYPERLINK("http://www.worldcat.org/oclc/2967689","WorldCat Record")</f>
        <v>WorldCat Record</v>
      </c>
      <c r="AU2160" s="3" t="s">
        <v>26339</v>
      </c>
      <c r="AV2160" s="3" t="s">
        <v>26340</v>
      </c>
      <c r="AW2160" s="3" t="s">
        <v>26341</v>
      </c>
      <c r="AX2160" s="3" t="s">
        <v>26341</v>
      </c>
      <c r="AY2160" s="3" t="s">
        <v>26342</v>
      </c>
      <c r="AZ2160" s="3" t="s">
        <v>73</v>
      </c>
      <c r="BB2160" s="3" t="s">
        <v>26343</v>
      </c>
      <c r="BC2160" s="3" t="s">
        <v>26344</v>
      </c>
      <c r="BD2160" s="3" t="s">
        <v>26345</v>
      </c>
    </row>
    <row r="2161" spans="1:56" ht="51" customHeight="1" x14ac:dyDescent="0.25">
      <c r="A2161" s="7" t="s">
        <v>58</v>
      </c>
      <c r="B2161" s="2" t="s">
        <v>26346</v>
      </c>
      <c r="C2161" s="2" t="s">
        <v>26347</v>
      </c>
      <c r="D2161" s="2" t="s">
        <v>26348</v>
      </c>
      <c r="F2161" s="3" t="s">
        <v>58</v>
      </c>
      <c r="G2161" s="3" t="s">
        <v>59</v>
      </c>
      <c r="H2161" s="3" t="s">
        <v>58</v>
      </c>
      <c r="I2161" s="3" t="s">
        <v>58</v>
      </c>
      <c r="J2161" s="3" t="s">
        <v>60</v>
      </c>
      <c r="K2161" s="2" t="s">
        <v>23418</v>
      </c>
      <c r="L2161" s="2" t="s">
        <v>26349</v>
      </c>
      <c r="M2161" s="3" t="s">
        <v>249</v>
      </c>
      <c r="O2161" s="3" t="s">
        <v>63</v>
      </c>
      <c r="P2161" s="3" t="s">
        <v>584</v>
      </c>
      <c r="R2161" s="3" t="s">
        <v>65</v>
      </c>
      <c r="S2161" s="4">
        <v>3</v>
      </c>
      <c r="T2161" s="4">
        <v>3</v>
      </c>
      <c r="U2161" s="5" t="s">
        <v>26350</v>
      </c>
      <c r="V2161" s="5" t="s">
        <v>26350</v>
      </c>
      <c r="W2161" s="5" t="s">
        <v>24572</v>
      </c>
      <c r="X2161" s="5" t="s">
        <v>24572</v>
      </c>
      <c r="Y2161" s="4">
        <v>1412</v>
      </c>
      <c r="Z2161" s="4">
        <v>1224</v>
      </c>
      <c r="AA2161" s="4">
        <v>1402</v>
      </c>
      <c r="AB2161" s="4">
        <v>14</v>
      </c>
      <c r="AC2161" s="4">
        <v>15</v>
      </c>
      <c r="AD2161" s="4">
        <v>53</v>
      </c>
      <c r="AE2161" s="4">
        <v>58</v>
      </c>
      <c r="AF2161" s="4">
        <v>23</v>
      </c>
      <c r="AG2161" s="4">
        <v>25</v>
      </c>
      <c r="AH2161" s="4">
        <v>8</v>
      </c>
      <c r="AI2161" s="4">
        <v>8</v>
      </c>
      <c r="AJ2161" s="4">
        <v>19</v>
      </c>
      <c r="AK2161" s="4">
        <v>22</v>
      </c>
      <c r="AL2161" s="4">
        <v>12</v>
      </c>
      <c r="AM2161" s="4">
        <v>13</v>
      </c>
      <c r="AN2161" s="4">
        <v>0</v>
      </c>
      <c r="AO2161" s="4">
        <v>0</v>
      </c>
      <c r="AP2161" s="3" t="s">
        <v>58</v>
      </c>
      <c r="AQ2161" s="3" t="s">
        <v>68</v>
      </c>
      <c r="AR2161" s="6" t="str">
        <f>HYPERLINK("http://catalog.hathitrust.org/Record/001258686","HathiTrust Record")</f>
        <v>HathiTrust Record</v>
      </c>
      <c r="AS2161" s="6" t="str">
        <f>HYPERLINK("https://creighton-primo.hosted.exlibrisgroup.com/primo-explore/search?tab=default_tab&amp;search_scope=EVERYTHING&amp;vid=01CRU&amp;lang=en_US&amp;offset=0&amp;query=any,contains,991005355279702656","Catalog Record")</f>
        <v>Catalog Record</v>
      </c>
      <c r="AT2161" s="6" t="str">
        <f>HYPERLINK("http://www.worldcat.org/oclc/411952","WorldCat Record")</f>
        <v>WorldCat Record</v>
      </c>
      <c r="AU2161" s="3" t="s">
        <v>26351</v>
      </c>
      <c r="AV2161" s="3" t="s">
        <v>26352</v>
      </c>
      <c r="AW2161" s="3" t="s">
        <v>26353</v>
      </c>
      <c r="AX2161" s="3" t="s">
        <v>26353</v>
      </c>
      <c r="AY2161" s="3" t="s">
        <v>26354</v>
      </c>
      <c r="AZ2161" s="3" t="s">
        <v>73</v>
      </c>
      <c r="BC2161" s="3" t="s">
        <v>26355</v>
      </c>
      <c r="BD2161" s="3" t="s">
        <v>26356</v>
      </c>
    </row>
    <row r="2162" spans="1:56" ht="51" customHeight="1" x14ac:dyDescent="0.25">
      <c r="A2162" s="7" t="s">
        <v>58</v>
      </c>
      <c r="B2162" s="2" t="s">
        <v>26357</v>
      </c>
      <c r="C2162" s="2" t="s">
        <v>26358</v>
      </c>
      <c r="D2162" s="2" t="s">
        <v>26359</v>
      </c>
      <c r="F2162" s="3" t="s">
        <v>58</v>
      </c>
      <c r="G2162" s="3" t="s">
        <v>59</v>
      </c>
      <c r="H2162" s="3" t="s">
        <v>58</v>
      </c>
      <c r="I2162" s="3" t="s">
        <v>58</v>
      </c>
      <c r="J2162" s="3" t="s">
        <v>60</v>
      </c>
      <c r="K2162" s="2" t="s">
        <v>26360</v>
      </c>
      <c r="L2162" s="2" t="s">
        <v>26361</v>
      </c>
      <c r="M2162" s="3" t="s">
        <v>337</v>
      </c>
      <c r="O2162" s="3" t="s">
        <v>63</v>
      </c>
      <c r="P2162" s="3" t="s">
        <v>411</v>
      </c>
      <c r="R2162" s="3" t="s">
        <v>65</v>
      </c>
      <c r="S2162" s="4">
        <v>4</v>
      </c>
      <c r="T2162" s="4">
        <v>4</v>
      </c>
      <c r="U2162" s="5" t="s">
        <v>23269</v>
      </c>
      <c r="V2162" s="5" t="s">
        <v>23269</v>
      </c>
      <c r="W2162" s="5" t="s">
        <v>21535</v>
      </c>
      <c r="X2162" s="5" t="s">
        <v>21535</v>
      </c>
      <c r="Y2162" s="4">
        <v>480</v>
      </c>
      <c r="Z2162" s="4">
        <v>414</v>
      </c>
      <c r="AA2162" s="4">
        <v>441</v>
      </c>
      <c r="AB2162" s="4">
        <v>3</v>
      </c>
      <c r="AC2162" s="4">
        <v>3</v>
      </c>
      <c r="AD2162" s="4">
        <v>26</v>
      </c>
      <c r="AE2162" s="4">
        <v>26</v>
      </c>
      <c r="AF2162" s="4">
        <v>12</v>
      </c>
      <c r="AG2162" s="4">
        <v>12</v>
      </c>
      <c r="AH2162" s="4">
        <v>9</v>
      </c>
      <c r="AI2162" s="4">
        <v>9</v>
      </c>
      <c r="AJ2162" s="4">
        <v>12</v>
      </c>
      <c r="AK2162" s="4">
        <v>12</v>
      </c>
      <c r="AL2162" s="4">
        <v>2</v>
      </c>
      <c r="AM2162" s="4">
        <v>2</v>
      </c>
      <c r="AN2162" s="4">
        <v>0</v>
      </c>
      <c r="AO2162" s="4">
        <v>0</v>
      </c>
      <c r="AP2162" s="3" t="s">
        <v>58</v>
      </c>
      <c r="AQ2162" s="3" t="s">
        <v>68</v>
      </c>
      <c r="AR2162" s="6" t="str">
        <f>HYPERLINK("http://catalog.hathitrust.org/Record/004283266","HathiTrust Record")</f>
        <v>HathiTrust Record</v>
      </c>
      <c r="AS2162" s="6" t="str">
        <f>HYPERLINK("https://creighton-primo.hosted.exlibrisgroup.com/primo-explore/search?tab=default_tab&amp;search_scope=EVERYTHING&amp;vid=01CRU&amp;lang=en_US&amp;offset=0&amp;query=any,contains,991003968709702656","Catalog Record")</f>
        <v>Catalog Record</v>
      </c>
      <c r="AT2162" s="6" t="str">
        <f>HYPERLINK("http://www.worldcat.org/oclc/49872290","WorldCat Record")</f>
        <v>WorldCat Record</v>
      </c>
      <c r="AU2162" s="3" t="s">
        <v>26362</v>
      </c>
      <c r="AV2162" s="3" t="s">
        <v>26363</v>
      </c>
      <c r="AW2162" s="3" t="s">
        <v>26364</v>
      </c>
      <c r="AX2162" s="3" t="s">
        <v>26364</v>
      </c>
      <c r="AY2162" s="3" t="s">
        <v>26365</v>
      </c>
      <c r="AZ2162" s="3" t="s">
        <v>73</v>
      </c>
      <c r="BB2162" s="3" t="s">
        <v>26366</v>
      </c>
      <c r="BC2162" s="3" t="s">
        <v>26367</v>
      </c>
      <c r="BD2162" s="3" t="s">
        <v>26368</v>
      </c>
    </row>
    <row r="2163" spans="1:56" ht="51" customHeight="1" x14ac:dyDescent="0.25">
      <c r="A2163" s="7" t="s">
        <v>58</v>
      </c>
      <c r="B2163" s="2" t="s">
        <v>26369</v>
      </c>
      <c r="C2163" s="2" t="s">
        <v>26370</v>
      </c>
      <c r="D2163" s="2" t="s">
        <v>26371</v>
      </c>
      <c r="F2163" s="3" t="s">
        <v>58</v>
      </c>
      <c r="G2163" s="3" t="s">
        <v>59</v>
      </c>
      <c r="H2163" s="3" t="s">
        <v>58</v>
      </c>
      <c r="I2163" s="3" t="s">
        <v>58</v>
      </c>
      <c r="J2163" s="3" t="s">
        <v>60</v>
      </c>
      <c r="K2163" s="2" t="s">
        <v>26372</v>
      </c>
      <c r="L2163" s="2" t="s">
        <v>26373</v>
      </c>
      <c r="M2163" s="3" t="s">
        <v>855</v>
      </c>
      <c r="N2163" s="2" t="s">
        <v>338</v>
      </c>
      <c r="O2163" s="3" t="s">
        <v>63</v>
      </c>
      <c r="P2163" s="3" t="s">
        <v>23392</v>
      </c>
      <c r="R2163" s="3" t="s">
        <v>65</v>
      </c>
      <c r="S2163" s="4">
        <v>0</v>
      </c>
      <c r="T2163" s="4">
        <v>0</v>
      </c>
      <c r="U2163" s="5" t="s">
        <v>21002</v>
      </c>
      <c r="V2163" s="5" t="s">
        <v>21002</v>
      </c>
      <c r="W2163" s="5" t="s">
        <v>26374</v>
      </c>
      <c r="X2163" s="5" t="s">
        <v>26374</v>
      </c>
      <c r="Y2163" s="4">
        <v>26</v>
      </c>
      <c r="Z2163" s="4">
        <v>18</v>
      </c>
      <c r="AA2163" s="4">
        <v>23</v>
      </c>
      <c r="AB2163" s="4">
        <v>1</v>
      </c>
      <c r="AC2163" s="4">
        <v>1</v>
      </c>
      <c r="AD2163" s="4">
        <v>0</v>
      </c>
      <c r="AE2163" s="4">
        <v>0</v>
      </c>
      <c r="AF2163" s="4">
        <v>0</v>
      </c>
      <c r="AG2163" s="4">
        <v>0</v>
      </c>
      <c r="AH2163" s="4">
        <v>0</v>
      </c>
      <c r="AI2163" s="4">
        <v>0</v>
      </c>
      <c r="AJ2163" s="4">
        <v>0</v>
      </c>
      <c r="AK2163" s="4">
        <v>0</v>
      </c>
      <c r="AL2163" s="4">
        <v>0</v>
      </c>
      <c r="AM2163" s="4">
        <v>0</v>
      </c>
      <c r="AN2163" s="4">
        <v>0</v>
      </c>
      <c r="AO2163" s="4">
        <v>0</v>
      </c>
      <c r="AP2163" s="3" t="s">
        <v>58</v>
      </c>
      <c r="AQ2163" s="3" t="s">
        <v>58</v>
      </c>
      <c r="AS2163" s="6" t="str">
        <f>HYPERLINK("https://creighton-primo.hosted.exlibrisgroup.com/primo-explore/search?tab=default_tab&amp;search_scope=EVERYTHING&amp;vid=01CRU&amp;lang=en_US&amp;offset=0&amp;query=any,contains,991002497359702656","Catalog Record")</f>
        <v>Catalog Record</v>
      </c>
      <c r="AT2163" s="6" t="str">
        <f>HYPERLINK("http://www.worldcat.org/oclc/32477628","WorldCat Record")</f>
        <v>WorldCat Record</v>
      </c>
      <c r="AU2163" s="3" t="s">
        <v>26375</v>
      </c>
      <c r="AV2163" s="3" t="s">
        <v>26376</v>
      </c>
      <c r="AW2163" s="3" t="s">
        <v>26377</v>
      </c>
      <c r="AX2163" s="3" t="s">
        <v>26377</v>
      </c>
      <c r="AY2163" s="3" t="s">
        <v>26378</v>
      </c>
      <c r="AZ2163" s="3" t="s">
        <v>73</v>
      </c>
      <c r="BB2163" s="3" t="s">
        <v>26379</v>
      </c>
      <c r="BC2163" s="3" t="s">
        <v>26380</v>
      </c>
      <c r="BD2163" s="3" t="s">
        <v>26381</v>
      </c>
    </row>
    <row r="2164" spans="1:56" ht="51" customHeight="1" x14ac:dyDescent="0.25">
      <c r="A2164" s="7" t="s">
        <v>58</v>
      </c>
      <c r="B2164" s="2" t="s">
        <v>26382</v>
      </c>
      <c r="C2164" s="2" t="s">
        <v>26383</v>
      </c>
      <c r="D2164" s="2" t="s">
        <v>26384</v>
      </c>
      <c r="F2164" s="3" t="s">
        <v>58</v>
      </c>
      <c r="G2164" s="3" t="s">
        <v>59</v>
      </c>
      <c r="H2164" s="3" t="s">
        <v>58</v>
      </c>
      <c r="I2164" s="3" t="s">
        <v>58</v>
      </c>
      <c r="J2164" s="3" t="s">
        <v>60</v>
      </c>
      <c r="K2164" s="2" t="s">
        <v>26385</v>
      </c>
      <c r="L2164" s="2" t="s">
        <v>26386</v>
      </c>
      <c r="M2164" s="3" t="s">
        <v>183</v>
      </c>
      <c r="O2164" s="3" t="s">
        <v>63</v>
      </c>
      <c r="P2164" s="3" t="s">
        <v>214</v>
      </c>
      <c r="Q2164" s="2" t="s">
        <v>26387</v>
      </c>
      <c r="R2164" s="3" t="s">
        <v>65</v>
      </c>
      <c r="S2164" s="4">
        <v>17</v>
      </c>
      <c r="T2164" s="4">
        <v>17</v>
      </c>
      <c r="U2164" s="5" t="s">
        <v>2602</v>
      </c>
      <c r="V2164" s="5" t="s">
        <v>2602</v>
      </c>
      <c r="W2164" s="5" t="s">
        <v>8629</v>
      </c>
      <c r="X2164" s="5" t="s">
        <v>8629</v>
      </c>
      <c r="Y2164" s="4">
        <v>438</v>
      </c>
      <c r="Z2164" s="4">
        <v>346</v>
      </c>
      <c r="AA2164" s="4">
        <v>348</v>
      </c>
      <c r="AB2164" s="4">
        <v>4</v>
      </c>
      <c r="AC2164" s="4">
        <v>4</v>
      </c>
      <c r="AD2164" s="4">
        <v>12</v>
      </c>
      <c r="AE2164" s="4">
        <v>12</v>
      </c>
      <c r="AF2164" s="4">
        <v>3</v>
      </c>
      <c r="AG2164" s="4">
        <v>3</v>
      </c>
      <c r="AH2164" s="4">
        <v>3</v>
      </c>
      <c r="AI2164" s="4">
        <v>3</v>
      </c>
      <c r="AJ2164" s="4">
        <v>7</v>
      </c>
      <c r="AK2164" s="4">
        <v>7</v>
      </c>
      <c r="AL2164" s="4">
        <v>3</v>
      </c>
      <c r="AM2164" s="4">
        <v>3</v>
      </c>
      <c r="AN2164" s="4">
        <v>0</v>
      </c>
      <c r="AO2164" s="4">
        <v>0</v>
      </c>
      <c r="AP2164" s="3" t="s">
        <v>58</v>
      </c>
      <c r="AQ2164" s="3" t="s">
        <v>68</v>
      </c>
      <c r="AR2164" s="6" t="str">
        <f>HYPERLINK("http://catalog.hathitrust.org/Record/000750369","HathiTrust Record")</f>
        <v>HathiTrust Record</v>
      </c>
      <c r="AS2164" s="6" t="str">
        <f>HYPERLINK("https://creighton-primo.hosted.exlibrisgroup.com/primo-explore/search?tab=default_tab&amp;search_scope=EVERYTHING&amp;vid=01CRU&amp;lang=en_US&amp;offset=0&amp;query=any,contains,991004416589702656","Catalog Record")</f>
        <v>Catalog Record</v>
      </c>
      <c r="AT2164" s="6" t="str">
        <f>HYPERLINK("http://www.worldcat.org/oclc/3364937","WorldCat Record")</f>
        <v>WorldCat Record</v>
      </c>
      <c r="AU2164" s="3" t="s">
        <v>26388</v>
      </c>
      <c r="AV2164" s="3" t="s">
        <v>26389</v>
      </c>
      <c r="AW2164" s="3" t="s">
        <v>26390</v>
      </c>
      <c r="AX2164" s="3" t="s">
        <v>26390</v>
      </c>
      <c r="AY2164" s="3" t="s">
        <v>26391</v>
      </c>
      <c r="AZ2164" s="3" t="s">
        <v>73</v>
      </c>
      <c r="BB2164" s="3" t="s">
        <v>26392</v>
      </c>
      <c r="BC2164" s="3" t="s">
        <v>26393</v>
      </c>
      <c r="BD2164" s="3" t="s">
        <v>26394</v>
      </c>
    </row>
    <row r="2165" spans="1:56" ht="51" customHeight="1" x14ac:dyDescent="0.25">
      <c r="A2165" s="7" t="s">
        <v>58</v>
      </c>
      <c r="B2165" s="2" t="s">
        <v>26395</v>
      </c>
      <c r="C2165" s="2" t="s">
        <v>26396</v>
      </c>
      <c r="D2165" s="2" t="s">
        <v>26397</v>
      </c>
      <c r="F2165" s="3" t="s">
        <v>58</v>
      </c>
      <c r="G2165" s="3" t="s">
        <v>59</v>
      </c>
      <c r="H2165" s="3" t="s">
        <v>58</v>
      </c>
      <c r="I2165" s="3" t="s">
        <v>58</v>
      </c>
      <c r="J2165" s="3" t="s">
        <v>60</v>
      </c>
      <c r="L2165" s="2" t="s">
        <v>26398</v>
      </c>
      <c r="M2165" s="3" t="s">
        <v>183</v>
      </c>
      <c r="O2165" s="3" t="s">
        <v>63</v>
      </c>
      <c r="P2165" s="3" t="s">
        <v>584</v>
      </c>
      <c r="Q2165" s="2" t="s">
        <v>26399</v>
      </c>
      <c r="R2165" s="3" t="s">
        <v>65</v>
      </c>
      <c r="S2165" s="4">
        <v>15</v>
      </c>
      <c r="T2165" s="4">
        <v>15</v>
      </c>
      <c r="U2165" s="5" t="s">
        <v>2602</v>
      </c>
      <c r="V2165" s="5" t="s">
        <v>2602</v>
      </c>
      <c r="W2165" s="5" t="s">
        <v>26338</v>
      </c>
      <c r="X2165" s="5" t="s">
        <v>26338</v>
      </c>
      <c r="Y2165" s="4">
        <v>1152</v>
      </c>
      <c r="Z2165" s="4">
        <v>951</v>
      </c>
      <c r="AA2165" s="4">
        <v>956</v>
      </c>
      <c r="AB2165" s="4">
        <v>8</v>
      </c>
      <c r="AC2165" s="4">
        <v>8</v>
      </c>
      <c r="AD2165" s="4">
        <v>37</v>
      </c>
      <c r="AE2165" s="4">
        <v>37</v>
      </c>
      <c r="AF2165" s="4">
        <v>17</v>
      </c>
      <c r="AG2165" s="4">
        <v>17</v>
      </c>
      <c r="AH2165" s="4">
        <v>8</v>
      </c>
      <c r="AI2165" s="4">
        <v>8</v>
      </c>
      <c r="AJ2165" s="4">
        <v>14</v>
      </c>
      <c r="AK2165" s="4">
        <v>14</v>
      </c>
      <c r="AL2165" s="4">
        <v>7</v>
      </c>
      <c r="AM2165" s="4">
        <v>7</v>
      </c>
      <c r="AN2165" s="4">
        <v>1</v>
      </c>
      <c r="AO2165" s="4">
        <v>1</v>
      </c>
      <c r="AP2165" s="3" t="s">
        <v>58</v>
      </c>
      <c r="AQ2165" s="3" t="s">
        <v>58</v>
      </c>
      <c r="AS2165" s="6" t="str">
        <f>HYPERLINK("https://creighton-primo.hosted.exlibrisgroup.com/primo-explore/search?tab=default_tab&amp;search_scope=EVERYTHING&amp;vid=01CRU&amp;lang=en_US&amp;offset=0&amp;query=any,contains,991004299389702656","Catalog Record")</f>
        <v>Catalog Record</v>
      </c>
      <c r="AT2165" s="6" t="str">
        <f>HYPERLINK("http://www.worldcat.org/oclc/2967608","WorldCat Record")</f>
        <v>WorldCat Record</v>
      </c>
      <c r="AU2165" s="3" t="s">
        <v>26400</v>
      </c>
      <c r="AV2165" s="3" t="s">
        <v>26401</v>
      </c>
      <c r="AW2165" s="3" t="s">
        <v>26402</v>
      </c>
      <c r="AX2165" s="3" t="s">
        <v>26402</v>
      </c>
      <c r="AY2165" s="3" t="s">
        <v>26403</v>
      </c>
      <c r="AZ2165" s="3" t="s">
        <v>73</v>
      </c>
      <c r="BB2165" s="3" t="s">
        <v>26404</v>
      </c>
      <c r="BC2165" s="3" t="s">
        <v>26405</v>
      </c>
      <c r="BD2165" s="3" t="s">
        <v>26406</v>
      </c>
    </row>
    <row r="2166" spans="1:56" ht="51" customHeight="1" x14ac:dyDescent="0.25">
      <c r="A2166" s="7" t="s">
        <v>58</v>
      </c>
      <c r="B2166" s="2" t="s">
        <v>26407</v>
      </c>
      <c r="C2166" s="2" t="s">
        <v>26408</v>
      </c>
      <c r="D2166" s="2" t="s">
        <v>26409</v>
      </c>
      <c r="F2166" s="3" t="s">
        <v>58</v>
      </c>
      <c r="G2166" s="3" t="s">
        <v>59</v>
      </c>
      <c r="H2166" s="3" t="s">
        <v>58</v>
      </c>
      <c r="I2166" s="3" t="s">
        <v>58</v>
      </c>
      <c r="J2166" s="3" t="s">
        <v>60</v>
      </c>
      <c r="K2166" s="2" t="s">
        <v>26410</v>
      </c>
      <c r="L2166" s="2" t="s">
        <v>26411</v>
      </c>
      <c r="M2166" s="3" t="s">
        <v>626</v>
      </c>
      <c r="O2166" s="3" t="s">
        <v>63</v>
      </c>
      <c r="P2166" s="3" t="s">
        <v>214</v>
      </c>
      <c r="R2166" s="3" t="s">
        <v>65</v>
      </c>
      <c r="S2166" s="4">
        <v>15</v>
      </c>
      <c r="T2166" s="4">
        <v>15</v>
      </c>
      <c r="U2166" s="5" t="s">
        <v>17701</v>
      </c>
      <c r="V2166" s="5" t="s">
        <v>17701</v>
      </c>
      <c r="W2166" s="5" t="s">
        <v>25029</v>
      </c>
      <c r="X2166" s="5" t="s">
        <v>25029</v>
      </c>
      <c r="Y2166" s="4">
        <v>384</v>
      </c>
      <c r="Z2166" s="4">
        <v>340</v>
      </c>
      <c r="AA2166" s="4">
        <v>457</v>
      </c>
      <c r="AB2166" s="4">
        <v>2</v>
      </c>
      <c r="AC2166" s="4">
        <v>3</v>
      </c>
      <c r="AD2166" s="4">
        <v>14</v>
      </c>
      <c r="AE2166" s="4">
        <v>21</v>
      </c>
      <c r="AF2166" s="4">
        <v>7</v>
      </c>
      <c r="AG2166" s="4">
        <v>10</v>
      </c>
      <c r="AH2166" s="4">
        <v>5</v>
      </c>
      <c r="AI2166" s="4">
        <v>6</v>
      </c>
      <c r="AJ2166" s="4">
        <v>7</v>
      </c>
      <c r="AK2166" s="4">
        <v>9</v>
      </c>
      <c r="AL2166" s="4">
        <v>1</v>
      </c>
      <c r="AM2166" s="4">
        <v>2</v>
      </c>
      <c r="AN2166" s="4">
        <v>0</v>
      </c>
      <c r="AO2166" s="4">
        <v>0</v>
      </c>
      <c r="AP2166" s="3" t="s">
        <v>58</v>
      </c>
      <c r="AQ2166" s="3" t="s">
        <v>58</v>
      </c>
      <c r="AS2166" s="6" t="str">
        <f>HYPERLINK("https://creighton-primo.hosted.exlibrisgroup.com/primo-explore/search?tab=default_tab&amp;search_scope=EVERYTHING&amp;vid=01CRU&amp;lang=en_US&amp;offset=0&amp;query=any,contains,991000253089702656","Catalog Record")</f>
        <v>Catalog Record</v>
      </c>
      <c r="AT2166" s="6" t="str">
        <f>HYPERLINK("http://www.worldcat.org/oclc/9761526","WorldCat Record")</f>
        <v>WorldCat Record</v>
      </c>
      <c r="AU2166" s="3" t="s">
        <v>26412</v>
      </c>
      <c r="AV2166" s="3" t="s">
        <v>26413</v>
      </c>
      <c r="AW2166" s="3" t="s">
        <v>26414</v>
      </c>
      <c r="AX2166" s="3" t="s">
        <v>26414</v>
      </c>
      <c r="AY2166" s="3" t="s">
        <v>26415</v>
      </c>
      <c r="AZ2166" s="3" t="s">
        <v>73</v>
      </c>
      <c r="BB2166" s="3" t="s">
        <v>26416</v>
      </c>
      <c r="BC2166" s="3" t="s">
        <v>26417</v>
      </c>
      <c r="BD2166" s="3" t="s">
        <v>26418</v>
      </c>
    </row>
    <row r="2167" spans="1:56" ht="51" customHeight="1" x14ac:dyDescent="0.25">
      <c r="A2167" s="7" t="s">
        <v>58</v>
      </c>
      <c r="B2167" s="2" t="s">
        <v>26419</v>
      </c>
      <c r="C2167" s="2" t="s">
        <v>26420</v>
      </c>
      <c r="D2167" s="2" t="s">
        <v>26421</v>
      </c>
      <c r="F2167" s="3" t="s">
        <v>58</v>
      </c>
      <c r="G2167" s="3" t="s">
        <v>59</v>
      </c>
      <c r="H2167" s="3" t="s">
        <v>58</v>
      </c>
      <c r="I2167" s="3" t="s">
        <v>58</v>
      </c>
      <c r="J2167" s="3" t="s">
        <v>60</v>
      </c>
      <c r="K2167" s="2" t="s">
        <v>26422</v>
      </c>
      <c r="L2167" s="2" t="s">
        <v>26423</v>
      </c>
      <c r="M2167" s="3" t="s">
        <v>951</v>
      </c>
      <c r="N2167" s="2" t="s">
        <v>1009</v>
      </c>
      <c r="O2167" s="3" t="s">
        <v>63</v>
      </c>
      <c r="P2167" s="3" t="s">
        <v>214</v>
      </c>
      <c r="R2167" s="3" t="s">
        <v>65</v>
      </c>
      <c r="S2167" s="4">
        <v>1</v>
      </c>
      <c r="T2167" s="4">
        <v>1</v>
      </c>
      <c r="U2167" s="5" t="s">
        <v>6132</v>
      </c>
      <c r="V2167" s="5" t="s">
        <v>6132</v>
      </c>
      <c r="W2167" s="5" t="s">
        <v>19127</v>
      </c>
      <c r="X2167" s="5" t="s">
        <v>19127</v>
      </c>
      <c r="Y2167" s="4">
        <v>1259</v>
      </c>
      <c r="Z2167" s="4">
        <v>1196</v>
      </c>
      <c r="AA2167" s="4">
        <v>1298</v>
      </c>
      <c r="AB2167" s="4">
        <v>7</v>
      </c>
      <c r="AC2167" s="4">
        <v>8</v>
      </c>
      <c r="AD2167" s="4">
        <v>40</v>
      </c>
      <c r="AE2167" s="4">
        <v>41</v>
      </c>
      <c r="AF2167" s="4">
        <v>18</v>
      </c>
      <c r="AG2167" s="4">
        <v>18</v>
      </c>
      <c r="AH2167" s="4">
        <v>9</v>
      </c>
      <c r="AI2167" s="4">
        <v>9</v>
      </c>
      <c r="AJ2167" s="4">
        <v>20</v>
      </c>
      <c r="AK2167" s="4">
        <v>20</v>
      </c>
      <c r="AL2167" s="4">
        <v>4</v>
      </c>
      <c r="AM2167" s="4">
        <v>5</v>
      </c>
      <c r="AN2167" s="4">
        <v>0</v>
      </c>
      <c r="AO2167" s="4">
        <v>0</v>
      </c>
      <c r="AP2167" s="3" t="s">
        <v>58</v>
      </c>
      <c r="AQ2167" s="3" t="s">
        <v>58</v>
      </c>
      <c r="AS2167" s="6" t="str">
        <f>HYPERLINK("https://creighton-primo.hosted.exlibrisgroup.com/primo-explore/search?tab=default_tab&amp;search_scope=EVERYTHING&amp;vid=01CRU&amp;lang=en_US&amp;offset=0&amp;query=any,contains,991003208239702656","Catalog Record")</f>
        <v>Catalog Record</v>
      </c>
      <c r="AT2167" s="6" t="str">
        <f>HYPERLINK("http://www.worldcat.org/oclc/41977376","WorldCat Record")</f>
        <v>WorldCat Record</v>
      </c>
      <c r="AU2167" s="3" t="s">
        <v>26424</v>
      </c>
      <c r="AV2167" s="3" t="s">
        <v>26425</v>
      </c>
      <c r="AW2167" s="3" t="s">
        <v>26426</v>
      </c>
      <c r="AX2167" s="3" t="s">
        <v>26426</v>
      </c>
      <c r="AY2167" s="3" t="s">
        <v>26427</v>
      </c>
      <c r="AZ2167" s="3" t="s">
        <v>73</v>
      </c>
      <c r="BB2167" s="3" t="s">
        <v>26428</v>
      </c>
      <c r="BC2167" s="3" t="s">
        <v>26429</v>
      </c>
      <c r="BD2167" s="3" t="s">
        <v>26430</v>
      </c>
    </row>
    <row r="2168" spans="1:56" ht="51" customHeight="1" x14ac:dyDescent="0.25">
      <c r="A2168" s="7" t="s">
        <v>58</v>
      </c>
      <c r="B2168" s="2" t="s">
        <v>26431</v>
      </c>
      <c r="C2168" s="2" t="s">
        <v>26432</v>
      </c>
      <c r="D2168" s="2" t="s">
        <v>26433</v>
      </c>
      <c r="F2168" s="3" t="s">
        <v>58</v>
      </c>
      <c r="G2168" s="3" t="s">
        <v>59</v>
      </c>
      <c r="H2168" s="3" t="s">
        <v>58</v>
      </c>
      <c r="I2168" s="3" t="s">
        <v>58</v>
      </c>
      <c r="J2168" s="3" t="s">
        <v>60</v>
      </c>
      <c r="K2168" s="2" t="s">
        <v>24228</v>
      </c>
      <c r="L2168" s="2" t="s">
        <v>26434</v>
      </c>
      <c r="M2168" s="3" t="s">
        <v>382</v>
      </c>
      <c r="O2168" s="3" t="s">
        <v>63</v>
      </c>
      <c r="P2168" s="3" t="s">
        <v>214</v>
      </c>
      <c r="Q2168" s="2" t="s">
        <v>26435</v>
      </c>
      <c r="R2168" s="3" t="s">
        <v>65</v>
      </c>
      <c r="S2168" s="4">
        <v>7</v>
      </c>
      <c r="T2168" s="4">
        <v>7</v>
      </c>
      <c r="U2168" s="5" t="s">
        <v>11940</v>
      </c>
      <c r="V2168" s="5" t="s">
        <v>11940</v>
      </c>
      <c r="W2168" s="5" t="s">
        <v>26436</v>
      </c>
      <c r="X2168" s="5" t="s">
        <v>26436</v>
      </c>
      <c r="Y2168" s="4">
        <v>1635</v>
      </c>
      <c r="Z2168" s="4">
        <v>1517</v>
      </c>
      <c r="AA2168" s="4">
        <v>1633</v>
      </c>
      <c r="AB2168" s="4">
        <v>15</v>
      </c>
      <c r="AC2168" s="4">
        <v>16</v>
      </c>
      <c r="AD2168" s="4">
        <v>48</v>
      </c>
      <c r="AE2168" s="4">
        <v>50</v>
      </c>
      <c r="AF2168" s="4">
        <v>18</v>
      </c>
      <c r="AG2168" s="4">
        <v>19</v>
      </c>
      <c r="AH2168" s="4">
        <v>9</v>
      </c>
      <c r="AI2168" s="4">
        <v>9</v>
      </c>
      <c r="AJ2168" s="4">
        <v>23</v>
      </c>
      <c r="AK2168" s="4">
        <v>23</v>
      </c>
      <c r="AL2168" s="4">
        <v>10</v>
      </c>
      <c r="AM2168" s="4">
        <v>11</v>
      </c>
      <c r="AN2168" s="4">
        <v>0</v>
      </c>
      <c r="AO2168" s="4">
        <v>0</v>
      </c>
      <c r="AP2168" s="3" t="s">
        <v>58</v>
      </c>
      <c r="AQ2168" s="3" t="s">
        <v>68</v>
      </c>
      <c r="AR2168" s="6" t="str">
        <f>HYPERLINK("http://catalog.hathitrust.org/Record/004063033","HathiTrust Record")</f>
        <v>HathiTrust Record</v>
      </c>
      <c r="AS2168" s="6" t="str">
        <f>HYPERLINK("https://creighton-primo.hosted.exlibrisgroup.com/primo-explore/search?tab=default_tab&amp;search_scope=EVERYTHING&amp;vid=01CRU&amp;lang=en_US&amp;offset=0&amp;query=any,contains,991003035089702656","Catalog Record")</f>
        <v>Catalog Record</v>
      </c>
      <c r="AT2168" s="6" t="str">
        <f>HYPERLINK("http://www.worldcat.org/oclc/41641238","WorldCat Record")</f>
        <v>WorldCat Record</v>
      </c>
      <c r="AU2168" s="3" t="s">
        <v>26437</v>
      </c>
      <c r="AV2168" s="3" t="s">
        <v>26438</v>
      </c>
      <c r="AW2168" s="3" t="s">
        <v>26439</v>
      </c>
      <c r="AX2168" s="3" t="s">
        <v>26439</v>
      </c>
      <c r="AY2168" s="3" t="s">
        <v>26440</v>
      </c>
      <c r="AZ2168" s="3" t="s">
        <v>73</v>
      </c>
      <c r="BB2168" s="3" t="s">
        <v>26441</v>
      </c>
      <c r="BC2168" s="3" t="s">
        <v>26442</v>
      </c>
      <c r="BD2168" s="3" t="s">
        <v>26443</v>
      </c>
    </row>
    <row r="2169" spans="1:56" ht="51" customHeight="1" x14ac:dyDescent="0.25">
      <c r="A2169" s="7" t="s">
        <v>58</v>
      </c>
      <c r="B2169" s="2" t="s">
        <v>26444</v>
      </c>
      <c r="C2169" s="2" t="s">
        <v>26445</v>
      </c>
      <c r="D2169" s="2" t="s">
        <v>26446</v>
      </c>
      <c r="F2169" s="3" t="s">
        <v>58</v>
      </c>
      <c r="G2169" s="3" t="s">
        <v>59</v>
      </c>
      <c r="H2169" s="3" t="s">
        <v>58</v>
      </c>
      <c r="I2169" s="3" t="s">
        <v>58</v>
      </c>
      <c r="J2169" s="3" t="s">
        <v>60</v>
      </c>
      <c r="K2169" s="2" t="s">
        <v>26447</v>
      </c>
      <c r="L2169" s="2" t="s">
        <v>15108</v>
      </c>
      <c r="M2169" s="3" t="s">
        <v>1784</v>
      </c>
      <c r="O2169" s="3" t="s">
        <v>63</v>
      </c>
      <c r="P2169" s="3" t="s">
        <v>354</v>
      </c>
      <c r="R2169" s="3" t="s">
        <v>65</v>
      </c>
      <c r="S2169" s="4">
        <v>5</v>
      </c>
      <c r="T2169" s="4">
        <v>5</v>
      </c>
      <c r="U2169" s="5" t="s">
        <v>26448</v>
      </c>
      <c r="V2169" s="5" t="s">
        <v>26448</v>
      </c>
      <c r="W2169" s="5" t="s">
        <v>25029</v>
      </c>
      <c r="X2169" s="5" t="s">
        <v>25029</v>
      </c>
      <c r="Y2169" s="4">
        <v>722</v>
      </c>
      <c r="Z2169" s="4">
        <v>550</v>
      </c>
      <c r="AA2169" s="4">
        <v>745</v>
      </c>
      <c r="AB2169" s="4">
        <v>4</v>
      </c>
      <c r="AC2169" s="4">
        <v>6</v>
      </c>
      <c r="AD2169" s="4">
        <v>26</v>
      </c>
      <c r="AE2169" s="4">
        <v>35</v>
      </c>
      <c r="AF2169" s="4">
        <v>9</v>
      </c>
      <c r="AG2169" s="4">
        <v>16</v>
      </c>
      <c r="AH2169" s="4">
        <v>7</v>
      </c>
      <c r="AI2169" s="4">
        <v>9</v>
      </c>
      <c r="AJ2169" s="4">
        <v>16</v>
      </c>
      <c r="AK2169" s="4">
        <v>18</v>
      </c>
      <c r="AL2169" s="4">
        <v>3</v>
      </c>
      <c r="AM2169" s="4">
        <v>4</v>
      </c>
      <c r="AN2169" s="4">
        <v>0</v>
      </c>
      <c r="AO2169" s="4">
        <v>0</v>
      </c>
      <c r="AP2169" s="3" t="s">
        <v>58</v>
      </c>
      <c r="AQ2169" s="3" t="s">
        <v>58</v>
      </c>
      <c r="AS2169" s="6" t="str">
        <f>HYPERLINK("https://creighton-primo.hosted.exlibrisgroup.com/primo-explore/search?tab=default_tab&amp;search_scope=EVERYTHING&amp;vid=01CRU&amp;lang=en_US&amp;offset=0&amp;query=any,contains,991004644939702656","Catalog Record")</f>
        <v>Catalog Record</v>
      </c>
      <c r="AT2169" s="6" t="str">
        <f>HYPERLINK("http://www.worldcat.org/oclc/4490748","WorldCat Record")</f>
        <v>WorldCat Record</v>
      </c>
      <c r="AU2169" s="3" t="s">
        <v>26449</v>
      </c>
      <c r="AV2169" s="3" t="s">
        <v>26450</v>
      </c>
      <c r="AW2169" s="3" t="s">
        <v>26451</v>
      </c>
      <c r="AX2169" s="3" t="s">
        <v>26451</v>
      </c>
      <c r="AY2169" s="3" t="s">
        <v>26452</v>
      </c>
      <c r="AZ2169" s="3" t="s">
        <v>73</v>
      </c>
      <c r="BB2169" s="3" t="s">
        <v>26453</v>
      </c>
      <c r="BC2169" s="3" t="s">
        <v>26454</v>
      </c>
      <c r="BD2169" s="3" t="s">
        <v>26455</v>
      </c>
    </row>
    <row r="2170" spans="1:56" ht="51" customHeight="1" x14ac:dyDescent="0.25">
      <c r="A2170" s="7" t="s">
        <v>58</v>
      </c>
      <c r="B2170" s="2" t="s">
        <v>26456</v>
      </c>
      <c r="C2170" s="2" t="s">
        <v>26457</v>
      </c>
      <c r="D2170" s="2" t="s">
        <v>26458</v>
      </c>
      <c r="F2170" s="3" t="s">
        <v>58</v>
      </c>
      <c r="G2170" s="3" t="s">
        <v>59</v>
      </c>
      <c r="H2170" s="3" t="s">
        <v>58</v>
      </c>
      <c r="I2170" s="3" t="s">
        <v>58</v>
      </c>
      <c r="J2170" s="3" t="s">
        <v>60</v>
      </c>
      <c r="K2170" s="2" t="s">
        <v>26459</v>
      </c>
      <c r="L2170" s="2" t="s">
        <v>26460</v>
      </c>
      <c r="M2170" s="3" t="s">
        <v>353</v>
      </c>
      <c r="N2170" s="2" t="s">
        <v>338</v>
      </c>
      <c r="O2170" s="3" t="s">
        <v>63</v>
      </c>
      <c r="P2170" s="3" t="s">
        <v>23024</v>
      </c>
      <c r="R2170" s="3" t="s">
        <v>65</v>
      </c>
      <c r="S2170" s="4">
        <v>6</v>
      </c>
      <c r="T2170" s="4">
        <v>6</v>
      </c>
      <c r="U2170" s="5" t="s">
        <v>4367</v>
      </c>
      <c r="V2170" s="5" t="s">
        <v>4367</v>
      </c>
      <c r="W2170" s="5" t="s">
        <v>2799</v>
      </c>
      <c r="X2170" s="5" t="s">
        <v>2799</v>
      </c>
      <c r="Y2170" s="4">
        <v>435</v>
      </c>
      <c r="Z2170" s="4">
        <v>337</v>
      </c>
      <c r="AA2170" s="4">
        <v>353</v>
      </c>
      <c r="AB2170" s="4">
        <v>3</v>
      </c>
      <c r="AC2170" s="4">
        <v>3</v>
      </c>
      <c r="AD2170" s="4">
        <v>17</v>
      </c>
      <c r="AE2170" s="4">
        <v>17</v>
      </c>
      <c r="AF2170" s="4">
        <v>6</v>
      </c>
      <c r="AG2170" s="4">
        <v>6</v>
      </c>
      <c r="AH2170" s="4">
        <v>7</v>
      </c>
      <c r="AI2170" s="4">
        <v>7</v>
      </c>
      <c r="AJ2170" s="4">
        <v>9</v>
      </c>
      <c r="AK2170" s="4">
        <v>9</v>
      </c>
      <c r="AL2170" s="4">
        <v>2</v>
      </c>
      <c r="AM2170" s="4">
        <v>2</v>
      </c>
      <c r="AN2170" s="4">
        <v>0</v>
      </c>
      <c r="AO2170" s="4">
        <v>0</v>
      </c>
      <c r="AP2170" s="3" t="s">
        <v>58</v>
      </c>
      <c r="AQ2170" s="3" t="s">
        <v>68</v>
      </c>
      <c r="AR2170" s="6" t="str">
        <f>HYPERLINK("http://catalog.hathitrust.org/Record/000950495","HathiTrust Record")</f>
        <v>HathiTrust Record</v>
      </c>
      <c r="AS2170" s="6" t="str">
        <f>HYPERLINK("https://creighton-primo.hosted.exlibrisgroup.com/primo-explore/search?tab=default_tab&amp;search_scope=EVERYTHING&amp;vid=01CRU&amp;lang=en_US&amp;offset=0&amp;query=any,contains,991001156599702656","Catalog Record")</f>
        <v>Catalog Record</v>
      </c>
      <c r="AT2170" s="6" t="str">
        <f>HYPERLINK("http://www.worldcat.org/oclc/16865789","WorldCat Record")</f>
        <v>WorldCat Record</v>
      </c>
      <c r="AU2170" s="3" t="s">
        <v>26461</v>
      </c>
      <c r="AV2170" s="3" t="s">
        <v>26462</v>
      </c>
      <c r="AW2170" s="3" t="s">
        <v>26463</v>
      </c>
      <c r="AX2170" s="3" t="s">
        <v>26463</v>
      </c>
      <c r="AY2170" s="3" t="s">
        <v>26464</v>
      </c>
      <c r="AZ2170" s="3" t="s">
        <v>73</v>
      </c>
      <c r="BB2170" s="3" t="s">
        <v>26465</v>
      </c>
      <c r="BC2170" s="3" t="s">
        <v>26466</v>
      </c>
      <c r="BD2170" s="3" t="s">
        <v>26467</v>
      </c>
    </row>
    <row r="2171" spans="1:56" ht="51" customHeight="1" x14ac:dyDescent="0.25">
      <c r="A2171" s="7" t="s">
        <v>58</v>
      </c>
      <c r="B2171" s="2" t="s">
        <v>26468</v>
      </c>
      <c r="C2171" s="2" t="s">
        <v>26469</v>
      </c>
      <c r="D2171" s="2" t="s">
        <v>26470</v>
      </c>
      <c r="F2171" s="3" t="s">
        <v>58</v>
      </c>
      <c r="G2171" s="3" t="s">
        <v>59</v>
      </c>
      <c r="H2171" s="3" t="s">
        <v>58</v>
      </c>
      <c r="I2171" s="3" t="s">
        <v>68</v>
      </c>
      <c r="J2171" s="3" t="s">
        <v>60</v>
      </c>
      <c r="K2171" s="2" t="s">
        <v>26471</v>
      </c>
      <c r="L2171" s="2" t="s">
        <v>26472</v>
      </c>
      <c r="M2171" s="3" t="s">
        <v>479</v>
      </c>
      <c r="N2171" s="2" t="s">
        <v>1009</v>
      </c>
      <c r="O2171" s="3" t="s">
        <v>63</v>
      </c>
      <c r="P2171" s="3" t="s">
        <v>214</v>
      </c>
      <c r="R2171" s="3" t="s">
        <v>65</v>
      </c>
      <c r="S2171" s="4">
        <v>14</v>
      </c>
      <c r="T2171" s="4">
        <v>14</v>
      </c>
      <c r="U2171" s="5" t="s">
        <v>25176</v>
      </c>
      <c r="V2171" s="5" t="s">
        <v>25176</v>
      </c>
      <c r="W2171" s="5" t="s">
        <v>26473</v>
      </c>
      <c r="X2171" s="5" t="s">
        <v>26473</v>
      </c>
      <c r="Y2171" s="4">
        <v>923</v>
      </c>
      <c r="Z2171" s="4">
        <v>856</v>
      </c>
      <c r="AA2171" s="4">
        <v>1082</v>
      </c>
      <c r="AB2171" s="4">
        <v>12</v>
      </c>
      <c r="AC2171" s="4">
        <v>12</v>
      </c>
      <c r="AD2171" s="4">
        <v>31</v>
      </c>
      <c r="AE2171" s="4">
        <v>38</v>
      </c>
      <c r="AF2171" s="4">
        <v>9</v>
      </c>
      <c r="AG2171" s="4">
        <v>13</v>
      </c>
      <c r="AH2171" s="4">
        <v>6</v>
      </c>
      <c r="AI2171" s="4">
        <v>9</v>
      </c>
      <c r="AJ2171" s="4">
        <v>13</v>
      </c>
      <c r="AK2171" s="4">
        <v>15</v>
      </c>
      <c r="AL2171" s="4">
        <v>10</v>
      </c>
      <c r="AM2171" s="4">
        <v>10</v>
      </c>
      <c r="AN2171" s="4">
        <v>0</v>
      </c>
      <c r="AO2171" s="4">
        <v>0</v>
      </c>
      <c r="AP2171" s="3" t="s">
        <v>58</v>
      </c>
      <c r="AQ2171" s="3" t="s">
        <v>68</v>
      </c>
      <c r="AR2171" s="6" t="str">
        <f>HYPERLINK("http://catalog.hathitrust.org/Record/002880391","HathiTrust Record")</f>
        <v>HathiTrust Record</v>
      </c>
      <c r="AS2171" s="6" t="str">
        <f>HYPERLINK("https://creighton-primo.hosted.exlibrisgroup.com/primo-explore/search?tab=default_tab&amp;search_scope=EVERYTHING&amp;vid=01CRU&amp;lang=en_US&amp;offset=0&amp;query=any,contains,991002255929702656","Catalog Record")</f>
        <v>Catalog Record</v>
      </c>
      <c r="AT2171" s="6" t="str">
        <f>HYPERLINK("http://www.worldcat.org/oclc/29224154","WorldCat Record")</f>
        <v>WorldCat Record</v>
      </c>
      <c r="AU2171" s="3" t="s">
        <v>26474</v>
      </c>
      <c r="AV2171" s="3" t="s">
        <v>26475</v>
      </c>
      <c r="AW2171" s="3" t="s">
        <v>26476</v>
      </c>
      <c r="AX2171" s="3" t="s">
        <v>26476</v>
      </c>
      <c r="AY2171" s="3" t="s">
        <v>26477</v>
      </c>
      <c r="AZ2171" s="3" t="s">
        <v>73</v>
      </c>
      <c r="BB2171" s="3" t="s">
        <v>26478</v>
      </c>
      <c r="BC2171" s="3" t="s">
        <v>26479</v>
      </c>
      <c r="BD2171" s="3" t="s">
        <v>26480</v>
      </c>
    </row>
    <row r="2172" spans="1:56" ht="51" customHeight="1" x14ac:dyDescent="0.25">
      <c r="A2172" s="7" t="s">
        <v>58</v>
      </c>
      <c r="B2172" s="2" t="s">
        <v>26481</v>
      </c>
      <c r="C2172" s="2" t="s">
        <v>26482</v>
      </c>
      <c r="D2172" s="2" t="s">
        <v>26483</v>
      </c>
      <c r="F2172" s="3" t="s">
        <v>58</v>
      </c>
      <c r="G2172" s="3" t="s">
        <v>59</v>
      </c>
      <c r="H2172" s="3" t="s">
        <v>58</v>
      </c>
      <c r="I2172" s="3" t="s">
        <v>58</v>
      </c>
      <c r="J2172" s="3" t="s">
        <v>60</v>
      </c>
      <c r="K2172" s="2" t="s">
        <v>26484</v>
      </c>
      <c r="L2172" s="2" t="s">
        <v>26485</v>
      </c>
      <c r="M2172" s="3" t="s">
        <v>800</v>
      </c>
      <c r="O2172" s="3" t="s">
        <v>63</v>
      </c>
      <c r="P2172" s="3" t="s">
        <v>20170</v>
      </c>
      <c r="R2172" s="3" t="s">
        <v>65</v>
      </c>
      <c r="S2172" s="4">
        <v>11</v>
      </c>
      <c r="T2172" s="4">
        <v>11</v>
      </c>
      <c r="U2172" s="5" t="s">
        <v>899</v>
      </c>
      <c r="V2172" s="5" t="s">
        <v>899</v>
      </c>
      <c r="W2172" s="5" t="s">
        <v>26486</v>
      </c>
      <c r="X2172" s="5" t="s">
        <v>26486</v>
      </c>
      <c r="Y2172" s="4">
        <v>409</v>
      </c>
      <c r="Z2172" s="4">
        <v>279</v>
      </c>
      <c r="AA2172" s="4">
        <v>291</v>
      </c>
      <c r="AB2172" s="4">
        <v>4</v>
      </c>
      <c r="AC2172" s="4">
        <v>4</v>
      </c>
      <c r="AD2172" s="4">
        <v>15</v>
      </c>
      <c r="AE2172" s="4">
        <v>15</v>
      </c>
      <c r="AF2172" s="4">
        <v>4</v>
      </c>
      <c r="AG2172" s="4">
        <v>4</v>
      </c>
      <c r="AH2172" s="4">
        <v>3</v>
      </c>
      <c r="AI2172" s="4">
        <v>3</v>
      </c>
      <c r="AJ2172" s="4">
        <v>8</v>
      </c>
      <c r="AK2172" s="4">
        <v>8</v>
      </c>
      <c r="AL2172" s="4">
        <v>3</v>
      </c>
      <c r="AM2172" s="4">
        <v>3</v>
      </c>
      <c r="AN2172" s="4">
        <v>1</v>
      </c>
      <c r="AO2172" s="4">
        <v>1</v>
      </c>
      <c r="AP2172" s="3" t="s">
        <v>58</v>
      </c>
      <c r="AQ2172" s="3" t="s">
        <v>68</v>
      </c>
      <c r="AR2172" s="6" t="str">
        <f>HYPERLINK("http://catalog.hathitrust.org/Record/003004155","HathiTrust Record")</f>
        <v>HathiTrust Record</v>
      </c>
      <c r="AS2172" s="6" t="str">
        <f>HYPERLINK("https://creighton-primo.hosted.exlibrisgroup.com/primo-explore/search?tab=default_tab&amp;search_scope=EVERYTHING&amp;vid=01CRU&amp;lang=en_US&amp;offset=0&amp;query=any,contains,991002481969702656","Catalog Record")</f>
        <v>Catalog Record</v>
      </c>
      <c r="AT2172" s="6" t="str">
        <f>HYPERLINK("http://www.worldcat.org/oclc/32311396","WorldCat Record")</f>
        <v>WorldCat Record</v>
      </c>
      <c r="AU2172" s="3" t="s">
        <v>26487</v>
      </c>
      <c r="AV2172" s="3" t="s">
        <v>26488</v>
      </c>
      <c r="AW2172" s="3" t="s">
        <v>26489</v>
      </c>
      <c r="AX2172" s="3" t="s">
        <v>26489</v>
      </c>
      <c r="AY2172" s="3" t="s">
        <v>26490</v>
      </c>
      <c r="AZ2172" s="3" t="s">
        <v>73</v>
      </c>
      <c r="BB2172" s="3" t="s">
        <v>26491</v>
      </c>
      <c r="BC2172" s="3" t="s">
        <v>26492</v>
      </c>
      <c r="BD2172" s="3" t="s">
        <v>26493</v>
      </c>
    </row>
    <row r="2173" spans="1:56" ht="51" customHeight="1" x14ac:dyDescent="0.25">
      <c r="A2173" s="7" t="s">
        <v>58</v>
      </c>
      <c r="B2173" s="2" t="s">
        <v>26494</v>
      </c>
      <c r="C2173" s="2" t="s">
        <v>26495</v>
      </c>
      <c r="D2173" s="2" t="s">
        <v>26496</v>
      </c>
      <c r="F2173" s="3" t="s">
        <v>58</v>
      </c>
      <c r="G2173" s="3" t="s">
        <v>59</v>
      </c>
      <c r="H2173" s="3" t="s">
        <v>58</v>
      </c>
      <c r="I2173" s="3" t="s">
        <v>58</v>
      </c>
      <c r="J2173" s="3" t="s">
        <v>60</v>
      </c>
      <c r="L2173" s="2" t="s">
        <v>15802</v>
      </c>
      <c r="M2173" s="3" t="s">
        <v>759</v>
      </c>
      <c r="O2173" s="3" t="s">
        <v>63</v>
      </c>
      <c r="P2173" s="3" t="s">
        <v>2630</v>
      </c>
      <c r="R2173" s="3" t="s">
        <v>65</v>
      </c>
      <c r="S2173" s="4">
        <v>5</v>
      </c>
      <c r="T2173" s="4">
        <v>5</v>
      </c>
      <c r="U2173" s="5" t="s">
        <v>3670</v>
      </c>
      <c r="V2173" s="5" t="s">
        <v>3670</v>
      </c>
      <c r="W2173" s="5" t="s">
        <v>25029</v>
      </c>
      <c r="X2173" s="5" t="s">
        <v>25029</v>
      </c>
      <c r="Y2173" s="4">
        <v>274</v>
      </c>
      <c r="Z2173" s="4">
        <v>250</v>
      </c>
      <c r="AA2173" s="4">
        <v>311</v>
      </c>
      <c r="AB2173" s="4">
        <v>1</v>
      </c>
      <c r="AC2173" s="4">
        <v>2</v>
      </c>
      <c r="AD2173" s="4">
        <v>10</v>
      </c>
      <c r="AE2173" s="4">
        <v>13</v>
      </c>
      <c r="AF2173" s="4">
        <v>5</v>
      </c>
      <c r="AG2173" s="4">
        <v>5</v>
      </c>
      <c r="AH2173" s="4">
        <v>3</v>
      </c>
      <c r="AI2173" s="4">
        <v>3</v>
      </c>
      <c r="AJ2173" s="4">
        <v>5</v>
      </c>
      <c r="AK2173" s="4">
        <v>7</v>
      </c>
      <c r="AL2173" s="4">
        <v>0</v>
      </c>
      <c r="AM2173" s="4">
        <v>1</v>
      </c>
      <c r="AN2173" s="4">
        <v>0</v>
      </c>
      <c r="AO2173" s="4">
        <v>0</v>
      </c>
      <c r="AP2173" s="3" t="s">
        <v>58</v>
      </c>
      <c r="AQ2173" s="3" t="s">
        <v>58</v>
      </c>
      <c r="AS2173" s="6" t="str">
        <f>HYPERLINK("https://creighton-primo.hosted.exlibrisgroup.com/primo-explore/search?tab=default_tab&amp;search_scope=EVERYTHING&amp;vid=01CRU&amp;lang=en_US&amp;offset=0&amp;query=any,contains,991005007549702656","Catalog Record")</f>
        <v>Catalog Record</v>
      </c>
      <c r="AT2173" s="6" t="str">
        <f>HYPERLINK("http://www.worldcat.org/oclc/6580212","WorldCat Record")</f>
        <v>WorldCat Record</v>
      </c>
      <c r="AU2173" s="3" t="s">
        <v>26497</v>
      </c>
      <c r="AV2173" s="3" t="s">
        <v>26498</v>
      </c>
      <c r="AW2173" s="3" t="s">
        <v>26499</v>
      </c>
      <c r="AX2173" s="3" t="s">
        <v>26499</v>
      </c>
      <c r="AY2173" s="3" t="s">
        <v>26500</v>
      </c>
      <c r="AZ2173" s="3" t="s">
        <v>73</v>
      </c>
      <c r="BB2173" s="3" t="s">
        <v>26501</v>
      </c>
      <c r="BC2173" s="3" t="s">
        <v>26502</v>
      </c>
      <c r="BD2173" s="3" t="s">
        <v>26503</v>
      </c>
    </row>
    <row r="2174" spans="1:56" ht="51" customHeight="1" x14ac:dyDescent="0.25">
      <c r="A2174" s="7" t="s">
        <v>58</v>
      </c>
      <c r="B2174" s="2" t="s">
        <v>26504</v>
      </c>
      <c r="C2174" s="2" t="s">
        <v>26505</v>
      </c>
      <c r="D2174" s="2" t="s">
        <v>26506</v>
      </c>
      <c r="F2174" s="3" t="s">
        <v>58</v>
      </c>
      <c r="G2174" s="3" t="s">
        <v>59</v>
      </c>
      <c r="H2174" s="3" t="s">
        <v>58</v>
      </c>
      <c r="I2174" s="3" t="s">
        <v>58</v>
      </c>
      <c r="J2174" s="3" t="s">
        <v>60</v>
      </c>
      <c r="K2174" s="2" t="s">
        <v>26507</v>
      </c>
      <c r="L2174" s="2" t="s">
        <v>26508</v>
      </c>
      <c r="M2174" s="3" t="s">
        <v>83</v>
      </c>
      <c r="O2174" s="3" t="s">
        <v>63</v>
      </c>
      <c r="P2174" s="3" t="s">
        <v>214</v>
      </c>
      <c r="R2174" s="3" t="s">
        <v>65</v>
      </c>
      <c r="S2174" s="4">
        <v>3</v>
      </c>
      <c r="T2174" s="4">
        <v>3</v>
      </c>
      <c r="U2174" s="5" t="s">
        <v>26509</v>
      </c>
      <c r="V2174" s="5" t="s">
        <v>26509</v>
      </c>
      <c r="W2174" s="5" t="s">
        <v>25029</v>
      </c>
      <c r="X2174" s="5" t="s">
        <v>25029</v>
      </c>
      <c r="Y2174" s="4">
        <v>414</v>
      </c>
      <c r="Z2174" s="4">
        <v>327</v>
      </c>
      <c r="AA2174" s="4">
        <v>333</v>
      </c>
      <c r="AB2174" s="4">
        <v>3</v>
      </c>
      <c r="AC2174" s="4">
        <v>3</v>
      </c>
      <c r="AD2174" s="4">
        <v>14</v>
      </c>
      <c r="AE2174" s="4">
        <v>14</v>
      </c>
      <c r="AF2174" s="4">
        <v>5</v>
      </c>
      <c r="AG2174" s="4">
        <v>5</v>
      </c>
      <c r="AH2174" s="4">
        <v>4</v>
      </c>
      <c r="AI2174" s="4">
        <v>4</v>
      </c>
      <c r="AJ2174" s="4">
        <v>8</v>
      </c>
      <c r="AK2174" s="4">
        <v>8</v>
      </c>
      <c r="AL2174" s="4">
        <v>2</v>
      </c>
      <c r="AM2174" s="4">
        <v>2</v>
      </c>
      <c r="AN2174" s="4">
        <v>0</v>
      </c>
      <c r="AO2174" s="4">
        <v>0</v>
      </c>
      <c r="AP2174" s="3" t="s">
        <v>58</v>
      </c>
      <c r="AQ2174" s="3" t="s">
        <v>68</v>
      </c>
      <c r="AR2174" s="6" t="str">
        <f>HYPERLINK("http://catalog.hathitrust.org/Record/000260305","HathiTrust Record")</f>
        <v>HathiTrust Record</v>
      </c>
      <c r="AS2174" s="6" t="str">
        <f>HYPERLINK("https://creighton-primo.hosted.exlibrisgroup.com/primo-explore/search?tab=default_tab&amp;search_scope=EVERYTHING&amp;vid=01CRU&amp;lang=en_US&amp;offset=0&amp;query=any,contains,991004697959702656","Catalog Record")</f>
        <v>Catalog Record</v>
      </c>
      <c r="AT2174" s="6" t="str">
        <f>HYPERLINK("http://www.worldcat.org/oclc/4650082","WorldCat Record")</f>
        <v>WorldCat Record</v>
      </c>
      <c r="AU2174" s="3" t="s">
        <v>26510</v>
      </c>
      <c r="AV2174" s="3" t="s">
        <v>26511</v>
      </c>
      <c r="AW2174" s="3" t="s">
        <v>26512</v>
      </c>
      <c r="AX2174" s="3" t="s">
        <v>26512</v>
      </c>
      <c r="AY2174" s="3" t="s">
        <v>26513</v>
      </c>
      <c r="AZ2174" s="3" t="s">
        <v>73</v>
      </c>
      <c r="BB2174" s="3" t="s">
        <v>26514</v>
      </c>
      <c r="BC2174" s="3" t="s">
        <v>26515</v>
      </c>
      <c r="BD2174" s="3" t="s">
        <v>26516</v>
      </c>
    </row>
    <row r="2175" spans="1:56" ht="51" customHeight="1" x14ac:dyDescent="0.25">
      <c r="A2175" s="7" t="s">
        <v>58</v>
      </c>
      <c r="B2175" s="2" t="s">
        <v>26517</v>
      </c>
      <c r="C2175" s="2" t="s">
        <v>26518</v>
      </c>
      <c r="D2175" s="2" t="s">
        <v>26519</v>
      </c>
      <c r="F2175" s="3" t="s">
        <v>58</v>
      </c>
      <c r="G2175" s="3" t="s">
        <v>59</v>
      </c>
      <c r="H2175" s="3" t="s">
        <v>58</v>
      </c>
      <c r="I2175" s="3" t="s">
        <v>58</v>
      </c>
      <c r="J2175" s="3" t="s">
        <v>60</v>
      </c>
      <c r="K2175" s="2" t="s">
        <v>26194</v>
      </c>
      <c r="L2175" s="2" t="s">
        <v>26520</v>
      </c>
      <c r="M2175" s="3" t="s">
        <v>2295</v>
      </c>
      <c r="O2175" s="3" t="s">
        <v>63</v>
      </c>
      <c r="P2175" s="3" t="s">
        <v>214</v>
      </c>
      <c r="R2175" s="3" t="s">
        <v>65</v>
      </c>
      <c r="S2175" s="4">
        <v>12</v>
      </c>
      <c r="T2175" s="4">
        <v>12</v>
      </c>
      <c r="U2175" s="5" t="s">
        <v>26521</v>
      </c>
      <c r="V2175" s="5" t="s">
        <v>26521</v>
      </c>
      <c r="W2175" s="5" t="s">
        <v>2064</v>
      </c>
      <c r="X2175" s="5" t="s">
        <v>2064</v>
      </c>
      <c r="Y2175" s="4">
        <v>815</v>
      </c>
      <c r="Z2175" s="4">
        <v>704</v>
      </c>
      <c r="AA2175" s="4">
        <v>801</v>
      </c>
      <c r="AB2175" s="4">
        <v>5</v>
      </c>
      <c r="AC2175" s="4">
        <v>7</v>
      </c>
      <c r="AD2175" s="4">
        <v>32</v>
      </c>
      <c r="AE2175" s="4">
        <v>34</v>
      </c>
      <c r="AF2175" s="4">
        <v>15</v>
      </c>
      <c r="AG2175" s="4">
        <v>15</v>
      </c>
      <c r="AH2175" s="4">
        <v>8</v>
      </c>
      <c r="AI2175" s="4">
        <v>8</v>
      </c>
      <c r="AJ2175" s="4">
        <v>14</v>
      </c>
      <c r="AK2175" s="4">
        <v>15</v>
      </c>
      <c r="AL2175" s="4">
        <v>4</v>
      </c>
      <c r="AM2175" s="4">
        <v>5</v>
      </c>
      <c r="AN2175" s="4">
        <v>0</v>
      </c>
      <c r="AO2175" s="4">
        <v>0</v>
      </c>
      <c r="AP2175" s="3" t="s">
        <v>58</v>
      </c>
      <c r="AQ2175" s="3" t="s">
        <v>58</v>
      </c>
      <c r="AS2175" s="6" t="str">
        <f>HYPERLINK("https://creighton-primo.hosted.exlibrisgroup.com/primo-explore/search?tab=default_tab&amp;search_scope=EVERYTHING&amp;vid=01CRU&amp;lang=en_US&amp;offset=0&amp;query=any,contains,991004089199702656","Catalog Record")</f>
        <v>Catalog Record</v>
      </c>
      <c r="AT2175" s="6" t="str">
        <f>HYPERLINK("http://www.worldcat.org/oclc/50866940","WorldCat Record")</f>
        <v>WorldCat Record</v>
      </c>
      <c r="AU2175" s="3" t="s">
        <v>26522</v>
      </c>
      <c r="AV2175" s="3" t="s">
        <v>26523</v>
      </c>
      <c r="AW2175" s="3" t="s">
        <v>26524</v>
      </c>
      <c r="AX2175" s="3" t="s">
        <v>26524</v>
      </c>
      <c r="AY2175" s="3" t="s">
        <v>26525</v>
      </c>
      <c r="AZ2175" s="3" t="s">
        <v>73</v>
      </c>
      <c r="BB2175" s="3" t="s">
        <v>26526</v>
      </c>
      <c r="BC2175" s="3" t="s">
        <v>26527</v>
      </c>
      <c r="BD2175" s="3" t="s">
        <v>26528</v>
      </c>
    </row>
    <row r="2176" spans="1:56" ht="51" customHeight="1" x14ac:dyDescent="0.25">
      <c r="A2176" s="7" t="s">
        <v>58</v>
      </c>
      <c r="B2176" s="2" t="s">
        <v>26529</v>
      </c>
      <c r="C2176" s="2" t="s">
        <v>26530</v>
      </c>
      <c r="D2176" s="2" t="s">
        <v>26531</v>
      </c>
      <c r="F2176" s="3" t="s">
        <v>58</v>
      </c>
      <c r="G2176" s="3" t="s">
        <v>59</v>
      </c>
      <c r="H2176" s="3" t="s">
        <v>58</v>
      </c>
      <c r="I2176" s="3" t="s">
        <v>58</v>
      </c>
      <c r="J2176" s="3" t="s">
        <v>60</v>
      </c>
      <c r="K2176" s="2" t="s">
        <v>26532</v>
      </c>
      <c r="L2176" s="2" t="s">
        <v>26533</v>
      </c>
      <c r="M2176" s="3" t="s">
        <v>382</v>
      </c>
      <c r="O2176" s="3" t="s">
        <v>63</v>
      </c>
      <c r="P2176" s="3" t="s">
        <v>584</v>
      </c>
      <c r="Q2176" s="2" t="s">
        <v>26534</v>
      </c>
      <c r="R2176" s="3" t="s">
        <v>65</v>
      </c>
      <c r="S2176" s="4">
        <v>8</v>
      </c>
      <c r="T2176" s="4">
        <v>8</v>
      </c>
      <c r="U2176" s="5" t="s">
        <v>22702</v>
      </c>
      <c r="V2176" s="5" t="s">
        <v>22702</v>
      </c>
      <c r="W2176" s="5" t="s">
        <v>26535</v>
      </c>
      <c r="X2176" s="5" t="s">
        <v>26535</v>
      </c>
      <c r="Y2176" s="4">
        <v>499</v>
      </c>
      <c r="Z2176" s="4">
        <v>363</v>
      </c>
      <c r="AA2176" s="4">
        <v>368</v>
      </c>
      <c r="AB2176" s="4">
        <v>4</v>
      </c>
      <c r="AC2176" s="4">
        <v>4</v>
      </c>
      <c r="AD2176" s="4">
        <v>23</v>
      </c>
      <c r="AE2176" s="4">
        <v>23</v>
      </c>
      <c r="AF2176" s="4">
        <v>10</v>
      </c>
      <c r="AG2176" s="4">
        <v>10</v>
      </c>
      <c r="AH2176" s="4">
        <v>5</v>
      </c>
      <c r="AI2176" s="4">
        <v>5</v>
      </c>
      <c r="AJ2176" s="4">
        <v>12</v>
      </c>
      <c r="AK2176" s="4">
        <v>12</v>
      </c>
      <c r="AL2176" s="4">
        <v>3</v>
      </c>
      <c r="AM2176" s="4">
        <v>3</v>
      </c>
      <c r="AN2176" s="4">
        <v>0</v>
      </c>
      <c r="AO2176" s="4">
        <v>0</v>
      </c>
      <c r="AP2176" s="3" t="s">
        <v>58</v>
      </c>
      <c r="AQ2176" s="3" t="s">
        <v>58</v>
      </c>
      <c r="AS2176" s="6" t="str">
        <f>HYPERLINK("https://creighton-primo.hosted.exlibrisgroup.com/primo-explore/search?tab=default_tab&amp;search_scope=EVERYTHING&amp;vid=01CRU&amp;lang=en_US&amp;offset=0&amp;query=any,contains,991003688539702656","Catalog Record")</f>
        <v>Catalog Record</v>
      </c>
      <c r="AT2176" s="6" t="str">
        <f>HYPERLINK("http://www.worldcat.org/oclc/40174500","WorldCat Record")</f>
        <v>WorldCat Record</v>
      </c>
      <c r="AU2176" s="3" t="s">
        <v>26536</v>
      </c>
      <c r="AV2176" s="3" t="s">
        <v>26537</v>
      </c>
      <c r="AW2176" s="3" t="s">
        <v>26538</v>
      </c>
      <c r="AX2176" s="3" t="s">
        <v>26538</v>
      </c>
      <c r="AY2176" s="3" t="s">
        <v>26539</v>
      </c>
      <c r="AZ2176" s="3" t="s">
        <v>73</v>
      </c>
      <c r="BB2176" s="3" t="s">
        <v>26540</v>
      </c>
      <c r="BC2176" s="3" t="s">
        <v>26541</v>
      </c>
      <c r="BD2176" s="3" t="s">
        <v>26542</v>
      </c>
    </row>
    <row r="2177" spans="1:56" ht="51" customHeight="1" x14ac:dyDescent="0.25">
      <c r="A2177" s="7" t="s">
        <v>58</v>
      </c>
      <c r="B2177" s="2" t="s">
        <v>26543</v>
      </c>
      <c r="C2177" s="2" t="s">
        <v>26544</v>
      </c>
      <c r="D2177" s="2" t="s">
        <v>26545</v>
      </c>
      <c r="F2177" s="3" t="s">
        <v>58</v>
      </c>
      <c r="G2177" s="3" t="s">
        <v>59</v>
      </c>
      <c r="H2177" s="3" t="s">
        <v>58</v>
      </c>
      <c r="I2177" s="3" t="s">
        <v>58</v>
      </c>
      <c r="J2177" s="3" t="s">
        <v>60</v>
      </c>
      <c r="K2177" s="2" t="s">
        <v>10978</v>
      </c>
      <c r="L2177" s="2" t="s">
        <v>26546</v>
      </c>
      <c r="M2177" s="3" t="s">
        <v>951</v>
      </c>
      <c r="O2177" s="3" t="s">
        <v>63</v>
      </c>
      <c r="P2177" s="3" t="s">
        <v>20170</v>
      </c>
      <c r="R2177" s="3" t="s">
        <v>65</v>
      </c>
      <c r="S2177" s="4">
        <v>5</v>
      </c>
      <c r="T2177" s="4">
        <v>5</v>
      </c>
      <c r="U2177" s="5" t="s">
        <v>26547</v>
      </c>
      <c r="V2177" s="5" t="s">
        <v>26547</v>
      </c>
      <c r="W2177" s="5" t="s">
        <v>425</v>
      </c>
      <c r="X2177" s="5" t="s">
        <v>425</v>
      </c>
      <c r="Y2177" s="4">
        <v>172</v>
      </c>
      <c r="Z2177" s="4">
        <v>113</v>
      </c>
      <c r="AA2177" s="4">
        <v>237</v>
      </c>
      <c r="AB2177" s="4">
        <v>2</v>
      </c>
      <c r="AC2177" s="4">
        <v>3</v>
      </c>
      <c r="AD2177" s="4">
        <v>8</v>
      </c>
      <c r="AE2177" s="4">
        <v>13</v>
      </c>
      <c r="AF2177" s="4">
        <v>3</v>
      </c>
      <c r="AG2177" s="4">
        <v>4</v>
      </c>
      <c r="AH2177" s="4">
        <v>2</v>
      </c>
      <c r="AI2177" s="4">
        <v>5</v>
      </c>
      <c r="AJ2177" s="4">
        <v>5</v>
      </c>
      <c r="AK2177" s="4">
        <v>6</v>
      </c>
      <c r="AL2177" s="4">
        <v>1</v>
      </c>
      <c r="AM2177" s="4">
        <v>2</v>
      </c>
      <c r="AN2177" s="4">
        <v>0</v>
      </c>
      <c r="AO2177" s="4">
        <v>0</v>
      </c>
      <c r="AP2177" s="3" t="s">
        <v>58</v>
      </c>
      <c r="AQ2177" s="3" t="s">
        <v>58</v>
      </c>
      <c r="AS2177" s="6" t="str">
        <f>HYPERLINK("https://creighton-primo.hosted.exlibrisgroup.com/primo-explore/search?tab=default_tab&amp;search_scope=EVERYTHING&amp;vid=01CRU&amp;lang=en_US&amp;offset=0&amp;query=any,contains,991003538349702656","Catalog Record")</f>
        <v>Catalog Record</v>
      </c>
      <c r="AT2177" s="6" t="str">
        <f>HYPERLINK("http://www.worldcat.org/oclc/46465498","WorldCat Record")</f>
        <v>WorldCat Record</v>
      </c>
      <c r="AU2177" s="3" t="s">
        <v>26548</v>
      </c>
      <c r="AV2177" s="3" t="s">
        <v>26549</v>
      </c>
      <c r="AW2177" s="3" t="s">
        <v>26550</v>
      </c>
      <c r="AX2177" s="3" t="s">
        <v>26550</v>
      </c>
      <c r="AY2177" s="3" t="s">
        <v>26551</v>
      </c>
      <c r="AZ2177" s="3" t="s">
        <v>73</v>
      </c>
      <c r="BB2177" s="3" t="s">
        <v>26552</v>
      </c>
      <c r="BC2177" s="3" t="s">
        <v>26553</v>
      </c>
      <c r="BD2177" s="3" t="s">
        <v>26554</v>
      </c>
    </row>
    <row r="2178" spans="1:56" ht="51" customHeight="1" x14ac:dyDescent="0.25">
      <c r="A2178" s="7" t="s">
        <v>58</v>
      </c>
      <c r="B2178" s="2" t="s">
        <v>26555</v>
      </c>
      <c r="C2178" s="2" t="s">
        <v>26556</v>
      </c>
      <c r="D2178" s="2" t="s">
        <v>26557</v>
      </c>
      <c r="F2178" s="3" t="s">
        <v>58</v>
      </c>
      <c r="G2178" s="3" t="s">
        <v>59</v>
      </c>
      <c r="H2178" s="3" t="s">
        <v>58</v>
      </c>
      <c r="I2178" s="3" t="s">
        <v>58</v>
      </c>
      <c r="J2178" s="3" t="s">
        <v>60</v>
      </c>
      <c r="K2178" s="2" t="s">
        <v>26558</v>
      </c>
      <c r="L2178" s="2" t="s">
        <v>26559</v>
      </c>
      <c r="M2178" s="3" t="s">
        <v>397</v>
      </c>
      <c r="N2178" s="2" t="s">
        <v>1009</v>
      </c>
      <c r="O2178" s="3" t="s">
        <v>63</v>
      </c>
      <c r="P2178" s="3" t="s">
        <v>816</v>
      </c>
      <c r="R2178" s="3" t="s">
        <v>65</v>
      </c>
      <c r="S2178" s="4">
        <v>7</v>
      </c>
      <c r="T2178" s="4">
        <v>7</v>
      </c>
      <c r="U2178" s="5" t="s">
        <v>26560</v>
      </c>
      <c r="V2178" s="5" t="s">
        <v>26560</v>
      </c>
      <c r="W2178" s="5" t="s">
        <v>20145</v>
      </c>
      <c r="X2178" s="5" t="s">
        <v>20145</v>
      </c>
      <c r="Y2178" s="4">
        <v>1969</v>
      </c>
      <c r="Z2178" s="4">
        <v>1897</v>
      </c>
      <c r="AA2178" s="4">
        <v>2034</v>
      </c>
      <c r="AB2178" s="4">
        <v>19</v>
      </c>
      <c r="AC2178" s="4">
        <v>20</v>
      </c>
      <c r="AD2178" s="4">
        <v>33</v>
      </c>
      <c r="AE2178" s="4">
        <v>35</v>
      </c>
      <c r="AF2178" s="4">
        <v>13</v>
      </c>
      <c r="AG2178" s="4">
        <v>14</v>
      </c>
      <c r="AH2178" s="4">
        <v>4</v>
      </c>
      <c r="AI2178" s="4">
        <v>4</v>
      </c>
      <c r="AJ2178" s="4">
        <v>12</v>
      </c>
      <c r="AK2178" s="4">
        <v>13</v>
      </c>
      <c r="AL2178" s="4">
        <v>9</v>
      </c>
      <c r="AM2178" s="4">
        <v>10</v>
      </c>
      <c r="AN2178" s="4">
        <v>1</v>
      </c>
      <c r="AO2178" s="4">
        <v>1</v>
      </c>
      <c r="AP2178" s="3" t="s">
        <v>58</v>
      </c>
      <c r="AQ2178" s="3" t="s">
        <v>68</v>
      </c>
      <c r="AR2178" s="6" t="str">
        <f>HYPERLINK("http://catalog.hathitrust.org/Record/000653608","HathiTrust Record")</f>
        <v>HathiTrust Record</v>
      </c>
      <c r="AS2178" s="6" t="str">
        <f>HYPERLINK("https://creighton-primo.hosted.exlibrisgroup.com/primo-explore/search?tab=default_tab&amp;search_scope=EVERYTHING&amp;vid=01CRU&amp;lang=en_US&amp;offset=0&amp;query=any,contains,991000436709702656","Catalog Record")</f>
        <v>Catalog Record</v>
      </c>
      <c r="AT2178" s="6" t="str">
        <f>HYPERLINK("http://www.worldcat.org/oclc/10799170","WorldCat Record")</f>
        <v>WorldCat Record</v>
      </c>
      <c r="AU2178" s="3" t="s">
        <v>26561</v>
      </c>
      <c r="AV2178" s="3" t="s">
        <v>26562</v>
      </c>
      <c r="AW2178" s="3" t="s">
        <v>26563</v>
      </c>
      <c r="AX2178" s="3" t="s">
        <v>26563</v>
      </c>
      <c r="AY2178" s="3" t="s">
        <v>26564</v>
      </c>
      <c r="AZ2178" s="3" t="s">
        <v>73</v>
      </c>
      <c r="BB2178" s="3" t="s">
        <v>26565</v>
      </c>
      <c r="BC2178" s="3" t="s">
        <v>26566</v>
      </c>
      <c r="BD2178" s="3" t="s">
        <v>26567</v>
      </c>
    </row>
    <row r="2179" spans="1:56" ht="51" customHeight="1" x14ac:dyDescent="0.25">
      <c r="A2179" s="7" t="s">
        <v>58</v>
      </c>
      <c r="B2179" s="2" t="s">
        <v>26568</v>
      </c>
      <c r="C2179" s="2" t="s">
        <v>26569</v>
      </c>
      <c r="D2179" s="2" t="s">
        <v>26570</v>
      </c>
      <c r="F2179" s="3" t="s">
        <v>58</v>
      </c>
      <c r="G2179" s="3" t="s">
        <v>59</v>
      </c>
      <c r="H2179" s="3" t="s">
        <v>58</v>
      </c>
      <c r="I2179" s="3" t="s">
        <v>58</v>
      </c>
      <c r="J2179" s="3" t="s">
        <v>60</v>
      </c>
      <c r="K2179" s="2" t="s">
        <v>26571</v>
      </c>
      <c r="L2179" s="2" t="s">
        <v>26572</v>
      </c>
      <c r="M2179" s="3" t="s">
        <v>524</v>
      </c>
      <c r="N2179" s="2" t="s">
        <v>338</v>
      </c>
      <c r="O2179" s="3" t="s">
        <v>63</v>
      </c>
      <c r="P2179" s="3" t="s">
        <v>214</v>
      </c>
      <c r="R2179" s="3" t="s">
        <v>65</v>
      </c>
      <c r="S2179" s="4">
        <v>1</v>
      </c>
      <c r="T2179" s="4">
        <v>1</v>
      </c>
      <c r="U2179" s="5" t="s">
        <v>1747</v>
      </c>
      <c r="V2179" s="5" t="s">
        <v>1747</v>
      </c>
      <c r="W2179" s="5" t="s">
        <v>26573</v>
      </c>
      <c r="X2179" s="5" t="s">
        <v>26573</v>
      </c>
      <c r="Y2179" s="4">
        <v>892</v>
      </c>
      <c r="Z2179" s="4">
        <v>825</v>
      </c>
      <c r="AA2179" s="4">
        <v>835</v>
      </c>
      <c r="AB2179" s="4">
        <v>4</v>
      </c>
      <c r="AC2179" s="4">
        <v>4</v>
      </c>
      <c r="AD2179" s="4">
        <v>25</v>
      </c>
      <c r="AE2179" s="4">
        <v>25</v>
      </c>
      <c r="AF2179" s="4">
        <v>9</v>
      </c>
      <c r="AG2179" s="4">
        <v>9</v>
      </c>
      <c r="AH2179" s="4">
        <v>5</v>
      </c>
      <c r="AI2179" s="4">
        <v>5</v>
      </c>
      <c r="AJ2179" s="4">
        <v>16</v>
      </c>
      <c r="AK2179" s="4">
        <v>16</v>
      </c>
      <c r="AL2179" s="4">
        <v>3</v>
      </c>
      <c r="AM2179" s="4">
        <v>3</v>
      </c>
      <c r="AN2179" s="4">
        <v>0</v>
      </c>
      <c r="AO2179" s="4">
        <v>0</v>
      </c>
      <c r="AP2179" s="3" t="s">
        <v>58</v>
      </c>
      <c r="AQ2179" s="3" t="s">
        <v>68</v>
      </c>
      <c r="AR2179" s="6" t="str">
        <f>HYPERLINK("http://catalog.hathitrust.org/Record/000665572","HathiTrust Record")</f>
        <v>HathiTrust Record</v>
      </c>
      <c r="AS2179" s="6" t="str">
        <f>HYPERLINK("https://creighton-primo.hosted.exlibrisgroup.com/primo-explore/search?tab=default_tab&amp;search_scope=EVERYTHING&amp;vid=01CRU&amp;lang=en_US&amp;offset=0&amp;query=any,contains,991000764619702656","Catalog Record")</f>
        <v>Catalog Record</v>
      </c>
      <c r="AT2179" s="6" t="str">
        <f>HYPERLINK("http://www.worldcat.org/oclc/12978800","WorldCat Record")</f>
        <v>WorldCat Record</v>
      </c>
      <c r="AU2179" s="3" t="s">
        <v>26574</v>
      </c>
      <c r="AV2179" s="3" t="s">
        <v>26575</v>
      </c>
      <c r="AW2179" s="3" t="s">
        <v>26576</v>
      </c>
      <c r="AX2179" s="3" t="s">
        <v>26576</v>
      </c>
      <c r="AY2179" s="3" t="s">
        <v>26577</v>
      </c>
      <c r="AZ2179" s="3" t="s">
        <v>73</v>
      </c>
      <c r="BB2179" s="3" t="s">
        <v>26578</v>
      </c>
      <c r="BC2179" s="3" t="s">
        <v>26579</v>
      </c>
      <c r="BD2179" s="3" t="s">
        <v>26580</v>
      </c>
    </row>
    <row r="2180" spans="1:56" ht="51" customHeight="1" x14ac:dyDescent="0.25">
      <c r="A2180" s="7" t="s">
        <v>58</v>
      </c>
      <c r="B2180" s="2" t="s">
        <v>26581</v>
      </c>
      <c r="C2180" s="2" t="s">
        <v>26582</v>
      </c>
      <c r="D2180" s="2" t="s">
        <v>26583</v>
      </c>
      <c r="F2180" s="3" t="s">
        <v>58</v>
      </c>
      <c r="G2180" s="3" t="s">
        <v>59</v>
      </c>
      <c r="H2180" s="3" t="s">
        <v>58</v>
      </c>
      <c r="I2180" s="3" t="s">
        <v>58</v>
      </c>
      <c r="J2180" s="3" t="s">
        <v>60</v>
      </c>
      <c r="K2180" s="2" t="s">
        <v>26584</v>
      </c>
      <c r="L2180" s="2" t="s">
        <v>26585</v>
      </c>
      <c r="M2180" s="3" t="s">
        <v>382</v>
      </c>
      <c r="O2180" s="3" t="s">
        <v>63</v>
      </c>
      <c r="P2180" s="3" t="s">
        <v>214</v>
      </c>
      <c r="R2180" s="3" t="s">
        <v>65</v>
      </c>
      <c r="S2180" s="4">
        <v>4</v>
      </c>
      <c r="T2180" s="4">
        <v>4</v>
      </c>
      <c r="U2180" s="5" t="s">
        <v>26586</v>
      </c>
      <c r="V2180" s="5" t="s">
        <v>26586</v>
      </c>
      <c r="W2180" s="5" t="s">
        <v>26586</v>
      </c>
      <c r="X2180" s="5" t="s">
        <v>26586</v>
      </c>
      <c r="Y2180" s="4">
        <v>360</v>
      </c>
      <c r="Z2180" s="4">
        <v>281</v>
      </c>
      <c r="AA2180" s="4">
        <v>300</v>
      </c>
      <c r="AB2180" s="4">
        <v>2</v>
      </c>
      <c r="AC2180" s="4">
        <v>2</v>
      </c>
      <c r="AD2180" s="4">
        <v>10</v>
      </c>
      <c r="AE2180" s="4">
        <v>10</v>
      </c>
      <c r="AF2180" s="4">
        <v>3</v>
      </c>
      <c r="AG2180" s="4">
        <v>3</v>
      </c>
      <c r="AH2180" s="4">
        <v>2</v>
      </c>
      <c r="AI2180" s="4">
        <v>2</v>
      </c>
      <c r="AJ2180" s="4">
        <v>6</v>
      </c>
      <c r="AK2180" s="4">
        <v>6</v>
      </c>
      <c r="AL2180" s="4">
        <v>1</v>
      </c>
      <c r="AM2180" s="4">
        <v>1</v>
      </c>
      <c r="AN2180" s="4">
        <v>0</v>
      </c>
      <c r="AO2180" s="4">
        <v>0</v>
      </c>
      <c r="AP2180" s="3" t="s">
        <v>58</v>
      </c>
      <c r="AQ2180" s="3" t="s">
        <v>58</v>
      </c>
      <c r="AS2180" s="6" t="str">
        <f>HYPERLINK("https://creighton-primo.hosted.exlibrisgroup.com/primo-explore/search?tab=default_tab&amp;search_scope=EVERYTHING&amp;vid=01CRU&amp;lang=en_US&amp;offset=0&amp;query=any,contains,991003766199702656","Catalog Record")</f>
        <v>Catalog Record</v>
      </c>
      <c r="AT2180" s="6" t="str">
        <f>HYPERLINK("http://www.worldcat.org/oclc/39069255","WorldCat Record")</f>
        <v>WorldCat Record</v>
      </c>
      <c r="AU2180" s="3" t="s">
        <v>26587</v>
      </c>
      <c r="AV2180" s="3" t="s">
        <v>26588</v>
      </c>
      <c r="AW2180" s="3" t="s">
        <v>26589</v>
      </c>
      <c r="AX2180" s="3" t="s">
        <v>26589</v>
      </c>
      <c r="AY2180" s="3" t="s">
        <v>26590</v>
      </c>
      <c r="AZ2180" s="3" t="s">
        <v>73</v>
      </c>
      <c r="BB2180" s="3" t="s">
        <v>26591</v>
      </c>
      <c r="BC2180" s="3" t="s">
        <v>26592</v>
      </c>
      <c r="BD2180" s="3" t="s">
        <v>26593</v>
      </c>
    </row>
    <row r="2181" spans="1:56" ht="51" customHeight="1" x14ac:dyDescent="0.25">
      <c r="A2181" s="7" t="s">
        <v>58</v>
      </c>
      <c r="B2181" s="2" t="s">
        <v>26594</v>
      </c>
      <c r="C2181" s="2" t="s">
        <v>26595</v>
      </c>
      <c r="D2181" s="2" t="s">
        <v>26596</v>
      </c>
      <c r="F2181" s="3" t="s">
        <v>58</v>
      </c>
      <c r="G2181" s="3" t="s">
        <v>59</v>
      </c>
      <c r="H2181" s="3" t="s">
        <v>58</v>
      </c>
      <c r="I2181" s="3" t="s">
        <v>58</v>
      </c>
      <c r="J2181" s="3" t="s">
        <v>60</v>
      </c>
      <c r="L2181" s="2" t="s">
        <v>26597</v>
      </c>
      <c r="M2181" s="3" t="s">
        <v>154</v>
      </c>
      <c r="O2181" s="3" t="s">
        <v>63</v>
      </c>
      <c r="P2181" s="3" t="s">
        <v>2630</v>
      </c>
      <c r="R2181" s="3" t="s">
        <v>65</v>
      </c>
      <c r="S2181" s="4">
        <v>8</v>
      </c>
      <c r="T2181" s="4">
        <v>8</v>
      </c>
      <c r="U2181" s="5" t="s">
        <v>19884</v>
      </c>
      <c r="V2181" s="5" t="s">
        <v>19884</v>
      </c>
      <c r="W2181" s="5" t="s">
        <v>5187</v>
      </c>
      <c r="X2181" s="5" t="s">
        <v>5187</v>
      </c>
      <c r="Y2181" s="4">
        <v>536</v>
      </c>
      <c r="Z2181" s="4">
        <v>422</v>
      </c>
      <c r="AA2181" s="4">
        <v>444</v>
      </c>
      <c r="AB2181" s="4">
        <v>4</v>
      </c>
      <c r="AC2181" s="4">
        <v>4</v>
      </c>
      <c r="AD2181" s="4">
        <v>22</v>
      </c>
      <c r="AE2181" s="4">
        <v>22</v>
      </c>
      <c r="AF2181" s="4">
        <v>7</v>
      </c>
      <c r="AG2181" s="4">
        <v>7</v>
      </c>
      <c r="AH2181" s="4">
        <v>8</v>
      </c>
      <c r="AI2181" s="4">
        <v>8</v>
      </c>
      <c r="AJ2181" s="4">
        <v>11</v>
      </c>
      <c r="AK2181" s="4">
        <v>11</v>
      </c>
      <c r="AL2181" s="4">
        <v>3</v>
      </c>
      <c r="AM2181" s="4">
        <v>3</v>
      </c>
      <c r="AN2181" s="4">
        <v>0</v>
      </c>
      <c r="AO2181" s="4">
        <v>0</v>
      </c>
      <c r="AP2181" s="3" t="s">
        <v>58</v>
      </c>
      <c r="AQ2181" s="3" t="s">
        <v>68</v>
      </c>
      <c r="AR2181" s="6" t="str">
        <f>HYPERLINK("http://catalog.hathitrust.org/Record/001833711","HathiTrust Record")</f>
        <v>HathiTrust Record</v>
      </c>
      <c r="AS2181" s="6" t="str">
        <f>HYPERLINK("https://creighton-primo.hosted.exlibrisgroup.com/primo-explore/search?tab=default_tab&amp;search_scope=EVERYTHING&amp;vid=01CRU&amp;lang=en_US&amp;offset=0&amp;query=any,contains,991001533459702656","Catalog Record")</f>
        <v>Catalog Record</v>
      </c>
      <c r="AT2181" s="6" t="str">
        <f>HYPERLINK("http://www.worldcat.org/oclc/20056614","WorldCat Record")</f>
        <v>WorldCat Record</v>
      </c>
      <c r="AU2181" s="3" t="s">
        <v>26598</v>
      </c>
      <c r="AV2181" s="3" t="s">
        <v>26599</v>
      </c>
      <c r="AW2181" s="3" t="s">
        <v>26600</v>
      </c>
      <c r="AX2181" s="3" t="s">
        <v>26600</v>
      </c>
      <c r="AY2181" s="3" t="s">
        <v>26601</v>
      </c>
      <c r="AZ2181" s="3" t="s">
        <v>73</v>
      </c>
      <c r="BB2181" s="3" t="s">
        <v>26602</v>
      </c>
      <c r="BC2181" s="3" t="s">
        <v>26603</v>
      </c>
      <c r="BD2181" s="3" t="s">
        <v>26604</v>
      </c>
    </row>
    <row r="2182" spans="1:56" ht="51" customHeight="1" x14ac:dyDescent="0.25">
      <c r="A2182" s="7" t="s">
        <v>58</v>
      </c>
      <c r="B2182" s="2" t="s">
        <v>26605</v>
      </c>
      <c r="C2182" s="2" t="s">
        <v>26606</v>
      </c>
      <c r="D2182" s="2" t="s">
        <v>26607</v>
      </c>
      <c r="F2182" s="3" t="s">
        <v>58</v>
      </c>
      <c r="G2182" s="3" t="s">
        <v>59</v>
      </c>
      <c r="H2182" s="3" t="s">
        <v>58</v>
      </c>
      <c r="I2182" s="3" t="s">
        <v>58</v>
      </c>
      <c r="J2182" s="3" t="s">
        <v>60</v>
      </c>
      <c r="K2182" s="2" t="s">
        <v>26608</v>
      </c>
      <c r="L2182" s="2" t="s">
        <v>11232</v>
      </c>
      <c r="M2182" s="3" t="s">
        <v>196</v>
      </c>
      <c r="O2182" s="3" t="s">
        <v>63</v>
      </c>
      <c r="P2182" s="3" t="s">
        <v>354</v>
      </c>
      <c r="R2182" s="3" t="s">
        <v>65</v>
      </c>
      <c r="S2182" s="4">
        <v>10</v>
      </c>
      <c r="T2182" s="4">
        <v>10</v>
      </c>
      <c r="U2182" s="5" t="s">
        <v>4367</v>
      </c>
      <c r="V2182" s="5" t="s">
        <v>4367</v>
      </c>
      <c r="W2182" s="5" t="s">
        <v>26609</v>
      </c>
      <c r="X2182" s="5" t="s">
        <v>26609</v>
      </c>
      <c r="Y2182" s="4">
        <v>148</v>
      </c>
      <c r="Z2182" s="4">
        <v>98</v>
      </c>
      <c r="AA2182" s="4">
        <v>790</v>
      </c>
      <c r="AB2182" s="4">
        <v>2</v>
      </c>
      <c r="AC2182" s="4">
        <v>7</v>
      </c>
      <c r="AD2182" s="4">
        <v>4</v>
      </c>
      <c r="AE2182" s="4">
        <v>38</v>
      </c>
      <c r="AF2182" s="4">
        <v>1</v>
      </c>
      <c r="AG2182" s="4">
        <v>14</v>
      </c>
      <c r="AH2182" s="4">
        <v>0</v>
      </c>
      <c r="AI2182" s="4">
        <v>11</v>
      </c>
      <c r="AJ2182" s="4">
        <v>2</v>
      </c>
      <c r="AK2182" s="4">
        <v>18</v>
      </c>
      <c r="AL2182" s="4">
        <v>1</v>
      </c>
      <c r="AM2182" s="4">
        <v>6</v>
      </c>
      <c r="AN2182" s="4">
        <v>0</v>
      </c>
      <c r="AO2182" s="4">
        <v>0</v>
      </c>
      <c r="AP2182" s="3" t="s">
        <v>58</v>
      </c>
      <c r="AQ2182" s="3" t="s">
        <v>58</v>
      </c>
      <c r="AS2182" s="6" t="str">
        <f>HYPERLINK("https://creighton-primo.hosted.exlibrisgroup.com/primo-explore/search?tab=default_tab&amp;search_scope=EVERYTHING&amp;vid=01CRU&amp;lang=en_US&amp;offset=0&amp;query=any,contains,991002643759702656","Catalog Record")</f>
        <v>Catalog Record</v>
      </c>
      <c r="AT2182" s="6" t="str">
        <f>HYPERLINK("http://www.worldcat.org/oclc/37196894","WorldCat Record")</f>
        <v>WorldCat Record</v>
      </c>
      <c r="AU2182" s="3" t="s">
        <v>26610</v>
      </c>
      <c r="AV2182" s="3" t="s">
        <v>26611</v>
      </c>
      <c r="AW2182" s="3" t="s">
        <v>26612</v>
      </c>
      <c r="AX2182" s="3" t="s">
        <v>26612</v>
      </c>
      <c r="AY2182" s="3" t="s">
        <v>26613</v>
      </c>
      <c r="AZ2182" s="3" t="s">
        <v>73</v>
      </c>
      <c r="BB2182" s="3" t="s">
        <v>26614</v>
      </c>
      <c r="BC2182" s="3" t="s">
        <v>26615</v>
      </c>
      <c r="BD2182" s="3" t="s">
        <v>26616</v>
      </c>
    </row>
    <row r="2183" spans="1:56" ht="51" customHeight="1" x14ac:dyDescent="0.25">
      <c r="A2183" s="7" t="s">
        <v>58</v>
      </c>
      <c r="B2183" s="2" t="s">
        <v>26617</v>
      </c>
      <c r="C2183" s="2" t="s">
        <v>26618</v>
      </c>
      <c r="D2183" s="2" t="s">
        <v>26619</v>
      </c>
      <c r="F2183" s="3" t="s">
        <v>58</v>
      </c>
      <c r="G2183" s="3" t="s">
        <v>59</v>
      </c>
      <c r="H2183" s="3" t="s">
        <v>58</v>
      </c>
      <c r="I2183" s="3" t="s">
        <v>58</v>
      </c>
      <c r="J2183" s="3" t="s">
        <v>60</v>
      </c>
      <c r="K2183" s="2" t="s">
        <v>26620</v>
      </c>
      <c r="L2183" s="2" t="s">
        <v>26621</v>
      </c>
      <c r="M2183" s="3" t="s">
        <v>83</v>
      </c>
      <c r="O2183" s="3" t="s">
        <v>63</v>
      </c>
      <c r="P2183" s="3" t="s">
        <v>214</v>
      </c>
      <c r="R2183" s="3" t="s">
        <v>65</v>
      </c>
      <c r="S2183" s="4">
        <v>2</v>
      </c>
      <c r="T2183" s="4">
        <v>2</v>
      </c>
      <c r="U2183" s="5" t="s">
        <v>26622</v>
      </c>
      <c r="V2183" s="5" t="s">
        <v>26622</v>
      </c>
      <c r="W2183" s="5" t="s">
        <v>26573</v>
      </c>
      <c r="X2183" s="5" t="s">
        <v>26573</v>
      </c>
      <c r="Y2183" s="4">
        <v>472</v>
      </c>
      <c r="Z2183" s="4">
        <v>334</v>
      </c>
      <c r="AA2183" s="4">
        <v>599</v>
      </c>
      <c r="AB2183" s="4">
        <v>2</v>
      </c>
      <c r="AC2183" s="4">
        <v>3</v>
      </c>
      <c r="AD2183" s="4">
        <v>15</v>
      </c>
      <c r="AE2183" s="4">
        <v>19</v>
      </c>
      <c r="AF2183" s="4">
        <v>3</v>
      </c>
      <c r="AG2183" s="4">
        <v>4</v>
      </c>
      <c r="AH2183" s="4">
        <v>2</v>
      </c>
      <c r="AI2183" s="4">
        <v>4</v>
      </c>
      <c r="AJ2183" s="4">
        <v>11</v>
      </c>
      <c r="AK2183" s="4">
        <v>12</v>
      </c>
      <c r="AL2183" s="4">
        <v>1</v>
      </c>
      <c r="AM2183" s="4">
        <v>2</v>
      </c>
      <c r="AN2183" s="4">
        <v>0</v>
      </c>
      <c r="AO2183" s="4">
        <v>0</v>
      </c>
      <c r="AP2183" s="3" t="s">
        <v>58</v>
      </c>
      <c r="AQ2183" s="3" t="s">
        <v>68</v>
      </c>
      <c r="AR2183" s="6" t="str">
        <f>HYPERLINK("http://catalog.hathitrust.org/Record/000178426","HathiTrust Record")</f>
        <v>HathiTrust Record</v>
      </c>
      <c r="AS2183" s="6" t="str">
        <f>HYPERLINK("https://creighton-primo.hosted.exlibrisgroup.com/primo-explore/search?tab=default_tab&amp;search_scope=EVERYTHING&amp;vid=01CRU&amp;lang=en_US&amp;offset=0&amp;query=any,contains,991004579759702656","Catalog Record")</f>
        <v>Catalog Record</v>
      </c>
      <c r="AT2183" s="6" t="str">
        <f>HYPERLINK("http://www.worldcat.org/oclc/4056382","WorldCat Record")</f>
        <v>WorldCat Record</v>
      </c>
      <c r="AU2183" s="3" t="s">
        <v>26623</v>
      </c>
      <c r="AV2183" s="3" t="s">
        <v>26624</v>
      </c>
      <c r="AW2183" s="3" t="s">
        <v>26625</v>
      </c>
      <c r="AX2183" s="3" t="s">
        <v>26625</v>
      </c>
      <c r="AY2183" s="3" t="s">
        <v>26626</v>
      </c>
      <c r="AZ2183" s="3" t="s">
        <v>73</v>
      </c>
      <c r="BB2183" s="3" t="s">
        <v>26627</v>
      </c>
      <c r="BC2183" s="3" t="s">
        <v>26628</v>
      </c>
      <c r="BD2183" s="3" t="s">
        <v>26629</v>
      </c>
    </row>
    <row r="2184" spans="1:56" ht="51" customHeight="1" x14ac:dyDescent="0.25">
      <c r="A2184" s="7" t="s">
        <v>58</v>
      </c>
      <c r="B2184" s="2" t="s">
        <v>26630</v>
      </c>
      <c r="C2184" s="2" t="s">
        <v>26631</v>
      </c>
      <c r="D2184" s="2" t="s">
        <v>26632</v>
      </c>
      <c r="F2184" s="3" t="s">
        <v>58</v>
      </c>
      <c r="G2184" s="3" t="s">
        <v>59</v>
      </c>
      <c r="H2184" s="3" t="s">
        <v>58</v>
      </c>
      <c r="I2184" s="3" t="s">
        <v>58</v>
      </c>
      <c r="J2184" s="3" t="s">
        <v>60</v>
      </c>
      <c r="K2184" s="2" t="s">
        <v>26633</v>
      </c>
      <c r="L2184" s="2" t="s">
        <v>26634</v>
      </c>
      <c r="M2184" s="3" t="s">
        <v>1091</v>
      </c>
      <c r="N2184" s="2" t="s">
        <v>338</v>
      </c>
      <c r="O2184" s="3" t="s">
        <v>63</v>
      </c>
      <c r="P2184" s="3" t="s">
        <v>214</v>
      </c>
      <c r="R2184" s="3" t="s">
        <v>65</v>
      </c>
      <c r="S2184" s="4">
        <v>3</v>
      </c>
      <c r="T2184" s="4">
        <v>3</v>
      </c>
      <c r="U2184" s="5" t="s">
        <v>26635</v>
      </c>
      <c r="V2184" s="5" t="s">
        <v>26635</v>
      </c>
      <c r="W2184" s="5" t="s">
        <v>9452</v>
      </c>
      <c r="X2184" s="5" t="s">
        <v>9452</v>
      </c>
      <c r="Y2184" s="4">
        <v>660</v>
      </c>
      <c r="Z2184" s="4">
        <v>608</v>
      </c>
      <c r="AA2184" s="4">
        <v>687</v>
      </c>
      <c r="AB2184" s="4">
        <v>4</v>
      </c>
      <c r="AC2184" s="4">
        <v>4</v>
      </c>
      <c r="AD2184" s="4">
        <v>26</v>
      </c>
      <c r="AE2184" s="4">
        <v>28</v>
      </c>
      <c r="AF2184" s="4">
        <v>11</v>
      </c>
      <c r="AG2184" s="4">
        <v>12</v>
      </c>
      <c r="AH2184" s="4">
        <v>7</v>
      </c>
      <c r="AI2184" s="4">
        <v>7</v>
      </c>
      <c r="AJ2184" s="4">
        <v>14</v>
      </c>
      <c r="AK2184" s="4">
        <v>15</v>
      </c>
      <c r="AL2184" s="4">
        <v>3</v>
      </c>
      <c r="AM2184" s="4">
        <v>3</v>
      </c>
      <c r="AN2184" s="4">
        <v>0</v>
      </c>
      <c r="AO2184" s="4">
        <v>0</v>
      </c>
      <c r="AP2184" s="3" t="s">
        <v>58</v>
      </c>
      <c r="AQ2184" s="3" t="s">
        <v>68</v>
      </c>
      <c r="AR2184" s="6" t="str">
        <f>HYPERLINK("http://catalog.hathitrust.org/Record/004262857","HathiTrust Record")</f>
        <v>HathiTrust Record</v>
      </c>
      <c r="AS2184" s="6" t="str">
        <f>HYPERLINK("https://creighton-primo.hosted.exlibrisgroup.com/primo-explore/search?tab=default_tab&amp;search_scope=EVERYTHING&amp;vid=01CRU&amp;lang=en_US&amp;offset=0&amp;query=any,contains,991003645799702656","Catalog Record")</f>
        <v>Catalog Record</v>
      </c>
      <c r="AT2184" s="6" t="str">
        <f>HYPERLINK("http://www.worldcat.org/oclc/46343171","WorldCat Record")</f>
        <v>WorldCat Record</v>
      </c>
      <c r="AU2184" s="3" t="s">
        <v>26636</v>
      </c>
      <c r="AV2184" s="3" t="s">
        <v>26637</v>
      </c>
      <c r="AW2184" s="3" t="s">
        <v>26638</v>
      </c>
      <c r="AX2184" s="3" t="s">
        <v>26638</v>
      </c>
      <c r="AY2184" s="3" t="s">
        <v>26639</v>
      </c>
      <c r="AZ2184" s="3" t="s">
        <v>73</v>
      </c>
      <c r="BB2184" s="3" t="s">
        <v>26640</v>
      </c>
      <c r="BC2184" s="3" t="s">
        <v>26641</v>
      </c>
      <c r="BD2184" s="3" t="s">
        <v>26642</v>
      </c>
    </row>
    <row r="2185" spans="1:56" ht="51" customHeight="1" x14ac:dyDescent="0.25">
      <c r="A2185" s="7" t="s">
        <v>58</v>
      </c>
      <c r="B2185" s="2" t="s">
        <v>26643</v>
      </c>
      <c r="C2185" s="2" t="s">
        <v>26644</v>
      </c>
      <c r="D2185" s="2" t="s">
        <v>26645</v>
      </c>
      <c r="F2185" s="3" t="s">
        <v>58</v>
      </c>
      <c r="G2185" s="3" t="s">
        <v>59</v>
      </c>
      <c r="H2185" s="3" t="s">
        <v>58</v>
      </c>
      <c r="I2185" s="3" t="s">
        <v>58</v>
      </c>
      <c r="J2185" s="3" t="s">
        <v>60</v>
      </c>
      <c r="L2185" s="2" t="s">
        <v>26646</v>
      </c>
      <c r="M2185" s="3" t="s">
        <v>898</v>
      </c>
      <c r="O2185" s="3" t="s">
        <v>63</v>
      </c>
      <c r="P2185" s="3" t="s">
        <v>3109</v>
      </c>
      <c r="R2185" s="3" t="s">
        <v>65</v>
      </c>
      <c r="S2185" s="4">
        <v>3</v>
      </c>
      <c r="T2185" s="4">
        <v>3</v>
      </c>
      <c r="U2185" s="5" t="s">
        <v>20390</v>
      </c>
      <c r="V2185" s="5" t="s">
        <v>20390</v>
      </c>
      <c r="W2185" s="5" t="s">
        <v>6431</v>
      </c>
      <c r="X2185" s="5" t="s">
        <v>6431</v>
      </c>
      <c r="Y2185" s="4">
        <v>314</v>
      </c>
      <c r="Z2185" s="4">
        <v>236</v>
      </c>
      <c r="AA2185" s="4">
        <v>253</v>
      </c>
      <c r="AB2185" s="4">
        <v>2</v>
      </c>
      <c r="AC2185" s="4">
        <v>2</v>
      </c>
      <c r="AD2185" s="4">
        <v>15</v>
      </c>
      <c r="AE2185" s="4">
        <v>16</v>
      </c>
      <c r="AF2185" s="4">
        <v>7</v>
      </c>
      <c r="AG2185" s="4">
        <v>8</v>
      </c>
      <c r="AH2185" s="4">
        <v>4</v>
      </c>
      <c r="AI2185" s="4">
        <v>5</v>
      </c>
      <c r="AJ2185" s="4">
        <v>7</v>
      </c>
      <c r="AK2185" s="4">
        <v>7</v>
      </c>
      <c r="AL2185" s="4">
        <v>1</v>
      </c>
      <c r="AM2185" s="4">
        <v>1</v>
      </c>
      <c r="AN2185" s="4">
        <v>0</v>
      </c>
      <c r="AO2185" s="4">
        <v>0</v>
      </c>
      <c r="AP2185" s="3" t="s">
        <v>58</v>
      </c>
      <c r="AQ2185" s="3" t="s">
        <v>68</v>
      </c>
      <c r="AR2185" s="6" t="str">
        <f>HYPERLINK("http://catalog.hathitrust.org/Record/005420668","HathiTrust Record")</f>
        <v>HathiTrust Record</v>
      </c>
      <c r="AS2185" s="6" t="str">
        <f>HYPERLINK("https://creighton-primo.hosted.exlibrisgroup.com/primo-explore/search?tab=default_tab&amp;search_scope=EVERYTHING&amp;vid=01CRU&amp;lang=en_US&amp;offset=0&amp;query=any,contains,991005033529702656","Catalog Record")</f>
        <v>Catalog Record</v>
      </c>
      <c r="AT2185" s="6" t="str">
        <f>HYPERLINK("http://www.worldcat.org/oclc/62326765","WorldCat Record")</f>
        <v>WorldCat Record</v>
      </c>
      <c r="AU2185" s="3" t="s">
        <v>26647</v>
      </c>
      <c r="AV2185" s="3" t="s">
        <v>26648</v>
      </c>
      <c r="AW2185" s="3" t="s">
        <v>26649</v>
      </c>
      <c r="AX2185" s="3" t="s">
        <v>26649</v>
      </c>
      <c r="AY2185" s="3" t="s">
        <v>26650</v>
      </c>
      <c r="AZ2185" s="3" t="s">
        <v>73</v>
      </c>
      <c r="BB2185" s="3" t="s">
        <v>26651</v>
      </c>
      <c r="BC2185" s="3" t="s">
        <v>26652</v>
      </c>
      <c r="BD2185" s="3" t="s">
        <v>26653</v>
      </c>
    </row>
    <row r="2186" spans="1:56" ht="51" customHeight="1" x14ac:dyDescent="0.25">
      <c r="A2186" s="7" t="s">
        <v>58</v>
      </c>
      <c r="B2186" s="2" t="s">
        <v>26654</v>
      </c>
      <c r="C2186" s="2" t="s">
        <v>26655</v>
      </c>
      <c r="D2186" s="2" t="s">
        <v>26656</v>
      </c>
      <c r="F2186" s="3" t="s">
        <v>58</v>
      </c>
      <c r="G2186" s="3" t="s">
        <v>59</v>
      </c>
      <c r="H2186" s="3" t="s">
        <v>58</v>
      </c>
      <c r="I2186" s="3" t="s">
        <v>58</v>
      </c>
      <c r="J2186" s="3" t="s">
        <v>60</v>
      </c>
      <c r="L2186" s="2" t="s">
        <v>26657</v>
      </c>
      <c r="M2186" s="3" t="s">
        <v>898</v>
      </c>
      <c r="N2186" s="2" t="s">
        <v>338</v>
      </c>
      <c r="O2186" s="3" t="s">
        <v>63</v>
      </c>
      <c r="P2186" s="3" t="s">
        <v>214</v>
      </c>
      <c r="R2186" s="3" t="s">
        <v>65</v>
      </c>
      <c r="S2186" s="4">
        <v>12</v>
      </c>
      <c r="T2186" s="4">
        <v>12</v>
      </c>
      <c r="U2186" s="5" t="s">
        <v>4298</v>
      </c>
      <c r="V2186" s="5" t="s">
        <v>4298</v>
      </c>
      <c r="W2186" s="5" t="s">
        <v>19691</v>
      </c>
      <c r="X2186" s="5" t="s">
        <v>19691</v>
      </c>
      <c r="Y2186" s="4">
        <v>987</v>
      </c>
      <c r="Z2186" s="4">
        <v>801</v>
      </c>
      <c r="AA2186" s="4">
        <v>894</v>
      </c>
      <c r="AB2186" s="4">
        <v>5</v>
      </c>
      <c r="AC2186" s="4">
        <v>7</v>
      </c>
      <c r="AD2186" s="4">
        <v>34</v>
      </c>
      <c r="AE2186" s="4">
        <v>37</v>
      </c>
      <c r="AF2186" s="4">
        <v>15</v>
      </c>
      <c r="AG2186" s="4">
        <v>16</v>
      </c>
      <c r="AH2186" s="4">
        <v>8</v>
      </c>
      <c r="AI2186" s="4">
        <v>8</v>
      </c>
      <c r="AJ2186" s="4">
        <v>13</v>
      </c>
      <c r="AK2186" s="4">
        <v>14</v>
      </c>
      <c r="AL2186" s="4">
        <v>4</v>
      </c>
      <c r="AM2186" s="4">
        <v>6</v>
      </c>
      <c r="AN2186" s="4">
        <v>1</v>
      </c>
      <c r="AO2186" s="4">
        <v>1</v>
      </c>
      <c r="AP2186" s="3" t="s">
        <v>58</v>
      </c>
      <c r="AQ2186" s="3" t="s">
        <v>58</v>
      </c>
      <c r="AS2186" s="6" t="str">
        <f>HYPERLINK("https://creighton-primo.hosted.exlibrisgroup.com/primo-explore/search?tab=default_tab&amp;search_scope=EVERYTHING&amp;vid=01CRU&amp;lang=en_US&amp;offset=0&amp;query=any,contains,991004844079702656","Catalog Record")</f>
        <v>Catalog Record</v>
      </c>
      <c r="AT2186" s="6" t="str">
        <f>HYPERLINK("http://www.worldcat.org/oclc/65400743","WorldCat Record")</f>
        <v>WorldCat Record</v>
      </c>
      <c r="AU2186" s="3" t="s">
        <v>26658</v>
      </c>
      <c r="AV2186" s="3" t="s">
        <v>26659</v>
      </c>
      <c r="AW2186" s="3" t="s">
        <v>26660</v>
      </c>
      <c r="AX2186" s="3" t="s">
        <v>26660</v>
      </c>
      <c r="AY2186" s="3" t="s">
        <v>26661</v>
      </c>
      <c r="AZ2186" s="3" t="s">
        <v>73</v>
      </c>
      <c r="BB2186" s="3" t="s">
        <v>26662</v>
      </c>
      <c r="BC2186" s="3" t="s">
        <v>26663</v>
      </c>
      <c r="BD2186" s="3" t="s">
        <v>26664</v>
      </c>
    </row>
    <row r="2187" spans="1:56" ht="51" customHeight="1" x14ac:dyDescent="0.25">
      <c r="A2187" s="7" t="s">
        <v>58</v>
      </c>
      <c r="B2187" s="2" t="s">
        <v>26665</v>
      </c>
      <c r="C2187" s="2" t="s">
        <v>26666</v>
      </c>
      <c r="D2187" s="2" t="s">
        <v>26667</v>
      </c>
      <c r="F2187" s="3" t="s">
        <v>58</v>
      </c>
      <c r="G2187" s="3" t="s">
        <v>59</v>
      </c>
      <c r="H2187" s="3" t="s">
        <v>58</v>
      </c>
      <c r="I2187" s="3" t="s">
        <v>58</v>
      </c>
      <c r="J2187" s="3" t="s">
        <v>60</v>
      </c>
      <c r="K2187" s="2" t="s">
        <v>26668</v>
      </c>
      <c r="L2187" s="2" t="s">
        <v>26669</v>
      </c>
      <c r="M2187" s="3" t="s">
        <v>423</v>
      </c>
      <c r="N2187" s="2" t="s">
        <v>26670</v>
      </c>
      <c r="O2187" s="3" t="s">
        <v>63</v>
      </c>
      <c r="P2187" s="3" t="s">
        <v>64</v>
      </c>
      <c r="R2187" s="3" t="s">
        <v>65</v>
      </c>
      <c r="S2187" s="4">
        <v>5</v>
      </c>
      <c r="T2187" s="4">
        <v>5</v>
      </c>
      <c r="U2187" s="5" t="s">
        <v>9791</v>
      </c>
      <c r="V2187" s="5" t="s">
        <v>9791</v>
      </c>
      <c r="W2187" s="5" t="s">
        <v>26671</v>
      </c>
      <c r="X2187" s="5" t="s">
        <v>26671</v>
      </c>
      <c r="Y2187" s="4">
        <v>185</v>
      </c>
      <c r="Z2187" s="4">
        <v>108</v>
      </c>
      <c r="AA2187" s="4">
        <v>266</v>
      </c>
      <c r="AB2187" s="4">
        <v>2</v>
      </c>
      <c r="AC2187" s="4">
        <v>3</v>
      </c>
      <c r="AD2187" s="4">
        <v>7</v>
      </c>
      <c r="AE2187" s="4">
        <v>19</v>
      </c>
      <c r="AF2187" s="4">
        <v>2</v>
      </c>
      <c r="AG2187" s="4">
        <v>6</v>
      </c>
      <c r="AH2187" s="4">
        <v>1</v>
      </c>
      <c r="AI2187" s="4">
        <v>6</v>
      </c>
      <c r="AJ2187" s="4">
        <v>4</v>
      </c>
      <c r="AK2187" s="4">
        <v>10</v>
      </c>
      <c r="AL2187" s="4">
        <v>1</v>
      </c>
      <c r="AM2187" s="4">
        <v>2</v>
      </c>
      <c r="AN2187" s="4">
        <v>0</v>
      </c>
      <c r="AO2187" s="4">
        <v>0</v>
      </c>
      <c r="AP2187" s="3" t="s">
        <v>58</v>
      </c>
      <c r="AQ2187" s="3" t="s">
        <v>58</v>
      </c>
      <c r="AS2187" s="6" t="str">
        <f>HYPERLINK("https://creighton-primo.hosted.exlibrisgroup.com/primo-explore/search?tab=default_tab&amp;search_scope=EVERYTHING&amp;vid=01CRU&amp;lang=en_US&amp;offset=0&amp;query=any,contains,991002926929702656","Catalog Record")</f>
        <v>Catalog Record</v>
      </c>
      <c r="AT2187" s="6" t="str">
        <f>HYPERLINK("http://www.worldcat.org/oclc/40716346","WorldCat Record")</f>
        <v>WorldCat Record</v>
      </c>
      <c r="AU2187" s="3" t="s">
        <v>26672</v>
      </c>
      <c r="AV2187" s="3" t="s">
        <v>26673</v>
      </c>
      <c r="AW2187" s="3" t="s">
        <v>26674</v>
      </c>
      <c r="AX2187" s="3" t="s">
        <v>26674</v>
      </c>
      <c r="AY2187" s="3" t="s">
        <v>26675</v>
      </c>
      <c r="AZ2187" s="3" t="s">
        <v>73</v>
      </c>
      <c r="BB2187" s="3" t="s">
        <v>26676</v>
      </c>
      <c r="BC2187" s="3" t="s">
        <v>26677</v>
      </c>
      <c r="BD2187" s="3" t="s">
        <v>26678</v>
      </c>
    </row>
    <row r="2188" spans="1:56" ht="51" customHeight="1" x14ac:dyDescent="0.25">
      <c r="A2188" s="7" t="s">
        <v>58</v>
      </c>
      <c r="B2188" s="2" t="s">
        <v>26679</v>
      </c>
      <c r="C2188" s="2" t="s">
        <v>26680</v>
      </c>
      <c r="D2188" s="2" t="s">
        <v>26681</v>
      </c>
      <c r="F2188" s="3" t="s">
        <v>58</v>
      </c>
      <c r="G2188" s="3" t="s">
        <v>59</v>
      </c>
      <c r="H2188" s="3" t="s">
        <v>58</v>
      </c>
      <c r="I2188" s="3" t="s">
        <v>58</v>
      </c>
      <c r="J2188" s="3" t="s">
        <v>60</v>
      </c>
      <c r="L2188" s="2" t="s">
        <v>26682</v>
      </c>
      <c r="M2188" s="3" t="s">
        <v>951</v>
      </c>
      <c r="O2188" s="3" t="s">
        <v>63</v>
      </c>
      <c r="P2188" s="3" t="s">
        <v>2630</v>
      </c>
      <c r="R2188" s="3" t="s">
        <v>65</v>
      </c>
      <c r="S2188" s="4">
        <v>4</v>
      </c>
      <c r="T2188" s="4">
        <v>4</v>
      </c>
      <c r="U2188" s="5" t="s">
        <v>26683</v>
      </c>
      <c r="V2188" s="5" t="s">
        <v>26683</v>
      </c>
      <c r="W2188" s="5" t="s">
        <v>22675</v>
      </c>
      <c r="X2188" s="5" t="s">
        <v>22675</v>
      </c>
      <c r="Y2188" s="4">
        <v>507</v>
      </c>
      <c r="Z2188" s="4">
        <v>403</v>
      </c>
      <c r="AA2188" s="4">
        <v>407</v>
      </c>
      <c r="AB2188" s="4">
        <v>2</v>
      </c>
      <c r="AC2188" s="4">
        <v>2</v>
      </c>
      <c r="AD2188" s="4">
        <v>24</v>
      </c>
      <c r="AE2188" s="4">
        <v>24</v>
      </c>
      <c r="AF2188" s="4">
        <v>11</v>
      </c>
      <c r="AG2188" s="4">
        <v>11</v>
      </c>
      <c r="AH2188" s="4">
        <v>9</v>
      </c>
      <c r="AI2188" s="4">
        <v>9</v>
      </c>
      <c r="AJ2188" s="4">
        <v>10</v>
      </c>
      <c r="AK2188" s="4">
        <v>10</v>
      </c>
      <c r="AL2188" s="4">
        <v>1</v>
      </c>
      <c r="AM2188" s="4">
        <v>1</v>
      </c>
      <c r="AN2188" s="4">
        <v>0</v>
      </c>
      <c r="AO2188" s="4">
        <v>0</v>
      </c>
      <c r="AP2188" s="3" t="s">
        <v>58</v>
      </c>
      <c r="AQ2188" s="3" t="s">
        <v>58</v>
      </c>
      <c r="AS2188" s="6" t="str">
        <f>HYPERLINK("https://creighton-primo.hosted.exlibrisgroup.com/primo-explore/search?tab=default_tab&amp;search_scope=EVERYTHING&amp;vid=01CRU&amp;lang=en_US&amp;offset=0&amp;query=any,contains,991003875899702656","Catalog Record")</f>
        <v>Catalog Record</v>
      </c>
      <c r="AT2188" s="6" t="str">
        <f>HYPERLINK("http://www.worldcat.org/oclc/42641740","WorldCat Record")</f>
        <v>WorldCat Record</v>
      </c>
      <c r="AU2188" s="3" t="s">
        <v>26684</v>
      </c>
      <c r="AV2188" s="3" t="s">
        <v>26685</v>
      </c>
      <c r="AW2188" s="3" t="s">
        <v>26686</v>
      </c>
      <c r="AX2188" s="3" t="s">
        <v>26686</v>
      </c>
      <c r="AY2188" s="3" t="s">
        <v>26687</v>
      </c>
      <c r="AZ2188" s="3" t="s">
        <v>73</v>
      </c>
      <c r="BB2188" s="3" t="s">
        <v>26688</v>
      </c>
      <c r="BC2188" s="3" t="s">
        <v>26689</v>
      </c>
      <c r="BD2188" s="3" t="s">
        <v>26690</v>
      </c>
    </row>
    <row r="2189" spans="1:56" ht="51" customHeight="1" x14ac:dyDescent="0.25">
      <c r="A2189" s="7" t="s">
        <v>58</v>
      </c>
      <c r="B2189" s="2" t="s">
        <v>26691</v>
      </c>
      <c r="C2189" s="2" t="s">
        <v>26692</v>
      </c>
      <c r="D2189" s="2" t="s">
        <v>26693</v>
      </c>
      <c r="F2189" s="3" t="s">
        <v>58</v>
      </c>
      <c r="G2189" s="3" t="s">
        <v>59</v>
      </c>
      <c r="H2189" s="3" t="s">
        <v>58</v>
      </c>
      <c r="I2189" s="3" t="s">
        <v>58</v>
      </c>
      <c r="J2189" s="3" t="s">
        <v>60</v>
      </c>
      <c r="L2189" s="2" t="s">
        <v>15802</v>
      </c>
      <c r="M2189" s="3" t="s">
        <v>759</v>
      </c>
      <c r="O2189" s="3" t="s">
        <v>63</v>
      </c>
      <c r="P2189" s="3" t="s">
        <v>2630</v>
      </c>
      <c r="Q2189" s="2" t="s">
        <v>26694</v>
      </c>
      <c r="R2189" s="3" t="s">
        <v>65</v>
      </c>
      <c r="S2189" s="4">
        <v>2</v>
      </c>
      <c r="T2189" s="4">
        <v>2</v>
      </c>
      <c r="U2189" s="5" t="s">
        <v>12015</v>
      </c>
      <c r="V2189" s="5" t="s">
        <v>12015</v>
      </c>
      <c r="W2189" s="5" t="s">
        <v>26573</v>
      </c>
      <c r="X2189" s="5" t="s">
        <v>26573</v>
      </c>
      <c r="Y2189" s="4">
        <v>417</v>
      </c>
      <c r="Z2189" s="4">
        <v>328</v>
      </c>
      <c r="AA2189" s="4">
        <v>349</v>
      </c>
      <c r="AB2189" s="4">
        <v>4</v>
      </c>
      <c r="AC2189" s="4">
        <v>4</v>
      </c>
      <c r="AD2189" s="4">
        <v>17</v>
      </c>
      <c r="AE2189" s="4">
        <v>17</v>
      </c>
      <c r="AF2189" s="4">
        <v>5</v>
      </c>
      <c r="AG2189" s="4">
        <v>5</v>
      </c>
      <c r="AH2189" s="4">
        <v>5</v>
      </c>
      <c r="AI2189" s="4">
        <v>5</v>
      </c>
      <c r="AJ2189" s="4">
        <v>6</v>
      </c>
      <c r="AK2189" s="4">
        <v>6</v>
      </c>
      <c r="AL2189" s="4">
        <v>3</v>
      </c>
      <c r="AM2189" s="4">
        <v>3</v>
      </c>
      <c r="AN2189" s="4">
        <v>1</v>
      </c>
      <c r="AO2189" s="4">
        <v>1</v>
      </c>
      <c r="AP2189" s="3" t="s">
        <v>58</v>
      </c>
      <c r="AQ2189" s="3" t="s">
        <v>68</v>
      </c>
      <c r="AR2189" s="6" t="str">
        <f>HYPERLINK("http://catalog.hathitrust.org/Record/000707686","HathiTrust Record")</f>
        <v>HathiTrust Record</v>
      </c>
      <c r="AS2189" s="6" t="str">
        <f>HYPERLINK("https://creighton-primo.hosted.exlibrisgroup.com/primo-explore/search?tab=default_tab&amp;search_scope=EVERYTHING&amp;vid=01CRU&amp;lang=en_US&amp;offset=0&amp;query=any,contains,991004855449702656","Catalog Record")</f>
        <v>Catalog Record</v>
      </c>
      <c r="AT2189" s="6" t="str">
        <f>HYPERLINK("http://www.worldcat.org/oclc/5674124","WorldCat Record")</f>
        <v>WorldCat Record</v>
      </c>
      <c r="AU2189" s="3" t="s">
        <v>26695</v>
      </c>
      <c r="AV2189" s="3" t="s">
        <v>26696</v>
      </c>
      <c r="AW2189" s="3" t="s">
        <v>26697</v>
      </c>
      <c r="AX2189" s="3" t="s">
        <v>26697</v>
      </c>
      <c r="AY2189" s="3" t="s">
        <v>26698</v>
      </c>
      <c r="AZ2189" s="3" t="s">
        <v>73</v>
      </c>
      <c r="BB2189" s="3" t="s">
        <v>26699</v>
      </c>
      <c r="BC2189" s="3" t="s">
        <v>26700</v>
      </c>
      <c r="BD2189" s="3" t="s">
        <v>26701</v>
      </c>
    </row>
    <row r="2190" spans="1:56" ht="51" customHeight="1" x14ac:dyDescent="0.25">
      <c r="A2190" s="7" t="s">
        <v>58</v>
      </c>
      <c r="B2190" s="2" t="s">
        <v>26702</v>
      </c>
      <c r="C2190" s="2" t="s">
        <v>26703</v>
      </c>
      <c r="D2190" s="2" t="s">
        <v>26704</v>
      </c>
      <c r="F2190" s="3" t="s">
        <v>58</v>
      </c>
      <c r="G2190" s="3" t="s">
        <v>59</v>
      </c>
      <c r="H2190" s="3" t="s">
        <v>58</v>
      </c>
      <c r="I2190" s="3" t="s">
        <v>58</v>
      </c>
      <c r="J2190" s="3" t="s">
        <v>60</v>
      </c>
      <c r="L2190" s="2" t="s">
        <v>26705</v>
      </c>
      <c r="M2190" s="3" t="s">
        <v>479</v>
      </c>
      <c r="O2190" s="3" t="s">
        <v>63</v>
      </c>
      <c r="P2190" s="3" t="s">
        <v>1837</v>
      </c>
      <c r="R2190" s="3" t="s">
        <v>65</v>
      </c>
      <c r="S2190" s="4">
        <v>12</v>
      </c>
      <c r="T2190" s="4">
        <v>12</v>
      </c>
      <c r="U2190" s="5" t="s">
        <v>26706</v>
      </c>
      <c r="V2190" s="5" t="s">
        <v>26706</v>
      </c>
      <c r="W2190" s="5" t="s">
        <v>23571</v>
      </c>
      <c r="X2190" s="5" t="s">
        <v>23571</v>
      </c>
      <c r="Y2190" s="4">
        <v>308</v>
      </c>
      <c r="Z2190" s="4">
        <v>266</v>
      </c>
      <c r="AA2190" s="4">
        <v>292</v>
      </c>
      <c r="AB2190" s="4">
        <v>2</v>
      </c>
      <c r="AC2190" s="4">
        <v>2</v>
      </c>
      <c r="AD2190" s="4">
        <v>11</v>
      </c>
      <c r="AE2190" s="4">
        <v>12</v>
      </c>
      <c r="AF2190" s="4">
        <v>5</v>
      </c>
      <c r="AG2190" s="4">
        <v>5</v>
      </c>
      <c r="AH2190" s="4">
        <v>2</v>
      </c>
      <c r="AI2190" s="4">
        <v>2</v>
      </c>
      <c r="AJ2190" s="4">
        <v>4</v>
      </c>
      <c r="AK2190" s="4">
        <v>4</v>
      </c>
      <c r="AL2190" s="4">
        <v>1</v>
      </c>
      <c r="AM2190" s="4">
        <v>1</v>
      </c>
      <c r="AN2190" s="4">
        <v>0</v>
      </c>
      <c r="AO2190" s="4">
        <v>1</v>
      </c>
      <c r="AP2190" s="3" t="s">
        <v>58</v>
      </c>
      <c r="AQ2190" s="3" t="s">
        <v>68</v>
      </c>
      <c r="AR2190" s="6" t="str">
        <f>HYPERLINK("http://catalog.hathitrust.org/Record/003047699","HathiTrust Record")</f>
        <v>HathiTrust Record</v>
      </c>
      <c r="AS2190" s="6" t="str">
        <f>HYPERLINK("https://creighton-primo.hosted.exlibrisgroup.com/primo-explore/search?tab=default_tab&amp;search_scope=EVERYTHING&amp;vid=01CRU&amp;lang=en_US&amp;offset=0&amp;query=any,contains,991002217469702656","Catalog Record")</f>
        <v>Catalog Record</v>
      </c>
      <c r="AT2190" s="6" t="str">
        <f>HYPERLINK("http://www.worldcat.org/oclc/28550088","WorldCat Record")</f>
        <v>WorldCat Record</v>
      </c>
      <c r="AU2190" s="3" t="s">
        <v>26707</v>
      </c>
      <c r="AV2190" s="3" t="s">
        <v>26708</v>
      </c>
      <c r="AW2190" s="3" t="s">
        <v>26709</v>
      </c>
      <c r="AX2190" s="3" t="s">
        <v>26709</v>
      </c>
      <c r="AY2190" s="3" t="s">
        <v>26710</v>
      </c>
      <c r="AZ2190" s="3" t="s">
        <v>73</v>
      </c>
      <c r="BB2190" s="3" t="s">
        <v>26711</v>
      </c>
      <c r="BC2190" s="3" t="s">
        <v>26712</v>
      </c>
      <c r="BD2190" s="3" t="s">
        <v>26713</v>
      </c>
    </row>
    <row r="2191" spans="1:56" ht="51" customHeight="1" x14ac:dyDescent="0.25">
      <c r="A2191" s="7" t="s">
        <v>58</v>
      </c>
      <c r="B2191" s="2" t="s">
        <v>26714</v>
      </c>
      <c r="C2191" s="2" t="s">
        <v>26715</v>
      </c>
      <c r="D2191" s="2" t="s">
        <v>26716</v>
      </c>
      <c r="F2191" s="3" t="s">
        <v>58</v>
      </c>
      <c r="G2191" s="3" t="s">
        <v>59</v>
      </c>
      <c r="H2191" s="3" t="s">
        <v>58</v>
      </c>
      <c r="I2191" s="3" t="s">
        <v>58</v>
      </c>
      <c r="J2191" s="3" t="s">
        <v>60</v>
      </c>
      <c r="K2191" s="2" t="s">
        <v>26717</v>
      </c>
      <c r="L2191" s="2" t="s">
        <v>26718</v>
      </c>
      <c r="M2191" s="3" t="s">
        <v>759</v>
      </c>
      <c r="O2191" s="3" t="s">
        <v>63</v>
      </c>
      <c r="P2191" s="3" t="s">
        <v>2061</v>
      </c>
      <c r="Q2191" s="2" t="s">
        <v>26719</v>
      </c>
      <c r="R2191" s="3" t="s">
        <v>65</v>
      </c>
      <c r="S2191" s="4">
        <v>3</v>
      </c>
      <c r="T2191" s="4">
        <v>3</v>
      </c>
      <c r="U2191" s="5" t="s">
        <v>4395</v>
      </c>
      <c r="V2191" s="5" t="s">
        <v>4395</v>
      </c>
      <c r="W2191" s="5" t="s">
        <v>26573</v>
      </c>
      <c r="X2191" s="5" t="s">
        <v>26573</v>
      </c>
      <c r="Y2191" s="4">
        <v>549</v>
      </c>
      <c r="Z2191" s="4">
        <v>437</v>
      </c>
      <c r="AA2191" s="4">
        <v>439</v>
      </c>
      <c r="AB2191" s="4">
        <v>3</v>
      </c>
      <c r="AC2191" s="4">
        <v>3</v>
      </c>
      <c r="AD2191" s="4">
        <v>21</v>
      </c>
      <c r="AE2191" s="4">
        <v>21</v>
      </c>
      <c r="AF2191" s="4">
        <v>6</v>
      </c>
      <c r="AG2191" s="4">
        <v>6</v>
      </c>
      <c r="AH2191" s="4">
        <v>6</v>
      </c>
      <c r="AI2191" s="4">
        <v>6</v>
      </c>
      <c r="AJ2191" s="4">
        <v>13</v>
      </c>
      <c r="AK2191" s="4">
        <v>13</v>
      </c>
      <c r="AL2191" s="4">
        <v>2</v>
      </c>
      <c r="AM2191" s="4">
        <v>2</v>
      </c>
      <c r="AN2191" s="4">
        <v>0</v>
      </c>
      <c r="AO2191" s="4">
        <v>0</v>
      </c>
      <c r="AP2191" s="3" t="s">
        <v>58</v>
      </c>
      <c r="AQ2191" s="3" t="s">
        <v>68</v>
      </c>
      <c r="AR2191" s="6" t="str">
        <f>HYPERLINK("http://catalog.hathitrust.org/Record/000697592","HathiTrust Record")</f>
        <v>HathiTrust Record</v>
      </c>
      <c r="AS2191" s="6" t="str">
        <f>HYPERLINK("https://creighton-primo.hosted.exlibrisgroup.com/primo-explore/search?tab=default_tab&amp;search_scope=EVERYTHING&amp;vid=01CRU&amp;lang=en_US&amp;offset=0&amp;query=any,contains,991005035399702656","Catalog Record")</f>
        <v>Catalog Record</v>
      </c>
      <c r="AT2191" s="6" t="str">
        <f>HYPERLINK("http://www.worldcat.org/oclc/6753160","WorldCat Record")</f>
        <v>WorldCat Record</v>
      </c>
      <c r="AU2191" s="3" t="s">
        <v>26720</v>
      </c>
      <c r="AV2191" s="3" t="s">
        <v>26721</v>
      </c>
      <c r="AW2191" s="3" t="s">
        <v>26722</v>
      </c>
      <c r="AX2191" s="3" t="s">
        <v>26722</v>
      </c>
      <c r="AY2191" s="3" t="s">
        <v>26723</v>
      </c>
      <c r="AZ2191" s="3" t="s">
        <v>73</v>
      </c>
      <c r="BB2191" s="3" t="s">
        <v>26724</v>
      </c>
      <c r="BC2191" s="3" t="s">
        <v>26725</v>
      </c>
      <c r="BD2191" s="3" t="s">
        <v>26726</v>
      </c>
    </row>
    <row r="2192" spans="1:56" ht="51" customHeight="1" x14ac:dyDescent="0.25">
      <c r="A2192" s="7" t="s">
        <v>58</v>
      </c>
      <c r="B2192" s="2" t="s">
        <v>26727</v>
      </c>
      <c r="C2192" s="2" t="s">
        <v>26728</v>
      </c>
      <c r="D2192" s="2" t="s">
        <v>26729</v>
      </c>
      <c r="F2192" s="3" t="s">
        <v>58</v>
      </c>
      <c r="G2192" s="3" t="s">
        <v>59</v>
      </c>
      <c r="H2192" s="3" t="s">
        <v>58</v>
      </c>
      <c r="I2192" s="3" t="s">
        <v>58</v>
      </c>
      <c r="J2192" s="3" t="s">
        <v>60</v>
      </c>
      <c r="K2192" s="2" t="s">
        <v>26730</v>
      </c>
      <c r="L2192" s="2" t="s">
        <v>26731</v>
      </c>
      <c r="M2192" s="3" t="s">
        <v>524</v>
      </c>
      <c r="O2192" s="3" t="s">
        <v>63</v>
      </c>
      <c r="P2192" s="3" t="s">
        <v>584</v>
      </c>
      <c r="Q2192" s="2" t="s">
        <v>26732</v>
      </c>
      <c r="R2192" s="3" t="s">
        <v>65</v>
      </c>
      <c r="S2192" s="4">
        <v>6</v>
      </c>
      <c r="T2192" s="4">
        <v>6</v>
      </c>
      <c r="U2192" s="5" t="s">
        <v>26547</v>
      </c>
      <c r="V2192" s="5" t="s">
        <v>26547</v>
      </c>
      <c r="W2192" s="5" t="s">
        <v>26573</v>
      </c>
      <c r="X2192" s="5" t="s">
        <v>26573</v>
      </c>
      <c r="Y2192" s="4">
        <v>218</v>
      </c>
      <c r="Z2192" s="4">
        <v>130</v>
      </c>
      <c r="AA2192" s="4">
        <v>131</v>
      </c>
      <c r="AB2192" s="4">
        <v>2</v>
      </c>
      <c r="AC2192" s="4">
        <v>2</v>
      </c>
      <c r="AD2192" s="4">
        <v>5</v>
      </c>
      <c r="AE2192" s="4">
        <v>5</v>
      </c>
      <c r="AF2192" s="4">
        <v>1</v>
      </c>
      <c r="AG2192" s="4">
        <v>1</v>
      </c>
      <c r="AH2192" s="4">
        <v>2</v>
      </c>
      <c r="AI2192" s="4">
        <v>2</v>
      </c>
      <c r="AJ2192" s="4">
        <v>3</v>
      </c>
      <c r="AK2192" s="4">
        <v>3</v>
      </c>
      <c r="AL2192" s="4">
        <v>1</v>
      </c>
      <c r="AM2192" s="4">
        <v>1</v>
      </c>
      <c r="AN2192" s="4">
        <v>0</v>
      </c>
      <c r="AO2192" s="4">
        <v>0</v>
      </c>
      <c r="AP2192" s="3" t="s">
        <v>58</v>
      </c>
      <c r="AQ2192" s="3" t="s">
        <v>58</v>
      </c>
      <c r="AS2192" s="6" t="str">
        <f>HYPERLINK("https://creighton-primo.hosted.exlibrisgroup.com/primo-explore/search?tab=default_tab&amp;search_scope=EVERYTHING&amp;vid=01CRU&amp;lang=en_US&amp;offset=0&amp;query=any,contains,991000917079702656","Catalog Record")</f>
        <v>Catalog Record</v>
      </c>
      <c r="AT2192" s="6" t="str">
        <f>HYPERLINK("http://www.worldcat.org/oclc/14187226","WorldCat Record")</f>
        <v>WorldCat Record</v>
      </c>
      <c r="AU2192" s="3" t="s">
        <v>26733</v>
      </c>
      <c r="AV2192" s="3" t="s">
        <v>26734</v>
      </c>
      <c r="AW2192" s="3" t="s">
        <v>26735</v>
      </c>
      <c r="AX2192" s="3" t="s">
        <v>26735</v>
      </c>
      <c r="AY2192" s="3" t="s">
        <v>26736</v>
      </c>
      <c r="AZ2192" s="3" t="s">
        <v>73</v>
      </c>
      <c r="BB2192" s="3" t="s">
        <v>26737</v>
      </c>
      <c r="BC2192" s="3" t="s">
        <v>26738</v>
      </c>
      <c r="BD2192" s="3" t="s">
        <v>26739</v>
      </c>
    </row>
    <row r="2193" spans="1:56" ht="51" customHeight="1" x14ac:dyDescent="0.25">
      <c r="A2193" s="7" t="s">
        <v>58</v>
      </c>
      <c r="B2193" s="2" t="s">
        <v>26740</v>
      </c>
      <c r="C2193" s="2" t="s">
        <v>26741</v>
      </c>
      <c r="D2193" s="2" t="s">
        <v>26742</v>
      </c>
      <c r="F2193" s="3" t="s">
        <v>58</v>
      </c>
      <c r="G2193" s="3" t="s">
        <v>59</v>
      </c>
      <c r="H2193" s="3" t="s">
        <v>58</v>
      </c>
      <c r="I2193" s="3" t="s">
        <v>58</v>
      </c>
      <c r="J2193" s="3" t="s">
        <v>60</v>
      </c>
      <c r="K2193" s="2" t="s">
        <v>26743</v>
      </c>
      <c r="L2193" s="2" t="s">
        <v>26744</v>
      </c>
      <c r="M2193" s="3" t="s">
        <v>552</v>
      </c>
      <c r="O2193" s="3" t="s">
        <v>63</v>
      </c>
      <c r="P2193" s="3" t="s">
        <v>816</v>
      </c>
      <c r="R2193" s="3" t="s">
        <v>65</v>
      </c>
      <c r="S2193" s="4">
        <v>1</v>
      </c>
      <c r="T2193" s="4">
        <v>1</v>
      </c>
      <c r="U2193" s="5" t="s">
        <v>22715</v>
      </c>
      <c r="V2193" s="5" t="s">
        <v>22715</v>
      </c>
      <c r="W2193" s="5" t="s">
        <v>23510</v>
      </c>
      <c r="X2193" s="5" t="s">
        <v>23510</v>
      </c>
      <c r="Y2193" s="4">
        <v>518</v>
      </c>
      <c r="Z2193" s="4">
        <v>418</v>
      </c>
      <c r="AA2193" s="4">
        <v>425</v>
      </c>
      <c r="AB2193" s="4">
        <v>4</v>
      </c>
      <c r="AC2193" s="4">
        <v>4</v>
      </c>
      <c r="AD2193" s="4">
        <v>19</v>
      </c>
      <c r="AE2193" s="4">
        <v>19</v>
      </c>
      <c r="AF2193" s="4">
        <v>7</v>
      </c>
      <c r="AG2193" s="4">
        <v>7</v>
      </c>
      <c r="AH2193" s="4">
        <v>7</v>
      </c>
      <c r="AI2193" s="4">
        <v>7</v>
      </c>
      <c r="AJ2193" s="4">
        <v>8</v>
      </c>
      <c r="AK2193" s="4">
        <v>8</v>
      </c>
      <c r="AL2193" s="4">
        <v>3</v>
      </c>
      <c r="AM2193" s="4">
        <v>3</v>
      </c>
      <c r="AN2193" s="4">
        <v>0</v>
      </c>
      <c r="AO2193" s="4">
        <v>0</v>
      </c>
      <c r="AP2193" s="3" t="s">
        <v>58</v>
      </c>
      <c r="AQ2193" s="3" t="s">
        <v>68</v>
      </c>
      <c r="AR2193" s="6" t="str">
        <f>HYPERLINK("http://catalog.hathitrust.org/Record/002215407","HathiTrust Record")</f>
        <v>HathiTrust Record</v>
      </c>
      <c r="AS2193" s="6" t="str">
        <f>HYPERLINK("https://creighton-primo.hosted.exlibrisgroup.com/primo-explore/search?tab=default_tab&amp;search_scope=EVERYTHING&amp;vid=01CRU&amp;lang=en_US&amp;offset=0&amp;query=any,contains,991001695029702656","Catalog Record")</f>
        <v>Catalog Record</v>
      </c>
      <c r="AT2193" s="6" t="str">
        <f>HYPERLINK("http://www.worldcat.org/oclc/21482656","WorldCat Record")</f>
        <v>WorldCat Record</v>
      </c>
      <c r="AU2193" s="3" t="s">
        <v>26745</v>
      </c>
      <c r="AV2193" s="3" t="s">
        <v>26746</v>
      </c>
      <c r="AW2193" s="3" t="s">
        <v>26747</v>
      </c>
      <c r="AX2193" s="3" t="s">
        <v>26747</v>
      </c>
      <c r="AY2193" s="3" t="s">
        <v>26748</v>
      </c>
      <c r="AZ2193" s="3" t="s">
        <v>73</v>
      </c>
      <c r="BB2193" s="3" t="s">
        <v>26749</v>
      </c>
      <c r="BC2193" s="3" t="s">
        <v>26750</v>
      </c>
      <c r="BD2193" s="3" t="s">
        <v>26751</v>
      </c>
    </row>
    <row r="2194" spans="1:56" ht="51" customHeight="1" x14ac:dyDescent="0.25">
      <c r="A2194" s="7" t="s">
        <v>58</v>
      </c>
      <c r="B2194" s="2" t="s">
        <v>26752</v>
      </c>
      <c r="C2194" s="2" t="s">
        <v>26753</v>
      </c>
      <c r="D2194" s="2" t="s">
        <v>26754</v>
      </c>
      <c r="F2194" s="3" t="s">
        <v>58</v>
      </c>
      <c r="G2194" s="3" t="s">
        <v>59</v>
      </c>
      <c r="H2194" s="3" t="s">
        <v>58</v>
      </c>
      <c r="I2194" s="3" t="s">
        <v>58</v>
      </c>
      <c r="J2194" s="3" t="s">
        <v>60</v>
      </c>
      <c r="K2194" s="2" t="s">
        <v>26755</v>
      </c>
      <c r="L2194" s="2" t="s">
        <v>26756</v>
      </c>
      <c r="M2194" s="3" t="s">
        <v>382</v>
      </c>
      <c r="O2194" s="3" t="s">
        <v>63</v>
      </c>
      <c r="P2194" s="3" t="s">
        <v>1837</v>
      </c>
      <c r="R2194" s="3" t="s">
        <v>65</v>
      </c>
      <c r="S2194" s="4">
        <v>1</v>
      </c>
      <c r="T2194" s="4">
        <v>1</v>
      </c>
      <c r="U2194" s="5" t="s">
        <v>26757</v>
      </c>
      <c r="V2194" s="5" t="s">
        <v>26757</v>
      </c>
      <c r="W2194" s="5" t="s">
        <v>26758</v>
      </c>
      <c r="X2194" s="5" t="s">
        <v>26758</v>
      </c>
      <c r="Y2194" s="4">
        <v>316</v>
      </c>
      <c r="Z2194" s="4">
        <v>278</v>
      </c>
      <c r="AA2194" s="4">
        <v>284</v>
      </c>
      <c r="AB2194" s="4">
        <v>2</v>
      </c>
      <c r="AC2194" s="4">
        <v>2</v>
      </c>
      <c r="AD2194" s="4">
        <v>18</v>
      </c>
      <c r="AE2194" s="4">
        <v>18</v>
      </c>
      <c r="AF2194" s="4">
        <v>5</v>
      </c>
      <c r="AG2194" s="4">
        <v>5</v>
      </c>
      <c r="AH2194" s="4">
        <v>7</v>
      </c>
      <c r="AI2194" s="4">
        <v>7</v>
      </c>
      <c r="AJ2194" s="4">
        <v>9</v>
      </c>
      <c r="AK2194" s="4">
        <v>9</v>
      </c>
      <c r="AL2194" s="4">
        <v>1</v>
      </c>
      <c r="AM2194" s="4">
        <v>1</v>
      </c>
      <c r="AN2194" s="4">
        <v>0</v>
      </c>
      <c r="AO2194" s="4">
        <v>0</v>
      </c>
      <c r="AP2194" s="3" t="s">
        <v>58</v>
      </c>
      <c r="AQ2194" s="3" t="s">
        <v>68</v>
      </c>
      <c r="AR2194" s="6" t="str">
        <f>HYPERLINK("http://catalog.hathitrust.org/Record/003508364","HathiTrust Record")</f>
        <v>HathiTrust Record</v>
      </c>
      <c r="AS2194" s="6" t="str">
        <f>HYPERLINK("https://creighton-primo.hosted.exlibrisgroup.com/primo-explore/search?tab=default_tab&amp;search_scope=EVERYTHING&amp;vid=01CRU&amp;lang=en_US&amp;offset=0&amp;query=any,contains,991003016489702656","Catalog Record")</f>
        <v>Catalog Record</v>
      </c>
      <c r="AT2194" s="6" t="str">
        <f>HYPERLINK("http://www.worldcat.org/oclc/41038702","WorldCat Record")</f>
        <v>WorldCat Record</v>
      </c>
      <c r="AU2194" s="3" t="s">
        <v>26759</v>
      </c>
      <c r="AV2194" s="3" t="s">
        <v>26760</v>
      </c>
      <c r="AW2194" s="3" t="s">
        <v>26761</v>
      </c>
      <c r="AX2194" s="3" t="s">
        <v>26761</v>
      </c>
      <c r="AY2194" s="3" t="s">
        <v>26762</v>
      </c>
      <c r="AZ2194" s="3" t="s">
        <v>73</v>
      </c>
      <c r="BB2194" s="3" t="s">
        <v>26763</v>
      </c>
      <c r="BC2194" s="3" t="s">
        <v>26764</v>
      </c>
      <c r="BD2194" s="3" t="s">
        <v>26765</v>
      </c>
    </row>
    <row r="2195" spans="1:56" ht="51" customHeight="1" x14ac:dyDescent="0.25">
      <c r="A2195" s="7" t="s">
        <v>58</v>
      </c>
      <c r="B2195" s="2" t="s">
        <v>26766</v>
      </c>
      <c r="C2195" s="2" t="s">
        <v>26767</v>
      </c>
      <c r="D2195" s="2" t="s">
        <v>26768</v>
      </c>
      <c r="F2195" s="3" t="s">
        <v>58</v>
      </c>
      <c r="G2195" s="3" t="s">
        <v>59</v>
      </c>
      <c r="H2195" s="3" t="s">
        <v>58</v>
      </c>
      <c r="I2195" s="3" t="s">
        <v>58</v>
      </c>
      <c r="J2195" s="3" t="s">
        <v>60</v>
      </c>
      <c r="K2195" s="2" t="s">
        <v>26769</v>
      </c>
      <c r="L2195" s="2" t="s">
        <v>26770</v>
      </c>
      <c r="M2195" s="3" t="s">
        <v>138</v>
      </c>
      <c r="O2195" s="3" t="s">
        <v>63</v>
      </c>
      <c r="P2195" s="3" t="s">
        <v>214</v>
      </c>
      <c r="R2195" s="3" t="s">
        <v>65</v>
      </c>
      <c r="S2195" s="4">
        <v>2</v>
      </c>
      <c r="T2195" s="4">
        <v>2</v>
      </c>
      <c r="U2195" s="5" t="s">
        <v>25870</v>
      </c>
      <c r="V2195" s="5" t="s">
        <v>25870</v>
      </c>
      <c r="W2195" s="5" t="s">
        <v>26573</v>
      </c>
      <c r="X2195" s="5" t="s">
        <v>26573</v>
      </c>
      <c r="Y2195" s="4">
        <v>300</v>
      </c>
      <c r="Z2195" s="4">
        <v>238</v>
      </c>
      <c r="AA2195" s="4">
        <v>240</v>
      </c>
      <c r="AB2195" s="4">
        <v>3</v>
      </c>
      <c r="AC2195" s="4">
        <v>3</v>
      </c>
      <c r="AD2195" s="4">
        <v>11</v>
      </c>
      <c r="AE2195" s="4">
        <v>11</v>
      </c>
      <c r="AF2195" s="4">
        <v>3</v>
      </c>
      <c r="AG2195" s="4">
        <v>3</v>
      </c>
      <c r="AH2195" s="4">
        <v>5</v>
      </c>
      <c r="AI2195" s="4">
        <v>5</v>
      </c>
      <c r="AJ2195" s="4">
        <v>5</v>
      </c>
      <c r="AK2195" s="4">
        <v>5</v>
      </c>
      <c r="AL2195" s="4">
        <v>2</v>
      </c>
      <c r="AM2195" s="4">
        <v>2</v>
      </c>
      <c r="AN2195" s="4">
        <v>0</v>
      </c>
      <c r="AO2195" s="4">
        <v>0</v>
      </c>
      <c r="AP2195" s="3" t="s">
        <v>58</v>
      </c>
      <c r="AQ2195" s="3" t="s">
        <v>68</v>
      </c>
      <c r="AR2195" s="6" t="str">
        <f>HYPERLINK("http://catalog.hathitrust.org/Record/000273635","HathiTrust Record")</f>
        <v>HathiTrust Record</v>
      </c>
      <c r="AS2195" s="6" t="str">
        <f>HYPERLINK("https://creighton-primo.hosted.exlibrisgroup.com/primo-explore/search?tab=default_tab&amp;search_scope=EVERYTHING&amp;vid=01CRU&amp;lang=en_US&amp;offset=0&amp;query=any,contains,991000063999702656","Catalog Record")</f>
        <v>Catalog Record</v>
      </c>
      <c r="AT2195" s="6" t="str">
        <f>HYPERLINK("http://www.worldcat.org/oclc/8762547","WorldCat Record")</f>
        <v>WorldCat Record</v>
      </c>
      <c r="AU2195" s="3" t="s">
        <v>26771</v>
      </c>
      <c r="AV2195" s="3" t="s">
        <v>26772</v>
      </c>
      <c r="AW2195" s="3" t="s">
        <v>26773</v>
      </c>
      <c r="AX2195" s="3" t="s">
        <v>26773</v>
      </c>
      <c r="AY2195" s="3" t="s">
        <v>26774</v>
      </c>
      <c r="AZ2195" s="3" t="s">
        <v>73</v>
      </c>
      <c r="BB2195" s="3" t="s">
        <v>26775</v>
      </c>
      <c r="BC2195" s="3" t="s">
        <v>26776</v>
      </c>
      <c r="BD2195" s="3" t="s">
        <v>26777</v>
      </c>
    </row>
    <row r="2196" spans="1:56" ht="51" customHeight="1" x14ac:dyDescent="0.25">
      <c r="A2196" s="7" t="s">
        <v>58</v>
      </c>
      <c r="B2196" s="2" t="s">
        <v>26778</v>
      </c>
      <c r="C2196" s="2" t="s">
        <v>26779</v>
      </c>
      <c r="D2196" s="2" t="s">
        <v>26780</v>
      </c>
      <c r="F2196" s="3" t="s">
        <v>58</v>
      </c>
      <c r="G2196" s="3" t="s">
        <v>59</v>
      </c>
      <c r="H2196" s="3" t="s">
        <v>58</v>
      </c>
      <c r="I2196" s="3" t="s">
        <v>58</v>
      </c>
      <c r="J2196" s="3" t="s">
        <v>60</v>
      </c>
      <c r="K2196" s="2" t="s">
        <v>26781</v>
      </c>
      <c r="L2196" s="2" t="s">
        <v>26782</v>
      </c>
      <c r="M2196" s="3" t="s">
        <v>196</v>
      </c>
      <c r="N2196" s="2" t="s">
        <v>338</v>
      </c>
      <c r="O2196" s="3" t="s">
        <v>63</v>
      </c>
      <c r="P2196" s="3" t="s">
        <v>214</v>
      </c>
      <c r="R2196" s="3" t="s">
        <v>65</v>
      </c>
      <c r="S2196" s="4">
        <v>4</v>
      </c>
      <c r="T2196" s="4">
        <v>4</v>
      </c>
      <c r="U2196" s="5" t="s">
        <v>899</v>
      </c>
      <c r="V2196" s="5" t="s">
        <v>899</v>
      </c>
      <c r="W2196" s="5" t="s">
        <v>26783</v>
      </c>
      <c r="X2196" s="5" t="s">
        <v>26783</v>
      </c>
      <c r="Y2196" s="4">
        <v>677</v>
      </c>
      <c r="Z2196" s="4">
        <v>567</v>
      </c>
      <c r="AA2196" s="4">
        <v>571</v>
      </c>
      <c r="AB2196" s="4">
        <v>4</v>
      </c>
      <c r="AC2196" s="4">
        <v>4</v>
      </c>
      <c r="AD2196" s="4">
        <v>18</v>
      </c>
      <c r="AE2196" s="4">
        <v>18</v>
      </c>
      <c r="AF2196" s="4">
        <v>6</v>
      </c>
      <c r="AG2196" s="4">
        <v>6</v>
      </c>
      <c r="AH2196" s="4">
        <v>4</v>
      </c>
      <c r="AI2196" s="4">
        <v>4</v>
      </c>
      <c r="AJ2196" s="4">
        <v>10</v>
      </c>
      <c r="AK2196" s="4">
        <v>10</v>
      </c>
      <c r="AL2196" s="4">
        <v>3</v>
      </c>
      <c r="AM2196" s="4">
        <v>3</v>
      </c>
      <c r="AN2196" s="4">
        <v>0</v>
      </c>
      <c r="AO2196" s="4">
        <v>0</v>
      </c>
      <c r="AP2196" s="3" t="s">
        <v>58</v>
      </c>
      <c r="AQ2196" s="3" t="s">
        <v>58</v>
      </c>
      <c r="AS2196" s="6" t="str">
        <f>HYPERLINK("https://creighton-primo.hosted.exlibrisgroup.com/primo-explore/search?tab=default_tab&amp;search_scope=EVERYTHING&amp;vid=01CRU&amp;lang=en_US&amp;offset=0&amp;query=any,contains,991002577469702656","Catalog Record")</f>
        <v>Catalog Record</v>
      </c>
      <c r="AT2196" s="6" t="str">
        <f>HYPERLINK("http://www.worldcat.org/oclc/33666128","WorldCat Record")</f>
        <v>WorldCat Record</v>
      </c>
      <c r="AU2196" s="3" t="s">
        <v>26784</v>
      </c>
      <c r="AV2196" s="3" t="s">
        <v>26785</v>
      </c>
      <c r="AW2196" s="3" t="s">
        <v>26786</v>
      </c>
      <c r="AX2196" s="3" t="s">
        <v>26786</v>
      </c>
      <c r="AY2196" s="3" t="s">
        <v>26787</v>
      </c>
      <c r="AZ2196" s="3" t="s">
        <v>73</v>
      </c>
      <c r="BB2196" s="3" t="s">
        <v>26788</v>
      </c>
      <c r="BC2196" s="3" t="s">
        <v>26789</v>
      </c>
      <c r="BD2196" s="3" t="s">
        <v>26790</v>
      </c>
    </row>
    <row r="2197" spans="1:56" ht="51" customHeight="1" x14ac:dyDescent="0.25">
      <c r="A2197" s="7" t="s">
        <v>58</v>
      </c>
      <c r="B2197" s="2" t="s">
        <v>26791</v>
      </c>
      <c r="C2197" s="2" t="s">
        <v>26792</v>
      </c>
      <c r="D2197" s="2" t="s">
        <v>26793</v>
      </c>
      <c r="F2197" s="3" t="s">
        <v>58</v>
      </c>
      <c r="G2197" s="3" t="s">
        <v>59</v>
      </c>
      <c r="H2197" s="3" t="s">
        <v>58</v>
      </c>
      <c r="I2197" s="3" t="s">
        <v>58</v>
      </c>
      <c r="J2197" s="3" t="s">
        <v>60</v>
      </c>
      <c r="K2197" s="2" t="s">
        <v>26794</v>
      </c>
      <c r="L2197" s="2" t="s">
        <v>26795</v>
      </c>
      <c r="M2197" s="3" t="s">
        <v>626</v>
      </c>
      <c r="O2197" s="3" t="s">
        <v>63</v>
      </c>
      <c r="P2197" s="3" t="s">
        <v>214</v>
      </c>
      <c r="R2197" s="3" t="s">
        <v>65</v>
      </c>
      <c r="S2197" s="4">
        <v>9</v>
      </c>
      <c r="T2197" s="4">
        <v>9</v>
      </c>
      <c r="U2197" s="5" t="s">
        <v>12015</v>
      </c>
      <c r="V2197" s="5" t="s">
        <v>12015</v>
      </c>
      <c r="W2197" s="5" t="s">
        <v>26573</v>
      </c>
      <c r="X2197" s="5" t="s">
        <v>26573</v>
      </c>
      <c r="Y2197" s="4">
        <v>470</v>
      </c>
      <c r="Z2197" s="4">
        <v>386</v>
      </c>
      <c r="AA2197" s="4">
        <v>401</v>
      </c>
      <c r="AB2197" s="4">
        <v>3</v>
      </c>
      <c r="AC2197" s="4">
        <v>3</v>
      </c>
      <c r="AD2197" s="4">
        <v>17</v>
      </c>
      <c r="AE2197" s="4">
        <v>17</v>
      </c>
      <c r="AF2197" s="4">
        <v>7</v>
      </c>
      <c r="AG2197" s="4">
        <v>7</v>
      </c>
      <c r="AH2197" s="4">
        <v>5</v>
      </c>
      <c r="AI2197" s="4">
        <v>5</v>
      </c>
      <c r="AJ2197" s="4">
        <v>9</v>
      </c>
      <c r="AK2197" s="4">
        <v>9</v>
      </c>
      <c r="AL2197" s="4">
        <v>2</v>
      </c>
      <c r="AM2197" s="4">
        <v>2</v>
      </c>
      <c r="AN2197" s="4">
        <v>0</v>
      </c>
      <c r="AO2197" s="4">
        <v>0</v>
      </c>
      <c r="AP2197" s="3" t="s">
        <v>58</v>
      </c>
      <c r="AQ2197" s="3" t="s">
        <v>68</v>
      </c>
      <c r="AR2197" s="6" t="str">
        <f>HYPERLINK("http://catalog.hathitrust.org/Record/000279221","HathiTrust Record")</f>
        <v>HathiTrust Record</v>
      </c>
      <c r="AS2197" s="6" t="str">
        <f>HYPERLINK("https://creighton-primo.hosted.exlibrisgroup.com/primo-explore/search?tab=default_tab&amp;search_scope=EVERYTHING&amp;vid=01CRU&amp;lang=en_US&amp;offset=0&amp;query=any,contains,991000238749702656","Catalog Record")</f>
        <v>Catalog Record</v>
      </c>
      <c r="AT2197" s="6" t="str">
        <f>HYPERLINK("http://www.worldcat.org/oclc/9682472","WorldCat Record")</f>
        <v>WorldCat Record</v>
      </c>
      <c r="AU2197" s="3" t="s">
        <v>26796</v>
      </c>
      <c r="AV2197" s="3" t="s">
        <v>26797</v>
      </c>
      <c r="AW2197" s="3" t="s">
        <v>26798</v>
      </c>
      <c r="AX2197" s="3" t="s">
        <v>26798</v>
      </c>
      <c r="AY2197" s="3" t="s">
        <v>26799</v>
      </c>
      <c r="AZ2197" s="3" t="s">
        <v>73</v>
      </c>
      <c r="BB2197" s="3" t="s">
        <v>26800</v>
      </c>
      <c r="BC2197" s="3" t="s">
        <v>26801</v>
      </c>
      <c r="BD2197" s="3" t="s">
        <v>26802</v>
      </c>
    </row>
    <row r="2198" spans="1:56" ht="51" customHeight="1" x14ac:dyDescent="0.25">
      <c r="A2198" s="7" t="s">
        <v>58</v>
      </c>
      <c r="B2198" s="2" t="s">
        <v>26803</v>
      </c>
      <c r="C2198" s="2" t="s">
        <v>26804</v>
      </c>
      <c r="D2198" s="2" t="s">
        <v>26805</v>
      </c>
      <c r="F2198" s="3" t="s">
        <v>58</v>
      </c>
      <c r="G2198" s="3" t="s">
        <v>59</v>
      </c>
      <c r="H2198" s="3" t="s">
        <v>58</v>
      </c>
      <c r="I2198" s="3" t="s">
        <v>58</v>
      </c>
      <c r="J2198" s="3" t="s">
        <v>60</v>
      </c>
      <c r="K2198" s="2" t="s">
        <v>26806</v>
      </c>
      <c r="L2198" s="2" t="s">
        <v>26807</v>
      </c>
      <c r="M2198" s="3" t="s">
        <v>552</v>
      </c>
      <c r="O2198" s="3" t="s">
        <v>63</v>
      </c>
      <c r="P2198" s="3" t="s">
        <v>214</v>
      </c>
      <c r="Q2198" s="2" t="s">
        <v>24798</v>
      </c>
      <c r="R2198" s="3" t="s">
        <v>65</v>
      </c>
      <c r="S2198" s="4">
        <v>16</v>
      </c>
      <c r="T2198" s="4">
        <v>16</v>
      </c>
      <c r="U2198" s="5" t="s">
        <v>26808</v>
      </c>
      <c r="V2198" s="5" t="s">
        <v>26808</v>
      </c>
      <c r="W2198" s="5" t="s">
        <v>26809</v>
      </c>
      <c r="X2198" s="5" t="s">
        <v>26809</v>
      </c>
      <c r="Y2198" s="4">
        <v>1033</v>
      </c>
      <c r="Z2198" s="4">
        <v>876</v>
      </c>
      <c r="AA2198" s="4">
        <v>881</v>
      </c>
      <c r="AB2198" s="4">
        <v>7</v>
      </c>
      <c r="AC2198" s="4">
        <v>7</v>
      </c>
      <c r="AD2198" s="4">
        <v>42</v>
      </c>
      <c r="AE2198" s="4">
        <v>42</v>
      </c>
      <c r="AF2198" s="4">
        <v>16</v>
      </c>
      <c r="AG2198" s="4">
        <v>16</v>
      </c>
      <c r="AH2198" s="4">
        <v>10</v>
      </c>
      <c r="AI2198" s="4">
        <v>10</v>
      </c>
      <c r="AJ2198" s="4">
        <v>18</v>
      </c>
      <c r="AK2198" s="4">
        <v>18</v>
      </c>
      <c r="AL2198" s="4">
        <v>6</v>
      </c>
      <c r="AM2198" s="4">
        <v>6</v>
      </c>
      <c r="AN2198" s="4">
        <v>1</v>
      </c>
      <c r="AO2198" s="4">
        <v>1</v>
      </c>
      <c r="AP2198" s="3" t="s">
        <v>58</v>
      </c>
      <c r="AQ2198" s="3" t="s">
        <v>68</v>
      </c>
      <c r="AR2198" s="6" t="str">
        <f>HYPERLINK("http://catalog.hathitrust.org/Record/001951770","HathiTrust Record")</f>
        <v>HathiTrust Record</v>
      </c>
      <c r="AS2198" s="6" t="str">
        <f>HYPERLINK("https://creighton-primo.hosted.exlibrisgroup.com/primo-explore/search?tab=default_tab&amp;search_scope=EVERYTHING&amp;vid=01CRU&amp;lang=en_US&amp;offset=0&amp;query=any,contains,991001623759702656","Catalog Record")</f>
        <v>Catalog Record</v>
      </c>
      <c r="AT2198" s="6" t="str">
        <f>HYPERLINK("http://www.worldcat.org/oclc/20827289","WorldCat Record")</f>
        <v>WorldCat Record</v>
      </c>
      <c r="AU2198" s="3" t="s">
        <v>26810</v>
      </c>
      <c r="AV2198" s="3" t="s">
        <v>26811</v>
      </c>
      <c r="AW2198" s="3" t="s">
        <v>26812</v>
      </c>
      <c r="AX2198" s="3" t="s">
        <v>26812</v>
      </c>
      <c r="AY2198" s="3" t="s">
        <v>26813</v>
      </c>
      <c r="AZ2198" s="3" t="s">
        <v>73</v>
      </c>
      <c r="BB2198" s="3" t="s">
        <v>26814</v>
      </c>
      <c r="BC2198" s="3" t="s">
        <v>26815</v>
      </c>
      <c r="BD2198" s="3" t="s">
        <v>26816</v>
      </c>
    </row>
    <row r="2199" spans="1:56" ht="51" customHeight="1" x14ac:dyDescent="0.25">
      <c r="A2199" s="7" t="s">
        <v>58</v>
      </c>
      <c r="B2199" s="2" t="s">
        <v>26817</v>
      </c>
      <c r="C2199" s="2" t="s">
        <v>26818</v>
      </c>
      <c r="D2199" s="2" t="s">
        <v>26819</v>
      </c>
      <c r="F2199" s="3" t="s">
        <v>58</v>
      </c>
      <c r="G2199" s="3" t="s">
        <v>59</v>
      </c>
      <c r="H2199" s="3" t="s">
        <v>58</v>
      </c>
      <c r="I2199" s="3" t="s">
        <v>58</v>
      </c>
      <c r="J2199" s="3" t="s">
        <v>60</v>
      </c>
      <c r="K2199" s="2" t="s">
        <v>26806</v>
      </c>
      <c r="L2199" s="2" t="s">
        <v>3373</v>
      </c>
      <c r="M2199" s="3" t="s">
        <v>1061</v>
      </c>
      <c r="O2199" s="3" t="s">
        <v>63</v>
      </c>
      <c r="P2199" s="3" t="s">
        <v>214</v>
      </c>
      <c r="Q2199" s="2" t="s">
        <v>26820</v>
      </c>
      <c r="R2199" s="3" t="s">
        <v>65</v>
      </c>
      <c r="S2199" s="4">
        <v>10</v>
      </c>
      <c r="T2199" s="4">
        <v>10</v>
      </c>
      <c r="U2199" s="5" t="s">
        <v>22814</v>
      </c>
      <c r="V2199" s="5" t="s">
        <v>22814</v>
      </c>
      <c r="W2199" s="5" t="s">
        <v>26821</v>
      </c>
      <c r="X2199" s="5" t="s">
        <v>26821</v>
      </c>
      <c r="Y2199" s="4">
        <v>536</v>
      </c>
      <c r="Z2199" s="4">
        <v>427</v>
      </c>
      <c r="AA2199" s="4">
        <v>435</v>
      </c>
      <c r="AB2199" s="4">
        <v>6</v>
      </c>
      <c r="AC2199" s="4">
        <v>6</v>
      </c>
      <c r="AD2199" s="4">
        <v>25</v>
      </c>
      <c r="AE2199" s="4">
        <v>25</v>
      </c>
      <c r="AF2199" s="4">
        <v>10</v>
      </c>
      <c r="AG2199" s="4">
        <v>10</v>
      </c>
      <c r="AH2199" s="4">
        <v>6</v>
      </c>
      <c r="AI2199" s="4">
        <v>6</v>
      </c>
      <c r="AJ2199" s="4">
        <v>12</v>
      </c>
      <c r="AK2199" s="4">
        <v>12</v>
      </c>
      <c r="AL2199" s="4">
        <v>5</v>
      </c>
      <c r="AM2199" s="4">
        <v>5</v>
      </c>
      <c r="AN2199" s="4">
        <v>0</v>
      </c>
      <c r="AO2199" s="4">
        <v>0</v>
      </c>
      <c r="AP2199" s="3" t="s">
        <v>58</v>
      </c>
      <c r="AQ2199" s="3" t="s">
        <v>58</v>
      </c>
      <c r="AS2199" s="6" t="str">
        <f>HYPERLINK("https://creighton-primo.hosted.exlibrisgroup.com/primo-explore/search?tab=default_tab&amp;search_scope=EVERYTHING&amp;vid=01CRU&amp;lang=en_US&amp;offset=0&amp;query=any,contains,991002820669702656","Catalog Record")</f>
        <v>Catalog Record</v>
      </c>
      <c r="AT2199" s="6" t="str">
        <f>HYPERLINK("http://www.worldcat.org/oclc/37109212","WorldCat Record")</f>
        <v>WorldCat Record</v>
      </c>
      <c r="AU2199" s="3" t="s">
        <v>26822</v>
      </c>
      <c r="AV2199" s="3" t="s">
        <v>26823</v>
      </c>
      <c r="AW2199" s="3" t="s">
        <v>26824</v>
      </c>
      <c r="AX2199" s="3" t="s">
        <v>26824</v>
      </c>
      <c r="AY2199" s="3" t="s">
        <v>26825</v>
      </c>
      <c r="AZ2199" s="3" t="s">
        <v>73</v>
      </c>
      <c r="BB2199" s="3" t="s">
        <v>26826</v>
      </c>
      <c r="BC2199" s="3" t="s">
        <v>26827</v>
      </c>
      <c r="BD2199" s="3" t="s">
        <v>26828</v>
      </c>
    </row>
    <row r="2200" spans="1:56" ht="51" customHeight="1" x14ac:dyDescent="0.25">
      <c r="A2200" s="7" t="s">
        <v>58</v>
      </c>
      <c r="B2200" s="2" t="s">
        <v>26829</v>
      </c>
      <c r="C2200" s="2" t="s">
        <v>26830</v>
      </c>
      <c r="D2200" s="2" t="s">
        <v>26831</v>
      </c>
      <c r="F2200" s="3" t="s">
        <v>58</v>
      </c>
      <c r="G2200" s="3" t="s">
        <v>59</v>
      </c>
      <c r="H2200" s="3" t="s">
        <v>58</v>
      </c>
      <c r="I2200" s="3" t="s">
        <v>58</v>
      </c>
      <c r="J2200" s="3" t="s">
        <v>60</v>
      </c>
      <c r="K2200" s="2" t="s">
        <v>26832</v>
      </c>
      <c r="L2200" s="2" t="s">
        <v>26833</v>
      </c>
      <c r="M2200" s="3" t="s">
        <v>842</v>
      </c>
      <c r="O2200" s="3" t="s">
        <v>63</v>
      </c>
      <c r="P2200" s="3" t="s">
        <v>816</v>
      </c>
      <c r="R2200" s="3" t="s">
        <v>65</v>
      </c>
      <c r="S2200" s="4">
        <v>3</v>
      </c>
      <c r="T2200" s="4">
        <v>3</v>
      </c>
      <c r="U2200" s="5" t="s">
        <v>1747</v>
      </c>
      <c r="V2200" s="5" t="s">
        <v>1747</v>
      </c>
      <c r="W2200" s="5" t="s">
        <v>26573</v>
      </c>
      <c r="X2200" s="5" t="s">
        <v>26573</v>
      </c>
      <c r="Y2200" s="4">
        <v>628</v>
      </c>
      <c r="Z2200" s="4">
        <v>522</v>
      </c>
      <c r="AA2200" s="4">
        <v>529</v>
      </c>
      <c r="AB2200" s="4">
        <v>4</v>
      </c>
      <c r="AC2200" s="4">
        <v>4</v>
      </c>
      <c r="AD2200" s="4">
        <v>26</v>
      </c>
      <c r="AE2200" s="4">
        <v>26</v>
      </c>
      <c r="AF2200" s="4">
        <v>11</v>
      </c>
      <c r="AG2200" s="4">
        <v>11</v>
      </c>
      <c r="AH2200" s="4">
        <v>6</v>
      </c>
      <c r="AI2200" s="4">
        <v>6</v>
      </c>
      <c r="AJ2200" s="4">
        <v>14</v>
      </c>
      <c r="AK2200" s="4">
        <v>14</v>
      </c>
      <c r="AL2200" s="4">
        <v>3</v>
      </c>
      <c r="AM2200" s="4">
        <v>3</v>
      </c>
      <c r="AN2200" s="4">
        <v>0</v>
      </c>
      <c r="AO2200" s="4">
        <v>0</v>
      </c>
      <c r="AP2200" s="3" t="s">
        <v>58</v>
      </c>
      <c r="AQ2200" s="3" t="s">
        <v>68</v>
      </c>
      <c r="AR2200" s="6" t="str">
        <f>HYPERLINK("http://catalog.hathitrust.org/Record/000224617","HathiTrust Record")</f>
        <v>HathiTrust Record</v>
      </c>
      <c r="AS2200" s="6" t="str">
        <f>HYPERLINK("https://creighton-primo.hosted.exlibrisgroup.com/primo-explore/search?tab=default_tab&amp;search_scope=EVERYTHING&amp;vid=01CRU&amp;lang=en_US&amp;offset=0&amp;query=any,contains,991005166129702656","Catalog Record")</f>
        <v>Catalog Record</v>
      </c>
      <c r="AT2200" s="6" t="str">
        <f>HYPERLINK("http://www.worldcat.org/oclc/7835734","WorldCat Record")</f>
        <v>WorldCat Record</v>
      </c>
      <c r="AU2200" s="3" t="s">
        <v>26834</v>
      </c>
      <c r="AV2200" s="3" t="s">
        <v>26835</v>
      </c>
      <c r="AW2200" s="3" t="s">
        <v>26836</v>
      </c>
      <c r="AX2200" s="3" t="s">
        <v>26836</v>
      </c>
      <c r="AY2200" s="3" t="s">
        <v>26837</v>
      </c>
      <c r="AZ2200" s="3" t="s">
        <v>73</v>
      </c>
      <c r="BB2200" s="3" t="s">
        <v>26838</v>
      </c>
      <c r="BC2200" s="3" t="s">
        <v>26839</v>
      </c>
      <c r="BD2200" s="3" t="s">
        <v>26840</v>
      </c>
    </row>
    <row r="2201" spans="1:56" ht="51" customHeight="1" x14ac:dyDescent="0.25">
      <c r="A2201" s="7" t="s">
        <v>58</v>
      </c>
      <c r="B2201" s="2" t="s">
        <v>26841</v>
      </c>
      <c r="C2201" s="2" t="s">
        <v>26842</v>
      </c>
      <c r="D2201" s="2" t="s">
        <v>26843</v>
      </c>
      <c r="F2201" s="3" t="s">
        <v>58</v>
      </c>
      <c r="G2201" s="3" t="s">
        <v>59</v>
      </c>
      <c r="H2201" s="3" t="s">
        <v>58</v>
      </c>
      <c r="I2201" s="3" t="s">
        <v>68</v>
      </c>
      <c r="J2201" s="3" t="s">
        <v>60</v>
      </c>
      <c r="K2201" s="2" t="s">
        <v>26447</v>
      </c>
      <c r="L2201" s="2" t="s">
        <v>26844</v>
      </c>
      <c r="M2201" s="3" t="s">
        <v>1061</v>
      </c>
      <c r="N2201" s="2" t="s">
        <v>338</v>
      </c>
      <c r="O2201" s="3" t="s">
        <v>63</v>
      </c>
      <c r="P2201" s="3" t="s">
        <v>214</v>
      </c>
      <c r="R2201" s="3" t="s">
        <v>65</v>
      </c>
      <c r="S2201" s="4">
        <v>9</v>
      </c>
      <c r="T2201" s="4">
        <v>9</v>
      </c>
      <c r="U2201" s="5" t="s">
        <v>7647</v>
      </c>
      <c r="V2201" s="5" t="s">
        <v>7647</v>
      </c>
      <c r="W2201" s="5" t="s">
        <v>17677</v>
      </c>
      <c r="X2201" s="5" t="s">
        <v>17677</v>
      </c>
      <c r="Y2201" s="4">
        <v>1172</v>
      </c>
      <c r="Z2201" s="4">
        <v>1090</v>
      </c>
      <c r="AA2201" s="4">
        <v>1368</v>
      </c>
      <c r="AB2201" s="4">
        <v>9</v>
      </c>
      <c r="AC2201" s="4">
        <v>12</v>
      </c>
      <c r="AD2201" s="4">
        <v>30</v>
      </c>
      <c r="AE2201" s="4">
        <v>40</v>
      </c>
      <c r="AF2201" s="4">
        <v>11</v>
      </c>
      <c r="AG2201" s="4">
        <v>15</v>
      </c>
      <c r="AH2201" s="4">
        <v>7</v>
      </c>
      <c r="AI2201" s="4">
        <v>9</v>
      </c>
      <c r="AJ2201" s="4">
        <v>15</v>
      </c>
      <c r="AK2201" s="4">
        <v>19</v>
      </c>
      <c r="AL2201" s="4">
        <v>3</v>
      </c>
      <c r="AM2201" s="4">
        <v>6</v>
      </c>
      <c r="AN2201" s="4">
        <v>1</v>
      </c>
      <c r="AO2201" s="4">
        <v>2</v>
      </c>
      <c r="AP2201" s="3" t="s">
        <v>58</v>
      </c>
      <c r="AQ2201" s="3" t="s">
        <v>58</v>
      </c>
      <c r="AS2201" s="6" t="str">
        <f>HYPERLINK("https://creighton-primo.hosted.exlibrisgroup.com/primo-explore/search?tab=default_tab&amp;search_scope=EVERYTHING&amp;vid=01CRU&amp;lang=en_US&amp;offset=0&amp;query=any,contains,991002768029702656","Catalog Record")</f>
        <v>Catalog Record</v>
      </c>
      <c r="AT2201" s="6" t="str">
        <f>HYPERLINK("http://www.worldcat.org/oclc/36327275","WorldCat Record")</f>
        <v>WorldCat Record</v>
      </c>
      <c r="AU2201" s="3" t="s">
        <v>26845</v>
      </c>
      <c r="AV2201" s="3" t="s">
        <v>26846</v>
      </c>
      <c r="AW2201" s="3" t="s">
        <v>26847</v>
      </c>
      <c r="AX2201" s="3" t="s">
        <v>26847</v>
      </c>
      <c r="AY2201" s="3" t="s">
        <v>26848</v>
      </c>
      <c r="AZ2201" s="3" t="s">
        <v>73</v>
      </c>
      <c r="BB2201" s="3" t="s">
        <v>26849</v>
      </c>
      <c r="BC2201" s="3" t="s">
        <v>26850</v>
      </c>
      <c r="BD2201" s="3" t="s">
        <v>26851</v>
      </c>
    </row>
    <row r="2202" spans="1:56" ht="51" customHeight="1" x14ac:dyDescent="0.25">
      <c r="A2202" s="7" t="s">
        <v>58</v>
      </c>
      <c r="B2202" s="2" t="s">
        <v>26852</v>
      </c>
      <c r="C2202" s="2" t="s">
        <v>26853</v>
      </c>
      <c r="D2202" s="2" t="s">
        <v>26854</v>
      </c>
      <c r="F2202" s="3" t="s">
        <v>58</v>
      </c>
      <c r="G2202" s="3" t="s">
        <v>59</v>
      </c>
      <c r="H2202" s="3" t="s">
        <v>58</v>
      </c>
      <c r="I2202" s="3" t="s">
        <v>58</v>
      </c>
      <c r="J2202" s="3" t="s">
        <v>60</v>
      </c>
      <c r="L2202" s="2" t="s">
        <v>26855</v>
      </c>
      <c r="M2202" s="3" t="s">
        <v>101</v>
      </c>
      <c r="O2202" s="3" t="s">
        <v>63</v>
      </c>
      <c r="P2202" s="3" t="s">
        <v>2630</v>
      </c>
      <c r="R2202" s="3" t="s">
        <v>65</v>
      </c>
      <c r="S2202" s="4">
        <v>8</v>
      </c>
      <c r="T2202" s="4">
        <v>8</v>
      </c>
      <c r="U2202" s="5" t="s">
        <v>12015</v>
      </c>
      <c r="V2202" s="5" t="s">
        <v>12015</v>
      </c>
      <c r="W2202" s="5" t="s">
        <v>26573</v>
      </c>
      <c r="X2202" s="5" t="s">
        <v>26573</v>
      </c>
      <c r="Y2202" s="4">
        <v>491</v>
      </c>
      <c r="Z2202" s="4">
        <v>385</v>
      </c>
      <c r="AA2202" s="4">
        <v>388</v>
      </c>
      <c r="AB2202" s="4">
        <v>4</v>
      </c>
      <c r="AC2202" s="4">
        <v>4</v>
      </c>
      <c r="AD2202" s="4">
        <v>24</v>
      </c>
      <c r="AE2202" s="4">
        <v>24</v>
      </c>
      <c r="AF2202" s="4">
        <v>10</v>
      </c>
      <c r="AG2202" s="4">
        <v>10</v>
      </c>
      <c r="AH2202" s="4">
        <v>6</v>
      </c>
      <c r="AI2202" s="4">
        <v>6</v>
      </c>
      <c r="AJ2202" s="4">
        <v>12</v>
      </c>
      <c r="AK2202" s="4">
        <v>12</v>
      </c>
      <c r="AL2202" s="4">
        <v>3</v>
      </c>
      <c r="AM2202" s="4">
        <v>3</v>
      </c>
      <c r="AN2202" s="4">
        <v>0</v>
      </c>
      <c r="AO2202" s="4">
        <v>0</v>
      </c>
      <c r="AP2202" s="3" t="s">
        <v>58</v>
      </c>
      <c r="AQ2202" s="3" t="s">
        <v>68</v>
      </c>
      <c r="AR2202" s="6" t="str">
        <f>HYPERLINK("http://catalog.hathitrust.org/Record/000335655","HathiTrust Record")</f>
        <v>HathiTrust Record</v>
      </c>
      <c r="AS2202" s="6" t="str">
        <f>HYPERLINK("https://creighton-primo.hosted.exlibrisgroup.com/primo-explore/search?tab=default_tab&amp;search_scope=EVERYTHING&amp;vid=01CRU&amp;lang=en_US&amp;offset=0&amp;query=any,contains,991000435849702656","Catalog Record")</f>
        <v>Catalog Record</v>
      </c>
      <c r="AT2202" s="6" t="str">
        <f>HYPERLINK("http://www.worldcat.org/oclc/10798878","WorldCat Record")</f>
        <v>WorldCat Record</v>
      </c>
      <c r="AU2202" s="3" t="s">
        <v>26856</v>
      </c>
      <c r="AV2202" s="3" t="s">
        <v>26857</v>
      </c>
      <c r="AW2202" s="3" t="s">
        <v>26858</v>
      </c>
      <c r="AX2202" s="3" t="s">
        <v>26858</v>
      </c>
      <c r="AY2202" s="3" t="s">
        <v>26859</v>
      </c>
      <c r="AZ2202" s="3" t="s">
        <v>73</v>
      </c>
      <c r="BB2202" s="3" t="s">
        <v>26860</v>
      </c>
      <c r="BC2202" s="3" t="s">
        <v>26861</v>
      </c>
      <c r="BD2202" s="3" t="s">
        <v>26862</v>
      </c>
    </row>
    <row r="2203" spans="1:56" ht="51" customHeight="1" x14ac:dyDescent="0.25">
      <c r="A2203" s="7" t="s">
        <v>58</v>
      </c>
      <c r="B2203" s="2" t="s">
        <v>26863</v>
      </c>
      <c r="C2203" s="2" t="s">
        <v>26864</v>
      </c>
      <c r="D2203" s="2" t="s">
        <v>26865</v>
      </c>
      <c r="F2203" s="3" t="s">
        <v>58</v>
      </c>
      <c r="G2203" s="3" t="s">
        <v>59</v>
      </c>
      <c r="H2203" s="3" t="s">
        <v>58</v>
      </c>
      <c r="I2203" s="3" t="s">
        <v>58</v>
      </c>
      <c r="J2203" s="3" t="s">
        <v>60</v>
      </c>
      <c r="L2203" s="2" t="s">
        <v>26866</v>
      </c>
      <c r="M2203" s="3" t="s">
        <v>842</v>
      </c>
      <c r="O2203" s="3" t="s">
        <v>63</v>
      </c>
      <c r="P2203" s="3" t="s">
        <v>354</v>
      </c>
      <c r="Q2203" s="2" t="s">
        <v>17587</v>
      </c>
      <c r="R2203" s="3" t="s">
        <v>65</v>
      </c>
      <c r="S2203" s="4">
        <v>3</v>
      </c>
      <c r="T2203" s="4">
        <v>3</v>
      </c>
      <c r="U2203" s="5" t="s">
        <v>6938</v>
      </c>
      <c r="V2203" s="5" t="s">
        <v>6938</v>
      </c>
      <c r="W2203" s="5" t="s">
        <v>26573</v>
      </c>
      <c r="X2203" s="5" t="s">
        <v>26573</v>
      </c>
      <c r="Y2203" s="4">
        <v>714</v>
      </c>
      <c r="Z2203" s="4">
        <v>621</v>
      </c>
      <c r="AA2203" s="4">
        <v>623</v>
      </c>
      <c r="AB2203" s="4">
        <v>6</v>
      </c>
      <c r="AC2203" s="4">
        <v>6</v>
      </c>
      <c r="AD2203" s="4">
        <v>24</v>
      </c>
      <c r="AE2203" s="4">
        <v>24</v>
      </c>
      <c r="AF2203" s="4">
        <v>6</v>
      </c>
      <c r="AG2203" s="4">
        <v>6</v>
      </c>
      <c r="AH2203" s="4">
        <v>4</v>
      </c>
      <c r="AI2203" s="4">
        <v>4</v>
      </c>
      <c r="AJ2203" s="4">
        <v>13</v>
      </c>
      <c r="AK2203" s="4">
        <v>13</v>
      </c>
      <c r="AL2203" s="4">
        <v>5</v>
      </c>
      <c r="AM2203" s="4">
        <v>5</v>
      </c>
      <c r="AN2203" s="4">
        <v>1</v>
      </c>
      <c r="AO2203" s="4">
        <v>1</v>
      </c>
      <c r="AP2203" s="3" t="s">
        <v>58</v>
      </c>
      <c r="AQ2203" s="3" t="s">
        <v>68</v>
      </c>
      <c r="AR2203" s="6" t="str">
        <f>HYPERLINK("http://catalog.hathitrust.org/Record/000185185","HathiTrust Record")</f>
        <v>HathiTrust Record</v>
      </c>
      <c r="AS2203" s="6" t="str">
        <f>HYPERLINK("https://creighton-primo.hosted.exlibrisgroup.com/primo-explore/search?tab=default_tab&amp;search_scope=EVERYTHING&amp;vid=01CRU&amp;lang=en_US&amp;offset=0&amp;query=any,contains,991005132569702656","Catalog Record")</f>
        <v>Catalog Record</v>
      </c>
      <c r="AT2203" s="6" t="str">
        <f>HYPERLINK("http://www.worldcat.org/oclc/7573660","WorldCat Record")</f>
        <v>WorldCat Record</v>
      </c>
      <c r="AU2203" s="3" t="s">
        <v>26867</v>
      </c>
      <c r="AV2203" s="3" t="s">
        <v>26868</v>
      </c>
      <c r="AW2203" s="3" t="s">
        <v>26869</v>
      </c>
      <c r="AX2203" s="3" t="s">
        <v>26869</v>
      </c>
      <c r="AY2203" s="3" t="s">
        <v>26870</v>
      </c>
      <c r="AZ2203" s="3" t="s">
        <v>73</v>
      </c>
      <c r="BB2203" s="3" t="s">
        <v>26871</v>
      </c>
      <c r="BC2203" s="3" t="s">
        <v>26872</v>
      </c>
      <c r="BD2203" s="3" t="s">
        <v>26873</v>
      </c>
    </row>
    <row r="2204" spans="1:56" ht="51" customHeight="1" x14ac:dyDescent="0.25">
      <c r="A2204" s="7" t="s">
        <v>58</v>
      </c>
      <c r="B2204" s="2" t="s">
        <v>26874</v>
      </c>
      <c r="C2204" s="2" t="s">
        <v>26875</v>
      </c>
      <c r="D2204" s="2" t="s">
        <v>26876</v>
      </c>
      <c r="F2204" s="3" t="s">
        <v>58</v>
      </c>
      <c r="G2204" s="3" t="s">
        <v>59</v>
      </c>
      <c r="H2204" s="3" t="s">
        <v>58</v>
      </c>
      <c r="I2204" s="3" t="s">
        <v>58</v>
      </c>
      <c r="J2204" s="3" t="s">
        <v>60</v>
      </c>
      <c r="L2204" s="2" t="s">
        <v>26877</v>
      </c>
      <c r="M2204" s="3" t="s">
        <v>759</v>
      </c>
      <c r="O2204" s="3" t="s">
        <v>63</v>
      </c>
      <c r="P2204" s="3" t="s">
        <v>214</v>
      </c>
      <c r="R2204" s="3" t="s">
        <v>65</v>
      </c>
      <c r="S2204" s="4">
        <v>3</v>
      </c>
      <c r="T2204" s="4">
        <v>3</v>
      </c>
      <c r="U2204" s="5" t="s">
        <v>9778</v>
      </c>
      <c r="V2204" s="5" t="s">
        <v>9778</v>
      </c>
      <c r="W2204" s="5" t="s">
        <v>26573</v>
      </c>
      <c r="X2204" s="5" t="s">
        <v>26573</v>
      </c>
      <c r="Y2204" s="4">
        <v>451</v>
      </c>
      <c r="Z2204" s="4">
        <v>364</v>
      </c>
      <c r="AA2204" s="4">
        <v>369</v>
      </c>
      <c r="AB2204" s="4">
        <v>3</v>
      </c>
      <c r="AC2204" s="4">
        <v>3</v>
      </c>
      <c r="AD2204" s="4">
        <v>16</v>
      </c>
      <c r="AE2204" s="4">
        <v>16</v>
      </c>
      <c r="AF2204" s="4">
        <v>6</v>
      </c>
      <c r="AG2204" s="4">
        <v>6</v>
      </c>
      <c r="AH2204" s="4">
        <v>5</v>
      </c>
      <c r="AI2204" s="4">
        <v>5</v>
      </c>
      <c r="AJ2204" s="4">
        <v>7</v>
      </c>
      <c r="AK2204" s="4">
        <v>7</v>
      </c>
      <c r="AL2204" s="4">
        <v>2</v>
      </c>
      <c r="AM2204" s="4">
        <v>2</v>
      </c>
      <c r="AN2204" s="4">
        <v>0</v>
      </c>
      <c r="AO2204" s="4">
        <v>0</v>
      </c>
      <c r="AP2204" s="3" t="s">
        <v>58</v>
      </c>
      <c r="AQ2204" s="3" t="s">
        <v>58</v>
      </c>
      <c r="AS2204" s="6" t="str">
        <f>HYPERLINK("https://creighton-primo.hosted.exlibrisgroup.com/primo-explore/search?tab=default_tab&amp;search_scope=EVERYTHING&amp;vid=01CRU&amp;lang=en_US&amp;offset=0&amp;query=any,contains,991004927819702656","Catalog Record")</f>
        <v>Catalog Record</v>
      </c>
      <c r="AT2204" s="6" t="str">
        <f>HYPERLINK("http://www.worldcat.org/oclc/6087476","WorldCat Record")</f>
        <v>WorldCat Record</v>
      </c>
      <c r="AU2204" s="3" t="s">
        <v>26878</v>
      </c>
      <c r="AV2204" s="3" t="s">
        <v>26879</v>
      </c>
      <c r="AW2204" s="3" t="s">
        <v>26880</v>
      </c>
      <c r="AX2204" s="3" t="s">
        <v>26880</v>
      </c>
      <c r="AY2204" s="3" t="s">
        <v>26881</v>
      </c>
      <c r="AZ2204" s="3" t="s">
        <v>73</v>
      </c>
      <c r="BB2204" s="3" t="s">
        <v>26882</v>
      </c>
      <c r="BC2204" s="3" t="s">
        <v>26883</v>
      </c>
      <c r="BD2204" s="3" t="s">
        <v>26884</v>
      </c>
    </row>
    <row r="2205" spans="1:56" ht="51" customHeight="1" x14ac:dyDescent="0.25">
      <c r="A2205" s="7" t="s">
        <v>58</v>
      </c>
      <c r="B2205" s="2" t="s">
        <v>26885</v>
      </c>
      <c r="C2205" s="2" t="s">
        <v>26886</v>
      </c>
      <c r="D2205" s="2" t="s">
        <v>26887</v>
      </c>
      <c r="F2205" s="3" t="s">
        <v>58</v>
      </c>
      <c r="G2205" s="3" t="s">
        <v>59</v>
      </c>
      <c r="H2205" s="3" t="s">
        <v>58</v>
      </c>
      <c r="I2205" s="3" t="s">
        <v>58</v>
      </c>
      <c r="J2205" s="3" t="s">
        <v>60</v>
      </c>
      <c r="L2205" s="2" t="s">
        <v>26888</v>
      </c>
      <c r="M2205" s="3" t="s">
        <v>382</v>
      </c>
      <c r="O2205" s="3" t="s">
        <v>63</v>
      </c>
      <c r="P2205" s="3" t="s">
        <v>214</v>
      </c>
      <c r="R2205" s="3" t="s">
        <v>65</v>
      </c>
      <c r="S2205" s="4">
        <v>4</v>
      </c>
      <c r="T2205" s="4">
        <v>4</v>
      </c>
      <c r="U2205" s="5" t="s">
        <v>25176</v>
      </c>
      <c r="V2205" s="5" t="s">
        <v>25176</v>
      </c>
      <c r="W2205" s="5" t="s">
        <v>18451</v>
      </c>
      <c r="X2205" s="5" t="s">
        <v>18451</v>
      </c>
      <c r="Y2205" s="4">
        <v>362</v>
      </c>
      <c r="Z2205" s="4">
        <v>275</v>
      </c>
      <c r="AA2205" s="4">
        <v>290</v>
      </c>
      <c r="AB2205" s="4">
        <v>3</v>
      </c>
      <c r="AC2205" s="4">
        <v>3</v>
      </c>
      <c r="AD2205" s="4">
        <v>18</v>
      </c>
      <c r="AE2205" s="4">
        <v>19</v>
      </c>
      <c r="AF2205" s="4">
        <v>4</v>
      </c>
      <c r="AG2205" s="4">
        <v>4</v>
      </c>
      <c r="AH2205" s="4">
        <v>4</v>
      </c>
      <c r="AI2205" s="4">
        <v>4</v>
      </c>
      <c r="AJ2205" s="4">
        <v>9</v>
      </c>
      <c r="AK2205" s="4">
        <v>9</v>
      </c>
      <c r="AL2205" s="4">
        <v>2</v>
      </c>
      <c r="AM2205" s="4">
        <v>2</v>
      </c>
      <c r="AN2205" s="4">
        <v>2</v>
      </c>
      <c r="AO2205" s="4">
        <v>3</v>
      </c>
      <c r="AP2205" s="3" t="s">
        <v>58</v>
      </c>
      <c r="AQ2205" s="3" t="s">
        <v>68</v>
      </c>
      <c r="AR2205" s="6" t="str">
        <f>HYPERLINK("http://catalog.hathitrust.org/Record/003329686","HathiTrust Record")</f>
        <v>HathiTrust Record</v>
      </c>
      <c r="AS2205" s="6" t="str">
        <f>HYPERLINK("https://creighton-primo.hosted.exlibrisgroup.com/primo-explore/search?tab=default_tab&amp;search_scope=EVERYTHING&amp;vid=01CRU&amp;lang=en_US&amp;offset=0&amp;query=any,contains,991003004889702656","Catalog Record")</f>
        <v>Catalog Record</v>
      </c>
      <c r="AT2205" s="6" t="str">
        <f>HYPERLINK("http://www.worldcat.org/oclc/40716062","WorldCat Record")</f>
        <v>WorldCat Record</v>
      </c>
      <c r="AU2205" s="3" t="s">
        <v>26889</v>
      </c>
      <c r="AV2205" s="3" t="s">
        <v>26890</v>
      </c>
      <c r="AW2205" s="3" t="s">
        <v>26891</v>
      </c>
      <c r="AX2205" s="3" t="s">
        <v>26891</v>
      </c>
      <c r="AY2205" s="3" t="s">
        <v>26892</v>
      </c>
      <c r="AZ2205" s="3" t="s">
        <v>73</v>
      </c>
      <c r="BB2205" s="3" t="s">
        <v>26893</v>
      </c>
      <c r="BC2205" s="3" t="s">
        <v>26894</v>
      </c>
      <c r="BD2205" s="3" t="s">
        <v>26895</v>
      </c>
    </row>
    <row r="2206" spans="1:56" ht="51" customHeight="1" x14ac:dyDescent="0.25">
      <c r="A2206" s="7" t="s">
        <v>58</v>
      </c>
      <c r="B2206" s="2" t="s">
        <v>26896</v>
      </c>
      <c r="C2206" s="2" t="s">
        <v>26897</v>
      </c>
      <c r="D2206" s="2" t="s">
        <v>26898</v>
      </c>
      <c r="F2206" s="3" t="s">
        <v>58</v>
      </c>
      <c r="G2206" s="3" t="s">
        <v>59</v>
      </c>
      <c r="H2206" s="3" t="s">
        <v>58</v>
      </c>
      <c r="I2206" s="3" t="s">
        <v>58</v>
      </c>
      <c r="J2206" s="3" t="s">
        <v>60</v>
      </c>
      <c r="L2206" s="2" t="s">
        <v>26899</v>
      </c>
      <c r="M2206" s="3" t="s">
        <v>138</v>
      </c>
      <c r="O2206" s="3" t="s">
        <v>63</v>
      </c>
      <c r="P2206" s="3" t="s">
        <v>214</v>
      </c>
      <c r="R2206" s="3" t="s">
        <v>65</v>
      </c>
      <c r="S2206" s="4">
        <v>7</v>
      </c>
      <c r="T2206" s="4">
        <v>7</v>
      </c>
      <c r="U2206" s="5" t="s">
        <v>3670</v>
      </c>
      <c r="V2206" s="5" t="s">
        <v>3670</v>
      </c>
      <c r="W2206" s="5" t="s">
        <v>26573</v>
      </c>
      <c r="X2206" s="5" t="s">
        <v>26573</v>
      </c>
      <c r="Y2206" s="4">
        <v>465</v>
      </c>
      <c r="Z2206" s="4">
        <v>381</v>
      </c>
      <c r="AA2206" s="4">
        <v>388</v>
      </c>
      <c r="AB2206" s="4">
        <v>3</v>
      </c>
      <c r="AC2206" s="4">
        <v>3</v>
      </c>
      <c r="AD2206" s="4">
        <v>17</v>
      </c>
      <c r="AE2206" s="4">
        <v>17</v>
      </c>
      <c r="AF2206" s="4">
        <v>7</v>
      </c>
      <c r="AG2206" s="4">
        <v>7</v>
      </c>
      <c r="AH2206" s="4">
        <v>5</v>
      </c>
      <c r="AI2206" s="4">
        <v>5</v>
      </c>
      <c r="AJ2206" s="4">
        <v>7</v>
      </c>
      <c r="AK2206" s="4">
        <v>7</v>
      </c>
      <c r="AL2206" s="4">
        <v>2</v>
      </c>
      <c r="AM2206" s="4">
        <v>2</v>
      </c>
      <c r="AN2206" s="4">
        <v>0</v>
      </c>
      <c r="AO2206" s="4">
        <v>0</v>
      </c>
      <c r="AP2206" s="3" t="s">
        <v>58</v>
      </c>
      <c r="AQ2206" s="3" t="s">
        <v>68</v>
      </c>
      <c r="AR2206" s="6" t="str">
        <f>HYPERLINK("http://catalog.hathitrust.org/Record/000766210","HathiTrust Record")</f>
        <v>HathiTrust Record</v>
      </c>
      <c r="AS2206" s="6" t="str">
        <f>HYPERLINK("https://creighton-primo.hosted.exlibrisgroup.com/primo-explore/search?tab=default_tab&amp;search_scope=EVERYTHING&amp;vid=01CRU&amp;lang=en_US&amp;offset=0&amp;query=any,contains,991005196989702656","Catalog Record")</f>
        <v>Catalog Record</v>
      </c>
      <c r="AT2206" s="6" t="str">
        <f>HYPERLINK("http://www.worldcat.org/oclc/8051407","WorldCat Record")</f>
        <v>WorldCat Record</v>
      </c>
      <c r="AU2206" s="3" t="s">
        <v>26900</v>
      </c>
      <c r="AV2206" s="3" t="s">
        <v>26901</v>
      </c>
      <c r="AW2206" s="3" t="s">
        <v>26902</v>
      </c>
      <c r="AX2206" s="3" t="s">
        <v>26902</v>
      </c>
      <c r="AY2206" s="3" t="s">
        <v>26903</v>
      </c>
      <c r="AZ2206" s="3" t="s">
        <v>73</v>
      </c>
      <c r="BB2206" s="3" t="s">
        <v>26904</v>
      </c>
      <c r="BC2206" s="3" t="s">
        <v>26905</v>
      </c>
      <c r="BD2206" s="3" t="s">
        <v>26906</v>
      </c>
    </row>
    <row r="2207" spans="1:56" ht="51" customHeight="1" x14ac:dyDescent="0.25">
      <c r="A2207" s="7" t="s">
        <v>58</v>
      </c>
      <c r="B2207" s="2" t="s">
        <v>26907</v>
      </c>
      <c r="C2207" s="2" t="s">
        <v>26908</v>
      </c>
      <c r="D2207" s="2" t="s">
        <v>26909</v>
      </c>
      <c r="F2207" s="3" t="s">
        <v>58</v>
      </c>
      <c r="G2207" s="3" t="s">
        <v>59</v>
      </c>
      <c r="H2207" s="3" t="s">
        <v>58</v>
      </c>
      <c r="I2207" s="3" t="s">
        <v>58</v>
      </c>
      <c r="J2207" s="3" t="s">
        <v>60</v>
      </c>
      <c r="L2207" s="2" t="s">
        <v>26910</v>
      </c>
      <c r="M2207" s="3" t="s">
        <v>1399</v>
      </c>
      <c r="O2207" s="3" t="s">
        <v>63</v>
      </c>
      <c r="P2207" s="3" t="s">
        <v>214</v>
      </c>
      <c r="Q2207" s="2" t="s">
        <v>26911</v>
      </c>
      <c r="R2207" s="3" t="s">
        <v>65</v>
      </c>
      <c r="S2207" s="4">
        <v>2</v>
      </c>
      <c r="T2207" s="4">
        <v>2</v>
      </c>
      <c r="U2207" s="5" t="s">
        <v>11072</v>
      </c>
      <c r="V2207" s="5" t="s">
        <v>11072</v>
      </c>
      <c r="W2207" s="5" t="s">
        <v>26912</v>
      </c>
      <c r="X2207" s="5" t="s">
        <v>26912</v>
      </c>
      <c r="Y2207" s="4">
        <v>270</v>
      </c>
      <c r="Z2207" s="4">
        <v>217</v>
      </c>
      <c r="AA2207" s="4">
        <v>228</v>
      </c>
      <c r="AB2207" s="4">
        <v>2</v>
      </c>
      <c r="AC2207" s="4">
        <v>2</v>
      </c>
      <c r="AD2207" s="4">
        <v>12</v>
      </c>
      <c r="AE2207" s="4">
        <v>13</v>
      </c>
      <c r="AF2207" s="4">
        <v>3</v>
      </c>
      <c r="AG2207" s="4">
        <v>3</v>
      </c>
      <c r="AH2207" s="4">
        <v>4</v>
      </c>
      <c r="AI2207" s="4">
        <v>5</v>
      </c>
      <c r="AJ2207" s="4">
        <v>7</v>
      </c>
      <c r="AK2207" s="4">
        <v>8</v>
      </c>
      <c r="AL2207" s="4">
        <v>1</v>
      </c>
      <c r="AM2207" s="4">
        <v>1</v>
      </c>
      <c r="AN2207" s="4">
        <v>0</v>
      </c>
      <c r="AO2207" s="4">
        <v>0</v>
      </c>
      <c r="AP2207" s="3" t="s">
        <v>58</v>
      </c>
      <c r="AQ2207" s="3" t="s">
        <v>68</v>
      </c>
      <c r="AR2207" s="6" t="str">
        <f>HYPERLINK("http://catalog.hathitrust.org/Record/001820472","HathiTrust Record")</f>
        <v>HathiTrust Record</v>
      </c>
      <c r="AS2207" s="6" t="str">
        <f>HYPERLINK("https://creighton-primo.hosted.exlibrisgroup.com/primo-explore/search?tab=default_tab&amp;search_scope=EVERYTHING&amp;vid=01CRU&amp;lang=en_US&amp;offset=0&amp;query=any,contains,991001321009702656","Catalog Record")</f>
        <v>Catalog Record</v>
      </c>
      <c r="AT2207" s="6" t="str">
        <f>HYPERLINK("http://www.worldcat.org/oclc/18224671","WorldCat Record")</f>
        <v>WorldCat Record</v>
      </c>
      <c r="AU2207" s="3" t="s">
        <v>26913</v>
      </c>
      <c r="AV2207" s="3" t="s">
        <v>26914</v>
      </c>
      <c r="AW2207" s="3" t="s">
        <v>26915</v>
      </c>
      <c r="AX2207" s="3" t="s">
        <v>26915</v>
      </c>
      <c r="AY2207" s="3" t="s">
        <v>26916</v>
      </c>
      <c r="AZ2207" s="3" t="s">
        <v>73</v>
      </c>
      <c r="BB2207" s="3" t="s">
        <v>26917</v>
      </c>
      <c r="BC2207" s="3" t="s">
        <v>26918</v>
      </c>
      <c r="BD2207" s="3" t="s">
        <v>26919</v>
      </c>
    </row>
    <row r="2208" spans="1:56" ht="51" customHeight="1" x14ac:dyDescent="0.25">
      <c r="A2208" s="7" t="s">
        <v>58</v>
      </c>
      <c r="B2208" s="2" t="s">
        <v>26920</v>
      </c>
      <c r="C2208" s="2" t="s">
        <v>26921</v>
      </c>
      <c r="D2208" s="2" t="s">
        <v>26922</v>
      </c>
      <c r="F2208" s="3" t="s">
        <v>58</v>
      </c>
      <c r="G2208" s="3" t="s">
        <v>59</v>
      </c>
      <c r="H2208" s="3" t="s">
        <v>58</v>
      </c>
      <c r="I2208" s="3" t="s">
        <v>58</v>
      </c>
      <c r="J2208" s="3" t="s">
        <v>60</v>
      </c>
      <c r="K2208" s="2" t="s">
        <v>26923</v>
      </c>
      <c r="L2208" s="2" t="s">
        <v>26924</v>
      </c>
      <c r="M2208" s="3" t="s">
        <v>951</v>
      </c>
      <c r="O2208" s="3" t="s">
        <v>63</v>
      </c>
      <c r="P2208" s="3" t="s">
        <v>3109</v>
      </c>
      <c r="R2208" s="3" t="s">
        <v>65</v>
      </c>
      <c r="S2208" s="4">
        <v>11</v>
      </c>
      <c r="T2208" s="4">
        <v>11</v>
      </c>
      <c r="U2208" s="5" t="s">
        <v>12878</v>
      </c>
      <c r="V2208" s="5" t="s">
        <v>12878</v>
      </c>
      <c r="W2208" s="5" t="s">
        <v>26925</v>
      </c>
      <c r="X2208" s="5" t="s">
        <v>26925</v>
      </c>
      <c r="Y2208" s="4">
        <v>227</v>
      </c>
      <c r="Z2208" s="4">
        <v>165</v>
      </c>
      <c r="AA2208" s="4">
        <v>182</v>
      </c>
      <c r="AB2208" s="4">
        <v>2</v>
      </c>
      <c r="AC2208" s="4">
        <v>2</v>
      </c>
      <c r="AD2208" s="4">
        <v>8</v>
      </c>
      <c r="AE2208" s="4">
        <v>9</v>
      </c>
      <c r="AF2208" s="4">
        <v>1</v>
      </c>
      <c r="AG2208" s="4">
        <v>2</v>
      </c>
      <c r="AH2208" s="4">
        <v>4</v>
      </c>
      <c r="AI2208" s="4">
        <v>5</v>
      </c>
      <c r="AJ2208" s="4">
        <v>5</v>
      </c>
      <c r="AK2208" s="4">
        <v>5</v>
      </c>
      <c r="AL2208" s="4">
        <v>1</v>
      </c>
      <c r="AM2208" s="4">
        <v>1</v>
      </c>
      <c r="AN2208" s="4">
        <v>0</v>
      </c>
      <c r="AO2208" s="4">
        <v>0</v>
      </c>
      <c r="AP2208" s="3" t="s">
        <v>58</v>
      </c>
      <c r="AQ2208" s="3" t="s">
        <v>68</v>
      </c>
      <c r="AR2208" s="6" t="str">
        <f>HYPERLINK("http://catalog.hathitrust.org/Record/004169309","HathiTrust Record")</f>
        <v>HathiTrust Record</v>
      </c>
      <c r="AS2208" s="6" t="str">
        <f>HYPERLINK("https://creighton-primo.hosted.exlibrisgroup.com/primo-explore/search?tab=default_tab&amp;search_scope=EVERYTHING&amp;vid=01CRU&amp;lang=en_US&amp;offset=0&amp;query=any,contains,991003768019702656","Catalog Record")</f>
        <v>Catalog Record</v>
      </c>
      <c r="AT2208" s="6" t="str">
        <f>HYPERLINK("http://www.worldcat.org/oclc/44802747","WorldCat Record")</f>
        <v>WorldCat Record</v>
      </c>
      <c r="AU2208" s="3" t="s">
        <v>26926</v>
      </c>
      <c r="AV2208" s="3" t="s">
        <v>26927</v>
      </c>
      <c r="AW2208" s="3" t="s">
        <v>26928</v>
      </c>
      <c r="AX2208" s="3" t="s">
        <v>26928</v>
      </c>
      <c r="AY2208" s="3" t="s">
        <v>26929</v>
      </c>
      <c r="AZ2208" s="3" t="s">
        <v>73</v>
      </c>
      <c r="BB2208" s="3" t="s">
        <v>26930</v>
      </c>
      <c r="BC2208" s="3" t="s">
        <v>26931</v>
      </c>
      <c r="BD2208" s="3" t="s">
        <v>26932</v>
      </c>
    </row>
    <row r="2209" spans="1:56" ht="51" customHeight="1" x14ac:dyDescent="0.25">
      <c r="A2209" s="7" t="s">
        <v>58</v>
      </c>
      <c r="B2209" s="2" t="s">
        <v>26933</v>
      </c>
      <c r="C2209" s="2" t="s">
        <v>26934</v>
      </c>
      <c r="D2209" s="2" t="s">
        <v>26935</v>
      </c>
      <c r="F2209" s="3" t="s">
        <v>58</v>
      </c>
      <c r="G2209" s="3" t="s">
        <v>59</v>
      </c>
      <c r="H2209" s="3" t="s">
        <v>58</v>
      </c>
      <c r="I2209" s="3" t="s">
        <v>58</v>
      </c>
      <c r="J2209" s="3" t="s">
        <v>60</v>
      </c>
      <c r="L2209" s="2" t="s">
        <v>26936</v>
      </c>
      <c r="M2209" s="3" t="s">
        <v>382</v>
      </c>
      <c r="O2209" s="3" t="s">
        <v>63</v>
      </c>
      <c r="P2209" s="3" t="s">
        <v>3109</v>
      </c>
      <c r="R2209" s="3" t="s">
        <v>65</v>
      </c>
      <c r="S2209" s="4">
        <v>7</v>
      </c>
      <c r="T2209" s="4">
        <v>7</v>
      </c>
      <c r="U2209" s="5" t="s">
        <v>22814</v>
      </c>
      <c r="V2209" s="5" t="s">
        <v>22814</v>
      </c>
      <c r="W2209" s="5" t="s">
        <v>26937</v>
      </c>
      <c r="X2209" s="5" t="s">
        <v>26937</v>
      </c>
      <c r="Y2209" s="4">
        <v>557</v>
      </c>
      <c r="Z2209" s="4">
        <v>446</v>
      </c>
      <c r="AA2209" s="4">
        <v>899</v>
      </c>
      <c r="AB2209" s="4">
        <v>5</v>
      </c>
      <c r="AC2209" s="4">
        <v>6</v>
      </c>
      <c r="AD2209" s="4">
        <v>21</v>
      </c>
      <c r="AE2209" s="4">
        <v>30</v>
      </c>
      <c r="AF2209" s="4">
        <v>6</v>
      </c>
      <c r="AG2209" s="4">
        <v>13</v>
      </c>
      <c r="AH2209" s="4">
        <v>6</v>
      </c>
      <c r="AI2209" s="4">
        <v>8</v>
      </c>
      <c r="AJ2209" s="4">
        <v>9</v>
      </c>
      <c r="AK2209" s="4">
        <v>11</v>
      </c>
      <c r="AL2209" s="4">
        <v>4</v>
      </c>
      <c r="AM2209" s="4">
        <v>5</v>
      </c>
      <c r="AN2209" s="4">
        <v>0</v>
      </c>
      <c r="AO2209" s="4">
        <v>0</v>
      </c>
      <c r="AP2209" s="3" t="s">
        <v>58</v>
      </c>
      <c r="AQ2209" s="3" t="s">
        <v>68</v>
      </c>
      <c r="AR2209" s="6" t="str">
        <f>HYPERLINK("http://catalog.hathitrust.org/Record/004032579","HathiTrust Record")</f>
        <v>HathiTrust Record</v>
      </c>
      <c r="AS2209" s="6" t="str">
        <f>HYPERLINK("https://creighton-primo.hosted.exlibrisgroup.com/primo-explore/search?tab=default_tab&amp;search_scope=EVERYTHING&amp;vid=01CRU&amp;lang=en_US&amp;offset=0&amp;query=any,contains,991003222929702656","Catalog Record")</f>
        <v>Catalog Record</v>
      </c>
      <c r="AT2209" s="6" t="str">
        <f>HYPERLINK("http://www.worldcat.org/oclc/40230376","WorldCat Record")</f>
        <v>WorldCat Record</v>
      </c>
      <c r="AU2209" s="3" t="s">
        <v>26938</v>
      </c>
      <c r="AV2209" s="3" t="s">
        <v>26939</v>
      </c>
      <c r="AW2209" s="3" t="s">
        <v>26940</v>
      </c>
      <c r="AX2209" s="3" t="s">
        <v>26940</v>
      </c>
      <c r="AY2209" s="3" t="s">
        <v>26941</v>
      </c>
      <c r="AZ2209" s="3" t="s">
        <v>73</v>
      </c>
      <c r="BB2209" s="3" t="s">
        <v>26942</v>
      </c>
      <c r="BC2209" s="3" t="s">
        <v>26943</v>
      </c>
      <c r="BD2209" s="3" t="s">
        <v>26944</v>
      </c>
    </row>
    <row r="2210" spans="1:56" ht="51" customHeight="1" x14ac:dyDescent="0.25">
      <c r="A2210" s="7" t="s">
        <v>58</v>
      </c>
      <c r="B2210" s="2" t="s">
        <v>26945</v>
      </c>
      <c r="C2210" s="2" t="s">
        <v>26946</v>
      </c>
      <c r="D2210" s="2" t="s">
        <v>26947</v>
      </c>
      <c r="F2210" s="3" t="s">
        <v>58</v>
      </c>
      <c r="G2210" s="3" t="s">
        <v>59</v>
      </c>
      <c r="H2210" s="3" t="s">
        <v>58</v>
      </c>
      <c r="I2210" s="3" t="s">
        <v>58</v>
      </c>
      <c r="J2210" s="3" t="s">
        <v>60</v>
      </c>
      <c r="K2210" s="2" t="s">
        <v>26948</v>
      </c>
      <c r="L2210" s="2" t="s">
        <v>15108</v>
      </c>
      <c r="M2210" s="3" t="s">
        <v>1784</v>
      </c>
      <c r="O2210" s="3" t="s">
        <v>63</v>
      </c>
      <c r="P2210" s="3" t="s">
        <v>354</v>
      </c>
      <c r="R2210" s="3" t="s">
        <v>65</v>
      </c>
      <c r="S2210" s="4">
        <v>2</v>
      </c>
      <c r="T2210" s="4">
        <v>2</v>
      </c>
      <c r="U2210" s="5" t="s">
        <v>26949</v>
      </c>
      <c r="V2210" s="5" t="s">
        <v>26949</v>
      </c>
      <c r="W2210" s="5" t="s">
        <v>26573</v>
      </c>
      <c r="X2210" s="5" t="s">
        <v>26573</v>
      </c>
      <c r="Y2210" s="4">
        <v>804</v>
      </c>
      <c r="Z2210" s="4">
        <v>626</v>
      </c>
      <c r="AA2210" s="4">
        <v>815</v>
      </c>
      <c r="AB2210" s="4">
        <v>3</v>
      </c>
      <c r="AC2210" s="4">
        <v>5</v>
      </c>
      <c r="AD2210" s="4">
        <v>28</v>
      </c>
      <c r="AE2210" s="4">
        <v>36</v>
      </c>
      <c r="AF2210" s="4">
        <v>9</v>
      </c>
      <c r="AG2210" s="4">
        <v>15</v>
      </c>
      <c r="AH2210" s="4">
        <v>9</v>
      </c>
      <c r="AI2210" s="4">
        <v>10</v>
      </c>
      <c r="AJ2210" s="4">
        <v>16</v>
      </c>
      <c r="AK2210" s="4">
        <v>17</v>
      </c>
      <c r="AL2210" s="4">
        <v>2</v>
      </c>
      <c r="AM2210" s="4">
        <v>3</v>
      </c>
      <c r="AN2210" s="4">
        <v>2</v>
      </c>
      <c r="AO2210" s="4">
        <v>2</v>
      </c>
      <c r="AP2210" s="3" t="s">
        <v>58</v>
      </c>
      <c r="AQ2210" s="3" t="s">
        <v>58</v>
      </c>
      <c r="AS2210" s="6" t="str">
        <f>HYPERLINK("https://creighton-primo.hosted.exlibrisgroup.com/primo-explore/search?tab=default_tab&amp;search_scope=EVERYTHING&amp;vid=01CRU&amp;lang=en_US&amp;offset=0&amp;query=any,contains,991004650899702656","Catalog Record")</f>
        <v>Catalog Record</v>
      </c>
      <c r="AT2210" s="6" t="str">
        <f>HYPERLINK("http://www.worldcat.org/oclc/4493859","WorldCat Record")</f>
        <v>WorldCat Record</v>
      </c>
      <c r="AU2210" s="3" t="s">
        <v>26950</v>
      </c>
      <c r="AV2210" s="3" t="s">
        <v>26951</v>
      </c>
      <c r="AW2210" s="3" t="s">
        <v>26952</v>
      </c>
      <c r="AX2210" s="3" t="s">
        <v>26952</v>
      </c>
      <c r="AY2210" s="3" t="s">
        <v>26953</v>
      </c>
      <c r="AZ2210" s="3" t="s">
        <v>73</v>
      </c>
      <c r="BB2210" s="3" t="s">
        <v>26954</v>
      </c>
      <c r="BC2210" s="3" t="s">
        <v>26955</v>
      </c>
      <c r="BD2210" s="3" t="s">
        <v>26956</v>
      </c>
    </row>
    <row r="2211" spans="1:56" ht="51" customHeight="1" x14ac:dyDescent="0.25">
      <c r="A2211" s="7" t="s">
        <v>58</v>
      </c>
      <c r="B2211" s="2" t="s">
        <v>26957</v>
      </c>
      <c r="C2211" s="2" t="s">
        <v>26958</v>
      </c>
      <c r="D2211" s="2" t="s">
        <v>26959</v>
      </c>
      <c r="F2211" s="3" t="s">
        <v>58</v>
      </c>
      <c r="G2211" s="3" t="s">
        <v>59</v>
      </c>
      <c r="H2211" s="3" t="s">
        <v>58</v>
      </c>
      <c r="I2211" s="3" t="s">
        <v>58</v>
      </c>
      <c r="J2211" s="3" t="s">
        <v>60</v>
      </c>
      <c r="L2211" s="2" t="s">
        <v>26960</v>
      </c>
      <c r="M2211" s="3" t="s">
        <v>1091</v>
      </c>
      <c r="O2211" s="3" t="s">
        <v>63</v>
      </c>
      <c r="P2211" s="3" t="s">
        <v>2061</v>
      </c>
      <c r="R2211" s="3" t="s">
        <v>65</v>
      </c>
      <c r="S2211" s="4">
        <v>4</v>
      </c>
      <c r="T2211" s="4">
        <v>4</v>
      </c>
      <c r="U2211" s="5" t="s">
        <v>7028</v>
      </c>
      <c r="V2211" s="5" t="s">
        <v>7028</v>
      </c>
      <c r="W2211" s="5" t="s">
        <v>1947</v>
      </c>
      <c r="X2211" s="5" t="s">
        <v>1947</v>
      </c>
      <c r="Y2211" s="4">
        <v>470</v>
      </c>
      <c r="Z2211" s="4">
        <v>346</v>
      </c>
      <c r="AA2211" s="4">
        <v>368</v>
      </c>
      <c r="AB2211" s="4">
        <v>3</v>
      </c>
      <c r="AC2211" s="4">
        <v>4</v>
      </c>
      <c r="AD2211" s="4">
        <v>21</v>
      </c>
      <c r="AE2211" s="4">
        <v>25</v>
      </c>
      <c r="AF2211" s="4">
        <v>8</v>
      </c>
      <c r="AG2211" s="4">
        <v>10</v>
      </c>
      <c r="AH2211" s="4">
        <v>6</v>
      </c>
      <c r="AI2211" s="4">
        <v>8</v>
      </c>
      <c r="AJ2211" s="4">
        <v>12</v>
      </c>
      <c r="AK2211" s="4">
        <v>13</v>
      </c>
      <c r="AL2211" s="4">
        <v>2</v>
      </c>
      <c r="AM2211" s="4">
        <v>3</v>
      </c>
      <c r="AN2211" s="4">
        <v>0</v>
      </c>
      <c r="AO2211" s="4">
        <v>0</v>
      </c>
      <c r="AP2211" s="3" t="s">
        <v>58</v>
      </c>
      <c r="AQ2211" s="3" t="s">
        <v>68</v>
      </c>
      <c r="AR2211" s="6" t="str">
        <f>HYPERLINK("http://catalog.hathitrust.org/Record/007244375","HathiTrust Record")</f>
        <v>HathiTrust Record</v>
      </c>
      <c r="AS2211" s="6" t="str">
        <f>HYPERLINK("https://creighton-primo.hosted.exlibrisgroup.com/primo-explore/search?tab=default_tab&amp;search_scope=EVERYTHING&amp;vid=01CRU&amp;lang=en_US&amp;offset=0&amp;query=any,contains,991003780479702656","Catalog Record")</f>
        <v>Catalog Record</v>
      </c>
      <c r="AT2211" s="6" t="str">
        <f>HYPERLINK("http://www.worldcat.org/oclc/45835554","WorldCat Record")</f>
        <v>WorldCat Record</v>
      </c>
      <c r="AU2211" s="3" t="s">
        <v>26961</v>
      </c>
      <c r="AV2211" s="3" t="s">
        <v>26962</v>
      </c>
      <c r="AW2211" s="3" t="s">
        <v>26963</v>
      </c>
      <c r="AX2211" s="3" t="s">
        <v>26963</v>
      </c>
      <c r="AY2211" s="3" t="s">
        <v>26964</v>
      </c>
      <c r="AZ2211" s="3" t="s">
        <v>73</v>
      </c>
      <c r="BB2211" s="3" t="s">
        <v>26965</v>
      </c>
      <c r="BC2211" s="3" t="s">
        <v>26966</v>
      </c>
      <c r="BD2211" s="3" t="s">
        <v>26967</v>
      </c>
    </row>
    <row r="2212" spans="1:56" ht="51" customHeight="1" x14ac:dyDescent="0.25">
      <c r="A2212" s="7" t="s">
        <v>58</v>
      </c>
      <c r="B2212" s="2" t="s">
        <v>26968</v>
      </c>
      <c r="C2212" s="2" t="s">
        <v>26969</v>
      </c>
      <c r="D2212" s="2" t="s">
        <v>26970</v>
      </c>
      <c r="F2212" s="3" t="s">
        <v>58</v>
      </c>
      <c r="G2212" s="3" t="s">
        <v>59</v>
      </c>
      <c r="H2212" s="3" t="s">
        <v>58</v>
      </c>
      <c r="I2212" s="3" t="s">
        <v>58</v>
      </c>
      <c r="J2212" s="3" t="s">
        <v>60</v>
      </c>
      <c r="L2212" s="2" t="s">
        <v>26971</v>
      </c>
      <c r="M2212" s="3" t="s">
        <v>898</v>
      </c>
      <c r="O2212" s="3" t="s">
        <v>63</v>
      </c>
      <c r="P2212" s="3" t="s">
        <v>2061</v>
      </c>
      <c r="R2212" s="3" t="s">
        <v>65</v>
      </c>
      <c r="S2212" s="4">
        <v>2</v>
      </c>
      <c r="T2212" s="4">
        <v>2</v>
      </c>
      <c r="U2212" s="5" t="s">
        <v>12878</v>
      </c>
      <c r="V2212" s="5" t="s">
        <v>12878</v>
      </c>
      <c r="W2212" s="5" t="s">
        <v>11008</v>
      </c>
      <c r="X2212" s="5" t="s">
        <v>11008</v>
      </c>
      <c r="Y2212" s="4">
        <v>373</v>
      </c>
      <c r="Z2212" s="4">
        <v>261</v>
      </c>
      <c r="AA2212" s="4">
        <v>262</v>
      </c>
      <c r="AB2212" s="4">
        <v>2</v>
      </c>
      <c r="AC2212" s="4">
        <v>2</v>
      </c>
      <c r="AD2212" s="4">
        <v>15</v>
      </c>
      <c r="AE2212" s="4">
        <v>15</v>
      </c>
      <c r="AF2212" s="4">
        <v>4</v>
      </c>
      <c r="AG2212" s="4">
        <v>4</v>
      </c>
      <c r="AH2212" s="4">
        <v>6</v>
      </c>
      <c r="AI2212" s="4">
        <v>6</v>
      </c>
      <c r="AJ2212" s="4">
        <v>9</v>
      </c>
      <c r="AK2212" s="4">
        <v>9</v>
      </c>
      <c r="AL2212" s="4">
        <v>1</v>
      </c>
      <c r="AM2212" s="4">
        <v>1</v>
      </c>
      <c r="AN2212" s="4">
        <v>0</v>
      </c>
      <c r="AO2212" s="4">
        <v>0</v>
      </c>
      <c r="AP2212" s="3" t="s">
        <v>58</v>
      </c>
      <c r="AQ2212" s="3" t="s">
        <v>68</v>
      </c>
      <c r="AR2212" s="6" t="str">
        <f>HYPERLINK("http://catalog.hathitrust.org/Record/005243561","HathiTrust Record")</f>
        <v>HathiTrust Record</v>
      </c>
      <c r="AS2212" s="6" t="str">
        <f>HYPERLINK("https://creighton-primo.hosted.exlibrisgroup.com/primo-explore/search?tab=default_tab&amp;search_scope=EVERYTHING&amp;vid=01CRU&amp;lang=en_US&amp;offset=0&amp;query=any,contains,991005304199702656","Catalog Record")</f>
        <v>Catalog Record</v>
      </c>
      <c r="AT2212" s="6" t="str">
        <f>HYPERLINK("http://www.worldcat.org/oclc/64427511","WorldCat Record")</f>
        <v>WorldCat Record</v>
      </c>
      <c r="AU2212" s="3" t="s">
        <v>26972</v>
      </c>
      <c r="AV2212" s="3" t="s">
        <v>26973</v>
      </c>
      <c r="AW2212" s="3" t="s">
        <v>26974</v>
      </c>
      <c r="AX2212" s="3" t="s">
        <v>26974</v>
      </c>
      <c r="AY2212" s="3" t="s">
        <v>26975</v>
      </c>
      <c r="AZ2212" s="3" t="s">
        <v>73</v>
      </c>
      <c r="BB2212" s="3" t="s">
        <v>26976</v>
      </c>
      <c r="BC2212" s="3" t="s">
        <v>26977</v>
      </c>
      <c r="BD2212" s="3" t="s">
        <v>26978</v>
      </c>
    </row>
    <row r="2213" spans="1:56" ht="51" customHeight="1" x14ac:dyDescent="0.25">
      <c r="A2213" s="7" t="s">
        <v>58</v>
      </c>
      <c r="B2213" s="2" t="s">
        <v>26979</v>
      </c>
      <c r="C2213" s="2" t="s">
        <v>26980</v>
      </c>
      <c r="D2213" s="2" t="s">
        <v>26981</v>
      </c>
      <c r="F2213" s="3" t="s">
        <v>58</v>
      </c>
      <c r="G2213" s="3" t="s">
        <v>59</v>
      </c>
      <c r="H2213" s="3" t="s">
        <v>58</v>
      </c>
      <c r="I2213" s="3" t="s">
        <v>58</v>
      </c>
      <c r="J2213" s="3" t="s">
        <v>60</v>
      </c>
      <c r="L2213" s="2" t="s">
        <v>26982</v>
      </c>
      <c r="M2213" s="3" t="s">
        <v>951</v>
      </c>
      <c r="O2213" s="3" t="s">
        <v>63</v>
      </c>
      <c r="P2213" s="3" t="s">
        <v>816</v>
      </c>
      <c r="Q2213" s="2" t="s">
        <v>26983</v>
      </c>
      <c r="R2213" s="3" t="s">
        <v>65</v>
      </c>
      <c r="S2213" s="4">
        <v>9</v>
      </c>
      <c r="T2213" s="4">
        <v>9</v>
      </c>
      <c r="U2213" s="5" t="s">
        <v>7028</v>
      </c>
      <c r="V2213" s="5" t="s">
        <v>7028</v>
      </c>
      <c r="W2213" s="5" t="s">
        <v>18143</v>
      </c>
      <c r="X2213" s="5" t="s">
        <v>18143</v>
      </c>
      <c r="Y2213" s="4">
        <v>424</v>
      </c>
      <c r="Z2213" s="4">
        <v>325</v>
      </c>
      <c r="AA2213" s="4">
        <v>586</v>
      </c>
      <c r="AB2213" s="4">
        <v>4</v>
      </c>
      <c r="AC2213" s="4">
        <v>28</v>
      </c>
      <c r="AD2213" s="4">
        <v>22</v>
      </c>
      <c r="AE2213" s="4">
        <v>35</v>
      </c>
      <c r="AF2213" s="4">
        <v>10</v>
      </c>
      <c r="AG2213" s="4">
        <v>12</v>
      </c>
      <c r="AH2213" s="4">
        <v>5</v>
      </c>
      <c r="AI2213" s="4">
        <v>5</v>
      </c>
      <c r="AJ2213" s="4">
        <v>11</v>
      </c>
      <c r="AK2213" s="4">
        <v>13</v>
      </c>
      <c r="AL2213" s="4">
        <v>3</v>
      </c>
      <c r="AM2213" s="4">
        <v>13</v>
      </c>
      <c r="AN2213" s="4">
        <v>0</v>
      </c>
      <c r="AO2213" s="4">
        <v>0</v>
      </c>
      <c r="AP2213" s="3" t="s">
        <v>58</v>
      </c>
      <c r="AQ2213" s="3" t="s">
        <v>58</v>
      </c>
      <c r="AS2213" s="6" t="str">
        <f>HYPERLINK("https://creighton-primo.hosted.exlibrisgroup.com/primo-explore/search?tab=default_tab&amp;search_scope=EVERYTHING&amp;vid=01CRU&amp;lang=en_US&amp;offset=0&amp;query=any,contains,991003306019702656","Catalog Record")</f>
        <v>Catalog Record</v>
      </c>
      <c r="AT2213" s="6" t="str">
        <f>HYPERLINK("http://www.worldcat.org/oclc/43969857","WorldCat Record")</f>
        <v>WorldCat Record</v>
      </c>
      <c r="AU2213" s="3" t="s">
        <v>26984</v>
      </c>
      <c r="AV2213" s="3" t="s">
        <v>26985</v>
      </c>
      <c r="AW2213" s="3" t="s">
        <v>26986</v>
      </c>
      <c r="AX2213" s="3" t="s">
        <v>26986</v>
      </c>
      <c r="AY2213" s="3" t="s">
        <v>26987</v>
      </c>
      <c r="AZ2213" s="3" t="s">
        <v>73</v>
      </c>
      <c r="BB2213" s="3" t="s">
        <v>26988</v>
      </c>
      <c r="BC2213" s="3" t="s">
        <v>26989</v>
      </c>
      <c r="BD2213" s="3" t="s">
        <v>26990</v>
      </c>
    </row>
    <row r="2214" spans="1:56" ht="51" customHeight="1" x14ac:dyDescent="0.25">
      <c r="A2214" s="7" t="s">
        <v>58</v>
      </c>
      <c r="B2214" s="2" t="s">
        <v>26991</v>
      </c>
      <c r="C2214" s="2" t="s">
        <v>26992</v>
      </c>
      <c r="D2214" s="2" t="s">
        <v>26993</v>
      </c>
      <c r="F2214" s="3" t="s">
        <v>58</v>
      </c>
      <c r="G2214" s="3" t="s">
        <v>59</v>
      </c>
      <c r="H2214" s="3" t="s">
        <v>58</v>
      </c>
      <c r="I2214" s="3" t="s">
        <v>58</v>
      </c>
      <c r="J2214" s="3" t="s">
        <v>60</v>
      </c>
      <c r="K2214" s="2" t="s">
        <v>26994</v>
      </c>
      <c r="L2214" s="2" t="s">
        <v>26995</v>
      </c>
      <c r="M2214" s="3" t="s">
        <v>2214</v>
      </c>
      <c r="O2214" s="3" t="s">
        <v>63</v>
      </c>
      <c r="P2214" s="3" t="s">
        <v>3109</v>
      </c>
      <c r="R2214" s="3" t="s">
        <v>65</v>
      </c>
      <c r="S2214" s="4">
        <v>5</v>
      </c>
      <c r="T2214" s="4">
        <v>5</v>
      </c>
      <c r="U2214" s="5" t="s">
        <v>7028</v>
      </c>
      <c r="V2214" s="5" t="s">
        <v>7028</v>
      </c>
      <c r="W2214" s="5" t="s">
        <v>11361</v>
      </c>
      <c r="X2214" s="5" t="s">
        <v>11361</v>
      </c>
      <c r="Y2214" s="4">
        <v>406</v>
      </c>
      <c r="Z2214" s="4">
        <v>311</v>
      </c>
      <c r="AA2214" s="4">
        <v>327</v>
      </c>
      <c r="AB2214" s="4">
        <v>4</v>
      </c>
      <c r="AC2214" s="4">
        <v>4</v>
      </c>
      <c r="AD2214" s="4">
        <v>19</v>
      </c>
      <c r="AE2214" s="4">
        <v>20</v>
      </c>
      <c r="AF2214" s="4">
        <v>8</v>
      </c>
      <c r="AG2214" s="4">
        <v>9</v>
      </c>
      <c r="AH2214" s="4">
        <v>6</v>
      </c>
      <c r="AI2214" s="4">
        <v>7</v>
      </c>
      <c r="AJ2214" s="4">
        <v>9</v>
      </c>
      <c r="AK2214" s="4">
        <v>9</v>
      </c>
      <c r="AL2214" s="4">
        <v>3</v>
      </c>
      <c r="AM2214" s="4">
        <v>3</v>
      </c>
      <c r="AN2214" s="4">
        <v>0</v>
      </c>
      <c r="AO2214" s="4">
        <v>0</v>
      </c>
      <c r="AP2214" s="3" t="s">
        <v>58</v>
      </c>
      <c r="AQ2214" s="3" t="s">
        <v>68</v>
      </c>
      <c r="AR2214" s="6" t="str">
        <f>HYPERLINK("http://catalog.hathitrust.org/Record/005018409","HathiTrust Record")</f>
        <v>HathiTrust Record</v>
      </c>
      <c r="AS2214" s="6" t="str">
        <f>HYPERLINK("https://creighton-primo.hosted.exlibrisgroup.com/primo-explore/search?tab=default_tab&amp;search_scope=EVERYTHING&amp;vid=01CRU&amp;lang=en_US&amp;offset=0&amp;query=any,contains,991004742339702656","Catalog Record")</f>
        <v>Catalog Record</v>
      </c>
      <c r="AT2214" s="6" t="str">
        <f>HYPERLINK("http://www.worldcat.org/oclc/57170057","WorldCat Record")</f>
        <v>WorldCat Record</v>
      </c>
      <c r="AU2214" s="3" t="s">
        <v>26996</v>
      </c>
      <c r="AV2214" s="3" t="s">
        <v>26997</v>
      </c>
      <c r="AW2214" s="3" t="s">
        <v>26998</v>
      </c>
      <c r="AX2214" s="3" t="s">
        <v>26998</v>
      </c>
      <c r="AY2214" s="3" t="s">
        <v>26999</v>
      </c>
      <c r="AZ2214" s="3" t="s">
        <v>73</v>
      </c>
      <c r="BB2214" s="3" t="s">
        <v>27000</v>
      </c>
      <c r="BC2214" s="3" t="s">
        <v>27001</v>
      </c>
      <c r="BD2214" s="3" t="s">
        <v>27002</v>
      </c>
    </row>
    <row r="2215" spans="1:56" ht="51" customHeight="1" x14ac:dyDescent="0.25">
      <c r="A2215" s="7" t="s">
        <v>58</v>
      </c>
      <c r="B2215" s="2" t="s">
        <v>27003</v>
      </c>
      <c r="C2215" s="2" t="s">
        <v>27004</v>
      </c>
      <c r="D2215" s="2" t="s">
        <v>27005</v>
      </c>
      <c r="F2215" s="3" t="s">
        <v>58</v>
      </c>
      <c r="G2215" s="3" t="s">
        <v>59</v>
      </c>
      <c r="H2215" s="3" t="s">
        <v>58</v>
      </c>
      <c r="I2215" s="3" t="s">
        <v>58</v>
      </c>
      <c r="J2215" s="3" t="s">
        <v>60</v>
      </c>
      <c r="K2215" s="2" t="s">
        <v>26994</v>
      </c>
      <c r="L2215" s="2" t="s">
        <v>27006</v>
      </c>
      <c r="M2215" s="3" t="s">
        <v>815</v>
      </c>
      <c r="O2215" s="3" t="s">
        <v>63</v>
      </c>
      <c r="P2215" s="3" t="s">
        <v>3109</v>
      </c>
      <c r="Q2215" s="2" t="s">
        <v>27007</v>
      </c>
      <c r="R2215" s="3" t="s">
        <v>65</v>
      </c>
      <c r="S2215" s="4">
        <v>3</v>
      </c>
      <c r="T2215" s="4">
        <v>3</v>
      </c>
      <c r="U2215" s="5" t="s">
        <v>12878</v>
      </c>
      <c r="V2215" s="5" t="s">
        <v>12878</v>
      </c>
      <c r="W2215" s="5" t="s">
        <v>27008</v>
      </c>
      <c r="X2215" s="5" t="s">
        <v>27008</v>
      </c>
      <c r="Y2215" s="4">
        <v>478</v>
      </c>
      <c r="Z2215" s="4">
        <v>364</v>
      </c>
      <c r="AA2215" s="4">
        <v>800</v>
      </c>
      <c r="AB2215" s="4">
        <v>3</v>
      </c>
      <c r="AC2215" s="4">
        <v>16</v>
      </c>
      <c r="AD2215" s="4">
        <v>20</v>
      </c>
      <c r="AE2215" s="4">
        <v>42</v>
      </c>
      <c r="AF2215" s="4">
        <v>9</v>
      </c>
      <c r="AG2215" s="4">
        <v>15</v>
      </c>
      <c r="AH2215" s="4">
        <v>4</v>
      </c>
      <c r="AI2215" s="4">
        <v>8</v>
      </c>
      <c r="AJ2215" s="4">
        <v>11</v>
      </c>
      <c r="AK2215" s="4">
        <v>15</v>
      </c>
      <c r="AL2215" s="4">
        <v>2</v>
      </c>
      <c r="AM2215" s="4">
        <v>11</v>
      </c>
      <c r="AN2215" s="4">
        <v>0</v>
      </c>
      <c r="AO2215" s="4">
        <v>0</v>
      </c>
      <c r="AP2215" s="3" t="s">
        <v>58</v>
      </c>
      <c r="AQ2215" s="3" t="s">
        <v>68</v>
      </c>
      <c r="AR2215" s="6" t="str">
        <f>HYPERLINK("http://catalog.hathitrust.org/Record/005596255","HathiTrust Record")</f>
        <v>HathiTrust Record</v>
      </c>
      <c r="AS2215" s="6" t="str">
        <f>HYPERLINK("https://creighton-primo.hosted.exlibrisgroup.com/primo-explore/search?tab=default_tab&amp;search_scope=EVERYTHING&amp;vid=01CRU&amp;lang=en_US&amp;offset=0&amp;query=any,contains,991005216439702656","Catalog Record")</f>
        <v>Catalog Record</v>
      </c>
      <c r="AT2215" s="6" t="str">
        <f>HYPERLINK("http://www.worldcat.org/oclc/82772706","WorldCat Record")</f>
        <v>WorldCat Record</v>
      </c>
      <c r="AU2215" s="3" t="s">
        <v>27009</v>
      </c>
      <c r="AV2215" s="3" t="s">
        <v>27010</v>
      </c>
      <c r="AW2215" s="3" t="s">
        <v>27011</v>
      </c>
      <c r="AX2215" s="3" t="s">
        <v>27011</v>
      </c>
      <c r="AY2215" s="3" t="s">
        <v>27012</v>
      </c>
      <c r="AZ2215" s="3" t="s">
        <v>73</v>
      </c>
      <c r="BB2215" s="3" t="s">
        <v>27013</v>
      </c>
      <c r="BC2215" s="3" t="s">
        <v>27014</v>
      </c>
      <c r="BD2215" s="3" t="s">
        <v>27015</v>
      </c>
    </row>
    <row r="2216" spans="1:56" ht="51" customHeight="1" x14ac:dyDescent="0.25">
      <c r="A2216" s="7" t="s">
        <v>58</v>
      </c>
      <c r="B2216" s="2" t="s">
        <v>27016</v>
      </c>
      <c r="C2216" s="2" t="s">
        <v>27017</v>
      </c>
      <c r="D2216" s="2" t="s">
        <v>27018</v>
      </c>
      <c r="F2216" s="3" t="s">
        <v>58</v>
      </c>
      <c r="G2216" s="3" t="s">
        <v>59</v>
      </c>
      <c r="H2216" s="3" t="s">
        <v>58</v>
      </c>
      <c r="I2216" s="3" t="s">
        <v>58</v>
      </c>
      <c r="J2216" s="3" t="s">
        <v>60</v>
      </c>
      <c r="K2216" s="2" t="s">
        <v>27019</v>
      </c>
      <c r="L2216" s="2" t="s">
        <v>26411</v>
      </c>
      <c r="M2216" s="3" t="s">
        <v>626</v>
      </c>
      <c r="O2216" s="3" t="s">
        <v>63</v>
      </c>
      <c r="P2216" s="3" t="s">
        <v>214</v>
      </c>
      <c r="R2216" s="3" t="s">
        <v>65</v>
      </c>
      <c r="S2216" s="4">
        <v>3</v>
      </c>
      <c r="T2216" s="4">
        <v>3</v>
      </c>
      <c r="U2216" s="5" t="s">
        <v>9778</v>
      </c>
      <c r="V2216" s="5" t="s">
        <v>9778</v>
      </c>
      <c r="W2216" s="5" t="s">
        <v>26573</v>
      </c>
      <c r="X2216" s="5" t="s">
        <v>26573</v>
      </c>
      <c r="Y2216" s="4">
        <v>359</v>
      </c>
      <c r="Z2216" s="4">
        <v>307</v>
      </c>
      <c r="AA2216" s="4">
        <v>374</v>
      </c>
      <c r="AB2216" s="4">
        <v>2</v>
      </c>
      <c r="AC2216" s="4">
        <v>3</v>
      </c>
      <c r="AD2216" s="4">
        <v>19</v>
      </c>
      <c r="AE2216" s="4">
        <v>20</v>
      </c>
      <c r="AF2216" s="4">
        <v>8</v>
      </c>
      <c r="AG2216" s="4">
        <v>8</v>
      </c>
      <c r="AH2216" s="4">
        <v>6</v>
      </c>
      <c r="AI2216" s="4">
        <v>6</v>
      </c>
      <c r="AJ2216" s="4">
        <v>11</v>
      </c>
      <c r="AK2216" s="4">
        <v>11</v>
      </c>
      <c r="AL2216" s="4">
        <v>1</v>
      </c>
      <c r="AM2216" s="4">
        <v>2</v>
      </c>
      <c r="AN2216" s="4">
        <v>0</v>
      </c>
      <c r="AO2216" s="4">
        <v>0</v>
      </c>
      <c r="AP2216" s="3" t="s">
        <v>58</v>
      </c>
      <c r="AQ2216" s="3" t="s">
        <v>58</v>
      </c>
      <c r="AS2216" s="6" t="str">
        <f>HYPERLINK("https://creighton-primo.hosted.exlibrisgroup.com/primo-explore/search?tab=default_tab&amp;search_scope=EVERYTHING&amp;vid=01CRU&amp;lang=en_US&amp;offset=0&amp;query=any,contains,991000338669702656","Catalog Record")</f>
        <v>Catalog Record</v>
      </c>
      <c r="AT2216" s="6" t="str">
        <f>HYPERLINK("http://www.worldcat.org/oclc/10240742","WorldCat Record")</f>
        <v>WorldCat Record</v>
      </c>
      <c r="AU2216" s="3" t="s">
        <v>27020</v>
      </c>
      <c r="AV2216" s="3" t="s">
        <v>27021</v>
      </c>
      <c r="AW2216" s="3" t="s">
        <v>27022</v>
      </c>
      <c r="AX2216" s="3" t="s">
        <v>27022</v>
      </c>
      <c r="AY2216" s="3" t="s">
        <v>27023</v>
      </c>
      <c r="AZ2216" s="3" t="s">
        <v>73</v>
      </c>
      <c r="BB2216" s="3" t="s">
        <v>27024</v>
      </c>
      <c r="BC2216" s="3" t="s">
        <v>27025</v>
      </c>
      <c r="BD2216" s="3" t="s">
        <v>27026</v>
      </c>
    </row>
    <row r="2217" spans="1:56" ht="51" customHeight="1" x14ac:dyDescent="0.25">
      <c r="A2217" s="7" t="s">
        <v>58</v>
      </c>
      <c r="B2217" s="2" t="s">
        <v>27027</v>
      </c>
      <c r="C2217" s="2" t="s">
        <v>27028</v>
      </c>
      <c r="D2217" s="2" t="s">
        <v>27029</v>
      </c>
      <c r="F2217" s="3" t="s">
        <v>58</v>
      </c>
      <c r="G2217" s="3" t="s">
        <v>59</v>
      </c>
      <c r="H2217" s="3" t="s">
        <v>58</v>
      </c>
      <c r="I2217" s="3" t="s">
        <v>58</v>
      </c>
      <c r="J2217" s="3" t="s">
        <v>60</v>
      </c>
      <c r="K2217" s="2" t="s">
        <v>27030</v>
      </c>
      <c r="L2217" s="2" t="s">
        <v>6271</v>
      </c>
      <c r="M2217" s="3" t="s">
        <v>1061</v>
      </c>
      <c r="O2217" s="3" t="s">
        <v>63</v>
      </c>
      <c r="P2217" s="3" t="s">
        <v>214</v>
      </c>
      <c r="R2217" s="3" t="s">
        <v>65</v>
      </c>
      <c r="S2217" s="4">
        <v>7</v>
      </c>
      <c r="T2217" s="4">
        <v>7</v>
      </c>
      <c r="U2217" s="5" t="s">
        <v>27031</v>
      </c>
      <c r="V2217" s="5" t="s">
        <v>27031</v>
      </c>
      <c r="W2217" s="5" t="s">
        <v>27032</v>
      </c>
      <c r="X2217" s="5" t="s">
        <v>27032</v>
      </c>
      <c r="Y2217" s="4">
        <v>851</v>
      </c>
      <c r="Z2217" s="4">
        <v>746</v>
      </c>
      <c r="AA2217" s="4">
        <v>797</v>
      </c>
      <c r="AB2217" s="4">
        <v>4</v>
      </c>
      <c r="AC2217" s="4">
        <v>4</v>
      </c>
      <c r="AD2217" s="4">
        <v>29</v>
      </c>
      <c r="AE2217" s="4">
        <v>33</v>
      </c>
      <c r="AF2217" s="4">
        <v>12</v>
      </c>
      <c r="AG2217" s="4">
        <v>14</v>
      </c>
      <c r="AH2217" s="4">
        <v>6</v>
      </c>
      <c r="AI2217" s="4">
        <v>8</v>
      </c>
      <c r="AJ2217" s="4">
        <v>15</v>
      </c>
      <c r="AK2217" s="4">
        <v>17</v>
      </c>
      <c r="AL2217" s="4">
        <v>3</v>
      </c>
      <c r="AM2217" s="4">
        <v>3</v>
      </c>
      <c r="AN2217" s="4">
        <v>0</v>
      </c>
      <c r="AO2217" s="4">
        <v>0</v>
      </c>
      <c r="AP2217" s="3" t="s">
        <v>58</v>
      </c>
      <c r="AQ2217" s="3" t="s">
        <v>68</v>
      </c>
      <c r="AR2217" s="6" t="str">
        <f>HYPERLINK("http://catalog.hathitrust.org/Record/003161920","HathiTrust Record")</f>
        <v>HathiTrust Record</v>
      </c>
      <c r="AS2217" s="6" t="str">
        <f>HYPERLINK("https://creighton-primo.hosted.exlibrisgroup.com/primo-explore/search?tab=default_tab&amp;search_scope=EVERYTHING&amp;vid=01CRU&amp;lang=en_US&amp;offset=0&amp;query=any,contains,991002740779702656","Catalog Record")</f>
        <v>Catalog Record</v>
      </c>
      <c r="AT2217" s="6" t="str">
        <f>HYPERLINK("http://www.worldcat.org/oclc/35990327","WorldCat Record")</f>
        <v>WorldCat Record</v>
      </c>
      <c r="AU2217" s="3" t="s">
        <v>27033</v>
      </c>
      <c r="AV2217" s="3" t="s">
        <v>27034</v>
      </c>
      <c r="AW2217" s="3" t="s">
        <v>27035</v>
      </c>
      <c r="AX2217" s="3" t="s">
        <v>27035</v>
      </c>
      <c r="AY2217" s="3" t="s">
        <v>27036</v>
      </c>
      <c r="AZ2217" s="3" t="s">
        <v>73</v>
      </c>
      <c r="BB2217" s="3" t="s">
        <v>27037</v>
      </c>
      <c r="BC2217" s="3" t="s">
        <v>27038</v>
      </c>
      <c r="BD2217" s="3" t="s">
        <v>27039</v>
      </c>
    </row>
    <row r="2218" spans="1:56" ht="51" customHeight="1" x14ac:dyDescent="0.25">
      <c r="A2218" s="7" t="s">
        <v>58</v>
      </c>
      <c r="B2218" s="2" t="s">
        <v>27040</v>
      </c>
      <c r="C2218" s="2" t="s">
        <v>27041</v>
      </c>
      <c r="D2218" s="2" t="s">
        <v>27042</v>
      </c>
      <c r="F2218" s="3" t="s">
        <v>58</v>
      </c>
      <c r="G2218" s="3" t="s">
        <v>59</v>
      </c>
      <c r="H2218" s="3" t="s">
        <v>58</v>
      </c>
      <c r="I2218" s="3" t="s">
        <v>58</v>
      </c>
      <c r="J2218" s="3" t="s">
        <v>60</v>
      </c>
      <c r="K2218" s="2" t="s">
        <v>27043</v>
      </c>
      <c r="L2218" s="2" t="s">
        <v>27044</v>
      </c>
      <c r="M2218" s="3" t="s">
        <v>855</v>
      </c>
      <c r="O2218" s="3" t="s">
        <v>63</v>
      </c>
      <c r="P2218" s="3" t="s">
        <v>2630</v>
      </c>
      <c r="R2218" s="3" t="s">
        <v>65</v>
      </c>
      <c r="S2218" s="4">
        <v>9</v>
      </c>
      <c r="T2218" s="4">
        <v>9</v>
      </c>
      <c r="U2218" s="5" t="s">
        <v>22192</v>
      </c>
      <c r="V2218" s="5" t="s">
        <v>22192</v>
      </c>
      <c r="W2218" s="5" t="s">
        <v>27045</v>
      </c>
      <c r="X2218" s="5" t="s">
        <v>27045</v>
      </c>
      <c r="Y2218" s="4">
        <v>167</v>
      </c>
      <c r="Z2218" s="4">
        <v>142</v>
      </c>
      <c r="AA2218" s="4">
        <v>156</v>
      </c>
      <c r="AB2218" s="4">
        <v>3</v>
      </c>
      <c r="AC2218" s="4">
        <v>3</v>
      </c>
      <c r="AD2218" s="4">
        <v>7</v>
      </c>
      <c r="AE2218" s="4">
        <v>7</v>
      </c>
      <c r="AF2218" s="4">
        <v>3</v>
      </c>
      <c r="AG2218" s="4">
        <v>3</v>
      </c>
      <c r="AH2218" s="4">
        <v>2</v>
      </c>
      <c r="AI2218" s="4">
        <v>2</v>
      </c>
      <c r="AJ2218" s="4">
        <v>5</v>
      </c>
      <c r="AK2218" s="4">
        <v>5</v>
      </c>
      <c r="AL2218" s="4">
        <v>2</v>
      </c>
      <c r="AM2218" s="4">
        <v>2</v>
      </c>
      <c r="AN2218" s="4">
        <v>0</v>
      </c>
      <c r="AO2218" s="4">
        <v>0</v>
      </c>
      <c r="AP2218" s="3" t="s">
        <v>58</v>
      </c>
      <c r="AQ2218" s="3" t="s">
        <v>68</v>
      </c>
      <c r="AR2218" s="6" t="str">
        <f>HYPERLINK("http://catalog.hathitrust.org/Record/002631038","HathiTrust Record")</f>
        <v>HathiTrust Record</v>
      </c>
      <c r="AS2218" s="6" t="str">
        <f>HYPERLINK("https://creighton-primo.hosted.exlibrisgroup.com/primo-explore/search?tab=default_tab&amp;search_scope=EVERYTHING&amp;vid=01CRU&amp;lang=en_US&amp;offset=0&amp;query=any,contains,991002168399702656","Catalog Record")</f>
        <v>Catalog Record</v>
      </c>
      <c r="AT2218" s="6" t="str">
        <f>HYPERLINK("http://www.worldcat.org/oclc/27898162","WorldCat Record")</f>
        <v>WorldCat Record</v>
      </c>
      <c r="AU2218" s="3" t="s">
        <v>27046</v>
      </c>
      <c r="AV2218" s="3" t="s">
        <v>27047</v>
      </c>
      <c r="AW2218" s="3" t="s">
        <v>27048</v>
      </c>
      <c r="AX2218" s="3" t="s">
        <v>27048</v>
      </c>
      <c r="AY2218" s="3" t="s">
        <v>27049</v>
      </c>
      <c r="AZ2218" s="3" t="s">
        <v>73</v>
      </c>
      <c r="BB2218" s="3" t="s">
        <v>27050</v>
      </c>
      <c r="BC2218" s="3" t="s">
        <v>27051</v>
      </c>
      <c r="BD2218" s="3" t="s">
        <v>27052</v>
      </c>
    </row>
    <row r="2219" spans="1:56" ht="51" customHeight="1" x14ac:dyDescent="0.25">
      <c r="A2219" s="7" t="s">
        <v>58</v>
      </c>
      <c r="B2219" s="2" t="s">
        <v>27053</v>
      </c>
      <c r="C2219" s="2" t="s">
        <v>27054</v>
      </c>
      <c r="D2219" s="2" t="s">
        <v>27055</v>
      </c>
      <c r="F2219" s="3" t="s">
        <v>58</v>
      </c>
      <c r="G2219" s="3" t="s">
        <v>59</v>
      </c>
      <c r="H2219" s="3" t="s">
        <v>58</v>
      </c>
      <c r="I2219" s="3" t="s">
        <v>58</v>
      </c>
      <c r="J2219" s="3" t="s">
        <v>60</v>
      </c>
      <c r="L2219" s="2" t="s">
        <v>27056</v>
      </c>
      <c r="M2219" s="3" t="s">
        <v>653</v>
      </c>
      <c r="O2219" s="3" t="s">
        <v>63</v>
      </c>
      <c r="P2219" s="3" t="s">
        <v>354</v>
      </c>
      <c r="R2219" s="3" t="s">
        <v>65</v>
      </c>
      <c r="S2219" s="4">
        <v>2</v>
      </c>
      <c r="T2219" s="4">
        <v>2</v>
      </c>
      <c r="U2219" s="5" t="s">
        <v>5601</v>
      </c>
      <c r="V2219" s="5" t="s">
        <v>5601</v>
      </c>
      <c r="W2219" s="5" t="s">
        <v>27057</v>
      </c>
      <c r="X2219" s="5" t="s">
        <v>27057</v>
      </c>
      <c r="Y2219" s="4">
        <v>419</v>
      </c>
      <c r="Z2219" s="4">
        <v>337</v>
      </c>
      <c r="AA2219" s="4">
        <v>382</v>
      </c>
      <c r="AB2219" s="4">
        <v>3</v>
      </c>
      <c r="AC2219" s="4">
        <v>3</v>
      </c>
      <c r="AD2219" s="4">
        <v>15</v>
      </c>
      <c r="AE2219" s="4">
        <v>15</v>
      </c>
      <c r="AF2219" s="4">
        <v>2</v>
      </c>
      <c r="AG2219" s="4">
        <v>2</v>
      </c>
      <c r="AH2219" s="4">
        <v>7</v>
      </c>
      <c r="AI2219" s="4">
        <v>7</v>
      </c>
      <c r="AJ2219" s="4">
        <v>7</v>
      </c>
      <c r="AK2219" s="4">
        <v>7</v>
      </c>
      <c r="AL2219" s="4">
        <v>2</v>
      </c>
      <c r="AM2219" s="4">
        <v>2</v>
      </c>
      <c r="AN2219" s="4">
        <v>0</v>
      </c>
      <c r="AO2219" s="4">
        <v>0</v>
      </c>
      <c r="AP2219" s="3" t="s">
        <v>58</v>
      </c>
      <c r="AQ2219" s="3" t="s">
        <v>58</v>
      </c>
      <c r="AS2219" s="6" t="str">
        <f>HYPERLINK("https://creighton-primo.hosted.exlibrisgroup.com/primo-explore/search?tab=default_tab&amp;search_scope=EVERYTHING&amp;vid=01CRU&amp;lang=en_US&amp;offset=0&amp;query=any,contains,991005153109702656","Catalog Record")</f>
        <v>Catalog Record</v>
      </c>
      <c r="AT2219" s="6" t="str">
        <f>HYPERLINK("http://www.worldcat.org/oclc/22118951","WorldCat Record")</f>
        <v>WorldCat Record</v>
      </c>
      <c r="AU2219" s="3" t="s">
        <v>27058</v>
      </c>
      <c r="AV2219" s="3" t="s">
        <v>27059</v>
      </c>
      <c r="AW2219" s="3" t="s">
        <v>27060</v>
      </c>
      <c r="AX2219" s="3" t="s">
        <v>27060</v>
      </c>
      <c r="AY2219" s="3" t="s">
        <v>27061</v>
      </c>
      <c r="AZ2219" s="3" t="s">
        <v>73</v>
      </c>
      <c r="BB2219" s="3" t="s">
        <v>27062</v>
      </c>
      <c r="BC2219" s="3" t="s">
        <v>27063</v>
      </c>
      <c r="BD2219" s="3" t="s">
        <v>27064</v>
      </c>
    </row>
    <row r="2220" spans="1:56" ht="51" customHeight="1" x14ac:dyDescent="0.25">
      <c r="A2220" s="7" t="s">
        <v>58</v>
      </c>
      <c r="B2220" s="2" t="s">
        <v>27065</v>
      </c>
      <c r="C2220" s="2" t="s">
        <v>27066</v>
      </c>
      <c r="D2220" s="2" t="s">
        <v>27067</v>
      </c>
      <c r="F2220" s="3" t="s">
        <v>58</v>
      </c>
      <c r="G2220" s="3" t="s">
        <v>59</v>
      </c>
      <c r="H2220" s="3" t="s">
        <v>58</v>
      </c>
      <c r="I2220" s="3" t="s">
        <v>58</v>
      </c>
      <c r="J2220" s="3" t="s">
        <v>60</v>
      </c>
      <c r="K2220" s="2" t="s">
        <v>27068</v>
      </c>
      <c r="L2220" s="2" t="s">
        <v>27069</v>
      </c>
      <c r="M2220" s="3" t="s">
        <v>101</v>
      </c>
      <c r="O2220" s="3" t="s">
        <v>63</v>
      </c>
      <c r="P2220" s="3" t="s">
        <v>495</v>
      </c>
      <c r="R2220" s="3" t="s">
        <v>65</v>
      </c>
      <c r="S2220" s="4">
        <v>2</v>
      </c>
      <c r="T2220" s="4">
        <v>2</v>
      </c>
      <c r="U2220" s="5" t="s">
        <v>8036</v>
      </c>
      <c r="V2220" s="5" t="s">
        <v>8036</v>
      </c>
      <c r="W2220" s="5" t="s">
        <v>26573</v>
      </c>
      <c r="X2220" s="5" t="s">
        <v>26573</v>
      </c>
      <c r="Y2220" s="4">
        <v>322</v>
      </c>
      <c r="Z2220" s="4">
        <v>265</v>
      </c>
      <c r="AA2220" s="4">
        <v>269</v>
      </c>
      <c r="AB2220" s="4">
        <v>3</v>
      </c>
      <c r="AC2220" s="4">
        <v>3</v>
      </c>
      <c r="AD2220" s="4">
        <v>12</v>
      </c>
      <c r="AE2220" s="4">
        <v>12</v>
      </c>
      <c r="AF2220" s="4">
        <v>2</v>
      </c>
      <c r="AG2220" s="4">
        <v>2</v>
      </c>
      <c r="AH2220" s="4">
        <v>5</v>
      </c>
      <c r="AI2220" s="4">
        <v>5</v>
      </c>
      <c r="AJ2220" s="4">
        <v>7</v>
      </c>
      <c r="AK2220" s="4">
        <v>7</v>
      </c>
      <c r="AL2220" s="4">
        <v>2</v>
      </c>
      <c r="AM2220" s="4">
        <v>2</v>
      </c>
      <c r="AN2220" s="4">
        <v>0</v>
      </c>
      <c r="AO2220" s="4">
        <v>0</v>
      </c>
      <c r="AP2220" s="3" t="s">
        <v>58</v>
      </c>
      <c r="AQ2220" s="3" t="s">
        <v>68</v>
      </c>
      <c r="AR2220" s="6" t="str">
        <f>HYPERLINK("http://catalog.hathitrust.org/Record/000241484","HathiTrust Record")</f>
        <v>HathiTrust Record</v>
      </c>
      <c r="AS2220" s="6" t="str">
        <f>HYPERLINK("https://creighton-primo.hosted.exlibrisgroup.com/primo-explore/search?tab=default_tab&amp;search_scope=EVERYTHING&amp;vid=01CRU&amp;lang=en_US&amp;offset=0&amp;query=any,contains,991000226129702656","Catalog Record")</f>
        <v>Catalog Record</v>
      </c>
      <c r="AT2220" s="6" t="str">
        <f>HYPERLINK("http://www.worldcat.org/oclc/9620006","WorldCat Record")</f>
        <v>WorldCat Record</v>
      </c>
      <c r="AU2220" s="3" t="s">
        <v>27070</v>
      </c>
      <c r="AV2220" s="3" t="s">
        <v>27071</v>
      </c>
      <c r="AW2220" s="3" t="s">
        <v>27072</v>
      </c>
      <c r="AX2220" s="3" t="s">
        <v>27072</v>
      </c>
      <c r="AY2220" s="3" t="s">
        <v>27073</v>
      </c>
      <c r="AZ2220" s="3" t="s">
        <v>73</v>
      </c>
      <c r="BB2220" s="3" t="s">
        <v>27074</v>
      </c>
      <c r="BC2220" s="3" t="s">
        <v>27075</v>
      </c>
      <c r="BD2220" s="3" t="s">
        <v>27076</v>
      </c>
    </row>
    <row r="2221" spans="1:56" ht="51" customHeight="1" x14ac:dyDescent="0.25">
      <c r="A2221" s="7" t="s">
        <v>58</v>
      </c>
      <c r="B2221" s="2" t="s">
        <v>27077</v>
      </c>
      <c r="C2221" s="2" t="s">
        <v>27078</v>
      </c>
      <c r="D2221" s="2" t="s">
        <v>27079</v>
      </c>
      <c r="F2221" s="3" t="s">
        <v>58</v>
      </c>
      <c r="G2221" s="3" t="s">
        <v>59</v>
      </c>
      <c r="H2221" s="3" t="s">
        <v>58</v>
      </c>
      <c r="I2221" s="3" t="s">
        <v>58</v>
      </c>
      <c r="J2221" s="3" t="s">
        <v>60</v>
      </c>
      <c r="K2221" s="2" t="s">
        <v>26360</v>
      </c>
      <c r="L2221" s="2" t="s">
        <v>27080</v>
      </c>
      <c r="M2221" s="3" t="s">
        <v>423</v>
      </c>
      <c r="N2221" s="2" t="s">
        <v>27081</v>
      </c>
      <c r="O2221" s="3" t="s">
        <v>63</v>
      </c>
      <c r="P2221" s="3" t="s">
        <v>411</v>
      </c>
      <c r="R2221" s="3" t="s">
        <v>65</v>
      </c>
      <c r="S2221" s="4">
        <v>6</v>
      </c>
      <c r="T2221" s="4">
        <v>6</v>
      </c>
      <c r="U2221" s="5" t="s">
        <v>10915</v>
      </c>
      <c r="V2221" s="5" t="s">
        <v>10915</v>
      </c>
      <c r="W2221" s="5" t="s">
        <v>14274</v>
      </c>
      <c r="X2221" s="5" t="s">
        <v>14274</v>
      </c>
      <c r="Y2221" s="4">
        <v>86</v>
      </c>
      <c r="Z2221" s="4">
        <v>72</v>
      </c>
      <c r="AA2221" s="4">
        <v>655</v>
      </c>
      <c r="AB2221" s="4">
        <v>1</v>
      </c>
      <c r="AC2221" s="4">
        <v>3</v>
      </c>
      <c r="AD2221" s="4">
        <v>4</v>
      </c>
      <c r="AE2221" s="4">
        <v>22</v>
      </c>
      <c r="AF2221" s="4">
        <v>3</v>
      </c>
      <c r="AG2221" s="4">
        <v>11</v>
      </c>
      <c r="AH2221" s="4">
        <v>0</v>
      </c>
      <c r="AI2221" s="4">
        <v>4</v>
      </c>
      <c r="AJ2221" s="4">
        <v>3</v>
      </c>
      <c r="AK2221" s="4">
        <v>11</v>
      </c>
      <c r="AL2221" s="4">
        <v>0</v>
      </c>
      <c r="AM2221" s="4">
        <v>1</v>
      </c>
      <c r="AN2221" s="4">
        <v>0</v>
      </c>
      <c r="AO2221" s="4">
        <v>0</v>
      </c>
      <c r="AP2221" s="3" t="s">
        <v>58</v>
      </c>
      <c r="AQ2221" s="3" t="s">
        <v>58</v>
      </c>
      <c r="AS2221" s="6" t="str">
        <f>HYPERLINK("https://creighton-primo.hosted.exlibrisgroup.com/primo-explore/search?tab=default_tab&amp;search_scope=EVERYTHING&amp;vid=01CRU&amp;lang=en_US&amp;offset=0&amp;query=any,contains,991003697209702656","Catalog Record")</f>
        <v>Catalog Record</v>
      </c>
      <c r="AT2221" s="6" t="str">
        <f>HYPERLINK("http://www.worldcat.org/oclc/38258001","WorldCat Record")</f>
        <v>WorldCat Record</v>
      </c>
      <c r="AU2221" s="3" t="s">
        <v>27082</v>
      </c>
      <c r="AV2221" s="3" t="s">
        <v>27083</v>
      </c>
      <c r="AW2221" s="3" t="s">
        <v>27084</v>
      </c>
      <c r="AX2221" s="3" t="s">
        <v>27084</v>
      </c>
      <c r="AY2221" s="3" t="s">
        <v>27085</v>
      </c>
      <c r="AZ2221" s="3" t="s">
        <v>73</v>
      </c>
      <c r="BB2221" s="3" t="s">
        <v>27086</v>
      </c>
      <c r="BC2221" s="3" t="s">
        <v>27087</v>
      </c>
      <c r="BD2221" s="3" t="s">
        <v>27088</v>
      </c>
    </row>
    <row r="2222" spans="1:56" ht="51" customHeight="1" x14ac:dyDescent="0.25">
      <c r="A2222" s="7" t="s">
        <v>58</v>
      </c>
      <c r="B2222" s="2" t="s">
        <v>27089</v>
      </c>
      <c r="C2222" s="2" t="s">
        <v>27090</v>
      </c>
      <c r="D2222" s="2" t="s">
        <v>27091</v>
      </c>
      <c r="F2222" s="3" t="s">
        <v>58</v>
      </c>
      <c r="G2222" s="3" t="s">
        <v>59</v>
      </c>
      <c r="H2222" s="3" t="s">
        <v>58</v>
      </c>
      <c r="I2222" s="3" t="s">
        <v>58</v>
      </c>
      <c r="J2222" s="3" t="s">
        <v>60</v>
      </c>
      <c r="K2222" s="2" t="s">
        <v>27092</v>
      </c>
      <c r="L2222" s="2" t="s">
        <v>27093</v>
      </c>
      <c r="M2222" s="3" t="s">
        <v>1385</v>
      </c>
      <c r="O2222" s="3" t="s">
        <v>63</v>
      </c>
      <c r="P2222" s="3" t="s">
        <v>510</v>
      </c>
      <c r="R2222" s="3" t="s">
        <v>65</v>
      </c>
      <c r="S2222" s="4">
        <v>2</v>
      </c>
      <c r="T2222" s="4">
        <v>2</v>
      </c>
      <c r="U2222" s="5" t="s">
        <v>27094</v>
      </c>
      <c r="V2222" s="5" t="s">
        <v>27094</v>
      </c>
      <c r="W2222" s="5" t="s">
        <v>25126</v>
      </c>
      <c r="X2222" s="5" t="s">
        <v>25126</v>
      </c>
      <c r="Y2222" s="4">
        <v>68</v>
      </c>
      <c r="Z2222" s="4">
        <v>57</v>
      </c>
      <c r="AA2222" s="4">
        <v>600</v>
      </c>
      <c r="AB2222" s="4">
        <v>1</v>
      </c>
      <c r="AC2222" s="4">
        <v>1</v>
      </c>
      <c r="AD2222" s="4">
        <v>2</v>
      </c>
      <c r="AE2222" s="4">
        <v>16</v>
      </c>
      <c r="AF2222" s="4">
        <v>1</v>
      </c>
      <c r="AG2222" s="4">
        <v>6</v>
      </c>
      <c r="AH2222" s="4">
        <v>0</v>
      </c>
      <c r="AI2222" s="4">
        <v>4</v>
      </c>
      <c r="AJ2222" s="4">
        <v>2</v>
      </c>
      <c r="AK2222" s="4">
        <v>11</v>
      </c>
      <c r="AL2222" s="4">
        <v>0</v>
      </c>
      <c r="AM2222" s="4">
        <v>0</v>
      </c>
      <c r="AN2222" s="4">
        <v>0</v>
      </c>
      <c r="AO2222" s="4">
        <v>0</v>
      </c>
      <c r="AP2222" s="3" t="s">
        <v>58</v>
      </c>
      <c r="AQ2222" s="3" t="s">
        <v>58</v>
      </c>
      <c r="AS2222" s="6" t="str">
        <f>HYPERLINK("https://creighton-primo.hosted.exlibrisgroup.com/primo-explore/search?tab=default_tab&amp;search_scope=EVERYTHING&amp;vid=01CRU&amp;lang=en_US&amp;offset=0&amp;query=any,contains,991003288329702656","Catalog Record")</f>
        <v>Catalog Record</v>
      </c>
      <c r="AT2222" s="6" t="str">
        <f>HYPERLINK("http://www.worldcat.org/oclc/810305","WorldCat Record")</f>
        <v>WorldCat Record</v>
      </c>
      <c r="AU2222" s="3" t="s">
        <v>27095</v>
      </c>
      <c r="AV2222" s="3" t="s">
        <v>27096</v>
      </c>
      <c r="AW2222" s="3" t="s">
        <v>27097</v>
      </c>
      <c r="AX2222" s="3" t="s">
        <v>27097</v>
      </c>
      <c r="AY2222" s="3" t="s">
        <v>27098</v>
      </c>
      <c r="AZ2222" s="3" t="s">
        <v>73</v>
      </c>
      <c r="BB2222" s="3" t="s">
        <v>27099</v>
      </c>
      <c r="BC2222" s="3" t="s">
        <v>27100</v>
      </c>
      <c r="BD2222" s="3" t="s">
        <v>27101</v>
      </c>
    </row>
    <row r="2223" spans="1:56" ht="51" customHeight="1" x14ac:dyDescent="0.25">
      <c r="A2223" s="7" t="s">
        <v>58</v>
      </c>
      <c r="B2223" s="2" t="s">
        <v>27102</v>
      </c>
      <c r="C2223" s="2" t="s">
        <v>27103</v>
      </c>
      <c r="D2223" s="2" t="s">
        <v>27104</v>
      </c>
      <c r="F2223" s="3" t="s">
        <v>58</v>
      </c>
      <c r="G2223" s="3" t="s">
        <v>59</v>
      </c>
      <c r="H2223" s="3" t="s">
        <v>58</v>
      </c>
      <c r="I2223" s="3" t="s">
        <v>58</v>
      </c>
      <c r="J2223" s="3" t="s">
        <v>60</v>
      </c>
      <c r="K2223" s="2" t="s">
        <v>27105</v>
      </c>
      <c r="L2223" s="2" t="s">
        <v>27106</v>
      </c>
      <c r="M2223" s="3" t="s">
        <v>1357</v>
      </c>
      <c r="O2223" s="3" t="s">
        <v>63</v>
      </c>
      <c r="P2223" s="3" t="s">
        <v>354</v>
      </c>
      <c r="R2223" s="3" t="s">
        <v>65</v>
      </c>
      <c r="S2223" s="4">
        <v>2</v>
      </c>
      <c r="T2223" s="4">
        <v>2</v>
      </c>
      <c r="U2223" s="5" t="s">
        <v>8021</v>
      </c>
      <c r="V2223" s="5" t="s">
        <v>8021</v>
      </c>
      <c r="W2223" s="5" t="s">
        <v>23293</v>
      </c>
      <c r="X2223" s="5" t="s">
        <v>23293</v>
      </c>
      <c r="Y2223" s="4">
        <v>1417</v>
      </c>
      <c r="Z2223" s="4">
        <v>1276</v>
      </c>
      <c r="AA2223" s="4">
        <v>1364</v>
      </c>
      <c r="AB2223" s="4">
        <v>12</v>
      </c>
      <c r="AC2223" s="4">
        <v>12</v>
      </c>
      <c r="AD2223" s="4">
        <v>43</v>
      </c>
      <c r="AE2223" s="4">
        <v>45</v>
      </c>
      <c r="AF2223" s="4">
        <v>19</v>
      </c>
      <c r="AG2223" s="4">
        <v>20</v>
      </c>
      <c r="AH2223" s="4">
        <v>10</v>
      </c>
      <c r="AI2223" s="4">
        <v>10</v>
      </c>
      <c r="AJ2223" s="4">
        <v>16</v>
      </c>
      <c r="AK2223" s="4">
        <v>17</v>
      </c>
      <c r="AL2223" s="4">
        <v>8</v>
      </c>
      <c r="AM2223" s="4">
        <v>8</v>
      </c>
      <c r="AN2223" s="4">
        <v>0</v>
      </c>
      <c r="AO2223" s="4">
        <v>1</v>
      </c>
      <c r="AP2223" s="3" t="s">
        <v>58</v>
      </c>
      <c r="AQ2223" s="3" t="s">
        <v>68</v>
      </c>
      <c r="AR2223" s="6" t="str">
        <f>HYPERLINK("http://catalog.hathitrust.org/Record/001240095","HathiTrust Record")</f>
        <v>HathiTrust Record</v>
      </c>
      <c r="AS2223" s="6" t="str">
        <f>HYPERLINK("https://creighton-primo.hosted.exlibrisgroup.com/primo-explore/search?tab=default_tab&amp;search_scope=EVERYTHING&amp;vid=01CRU&amp;lang=en_US&amp;offset=0&amp;query=any,contains,991000543219702656","Catalog Record")</f>
        <v>Catalog Record</v>
      </c>
      <c r="AT2223" s="6" t="str">
        <f>HYPERLINK("http://www.worldcat.org/oclc/90972","WorldCat Record")</f>
        <v>WorldCat Record</v>
      </c>
      <c r="AU2223" s="3" t="s">
        <v>27107</v>
      </c>
      <c r="AV2223" s="3" t="s">
        <v>27108</v>
      </c>
      <c r="AW2223" s="3" t="s">
        <v>27109</v>
      </c>
      <c r="AX2223" s="3" t="s">
        <v>27109</v>
      </c>
      <c r="AY2223" s="3" t="s">
        <v>27110</v>
      </c>
      <c r="AZ2223" s="3" t="s">
        <v>73</v>
      </c>
      <c r="BB2223" s="3" t="s">
        <v>27111</v>
      </c>
      <c r="BC2223" s="3" t="s">
        <v>27112</v>
      </c>
      <c r="BD2223" s="3" t="s">
        <v>27113</v>
      </c>
    </row>
    <row r="2224" spans="1:56" ht="51" customHeight="1" x14ac:dyDescent="0.25">
      <c r="A2224" s="7" t="s">
        <v>58</v>
      </c>
      <c r="B2224" s="2" t="s">
        <v>27114</v>
      </c>
      <c r="C2224" s="2" t="s">
        <v>27115</v>
      </c>
      <c r="D2224" s="2" t="s">
        <v>27116</v>
      </c>
      <c r="F2224" s="3" t="s">
        <v>58</v>
      </c>
      <c r="G2224" s="3" t="s">
        <v>59</v>
      </c>
      <c r="H2224" s="3" t="s">
        <v>58</v>
      </c>
      <c r="I2224" s="3" t="s">
        <v>58</v>
      </c>
      <c r="J2224" s="3" t="s">
        <v>60</v>
      </c>
      <c r="K2224" s="2" t="s">
        <v>27117</v>
      </c>
      <c r="L2224" s="2" t="s">
        <v>27118</v>
      </c>
      <c r="M2224" s="3" t="s">
        <v>4483</v>
      </c>
      <c r="N2224" s="2" t="s">
        <v>13327</v>
      </c>
      <c r="O2224" s="3" t="s">
        <v>63</v>
      </c>
      <c r="P2224" s="3" t="s">
        <v>214</v>
      </c>
      <c r="R2224" s="3" t="s">
        <v>65</v>
      </c>
      <c r="S2224" s="4">
        <v>6</v>
      </c>
      <c r="T2224" s="4">
        <v>6</v>
      </c>
      <c r="U2224" s="5" t="s">
        <v>9257</v>
      </c>
      <c r="V2224" s="5" t="s">
        <v>9257</v>
      </c>
      <c r="W2224" s="5" t="s">
        <v>3405</v>
      </c>
      <c r="X2224" s="5" t="s">
        <v>3405</v>
      </c>
      <c r="Y2224" s="4">
        <v>1533</v>
      </c>
      <c r="Z2224" s="4">
        <v>1470</v>
      </c>
      <c r="AA2224" s="4">
        <v>2682</v>
      </c>
      <c r="AB2224" s="4">
        <v>14</v>
      </c>
      <c r="AC2224" s="4">
        <v>20</v>
      </c>
      <c r="AD2224" s="4">
        <v>44</v>
      </c>
      <c r="AE2224" s="4">
        <v>55</v>
      </c>
      <c r="AF2224" s="4">
        <v>16</v>
      </c>
      <c r="AG2224" s="4">
        <v>24</v>
      </c>
      <c r="AH2224" s="4">
        <v>8</v>
      </c>
      <c r="AI2224" s="4">
        <v>10</v>
      </c>
      <c r="AJ2224" s="4">
        <v>20</v>
      </c>
      <c r="AK2224" s="4">
        <v>25</v>
      </c>
      <c r="AL2224" s="4">
        <v>8</v>
      </c>
      <c r="AM2224" s="4">
        <v>8</v>
      </c>
      <c r="AN2224" s="4">
        <v>0</v>
      </c>
      <c r="AO2224" s="4">
        <v>0</v>
      </c>
      <c r="AP2224" s="3" t="s">
        <v>58</v>
      </c>
      <c r="AQ2224" s="3" t="s">
        <v>68</v>
      </c>
      <c r="AR2224" s="6" t="str">
        <f>HYPERLINK("http://catalog.hathitrust.org/Record/001872178","HathiTrust Record")</f>
        <v>HathiTrust Record</v>
      </c>
      <c r="AS2224" s="6" t="str">
        <f>HYPERLINK("https://creighton-primo.hosted.exlibrisgroup.com/primo-explore/search?tab=default_tab&amp;search_scope=EVERYTHING&amp;vid=01CRU&amp;lang=en_US&amp;offset=0&amp;query=any,contains,991002137459702656","Catalog Record")</f>
        <v>Catalog Record</v>
      </c>
      <c r="AT2224" s="6" t="str">
        <f>HYPERLINK("http://www.worldcat.org/oclc/270329","WorldCat Record")</f>
        <v>WorldCat Record</v>
      </c>
      <c r="AU2224" s="3" t="s">
        <v>27119</v>
      </c>
      <c r="AV2224" s="3" t="s">
        <v>27120</v>
      </c>
      <c r="AW2224" s="3" t="s">
        <v>27121</v>
      </c>
      <c r="AX2224" s="3" t="s">
        <v>27121</v>
      </c>
      <c r="AY2224" s="3" t="s">
        <v>27122</v>
      </c>
      <c r="AZ2224" s="3" t="s">
        <v>73</v>
      </c>
      <c r="BC2224" s="3" t="s">
        <v>27123</v>
      </c>
      <c r="BD2224" s="3" t="s">
        <v>27124</v>
      </c>
    </row>
    <row r="2225" spans="1:56" ht="51" customHeight="1" x14ac:dyDescent="0.25">
      <c r="A2225" s="7" t="s">
        <v>58</v>
      </c>
      <c r="B2225" s="2" t="s">
        <v>27125</v>
      </c>
      <c r="C2225" s="2" t="s">
        <v>27126</v>
      </c>
      <c r="D2225" s="2" t="s">
        <v>27127</v>
      </c>
      <c r="F2225" s="3" t="s">
        <v>58</v>
      </c>
      <c r="G2225" s="3" t="s">
        <v>59</v>
      </c>
      <c r="H2225" s="3" t="s">
        <v>58</v>
      </c>
      <c r="I2225" s="3" t="s">
        <v>58</v>
      </c>
      <c r="J2225" s="3" t="s">
        <v>60</v>
      </c>
      <c r="K2225" s="2" t="s">
        <v>27128</v>
      </c>
      <c r="L2225" s="2" t="s">
        <v>27129</v>
      </c>
      <c r="M2225" s="3" t="s">
        <v>15978</v>
      </c>
      <c r="O2225" s="3" t="s">
        <v>63</v>
      </c>
      <c r="P2225" s="3" t="s">
        <v>214</v>
      </c>
      <c r="R2225" s="3" t="s">
        <v>65</v>
      </c>
      <c r="S2225" s="4">
        <v>1</v>
      </c>
      <c r="T2225" s="4">
        <v>1</v>
      </c>
      <c r="U2225" s="5" t="s">
        <v>12028</v>
      </c>
      <c r="V2225" s="5" t="s">
        <v>12028</v>
      </c>
      <c r="W2225" s="5" t="s">
        <v>23293</v>
      </c>
      <c r="X2225" s="5" t="s">
        <v>23293</v>
      </c>
      <c r="Y2225" s="4">
        <v>378</v>
      </c>
      <c r="Z2225" s="4">
        <v>350</v>
      </c>
      <c r="AA2225" s="4">
        <v>477</v>
      </c>
      <c r="AB2225" s="4">
        <v>5</v>
      </c>
      <c r="AC2225" s="4">
        <v>7</v>
      </c>
      <c r="AD2225" s="4">
        <v>14</v>
      </c>
      <c r="AE2225" s="4">
        <v>19</v>
      </c>
      <c r="AF2225" s="4">
        <v>2</v>
      </c>
      <c r="AG2225" s="4">
        <v>3</v>
      </c>
      <c r="AH2225" s="4">
        <v>4</v>
      </c>
      <c r="AI2225" s="4">
        <v>5</v>
      </c>
      <c r="AJ2225" s="4">
        <v>6</v>
      </c>
      <c r="AK2225" s="4">
        <v>7</v>
      </c>
      <c r="AL2225" s="4">
        <v>4</v>
      </c>
      <c r="AM2225" s="4">
        <v>6</v>
      </c>
      <c r="AN2225" s="4">
        <v>0</v>
      </c>
      <c r="AO2225" s="4">
        <v>0</v>
      </c>
      <c r="AP2225" s="3" t="s">
        <v>58</v>
      </c>
      <c r="AQ2225" s="3" t="s">
        <v>68</v>
      </c>
      <c r="AR2225" s="6" t="str">
        <f>HYPERLINK("http://catalog.hathitrust.org/Record/006105702","HathiTrust Record")</f>
        <v>HathiTrust Record</v>
      </c>
      <c r="AS2225" s="6" t="str">
        <f>HYPERLINK("https://creighton-primo.hosted.exlibrisgroup.com/primo-explore/search?tab=default_tab&amp;search_scope=EVERYTHING&amp;vid=01CRU&amp;lang=en_US&amp;offset=0&amp;query=any,contains,991003302199702656","Catalog Record")</f>
        <v>Catalog Record</v>
      </c>
      <c r="AT2225" s="6" t="str">
        <f>HYPERLINK("http://www.worldcat.org/oclc/825239","WorldCat Record")</f>
        <v>WorldCat Record</v>
      </c>
      <c r="AU2225" s="3" t="s">
        <v>27130</v>
      </c>
      <c r="AV2225" s="3" t="s">
        <v>27131</v>
      </c>
      <c r="AW2225" s="3" t="s">
        <v>27132</v>
      </c>
      <c r="AX2225" s="3" t="s">
        <v>27132</v>
      </c>
      <c r="AY2225" s="3" t="s">
        <v>27133</v>
      </c>
      <c r="AZ2225" s="3" t="s">
        <v>73</v>
      </c>
      <c r="BC2225" s="3" t="s">
        <v>27134</v>
      </c>
      <c r="BD2225" s="3" t="s">
        <v>27135</v>
      </c>
    </row>
    <row r="2226" spans="1:56" ht="51" customHeight="1" x14ac:dyDescent="0.25">
      <c r="A2226" s="7" t="s">
        <v>58</v>
      </c>
      <c r="B2226" s="2" t="s">
        <v>27136</v>
      </c>
      <c r="C2226" s="2" t="s">
        <v>27137</v>
      </c>
      <c r="D2226" s="2" t="s">
        <v>27138</v>
      </c>
      <c r="E2226" s="3" t="s">
        <v>223</v>
      </c>
      <c r="F2226" s="3" t="s">
        <v>68</v>
      </c>
      <c r="G2226" s="3" t="s">
        <v>59</v>
      </c>
      <c r="H2226" s="3" t="s">
        <v>58</v>
      </c>
      <c r="I2226" s="3" t="s">
        <v>58</v>
      </c>
      <c r="J2226" s="3" t="s">
        <v>60</v>
      </c>
      <c r="K2226" s="2" t="s">
        <v>27128</v>
      </c>
      <c r="L2226" s="2" t="s">
        <v>27139</v>
      </c>
      <c r="M2226" s="3" t="s">
        <v>21981</v>
      </c>
      <c r="O2226" s="3" t="s">
        <v>63</v>
      </c>
      <c r="P2226" s="3" t="s">
        <v>584</v>
      </c>
      <c r="R2226" s="3" t="s">
        <v>65</v>
      </c>
      <c r="S2226" s="4">
        <v>1</v>
      </c>
      <c r="T2226" s="4">
        <v>2</v>
      </c>
      <c r="U2226" s="5" t="s">
        <v>8021</v>
      </c>
      <c r="V2226" s="5" t="s">
        <v>8021</v>
      </c>
      <c r="W2226" s="5" t="s">
        <v>23293</v>
      </c>
      <c r="X2226" s="5" t="s">
        <v>23293</v>
      </c>
      <c r="Y2226" s="4">
        <v>314</v>
      </c>
      <c r="Z2226" s="4">
        <v>232</v>
      </c>
      <c r="AA2226" s="4">
        <v>332</v>
      </c>
      <c r="AB2226" s="4">
        <v>3</v>
      </c>
      <c r="AC2226" s="4">
        <v>3</v>
      </c>
      <c r="AD2226" s="4">
        <v>6</v>
      </c>
      <c r="AE2226" s="4">
        <v>10</v>
      </c>
      <c r="AF2226" s="4">
        <v>1</v>
      </c>
      <c r="AG2226" s="4">
        <v>2</v>
      </c>
      <c r="AH2226" s="4">
        <v>1</v>
      </c>
      <c r="AI2226" s="4">
        <v>2</v>
      </c>
      <c r="AJ2226" s="4">
        <v>2</v>
      </c>
      <c r="AK2226" s="4">
        <v>5</v>
      </c>
      <c r="AL2226" s="4">
        <v>2</v>
      </c>
      <c r="AM2226" s="4">
        <v>2</v>
      </c>
      <c r="AN2226" s="4">
        <v>0</v>
      </c>
      <c r="AO2226" s="4">
        <v>0</v>
      </c>
      <c r="AP2226" s="3" t="s">
        <v>68</v>
      </c>
      <c r="AQ2226" s="3" t="s">
        <v>58</v>
      </c>
      <c r="AR2226" s="6" t="str">
        <f>HYPERLINK("http://catalog.hathitrust.org/Record/006105705","HathiTrust Record")</f>
        <v>HathiTrust Record</v>
      </c>
      <c r="AS2226" s="6" t="str">
        <f>HYPERLINK("https://creighton-primo.hosted.exlibrisgroup.com/primo-explore/search?tab=default_tab&amp;search_scope=EVERYTHING&amp;vid=01CRU&amp;lang=en_US&amp;offset=0&amp;query=any,contains,991002718779702656","Catalog Record")</f>
        <v>Catalog Record</v>
      </c>
      <c r="AT2226" s="6" t="str">
        <f>HYPERLINK("http://www.worldcat.org/oclc/411970","WorldCat Record")</f>
        <v>WorldCat Record</v>
      </c>
      <c r="AU2226" s="3" t="s">
        <v>27140</v>
      </c>
      <c r="AV2226" s="3" t="s">
        <v>27141</v>
      </c>
      <c r="AW2226" s="3" t="s">
        <v>27142</v>
      </c>
      <c r="AX2226" s="3" t="s">
        <v>27142</v>
      </c>
      <c r="AY2226" s="3" t="s">
        <v>27143</v>
      </c>
      <c r="AZ2226" s="3" t="s">
        <v>73</v>
      </c>
      <c r="BC2226" s="3" t="s">
        <v>27144</v>
      </c>
      <c r="BD2226" s="3" t="s">
        <v>27145</v>
      </c>
    </row>
    <row r="2227" spans="1:56" ht="51" customHeight="1" x14ac:dyDescent="0.25">
      <c r="A2227" s="7" t="s">
        <v>58</v>
      </c>
      <c r="B2227" s="2" t="s">
        <v>27136</v>
      </c>
      <c r="C2227" s="2" t="s">
        <v>27137</v>
      </c>
      <c r="D2227" s="2" t="s">
        <v>27138</v>
      </c>
      <c r="E2227" s="3" t="s">
        <v>210</v>
      </c>
      <c r="F2227" s="3" t="s">
        <v>68</v>
      </c>
      <c r="G2227" s="3" t="s">
        <v>59</v>
      </c>
      <c r="H2227" s="3" t="s">
        <v>58</v>
      </c>
      <c r="I2227" s="3" t="s">
        <v>58</v>
      </c>
      <c r="J2227" s="3" t="s">
        <v>60</v>
      </c>
      <c r="K2227" s="2" t="s">
        <v>27128</v>
      </c>
      <c r="L2227" s="2" t="s">
        <v>27139</v>
      </c>
      <c r="M2227" s="3" t="s">
        <v>21981</v>
      </c>
      <c r="O2227" s="3" t="s">
        <v>63</v>
      </c>
      <c r="P2227" s="3" t="s">
        <v>584</v>
      </c>
      <c r="R2227" s="3" t="s">
        <v>65</v>
      </c>
      <c r="S2227" s="4">
        <v>1</v>
      </c>
      <c r="T2227" s="4">
        <v>2</v>
      </c>
      <c r="U2227" s="5" t="s">
        <v>8021</v>
      </c>
      <c r="V2227" s="5" t="s">
        <v>8021</v>
      </c>
      <c r="W2227" s="5" t="s">
        <v>23293</v>
      </c>
      <c r="X2227" s="5" t="s">
        <v>23293</v>
      </c>
      <c r="Y2227" s="4">
        <v>314</v>
      </c>
      <c r="Z2227" s="4">
        <v>232</v>
      </c>
      <c r="AA2227" s="4">
        <v>332</v>
      </c>
      <c r="AB2227" s="4">
        <v>3</v>
      </c>
      <c r="AC2227" s="4">
        <v>3</v>
      </c>
      <c r="AD2227" s="4">
        <v>6</v>
      </c>
      <c r="AE2227" s="4">
        <v>10</v>
      </c>
      <c r="AF2227" s="4">
        <v>1</v>
      </c>
      <c r="AG2227" s="4">
        <v>2</v>
      </c>
      <c r="AH2227" s="4">
        <v>1</v>
      </c>
      <c r="AI2227" s="4">
        <v>2</v>
      </c>
      <c r="AJ2227" s="4">
        <v>2</v>
      </c>
      <c r="AK2227" s="4">
        <v>5</v>
      </c>
      <c r="AL2227" s="4">
        <v>2</v>
      </c>
      <c r="AM2227" s="4">
        <v>2</v>
      </c>
      <c r="AN2227" s="4">
        <v>0</v>
      </c>
      <c r="AO2227" s="4">
        <v>0</v>
      </c>
      <c r="AP2227" s="3" t="s">
        <v>68</v>
      </c>
      <c r="AQ2227" s="3" t="s">
        <v>58</v>
      </c>
      <c r="AR2227" s="6" t="str">
        <f>HYPERLINK("http://catalog.hathitrust.org/Record/006105705","HathiTrust Record")</f>
        <v>HathiTrust Record</v>
      </c>
      <c r="AS2227" s="6" t="str">
        <f>HYPERLINK("https://creighton-primo.hosted.exlibrisgroup.com/primo-explore/search?tab=default_tab&amp;search_scope=EVERYTHING&amp;vid=01CRU&amp;lang=en_US&amp;offset=0&amp;query=any,contains,991002718779702656","Catalog Record")</f>
        <v>Catalog Record</v>
      </c>
      <c r="AT2227" s="6" t="str">
        <f>HYPERLINK("http://www.worldcat.org/oclc/411970","WorldCat Record")</f>
        <v>WorldCat Record</v>
      </c>
      <c r="AU2227" s="3" t="s">
        <v>27140</v>
      </c>
      <c r="AV2227" s="3" t="s">
        <v>27141</v>
      </c>
      <c r="AW2227" s="3" t="s">
        <v>27142</v>
      </c>
      <c r="AX2227" s="3" t="s">
        <v>27142</v>
      </c>
      <c r="AY2227" s="3" t="s">
        <v>27143</v>
      </c>
      <c r="AZ2227" s="3" t="s">
        <v>73</v>
      </c>
      <c r="BC2227" s="3" t="s">
        <v>27146</v>
      </c>
      <c r="BD2227" s="3" t="s">
        <v>27147</v>
      </c>
    </row>
    <row r="2228" spans="1:56" ht="51" customHeight="1" x14ac:dyDescent="0.25">
      <c r="A2228" s="7" t="s">
        <v>58</v>
      </c>
      <c r="B2228" s="2" t="s">
        <v>27148</v>
      </c>
      <c r="C2228" s="2" t="s">
        <v>27149</v>
      </c>
      <c r="D2228" s="2" t="s">
        <v>27150</v>
      </c>
      <c r="F2228" s="3" t="s">
        <v>58</v>
      </c>
      <c r="G2228" s="3" t="s">
        <v>59</v>
      </c>
      <c r="H2228" s="3" t="s">
        <v>58</v>
      </c>
      <c r="I2228" s="3" t="s">
        <v>58</v>
      </c>
      <c r="J2228" s="3" t="s">
        <v>60</v>
      </c>
      <c r="K2228" s="2" t="s">
        <v>27151</v>
      </c>
      <c r="L2228" s="2" t="s">
        <v>27152</v>
      </c>
      <c r="M2228" s="3" t="s">
        <v>12799</v>
      </c>
      <c r="O2228" s="3" t="s">
        <v>63</v>
      </c>
      <c r="P2228" s="3" t="s">
        <v>1584</v>
      </c>
      <c r="R2228" s="3" t="s">
        <v>65</v>
      </c>
      <c r="S2228" s="4">
        <v>1</v>
      </c>
      <c r="T2228" s="4">
        <v>1</v>
      </c>
      <c r="U2228" s="5" t="s">
        <v>8021</v>
      </c>
      <c r="V2228" s="5" t="s">
        <v>8021</v>
      </c>
      <c r="W2228" s="5" t="s">
        <v>23293</v>
      </c>
      <c r="X2228" s="5" t="s">
        <v>23293</v>
      </c>
      <c r="Y2228" s="4">
        <v>605</v>
      </c>
      <c r="Z2228" s="4">
        <v>543</v>
      </c>
      <c r="AA2228" s="4">
        <v>562</v>
      </c>
      <c r="AB2228" s="4">
        <v>2</v>
      </c>
      <c r="AC2228" s="4">
        <v>2</v>
      </c>
      <c r="AD2228" s="4">
        <v>21</v>
      </c>
      <c r="AE2228" s="4">
        <v>23</v>
      </c>
      <c r="AF2228" s="4">
        <v>8</v>
      </c>
      <c r="AG2228" s="4">
        <v>10</v>
      </c>
      <c r="AH2228" s="4">
        <v>6</v>
      </c>
      <c r="AI2228" s="4">
        <v>6</v>
      </c>
      <c r="AJ2228" s="4">
        <v>12</v>
      </c>
      <c r="AK2228" s="4">
        <v>12</v>
      </c>
      <c r="AL2228" s="4">
        <v>1</v>
      </c>
      <c r="AM2228" s="4">
        <v>1</v>
      </c>
      <c r="AN2228" s="4">
        <v>0</v>
      </c>
      <c r="AO2228" s="4">
        <v>0</v>
      </c>
      <c r="AP2228" s="3" t="s">
        <v>58</v>
      </c>
      <c r="AQ2228" s="3" t="s">
        <v>68</v>
      </c>
      <c r="AR2228" s="6" t="str">
        <f>HYPERLINK("http://catalog.hathitrust.org/Record/001872190","HathiTrust Record")</f>
        <v>HathiTrust Record</v>
      </c>
      <c r="AS2228" s="6" t="str">
        <f>HYPERLINK("https://creighton-primo.hosted.exlibrisgroup.com/primo-explore/search?tab=default_tab&amp;search_scope=EVERYTHING&amp;vid=01CRU&amp;lang=en_US&amp;offset=0&amp;query=any,contains,991002717339702656","Catalog Record")</f>
        <v>Catalog Record</v>
      </c>
      <c r="AT2228" s="6" t="str">
        <f>HYPERLINK("http://www.worldcat.org/oclc/411670","WorldCat Record")</f>
        <v>WorldCat Record</v>
      </c>
      <c r="AU2228" s="3" t="s">
        <v>27153</v>
      </c>
      <c r="AV2228" s="3" t="s">
        <v>27154</v>
      </c>
      <c r="AW2228" s="3" t="s">
        <v>27155</v>
      </c>
      <c r="AX2228" s="3" t="s">
        <v>27155</v>
      </c>
      <c r="AY2228" s="3" t="s">
        <v>27156</v>
      </c>
      <c r="AZ2228" s="3" t="s">
        <v>73</v>
      </c>
      <c r="BC2228" s="3" t="s">
        <v>27157</v>
      </c>
      <c r="BD2228" s="3" t="s">
        <v>27158</v>
      </c>
    </row>
    <row r="2229" spans="1:56" ht="51" customHeight="1" x14ac:dyDescent="0.25">
      <c r="A2229" s="7" t="s">
        <v>58</v>
      </c>
      <c r="B2229" s="2" t="s">
        <v>27159</v>
      </c>
      <c r="C2229" s="2" t="s">
        <v>27160</v>
      </c>
      <c r="D2229" s="2" t="s">
        <v>27161</v>
      </c>
      <c r="F2229" s="3" t="s">
        <v>58</v>
      </c>
      <c r="G2229" s="3" t="s">
        <v>59</v>
      </c>
      <c r="H2229" s="3" t="s">
        <v>58</v>
      </c>
      <c r="I2229" s="3" t="s">
        <v>58</v>
      </c>
      <c r="J2229" s="3" t="s">
        <v>60</v>
      </c>
      <c r="K2229" s="2" t="s">
        <v>27162</v>
      </c>
      <c r="L2229" s="2" t="s">
        <v>27163</v>
      </c>
      <c r="M2229" s="3" t="s">
        <v>2706</v>
      </c>
      <c r="O2229" s="3" t="s">
        <v>63</v>
      </c>
      <c r="P2229" s="3" t="s">
        <v>2061</v>
      </c>
      <c r="R2229" s="3" t="s">
        <v>65</v>
      </c>
      <c r="S2229" s="4">
        <v>2</v>
      </c>
      <c r="T2229" s="4">
        <v>2</v>
      </c>
      <c r="U2229" s="5" t="s">
        <v>10915</v>
      </c>
      <c r="V2229" s="5" t="s">
        <v>10915</v>
      </c>
      <c r="W2229" s="5" t="s">
        <v>23293</v>
      </c>
      <c r="X2229" s="5" t="s">
        <v>23293</v>
      </c>
      <c r="Y2229" s="4">
        <v>448</v>
      </c>
      <c r="Z2229" s="4">
        <v>378</v>
      </c>
      <c r="AA2229" s="4">
        <v>463</v>
      </c>
      <c r="AB2229" s="4">
        <v>2</v>
      </c>
      <c r="AC2229" s="4">
        <v>3</v>
      </c>
      <c r="AD2229" s="4">
        <v>15</v>
      </c>
      <c r="AE2229" s="4">
        <v>20</v>
      </c>
      <c r="AF2229" s="4">
        <v>6</v>
      </c>
      <c r="AG2229" s="4">
        <v>7</v>
      </c>
      <c r="AH2229" s="4">
        <v>3</v>
      </c>
      <c r="AI2229" s="4">
        <v>5</v>
      </c>
      <c r="AJ2229" s="4">
        <v>9</v>
      </c>
      <c r="AK2229" s="4">
        <v>11</v>
      </c>
      <c r="AL2229" s="4">
        <v>1</v>
      </c>
      <c r="AM2229" s="4">
        <v>2</v>
      </c>
      <c r="AN2229" s="4">
        <v>0</v>
      </c>
      <c r="AO2229" s="4">
        <v>0</v>
      </c>
      <c r="AP2229" s="3" t="s">
        <v>58</v>
      </c>
      <c r="AQ2229" s="3" t="s">
        <v>68</v>
      </c>
      <c r="AR2229" s="6" t="str">
        <f>HYPERLINK("http://catalog.hathitrust.org/Record/001872200","HathiTrust Record")</f>
        <v>HathiTrust Record</v>
      </c>
      <c r="AS2229" s="6" t="str">
        <f>HYPERLINK("https://creighton-primo.hosted.exlibrisgroup.com/primo-explore/search?tab=default_tab&amp;search_scope=EVERYTHING&amp;vid=01CRU&amp;lang=en_US&amp;offset=0&amp;query=any,contains,991002717309702656","Catalog Record")</f>
        <v>Catalog Record</v>
      </c>
      <c r="AT2229" s="6" t="str">
        <f>HYPERLINK("http://www.worldcat.org/oclc/411664","WorldCat Record")</f>
        <v>WorldCat Record</v>
      </c>
      <c r="AU2229" s="3" t="s">
        <v>27164</v>
      </c>
      <c r="AV2229" s="3" t="s">
        <v>27165</v>
      </c>
      <c r="AW2229" s="3" t="s">
        <v>27166</v>
      </c>
      <c r="AX2229" s="3" t="s">
        <v>27166</v>
      </c>
      <c r="AY2229" s="3" t="s">
        <v>27167</v>
      </c>
      <c r="AZ2229" s="3" t="s">
        <v>73</v>
      </c>
      <c r="BC2229" s="3" t="s">
        <v>27168</v>
      </c>
      <c r="BD2229" s="3" t="s">
        <v>27169</v>
      </c>
    </row>
    <row r="2230" spans="1:56" ht="51" customHeight="1" x14ac:dyDescent="0.25">
      <c r="A2230" s="7" t="s">
        <v>58</v>
      </c>
      <c r="B2230" s="2" t="s">
        <v>27170</v>
      </c>
      <c r="C2230" s="2" t="s">
        <v>27171</v>
      </c>
      <c r="D2230" s="2" t="s">
        <v>27172</v>
      </c>
      <c r="F2230" s="3" t="s">
        <v>58</v>
      </c>
      <c r="G2230" s="3" t="s">
        <v>59</v>
      </c>
      <c r="H2230" s="3" t="s">
        <v>58</v>
      </c>
      <c r="I2230" s="3" t="s">
        <v>58</v>
      </c>
      <c r="J2230" s="3" t="s">
        <v>60</v>
      </c>
      <c r="K2230" s="2" t="s">
        <v>27173</v>
      </c>
      <c r="L2230" s="2" t="s">
        <v>27174</v>
      </c>
      <c r="M2230" s="3" t="s">
        <v>101</v>
      </c>
      <c r="N2230" s="2" t="s">
        <v>338</v>
      </c>
      <c r="O2230" s="3" t="s">
        <v>63</v>
      </c>
      <c r="P2230" s="3" t="s">
        <v>214</v>
      </c>
      <c r="R2230" s="3" t="s">
        <v>65</v>
      </c>
      <c r="S2230" s="4">
        <v>8</v>
      </c>
      <c r="T2230" s="4">
        <v>8</v>
      </c>
      <c r="U2230" s="5" t="s">
        <v>27175</v>
      </c>
      <c r="V2230" s="5" t="s">
        <v>27175</v>
      </c>
      <c r="W2230" s="5" t="s">
        <v>26573</v>
      </c>
      <c r="X2230" s="5" t="s">
        <v>26573</v>
      </c>
      <c r="Y2230" s="4">
        <v>952</v>
      </c>
      <c r="Z2230" s="4">
        <v>872</v>
      </c>
      <c r="AA2230" s="4">
        <v>984</v>
      </c>
      <c r="AB2230" s="4">
        <v>4</v>
      </c>
      <c r="AC2230" s="4">
        <v>4</v>
      </c>
      <c r="AD2230" s="4">
        <v>21</v>
      </c>
      <c r="AE2230" s="4">
        <v>23</v>
      </c>
      <c r="AF2230" s="4">
        <v>8</v>
      </c>
      <c r="AG2230" s="4">
        <v>9</v>
      </c>
      <c r="AH2230" s="4">
        <v>6</v>
      </c>
      <c r="AI2230" s="4">
        <v>6</v>
      </c>
      <c r="AJ2230" s="4">
        <v>9</v>
      </c>
      <c r="AK2230" s="4">
        <v>10</v>
      </c>
      <c r="AL2230" s="4">
        <v>3</v>
      </c>
      <c r="AM2230" s="4">
        <v>3</v>
      </c>
      <c r="AN2230" s="4">
        <v>0</v>
      </c>
      <c r="AO2230" s="4">
        <v>0</v>
      </c>
      <c r="AP2230" s="3" t="s">
        <v>58</v>
      </c>
      <c r="AQ2230" s="3" t="s">
        <v>68</v>
      </c>
      <c r="AR2230" s="6" t="str">
        <f>HYPERLINK("http://catalog.hathitrust.org/Record/000781714","HathiTrust Record")</f>
        <v>HathiTrust Record</v>
      </c>
      <c r="AS2230" s="6" t="str">
        <f>HYPERLINK("https://creighton-primo.hosted.exlibrisgroup.com/primo-explore/search?tab=default_tab&amp;search_scope=EVERYTHING&amp;vid=01CRU&amp;lang=en_US&amp;offset=0&amp;query=any,contains,991000342519702656","Catalog Record")</f>
        <v>Catalog Record</v>
      </c>
      <c r="AT2230" s="6" t="str">
        <f>HYPERLINK("http://www.worldcat.org/oclc/10274917","WorldCat Record")</f>
        <v>WorldCat Record</v>
      </c>
      <c r="AU2230" s="3" t="s">
        <v>27176</v>
      </c>
      <c r="AV2230" s="3" t="s">
        <v>27177</v>
      </c>
      <c r="AW2230" s="3" t="s">
        <v>27178</v>
      </c>
      <c r="AX2230" s="3" t="s">
        <v>27178</v>
      </c>
      <c r="AY2230" s="3" t="s">
        <v>27179</v>
      </c>
      <c r="AZ2230" s="3" t="s">
        <v>73</v>
      </c>
      <c r="BB2230" s="3" t="s">
        <v>27180</v>
      </c>
      <c r="BC2230" s="3" t="s">
        <v>27181</v>
      </c>
      <c r="BD2230" s="3" t="s">
        <v>27182</v>
      </c>
    </row>
    <row r="2231" spans="1:56" ht="51" customHeight="1" x14ac:dyDescent="0.25">
      <c r="A2231" s="7" t="s">
        <v>58</v>
      </c>
      <c r="B2231" s="2" t="s">
        <v>27183</v>
      </c>
      <c r="C2231" s="2" t="s">
        <v>27184</v>
      </c>
      <c r="D2231" s="2" t="s">
        <v>27185</v>
      </c>
      <c r="F2231" s="3" t="s">
        <v>58</v>
      </c>
      <c r="G2231" s="3" t="s">
        <v>59</v>
      </c>
      <c r="H2231" s="3" t="s">
        <v>58</v>
      </c>
      <c r="I2231" s="3" t="s">
        <v>58</v>
      </c>
      <c r="J2231" s="3" t="s">
        <v>60</v>
      </c>
      <c r="K2231" s="2" t="s">
        <v>27186</v>
      </c>
      <c r="L2231" s="2" t="s">
        <v>27187</v>
      </c>
      <c r="M2231" s="3" t="s">
        <v>4023</v>
      </c>
      <c r="O2231" s="3" t="s">
        <v>63</v>
      </c>
      <c r="P2231" s="3" t="s">
        <v>214</v>
      </c>
      <c r="R2231" s="3" t="s">
        <v>65</v>
      </c>
      <c r="S2231" s="4">
        <v>4</v>
      </c>
      <c r="T2231" s="4">
        <v>4</v>
      </c>
      <c r="U2231" s="5" t="s">
        <v>9955</v>
      </c>
      <c r="V2231" s="5" t="s">
        <v>9955</v>
      </c>
      <c r="W2231" s="5" t="s">
        <v>9955</v>
      </c>
      <c r="X2231" s="5" t="s">
        <v>9955</v>
      </c>
      <c r="Y2231" s="4">
        <v>620</v>
      </c>
      <c r="Z2231" s="4">
        <v>568</v>
      </c>
      <c r="AA2231" s="4">
        <v>572</v>
      </c>
      <c r="AB2231" s="4">
        <v>3</v>
      </c>
      <c r="AC2231" s="4">
        <v>3</v>
      </c>
      <c r="AD2231" s="4">
        <v>7</v>
      </c>
      <c r="AE2231" s="4">
        <v>7</v>
      </c>
      <c r="AF2231" s="4">
        <v>3</v>
      </c>
      <c r="AG2231" s="4">
        <v>3</v>
      </c>
      <c r="AH2231" s="4">
        <v>2</v>
      </c>
      <c r="AI2231" s="4">
        <v>2</v>
      </c>
      <c r="AJ2231" s="4">
        <v>4</v>
      </c>
      <c r="AK2231" s="4">
        <v>4</v>
      </c>
      <c r="AL2231" s="4">
        <v>0</v>
      </c>
      <c r="AM2231" s="4">
        <v>0</v>
      </c>
      <c r="AN2231" s="4">
        <v>0</v>
      </c>
      <c r="AO2231" s="4">
        <v>0</v>
      </c>
      <c r="AP2231" s="3" t="s">
        <v>58</v>
      </c>
      <c r="AQ2231" s="3" t="s">
        <v>68</v>
      </c>
      <c r="AR2231" s="6" t="str">
        <f>HYPERLINK("http://catalog.hathitrust.org/Record/004916575","HathiTrust Record")</f>
        <v>HathiTrust Record</v>
      </c>
      <c r="AS2231" s="6" t="str">
        <f>HYPERLINK("https://creighton-primo.hosted.exlibrisgroup.com/primo-explore/search?tab=default_tab&amp;search_scope=EVERYTHING&amp;vid=01CRU&amp;lang=en_US&amp;offset=0&amp;query=any,contains,991004414389702656","Catalog Record")</f>
        <v>Catalog Record</v>
      </c>
      <c r="AT2231" s="6" t="str">
        <f>HYPERLINK("http://www.worldcat.org/oclc/56057920","WorldCat Record")</f>
        <v>WorldCat Record</v>
      </c>
      <c r="AU2231" s="3" t="s">
        <v>27188</v>
      </c>
      <c r="AV2231" s="3" t="s">
        <v>27189</v>
      </c>
      <c r="AW2231" s="3" t="s">
        <v>27190</v>
      </c>
      <c r="AX2231" s="3" t="s">
        <v>27190</v>
      </c>
      <c r="AY2231" s="3" t="s">
        <v>27191</v>
      </c>
      <c r="AZ2231" s="3" t="s">
        <v>73</v>
      </c>
      <c r="BB2231" s="3" t="s">
        <v>27192</v>
      </c>
      <c r="BC2231" s="3" t="s">
        <v>27193</v>
      </c>
      <c r="BD2231" s="3" t="s">
        <v>27194</v>
      </c>
    </row>
    <row r="2232" spans="1:56" ht="51" customHeight="1" x14ac:dyDescent="0.25">
      <c r="A2232" s="7" t="s">
        <v>58</v>
      </c>
      <c r="B2232" s="2" t="s">
        <v>27195</v>
      </c>
      <c r="C2232" s="2" t="s">
        <v>27196</v>
      </c>
      <c r="D2232" s="2" t="s">
        <v>27197</v>
      </c>
      <c r="F2232" s="3" t="s">
        <v>58</v>
      </c>
      <c r="G2232" s="3" t="s">
        <v>59</v>
      </c>
      <c r="H2232" s="3" t="s">
        <v>58</v>
      </c>
      <c r="I2232" s="3" t="s">
        <v>58</v>
      </c>
      <c r="J2232" s="3" t="s">
        <v>60</v>
      </c>
      <c r="K2232" s="2" t="s">
        <v>27198</v>
      </c>
      <c r="L2232" s="2" t="s">
        <v>27199</v>
      </c>
      <c r="M2232" s="3" t="s">
        <v>538</v>
      </c>
      <c r="O2232" s="3" t="s">
        <v>63</v>
      </c>
      <c r="P2232" s="3" t="s">
        <v>214</v>
      </c>
      <c r="R2232" s="3" t="s">
        <v>65</v>
      </c>
      <c r="S2232" s="4">
        <v>3</v>
      </c>
      <c r="T2232" s="4">
        <v>3</v>
      </c>
      <c r="U2232" s="5" t="s">
        <v>21982</v>
      </c>
      <c r="V2232" s="5" t="s">
        <v>21982</v>
      </c>
      <c r="W2232" s="5" t="s">
        <v>27200</v>
      </c>
      <c r="X2232" s="5" t="s">
        <v>27200</v>
      </c>
      <c r="Y2232" s="4">
        <v>401</v>
      </c>
      <c r="Z2232" s="4">
        <v>327</v>
      </c>
      <c r="AA2232" s="4">
        <v>332</v>
      </c>
      <c r="AB2232" s="4">
        <v>3</v>
      </c>
      <c r="AC2232" s="4">
        <v>3</v>
      </c>
      <c r="AD2232" s="4">
        <v>11</v>
      </c>
      <c r="AE2232" s="4">
        <v>11</v>
      </c>
      <c r="AF2232" s="4">
        <v>1</v>
      </c>
      <c r="AG2232" s="4">
        <v>1</v>
      </c>
      <c r="AH2232" s="4">
        <v>4</v>
      </c>
      <c r="AI2232" s="4">
        <v>4</v>
      </c>
      <c r="AJ2232" s="4">
        <v>5</v>
      </c>
      <c r="AK2232" s="4">
        <v>5</v>
      </c>
      <c r="AL2232" s="4">
        <v>2</v>
      </c>
      <c r="AM2232" s="4">
        <v>2</v>
      </c>
      <c r="AN2232" s="4">
        <v>0</v>
      </c>
      <c r="AO2232" s="4">
        <v>0</v>
      </c>
      <c r="AP2232" s="3" t="s">
        <v>58</v>
      </c>
      <c r="AQ2232" s="3" t="s">
        <v>68</v>
      </c>
      <c r="AR2232" s="6" t="str">
        <f>HYPERLINK("http://catalog.hathitrust.org/Record/001872212","HathiTrust Record")</f>
        <v>HathiTrust Record</v>
      </c>
      <c r="AS2232" s="6" t="str">
        <f>HYPERLINK("https://creighton-primo.hosted.exlibrisgroup.com/primo-explore/search?tab=default_tab&amp;search_scope=EVERYTHING&amp;vid=01CRU&amp;lang=en_US&amp;offset=0&amp;query=any,contains,991000050409702656","Catalog Record")</f>
        <v>Catalog Record</v>
      </c>
      <c r="AT2232" s="6" t="str">
        <f>HYPERLINK("http://www.worldcat.org/oclc/22756","WorldCat Record")</f>
        <v>WorldCat Record</v>
      </c>
      <c r="AU2232" s="3" t="s">
        <v>27201</v>
      </c>
      <c r="AV2232" s="3" t="s">
        <v>27202</v>
      </c>
      <c r="AW2232" s="3" t="s">
        <v>27203</v>
      </c>
      <c r="AX2232" s="3" t="s">
        <v>27203</v>
      </c>
      <c r="AY2232" s="3" t="s">
        <v>27204</v>
      </c>
      <c r="AZ2232" s="3" t="s">
        <v>73</v>
      </c>
      <c r="BC2232" s="3" t="s">
        <v>27205</v>
      </c>
      <c r="BD2232" s="3" t="s">
        <v>27206</v>
      </c>
    </row>
    <row r="2233" spans="1:56" ht="51" customHeight="1" x14ac:dyDescent="0.25">
      <c r="A2233" s="7" t="s">
        <v>58</v>
      </c>
      <c r="B2233" s="2" t="s">
        <v>27207</v>
      </c>
      <c r="C2233" s="2" t="s">
        <v>27208</v>
      </c>
      <c r="D2233" s="2" t="s">
        <v>27209</v>
      </c>
      <c r="F2233" s="3" t="s">
        <v>58</v>
      </c>
      <c r="G2233" s="3" t="s">
        <v>59</v>
      </c>
      <c r="H2233" s="3" t="s">
        <v>58</v>
      </c>
      <c r="I2233" s="3" t="s">
        <v>58</v>
      </c>
      <c r="J2233" s="3" t="s">
        <v>60</v>
      </c>
      <c r="K2233" s="2" t="s">
        <v>27210</v>
      </c>
      <c r="L2233" s="2" t="s">
        <v>27211</v>
      </c>
      <c r="M2233" s="3" t="s">
        <v>951</v>
      </c>
      <c r="O2233" s="3" t="s">
        <v>63</v>
      </c>
      <c r="P2233" s="3" t="s">
        <v>214</v>
      </c>
      <c r="R2233" s="3" t="s">
        <v>65</v>
      </c>
      <c r="S2233" s="4">
        <v>3</v>
      </c>
      <c r="T2233" s="4">
        <v>3</v>
      </c>
      <c r="U2233" s="5" t="s">
        <v>27212</v>
      </c>
      <c r="V2233" s="5" t="s">
        <v>27212</v>
      </c>
      <c r="W2233" s="5" t="s">
        <v>27212</v>
      </c>
      <c r="X2233" s="5" t="s">
        <v>27212</v>
      </c>
      <c r="Y2233" s="4">
        <v>434</v>
      </c>
      <c r="Z2233" s="4">
        <v>400</v>
      </c>
      <c r="AA2233" s="4">
        <v>426</v>
      </c>
      <c r="AB2233" s="4">
        <v>4</v>
      </c>
      <c r="AC2233" s="4">
        <v>4</v>
      </c>
      <c r="AD2233" s="4">
        <v>12</v>
      </c>
      <c r="AE2233" s="4">
        <v>12</v>
      </c>
      <c r="AF2233" s="4">
        <v>1</v>
      </c>
      <c r="AG2233" s="4">
        <v>1</v>
      </c>
      <c r="AH2233" s="4">
        <v>5</v>
      </c>
      <c r="AI2233" s="4">
        <v>5</v>
      </c>
      <c r="AJ2233" s="4">
        <v>6</v>
      </c>
      <c r="AK2233" s="4">
        <v>6</v>
      </c>
      <c r="AL2233" s="4">
        <v>3</v>
      </c>
      <c r="AM2233" s="4">
        <v>3</v>
      </c>
      <c r="AN2233" s="4">
        <v>0</v>
      </c>
      <c r="AO2233" s="4">
        <v>0</v>
      </c>
      <c r="AP2233" s="3" t="s">
        <v>58</v>
      </c>
      <c r="AQ2233" s="3" t="s">
        <v>68</v>
      </c>
      <c r="AR2233" s="6" t="str">
        <f>HYPERLINK("http://catalog.hathitrust.org/Record/004098796","HathiTrust Record")</f>
        <v>HathiTrust Record</v>
      </c>
      <c r="AS2233" s="6" t="str">
        <f>HYPERLINK("https://creighton-primo.hosted.exlibrisgroup.com/primo-explore/search?tab=default_tab&amp;search_scope=EVERYTHING&amp;vid=01CRU&amp;lang=en_US&amp;offset=0&amp;query=any,contains,991005079699702656","Catalog Record")</f>
        <v>Catalog Record</v>
      </c>
      <c r="AT2233" s="6" t="str">
        <f>HYPERLINK("http://www.worldcat.org/oclc/42397691","WorldCat Record")</f>
        <v>WorldCat Record</v>
      </c>
      <c r="AU2233" s="3" t="s">
        <v>27213</v>
      </c>
      <c r="AV2233" s="3" t="s">
        <v>27214</v>
      </c>
      <c r="AW2233" s="3" t="s">
        <v>27215</v>
      </c>
      <c r="AX2233" s="3" t="s">
        <v>27215</v>
      </c>
      <c r="AY2233" s="3" t="s">
        <v>27216</v>
      </c>
      <c r="AZ2233" s="3" t="s">
        <v>73</v>
      </c>
      <c r="BB2233" s="3" t="s">
        <v>27217</v>
      </c>
      <c r="BC2233" s="3" t="s">
        <v>27218</v>
      </c>
      <c r="BD2233" s="3" t="s">
        <v>27219</v>
      </c>
    </row>
    <row r="2234" spans="1:56" ht="51" customHeight="1" x14ac:dyDescent="0.25">
      <c r="A2234" s="7" t="s">
        <v>58</v>
      </c>
      <c r="B2234" s="2" t="s">
        <v>27220</v>
      </c>
      <c r="C2234" s="2" t="s">
        <v>27221</v>
      </c>
      <c r="D2234" s="2" t="s">
        <v>27222</v>
      </c>
      <c r="F2234" s="3" t="s">
        <v>58</v>
      </c>
      <c r="G2234" s="3" t="s">
        <v>59</v>
      </c>
      <c r="H2234" s="3" t="s">
        <v>58</v>
      </c>
      <c r="I2234" s="3" t="s">
        <v>58</v>
      </c>
      <c r="J2234" s="3" t="s">
        <v>60</v>
      </c>
      <c r="K2234" s="2" t="s">
        <v>27223</v>
      </c>
      <c r="L2234" s="2" t="s">
        <v>27224</v>
      </c>
      <c r="M2234" s="3" t="s">
        <v>745</v>
      </c>
      <c r="O2234" s="3" t="s">
        <v>63</v>
      </c>
      <c r="P2234" s="3" t="s">
        <v>510</v>
      </c>
      <c r="R2234" s="3" t="s">
        <v>65</v>
      </c>
      <c r="S2234" s="4">
        <v>9</v>
      </c>
      <c r="T2234" s="4">
        <v>9</v>
      </c>
      <c r="U2234" s="5" t="s">
        <v>27225</v>
      </c>
      <c r="V2234" s="5" t="s">
        <v>27225</v>
      </c>
      <c r="W2234" s="5" t="s">
        <v>27200</v>
      </c>
      <c r="X2234" s="5" t="s">
        <v>27200</v>
      </c>
      <c r="Y2234" s="4">
        <v>781</v>
      </c>
      <c r="Z2234" s="4">
        <v>662</v>
      </c>
      <c r="AA2234" s="4">
        <v>692</v>
      </c>
      <c r="AB2234" s="4">
        <v>5</v>
      </c>
      <c r="AC2234" s="4">
        <v>5</v>
      </c>
      <c r="AD2234" s="4">
        <v>30</v>
      </c>
      <c r="AE2234" s="4">
        <v>30</v>
      </c>
      <c r="AF2234" s="4">
        <v>11</v>
      </c>
      <c r="AG2234" s="4">
        <v>11</v>
      </c>
      <c r="AH2234" s="4">
        <v>7</v>
      </c>
      <c r="AI2234" s="4">
        <v>7</v>
      </c>
      <c r="AJ2234" s="4">
        <v>15</v>
      </c>
      <c r="AK2234" s="4">
        <v>15</v>
      </c>
      <c r="AL2234" s="4">
        <v>3</v>
      </c>
      <c r="AM2234" s="4">
        <v>3</v>
      </c>
      <c r="AN2234" s="4">
        <v>0</v>
      </c>
      <c r="AO2234" s="4">
        <v>0</v>
      </c>
      <c r="AP2234" s="3" t="s">
        <v>58</v>
      </c>
      <c r="AQ2234" s="3" t="s">
        <v>58</v>
      </c>
      <c r="AS2234" s="6" t="str">
        <f>HYPERLINK("https://creighton-primo.hosted.exlibrisgroup.com/primo-explore/search?tab=default_tab&amp;search_scope=EVERYTHING&amp;vid=01CRU&amp;lang=en_US&amp;offset=0&amp;query=any,contains,991004943339702656","Catalog Record")</f>
        <v>Catalog Record</v>
      </c>
      <c r="AT2234" s="6" t="str">
        <f>HYPERLINK("http://www.worldcat.org/oclc/6195921","WorldCat Record")</f>
        <v>WorldCat Record</v>
      </c>
      <c r="AU2234" s="3" t="s">
        <v>27226</v>
      </c>
      <c r="AV2234" s="3" t="s">
        <v>27227</v>
      </c>
      <c r="AW2234" s="3" t="s">
        <v>27228</v>
      </c>
      <c r="AX2234" s="3" t="s">
        <v>27228</v>
      </c>
      <c r="AY2234" s="3" t="s">
        <v>27229</v>
      </c>
      <c r="AZ2234" s="3" t="s">
        <v>73</v>
      </c>
      <c r="BC2234" s="3" t="s">
        <v>27230</v>
      </c>
      <c r="BD2234" s="3" t="s">
        <v>27231</v>
      </c>
    </row>
    <row r="2235" spans="1:56" ht="51" customHeight="1" x14ac:dyDescent="0.25">
      <c r="A2235" s="7" t="s">
        <v>58</v>
      </c>
      <c r="B2235" s="2" t="s">
        <v>27232</v>
      </c>
      <c r="C2235" s="2" t="s">
        <v>27233</v>
      </c>
      <c r="D2235" s="2" t="s">
        <v>27234</v>
      </c>
      <c r="F2235" s="3" t="s">
        <v>58</v>
      </c>
      <c r="G2235" s="3" t="s">
        <v>59</v>
      </c>
      <c r="H2235" s="3" t="s">
        <v>58</v>
      </c>
      <c r="I2235" s="3" t="s">
        <v>58</v>
      </c>
      <c r="J2235" s="3" t="s">
        <v>60</v>
      </c>
      <c r="K2235" s="2" t="s">
        <v>27235</v>
      </c>
      <c r="L2235" s="2" t="s">
        <v>14628</v>
      </c>
      <c r="M2235" s="3" t="s">
        <v>423</v>
      </c>
      <c r="O2235" s="3" t="s">
        <v>63</v>
      </c>
      <c r="P2235" s="3" t="s">
        <v>214</v>
      </c>
      <c r="R2235" s="3" t="s">
        <v>65</v>
      </c>
      <c r="S2235" s="4">
        <v>2</v>
      </c>
      <c r="T2235" s="4">
        <v>2</v>
      </c>
      <c r="U2235" s="5" t="s">
        <v>24088</v>
      </c>
      <c r="V2235" s="5" t="s">
        <v>24088</v>
      </c>
      <c r="W2235" s="5" t="s">
        <v>3917</v>
      </c>
      <c r="X2235" s="5" t="s">
        <v>3917</v>
      </c>
      <c r="Y2235" s="4">
        <v>2442</v>
      </c>
      <c r="Z2235" s="4">
        <v>2345</v>
      </c>
      <c r="AA2235" s="4">
        <v>2398</v>
      </c>
      <c r="AB2235" s="4">
        <v>23</v>
      </c>
      <c r="AC2235" s="4">
        <v>26</v>
      </c>
      <c r="AD2235" s="4">
        <v>49</v>
      </c>
      <c r="AE2235" s="4">
        <v>49</v>
      </c>
      <c r="AF2235" s="4">
        <v>19</v>
      </c>
      <c r="AG2235" s="4">
        <v>19</v>
      </c>
      <c r="AH2235" s="4">
        <v>10</v>
      </c>
      <c r="AI2235" s="4">
        <v>10</v>
      </c>
      <c r="AJ2235" s="4">
        <v>20</v>
      </c>
      <c r="AK2235" s="4">
        <v>20</v>
      </c>
      <c r="AL2235" s="4">
        <v>11</v>
      </c>
      <c r="AM2235" s="4">
        <v>11</v>
      </c>
      <c r="AN2235" s="4">
        <v>0</v>
      </c>
      <c r="AO2235" s="4">
        <v>0</v>
      </c>
      <c r="AP2235" s="3" t="s">
        <v>58</v>
      </c>
      <c r="AQ2235" s="3" t="s">
        <v>58</v>
      </c>
      <c r="AS2235" s="6" t="str">
        <f>HYPERLINK("https://creighton-primo.hosted.exlibrisgroup.com/primo-explore/search?tab=default_tab&amp;search_scope=EVERYTHING&amp;vid=01CRU&amp;lang=en_US&amp;offset=0&amp;query=any,contains,991004639289702656","Catalog Record")</f>
        <v>Catalog Record</v>
      </c>
      <c r="AT2235" s="6" t="str">
        <f>HYPERLINK("http://www.worldcat.org/oclc/38096949","WorldCat Record")</f>
        <v>WorldCat Record</v>
      </c>
      <c r="AU2235" s="3" t="s">
        <v>27236</v>
      </c>
      <c r="AV2235" s="3" t="s">
        <v>27237</v>
      </c>
      <c r="AW2235" s="3" t="s">
        <v>27238</v>
      </c>
      <c r="AX2235" s="3" t="s">
        <v>27238</v>
      </c>
      <c r="AY2235" s="3" t="s">
        <v>27239</v>
      </c>
      <c r="AZ2235" s="3" t="s">
        <v>73</v>
      </c>
      <c r="BB2235" s="3" t="s">
        <v>27240</v>
      </c>
      <c r="BC2235" s="3" t="s">
        <v>27241</v>
      </c>
      <c r="BD2235" s="3" t="s">
        <v>27242</v>
      </c>
    </row>
    <row r="2236" spans="1:56" ht="51" customHeight="1" x14ac:dyDescent="0.25">
      <c r="A2236" s="7" t="s">
        <v>58</v>
      </c>
      <c r="B2236" s="2" t="s">
        <v>27243</v>
      </c>
      <c r="C2236" s="2" t="s">
        <v>27244</v>
      </c>
      <c r="D2236" s="2" t="s">
        <v>27245</v>
      </c>
      <c r="F2236" s="3" t="s">
        <v>58</v>
      </c>
      <c r="G2236" s="3" t="s">
        <v>59</v>
      </c>
      <c r="H2236" s="3" t="s">
        <v>58</v>
      </c>
      <c r="I2236" s="3" t="s">
        <v>58</v>
      </c>
      <c r="J2236" s="3" t="s">
        <v>60</v>
      </c>
      <c r="K2236" s="2" t="s">
        <v>27246</v>
      </c>
      <c r="L2236" s="2" t="s">
        <v>27247</v>
      </c>
      <c r="M2236" s="3" t="s">
        <v>1499</v>
      </c>
      <c r="O2236" s="3" t="s">
        <v>63</v>
      </c>
      <c r="P2236" s="3" t="s">
        <v>214</v>
      </c>
      <c r="R2236" s="3" t="s">
        <v>65</v>
      </c>
      <c r="S2236" s="4">
        <v>5</v>
      </c>
      <c r="T2236" s="4">
        <v>5</v>
      </c>
      <c r="U2236" s="5" t="s">
        <v>27094</v>
      </c>
      <c r="V2236" s="5" t="s">
        <v>27094</v>
      </c>
      <c r="W2236" s="5" t="s">
        <v>17158</v>
      </c>
      <c r="X2236" s="5" t="s">
        <v>17158</v>
      </c>
      <c r="Y2236" s="4">
        <v>807</v>
      </c>
      <c r="Z2236" s="4">
        <v>754</v>
      </c>
      <c r="AA2236" s="4">
        <v>983</v>
      </c>
      <c r="AB2236" s="4">
        <v>5</v>
      </c>
      <c r="AC2236" s="4">
        <v>6</v>
      </c>
      <c r="AD2236" s="4">
        <v>28</v>
      </c>
      <c r="AE2236" s="4">
        <v>34</v>
      </c>
      <c r="AF2236" s="4">
        <v>9</v>
      </c>
      <c r="AG2236" s="4">
        <v>11</v>
      </c>
      <c r="AH2236" s="4">
        <v>7</v>
      </c>
      <c r="AI2236" s="4">
        <v>8</v>
      </c>
      <c r="AJ2236" s="4">
        <v>15</v>
      </c>
      <c r="AK2236" s="4">
        <v>19</v>
      </c>
      <c r="AL2236" s="4">
        <v>4</v>
      </c>
      <c r="AM2236" s="4">
        <v>5</v>
      </c>
      <c r="AN2236" s="4">
        <v>0</v>
      </c>
      <c r="AO2236" s="4">
        <v>0</v>
      </c>
      <c r="AP2236" s="3" t="s">
        <v>58</v>
      </c>
      <c r="AQ2236" s="3" t="s">
        <v>68</v>
      </c>
      <c r="AR2236" s="6" t="str">
        <f>HYPERLINK("http://catalog.hathitrust.org/Record/001258877","HathiTrust Record")</f>
        <v>HathiTrust Record</v>
      </c>
      <c r="AS2236" s="6" t="str">
        <f>HYPERLINK("https://creighton-primo.hosted.exlibrisgroup.com/primo-explore/search?tab=default_tab&amp;search_scope=EVERYTHING&amp;vid=01CRU&amp;lang=en_US&amp;offset=0&amp;query=any,contains,991002717369702656","Catalog Record")</f>
        <v>Catalog Record</v>
      </c>
      <c r="AT2236" s="6" t="str">
        <f>HYPERLINK("http://www.worldcat.org/oclc/411674","WorldCat Record")</f>
        <v>WorldCat Record</v>
      </c>
      <c r="AU2236" s="3" t="s">
        <v>27248</v>
      </c>
      <c r="AV2236" s="3" t="s">
        <v>27249</v>
      </c>
      <c r="AW2236" s="3" t="s">
        <v>27250</v>
      </c>
      <c r="AX2236" s="3" t="s">
        <v>27250</v>
      </c>
      <c r="AY2236" s="3" t="s">
        <v>27251</v>
      </c>
      <c r="AZ2236" s="3" t="s">
        <v>73</v>
      </c>
      <c r="BC2236" s="3" t="s">
        <v>27252</v>
      </c>
      <c r="BD2236" s="3" t="s">
        <v>27253</v>
      </c>
    </row>
    <row r="2237" spans="1:56" ht="51" customHeight="1" x14ac:dyDescent="0.25">
      <c r="A2237" s="7" t="s">
        <v>58</v>
      </c>
      <c r="B2237" s="2" t="s">
        <v>27254</v>
      </c>
      <c r="C2237" s="2" t="s">
        <v>27255</v>
      </c>
      <c r="D2237" s="2" t="s">
        <v>27256</v>
      </c>
      <c r="F2237" s="3" t="s">
        <v>58</v>
      </c>
      <c r="G2237" s="3" t="s">
        <v>59</v>
      </c>
      <c r="H2237" s="3" t="s">
        <v>58</v>
      </c>
      <c r="I2237" s="3" t="s">
        <v>58</v>
      </c>
      <c r="J2237" s="3" t="s">
        <v>60</v>
      </c>
      <c r="K2237" s="2" t="s">
        <v>27257</v>
      </c>
      <c r="L2237" s="2" t="s">
        <v>27258</v>
      </c>
      <c r="M2237" s="3" t="s">
        <v>996</v>
      </c>
      <c r="O2237" s="3" t="s">
        <v>63</v>
      </c>
      <c r="P2237" s="3" t="s">
        <v>2061</v>
      </c>
      <c r="R2237" s="3" t="s">
        <v>65</v>
      </c>
      <c r="S2237" s="4">
        <v>4</v>
      </c>
      <c r="T2237" s="4">
        <v>4</v>
      </c>
      <c r="U2237" s="5" t="s">
        <v>27094</v>
      </c>
      <c r="V2237" s="5" t="s">
        <v>27094</v>
      </c>
      <c r="W2237" s="5" t="s">
        <v>27259</v>
      </c>
      <c r="X2237" s="5" t="s">
        <v>27259</v>
      </c>
      <c r="Y2237" s="4">
        <v>711</v>
      </c>
      <c r="Z2237" s="4">
        <v>639</v>
      </c>
      <c r="AA2237" s="4">
        <v>674</v>
      </c>
      <c r="AB2237" s="4">
        <v>3</v>
      </c>
      <c r="AC2237" s="4">
        <v>3</v>
      </c>
      <c r="AD2237" s="4">
        <v>23</v>
      </c>
      <c r="AE2237" s="4">
        <v>23</v>
      </c>
      <c r="AF2237" s="4">
        <v>10</v>
      </c>
      <c r="AG2237" s="4">
        <v>10</v>
      </c>
      <c r="AH2237" s="4">
        <v>5</v>
      </c>
      <c r="AI2237" s="4">
        <v>5</v>
      </c>
      <c r="AJ2237" s="4">
        <v>12</v>
      </c>
      <c r="AK2237" s="4">
        <v>12</v>
      </c>
      <c r="AL2237" s="4">
        <v>2</v>
      </c>
      <c r="AM2237" s="4">
        <v>2</v>
      </c>
      <c r="AN2237" s="4">
        <v>0</v>
      </c>
      <c r="AO2237" s="4">
        <v>0</v>
      </c>
      <c r="AP2237" s="3" t="s">
        <v>58</v>
      </c>
      <c r="AQ2237" s="3" t="s">
        <v>58</v>
      </c>
      <c r="AS2237" s="6" t="str">
        <f>HYPERLINK("https://creighton-primo.hosted.exlibrisgroup.com/primo-explore/search?tab=default_tab&amp;search_scope=EVERYTHING&amp;vid=01CRU&amp;lang=en_US&amp;offset=0&amp;query=any,contains,991002551959702656","Catalog Record")</f>
        <v>Catalog Record</v>
      </c>
      <c r="AT2237" s="6" t="str">
        <f>HYPERLINK("http://www.worldcat.org/oclc/370059","WorldCat Record")</f>
        <v>WorldCat Record</v>
      </c>
      <c r="AU2237" s="3" t="s">
        <v>27260</v>
      </c>
      <c r="AV2237" s="3" t="s">
        <v>27261</v>
      </c>
      <c r="AW2237" s="3" t="s">
        <v>27262</v>
      </c>
      <c r="AX2237" s="3" t="s">
        <v>27262</v>
      </c>
      <c r="AY2237" s="3" t="s">
        <v>27263</v>
      </c>
      <c r="AZ2237" s="3" t="s">
        <v>73</v>
      </c>
      <c r="BB2237" s="3" t="s">
        <v>27264</v>
      </c>
      <c r="BC2237" s="3" t="s">
        <v>27265</v>
      </c>
      <c r="BD2237" s="3" t="s">
        <v>27266</v>
      </c>
    </row>
    <row r="2238" spans="1:56" ht="51" customHeight="1" x14ac:dyDescent="0.25">
      <c r="A2238" s="7" t="s">
        <v>58</v>
      </c>
      <c r="B2238" s="2" t="s">
        <v>27267</v>
      </c>
      <c r="C2238" s="2" t="s">
        <v>27268</v>
      </c>
      <c r="D2238" s="2" t="s">
        <v>27269</v>
      </c>
      <c r="F2238" s="3" t="s">
        <v>58</v>
      </c>
      <c r="G2238" s="3" t="s">
        <v>59</v>
      </c>
      <c r="H2238" s="3" t="s">
        <v>58</v>
      </c>
      <c r="I2238" s="3" t="s">
        <v>58</v>
      </c>
      <c r="J2238" s="3" t="s">
        <v>60</v>
      </c>
      <c r="K2238" s="2" t="s">
        <v>27270</v>
      </c>
      <c r="L2238" s="2" t="s">
        <v>27271</v>
      </c>
      <c r="M2238" s="3" t="s">
        <v>1153</v>
      </c>
      <c r="O2238" s="3" t="s">
        <v>63</v>
      </c>
      <c r="P2238" s="3" t="s">
        <v>510</v>
      </c>
      <c r="R2238" s="3" t="s">
        <v>65</v>
      </c>
      <c r="S2238" s="4">
        <v>5</v>
      </c>
      <c r="T2238" s="4">
        <v>5</v>
      </c>
      <c r="U2238" s="5" t="s">
        <v>27094</v>
      </c>
      <c r="V2238" s="5" t="s">
        <v>27094</v>
      </c>
      <c r="W2238" s="5" t="s">
        <v>14890</v>
      </c>
      <c r="X2238" s="5" t="s">
        <v>14890</v>
      </c>
      <c r="Y2238" s="4">
        <v>83</v>
      </c>
      <c r="Z2238" s="4">
        <v>70</v>
      </c>
      <c r="AA2238" s="4">
        <v>563</v>
      </c>
      <c r="AB2238" s="4">
        <v>1</v>
      </c>
      <c r="AC2238" s="4">
        <v>4</v>
      </c>
      <c r="AD2238" s="4">
        <v>1</v>
      </c>
      <c r="AE2238" s="4">
        <v>19</v>
      </c>
      <c r="AF2238" s="4">
        <v>0</v>
      </c>
      <c r="AG2238" s="4">
        <v>7</v>
      </c>
      <c r="AH2238" s="4">
        <v>1</v>
      </c>
      <c r="AI2238" s="4">
        <v>6</v>
      </c>
      <c r="AJ2238" s="4">
        <v>0</v>
      </c>
      <c r="AK2238" s="4">
        <v>10</v>
      </c>
      <c r="AL2238" s="4">
        <v>0</v>
      </c>
      <c r="AM2238" s="4">
        <v>2</v>
      </c>
      <c r="AN2238" s="4">
        <v>0</v>
      </c>
      <c r="AO2238" s="4">
        <v>0</v>
      </c>
      <c r="AP2238" s="3" t="s">
        <v>58</v>
      </c>
      <c r="AQ2238" s="3" t="s">
        <v>58</v>
      </c>
      <c r="AS2238" s="6" t="str">
        <f>HYPERLINK("https://creighton-primo.hosted.exlibrisgroup.com/primo-explore/search?tab=default_tab&amp;search_scope=EVERYTHING&amp;vid=01CRU&amp;lang=en_US&amp;offset=0&amp;query=any,contains,991003011979702656","Catalog Record")</f>
        <v>Catalog Record</v>
      </c>
      <c r="AT2238" s="6" t="str">
        <f>HYPERLINK("http://www.worldcat.org/oclc/578766","WorldCat Record")</f>
        <v>WorldCat Record</v>
      </c>
      <c r="AU2238" s="3" t="s">
        <v>27272</v>
      </c>
      <c r="AV2238" s="3" t="s">
        <v>27273</v>
      </c>
      <c r="AW2238" s="3" t="s">
        <v>27274</v>
      </c>
      <c r="AX2238" s="3" t="s">
        <v>27274</v>
      </c>
      <c r="AY2238" s="3" t="s">
        <v>27275</v>
      </c>
      <c r="AZ2238" s="3" t="s">
        <v>73</v>
      </c>
      <c r="BB2238" s="3" t="s">
        <v>27276</v>
      </c>
      <c r="BC2238" s="3" t="s">
        <v>27277</v>
      </c>
      <c r="BD2238" s="3" t="s">
        <v>27278</v>
      </c>
    </row>
    <row r="2239" spans="1:56" ht="51" customHeight="1" x14ac:dyDescent="0.25">
      <c r="A2239" s="7" t="s">
        <v>58</v>
      </c>
      <c r="B2239" s="2" t="s">
        <v>27279</v>
      </c>
      <c r="C2239" s="2" t="s">
        <v>27280</v>
      </c>
      <c r="D2239" s="2" t="s">
        <v>27281</v>
      </c>
      <c r="F2239" s="3" t="s">
        <v>58</v>
      </c>
      <c r="G2239" s="3" t="s">
        <v>59</v>
      </c>
      <c r="H2239" s="3" t="s">
        <v>58</v>
      </c>
      <c r="I2239" s="3" t="s">
        <v>58</v>
      </c>
      <c r="J2239" s="3" t="s">
        <v>60</v>
      </c>
      <c r="K2239" s="2" t="s">
        <v>27282</v>
      </c>
      <c r="L2239" s="2" t="s">
        <v>27283</v>
      </c>
      <c r="M2239" s="3" t="s">
        <v>1499</v>
      </c>
      <c r="O2239" s="3" t="s">
        <v>63</v>
      </c>
      <c r="P2239" s="3" t="s">
        <v>214</v>
      </c>
      <c r="R2239" s="3" t="s">
        <v>65</v>
      </c>
      <c r="S2239" s="4">
        <v>2</v>
      </c>
      <c r="T2239" s="4">
        <v>2</v>
      </c>
      <c r="U2239" s="5" t="s">
        <v>10915</v>
      </c>
      <c r="V2239" s="5" t="s">
        <v>10915</v>
      </c>
      <c r="W2239" s="5" t="s">
        <v>23293</v>
      </c>
      <c r="X2239" s="5" t="s">
        <v>23293</v>
      </c>
      <c r="Y2239" s="4">
        <v>1036</v>
      </c>
      <c r="Z2239" s="4">
        <v>962</v>
      </c>
      <c r="AA2239" s="4">
        <v>997</v>
      </c>
      <c r="AB2239" s="4">
        <v>5</v>
      </c>
      <c r="AC2239" s="4">
        <v>5</v>
      </c>
      <c r="AD2239" s="4">
        <v>28</v>
      </c>
      <c r="AE2239" s="4">
        <v>30</v>
      </c>
      <c r="AF2239" s="4">
        <v>10</v>
      </c>
      <c r="AG2239" s="4">
        <v>10</v>
      </c>
      <c r="AH2239" s="4">
        <v>7</v>
      </c>
      <c r="AI2239" s="4">
        <v>8</v>
      </c>
      <c r="AJ2239" s="4">
        <v>12</v>
      </c>
      <c r="AK2239" s="4">
        <v>14</v>
      </c>
      <c r="AL2239" s="4">
        <v>4</v>
      </c>
      <c r="AM2239" s="4">
        <v>4</v>
      </c>
      <c r="AN2239" s="4">
        <v>0</v>
      </c>
      <c r="AO2239" s="4">
        <v>0</v>
      </c>
      <c r="AP2239" s="3" t="s">
        <v>58</v>
      </c>
      <c r="AQ2239" s="3" t="s">
        <v>68</v>
      </c>
      <c r="AR2239" s="6" t="str">
        <f>HYPERLINK("http://catalog.hathitrust.org/Record/007480096","HathiTrust Record")</f>
        <v>HathiTrust Record</v>
      </c>
      <c r="AS2239" s="6" t="str">
        <f>HYPERLINK("https://creighton-primo.hosted.exlibrisgroup.com/primo-explore/search?tab=default_tab&amp;search_scope=EVERYTHING&amp;vid=01CRU&amp;lang=en_US&amp;offset=0&amp;query=any,contains,991005432929702656","Catalog Record")</f>
        <v>Catalog Record</v>
      </c>
      <c r="AT2239" s="6" t="str">
        <f>HYPERLINK("http://www.worldcat.org/oclc/1513","WorldCat Record")</f>
        <v>WorldCat Record</v>
      </c>
      <c r="AU2239" s="3" t="s">
        <v>27284</v>
      </c>
      <c r="AV2239" s="3" t="s">
        <v>27285</v>
      </c>
      <c r="AW2239" s="3" t="s">
        <v>27286</v>
      </c>
      <c r="AX2239" s="3" t="s">
        <v>27286</v>
      </c>
      <c r="AY2239" s="3" t="s">
        <v>27287</v>
      </c>
      <c r="AZ2239" s="3" t="s">
        <v>73</v>
      </c>
      <c r="BC2239" s="3" t="s">
        <v>27288</v>
      </c>
      <c r="BD2239" s="3" t="s">
        <v>27289</v>
      </c>
    </row>
    <row r="2240" spans="1:56" ht="51" customHeight="1" x14ac:dyDescent="0.25">
      <c r="A2240" s="7" t="s">
        <v>58</v>
      </c>
      <c r="B2240" s="2" t="s">
        <v>27290</v>
      </c>
      <c r="C2240" s="2" t="s">
        <v>27291</v>
      </c>
      <c r="D2240" s="2" t="s">
        <v>27292</v>
      </c>
      <c r="F2240" s="3" t="s">
        <v>58</v>
      </c>
      <c r="G2240" s="3" t="s">
        <v>59</v>
      </c>
      <c r="H2240" s="3" t="s">
        <v>58</v>
      </c>
      <c r="I2240" s="3" t="s">
        <v>58</v>
      </c>
      <c r="J2240" s="3" t="s">
        <v>60</v>
      </c>
      <c r="L2240" s="2" t="s">
        <v>27293</v>
      </c>
      <c r="M2240" s="3" t="s">
        <v>842</v>
      </c>
      <c r="O2240" s="3" t="s">
        <v>63</v>
      </c>
      <c r="P2240" s="3" t="s">
        <v>214</v>
      </c>
      <c r="R2240" s="3" t="s">
        <v>65</v>
      </c>
      <c r="S2240" s="4">
        <v>7</v>
      </c>
      <c r="T2240" s="4">
        <v>7</v>
      </c>
      <c r="U2240" s="5" t="s">
        <v>4674</v>
      </c>
      <c r="V2240" s="5" t="s">
        <v>4674</v>
      </c>
      <c r="W2240" s="5" t="s">
        <v>26573</v>
      </c>
      <c r="X2240" s="5" t="s">
        <v>26573</v>
      </c>
      <c r="Y2240" s="4">
        <v>494</v>
      </c>
      <c r="Z2240" s="4">
        <v>461</v>
      </c>
      <c r="AA2240" s="4">
        <v>608</v>
      </c>
      <c r="AB2240" s="4">
        <v>2</v>
      </c>
      <c r="AC2240" s="4">
        <v>3</v>
      </c>
      <c r="AD2240" s="4">
        <v>2</v>
      </c>
      <c r="AE2240" s="4">
        <v>5</v>
      </c>
      <c r="AF2240" s="4">
        <v>1</v>
      </c>
      <c r="AG2240" s="4">
        <v>3</v>
      </c>
      <c r="AH2240" s="4">
        <v>1</v>
      </c>
      <c r="AI2240" s="4">
        <v>2</v>
      </c>
      <c r="AJ2240" s="4">
        <v>1</v>
      </c>
      <c r="AK2240" s="4">
        <v>3</v>
      </c>
      <c r="AL2240" s="4">
        <v>0</v>
      </c>
      <c r="AM2240" s="4">
        <v>0</v>
      </c>
      <c r="AN2240" s="4">
        <v>0</v>
      </c>
      <c r="AO2240" s="4">
        <v>0</v>
      </c>
      <c r="AP2240" s="3" t="s">
        <v>58</v>
      </c>
      <c r="AQ2240" s="3" t="s">
        <v>58</v>
      </c>
      <c r="AS2240" s="6" t="str">
        <f>HYPERLINK("https://creighton-primo.hosted.exlibrisgroup.com/primo-explore/search?tab=default_tab&amp;search_scope=EVERYTHING&amp;vid=01CRU&amp;lang=en_US&amp;offset=0&amp;query=any,contains,991005128899702656","Catalog Record")</f>
        <v>Catalog Record</v>
      </c>
      <c r="AT2240" s="6" t="str">
        <f>HYPERLINK("http://www.worldcat.org/oclc/7555700","WorldCat Record")</f>
        <v>WorldCat Record</v>
      </c>
      <c r="AU2240" s="3" t="s">
        <v>27294</v>
      </c>
      <c r="AV2240" s="3" t="s">
        <v>27295</v>
      </c>
      <c r="AW2240" s="3" t="s">
        <v>27296</v>
      </c>
      <c r="AX2240" s="3" t="s">
        <v>27296</v>
      </c>
      <c r="AY2240" s="3" t="s">
        <v>27297</v>
      </c>
      <c r="AZ2240" s="3" t="s">
        <v>73</v>
      </c>
      <c r="BB2240" s="3" t="s">
        <v>27298</v>
      </c>
      <c r="BC2240" s="3" t="s">
        <v>27299</v>
      </c>
      <c r="BD2240" s="3" t="s">
        <v>27300</v>
      </c>
    </row>
    <row r="2241" spans="1:56" ht="51" customHeight="1" x14ac:dyDescent="0.25">
      <c r="A2241" s="7" t="s">
        <v>58</v>
      </c>
      <c r="B2241" s="2" t="s">
        <v>27301</v>
      </c>
      <c r="C2241" s="2" t="s">
        <v>27302</v>
      </c>
      <c r="D2241" s="2" t="s">
        <v>27303</v>
      </c>
      <c r="F2241" s="3" t="s">
        <v>58</v>
      </c>
      <c r="G2241" s="3" t="s">
        <v>59</v>
      </c>
      <c r="H2241" s="3" t="s">
        <v>58</v>
      </c>
      <c r="I2241" s="3" t="s">
        <v>58</v>
      </c>
      <c r="J2241" s="3" t="s">
        <v>60</v>
      </c>
      <c r="K2241" s="2" t="s">
        <v>27304</v>
      </c>
      <c r="L2241" s="2" t="s">
        <v>27305</v>
      </c>
      <c r="M2241" s="3" t="s">
        <v>759</v>
      </c>
      <c r="N2241" s="2" t="s">
        <v>338</v>
      </c>
      <c r="O2241" s="3" t="s">
        <v>63</v>
      </c>
      <c r="P2241" s="3" t="s">
        <v>214</v>
      </c>
      <c r="R2241" s="3" t="s">
        <v>65</v>
      </c>
      <c r="S2241" s="4">
        <v>4</v>
      </c>
      <c r="T2241" s="4">
        <v>4</v>
      </c>
      <c r="U2241" s="5" t="s">
        <v>27306</v>
      </c>
      <c r="V2241" s="5" t="s">
        <v>27306</v>
      </c>
      <c r="W2241" s="5" t="s">
        <v>26573</v>
      </c>
      <c r="X2241" s="5" t="s">
        <v>26573</v>
      </c>
      <c r="Y2241" s="4">
        <v>396</v>
      </c>
      <c r="Z2241" s="4">
        <v>360</v>
      </c>
      <c r="AA2241" s="4">
        <v>368</v>
      </c>
      <c r="AB2241" s="4">
        <v>1</v>
      </c>
      <c r="AC2241" s="4">
        <v>1</v>
      </c>
      <c r="AD2241" s="4">
        <v>8</v>
      </c>
      <c r="AE2241" s="4">
        <v>8</v>
      </c>
      <c r="AF2241" s="4">
        <v>2</v>
      </c>
      <c r="AG2241" s="4">
        <v>2</v>
      </c>
      <c r="AH2241" s="4">
        <v>5</v>
      </c>
      <c r="AI2241" s="4">
        <v>5</v>
      </c>
      <c r="AJ2241" s="4">
        <v>3</v>
      </c>
      <c r="AK2241" s="4">
        <v>3</v>
      </c>
      <c r="AL2241" s="4">
        <v>0</v>
      </c>
      <c r="AM2241" s="4">
        <v>0</v>
      </c>
      <c r="AN2241" s="4">
        <v>0</v>
      </c>
      <c r="AO2241" s="4">
        <v>0</v>
      </c>
      <c r="AP2241" s="3" t="s">
        <v>58</v>
      </c>
      <c r="AQ2241" s="3" t="s">
        <v>68</v>
      </c>
      <c r="AR2241" s="6" t="str">
        <f>HYPERLINK("http://catalog.hathitrust.org/Record/000725522","HathiTrust Record")</f>
        <v>HathiTrust Record</v>
      </c>
      <c r="AS2241" s="6" t="str">
        <f>HYPERLINK("https://creighton-primo.hosted.exlibrisgroup.com/primo-explore/search?tab=default_tab&amp;search_scope=EVERYTHING&amp;vid=01CRU&amp;lang=en_US&amp;offset=0&amp;query=any,contains,991005033189702656","Catalog Record")</f>
        <v>Catalog Record</v>
      </c>
      <c r="AT2241" s="6" t="str">
        <f>HYPERLINK("http://www.worldcat.org/oclc/6735462","WorldCat Record")</f>
        <v>WorldCat Record</v>
      </c>
      <c r="AU2241" s="3" t="s">
        <v>27307</v>
      </c>
      <c r="AV2241" s="3" t="s">
        <v>27308</v>
      </c>
      <c r="AW2241" s="3" t="s">
        <v>27309</v>
      </c>
      <c r="AX2241" s="3" t="s">
        <v>27309</v>
      </c>
      <c r="AY2241" s="3" t="s">
        <v>27310</v>
      </c>
      <c r="AZ2241" s="3" t="s">
        <v>73</v>
      </c>
      <c r="BB2241" s="3" t="s">
        <v>27311</v>
      </c>
      <c r="BC2241" s="3" t="s">
        <v>27312</v>
      </c>
      <c r="BD2241" s="3" t="s">
        <v>27313</v>
      </c>
    </row>
    <row r="2242" spans="1:56" ht="51" customHeight="1" x14ac:dyDescent="0.25">
      <c r="A2242" s="7" t="s">
        <v>58</v>
      </c>
      <c r="B2242" s="2" t="s">
        <v>27314</v>
      </c>
      <c r="C2242" s="2" t="s">
        <v>27315</v>
      </c>
      <c r="D2242" s="2" t="s">
        <v>27316</v>
      </c>
      <c r="F2242" s="3" t="s">
        <v>58</v>
      </c>
      <c r="G2242" s="3" t="s">
        <v>59</v>
      </c>
      <c r="H2242" s="3" t="s">
        <v>58</v>
      </c>
      <c r="I2242" s="3" t="s">
        <v>58</v>
      </c>
      <c r="J2242" s="3" t="s">
        <v>60</v>
      </c>
      <c r="K2242" s="2" t="s">
        <v>15032</v>
      </c>
      <c r="L2242" s="2" t="s">
        <v>27317</v>
      </c>
      <c r="M2242" s="3" t="s">
        <v>62</v>
      </c>
      <c r="O2242" s="3" t="s">
        <v>63</v>
      </c>
      <c r="P2242" s="3" t="s">
        <v>214</v>
      </c>
      <c r="Q2242" s="2" t="s">
        <v>27318</v>
      </c>
      <c r="R2242" s="3" t="s">
        <v>65</v>
      </c>
      <c r="S2242" s="4">
        <v>2</v>
      </c>
      <c r="T2242" s="4">
        <v>2</v>
      </c>
      <c r="U2242" s="5" t="s">
        <v>27094</v>
      </c>
      <c r="V2242" s="5" t="s">
        <v>27094</v>
      </c>
      <c r="W2242" s="5" t="s">
        <v>23293</v>
      </c>
      <c r="X2242" s="5" t="s">
        <v>23293</v>
      </c>
      <c r="Y2242" s="4">
        <v>227</v>
      </c>
      <c r="Z2242" s="4">
        <v>212</v>
      </c>
      <c r="AA2242" s="4">
        <v>283</v>
      </c>
      <c r="AB2242" s="4">
        <v>1</v>
      </c>
      <c r="AC2242" s="4">
        <v>2</v>
      </c>
      <c r="AD2242" s="4">
        <v>5</v>
      </c>
      <c r="AE2242" s="4">
        <v>7</v>
      </c>
      <c r="AF2242" s="4">
        <v>1</v>
      </c>
      <c r="AG2242" s="4">
        <v>1</v>
      </c>
      <c r="AH2242" s="4">
        <v>3</v>
      </c>
      <c r="AI2242" s="4">
        <v>3</v>
      </c>
      <c r="AJ2242" s="4">
        <v>2</v>
      </c>
      <c r="AK2242" s="4">
        <v>3</v>
      </c>
      <c r="AL2242" s="4">
        <v>0</v>
      </c>
      <c r="AM2242" s="4">
        <v>1</v>
      </c>
      <c r="AN2242" s="4">
        <v>0</v>
      </c>
      <c r="AO2242" s="4">
        <v>0</v>
      </c>
      <c r="AP2242" s="3" t="s">
        <v>58</v>
      </c>
      <c r="AQ2242" s="3" t="s">
        <v>58</v>
      </c>
      <c r="AS2242" s="6" t="str">
        <f>HYPERLINK("https://creighton-primo.hosted.exlibrisgroup.com/primo-explore/search?tab=default_tab&amp;search_scope=EVERYTHING&amp;vid=01CRU&amp;lang=en_US&amp;offset=0&amp;query=any,contains,991000933449702656","Catalog Record")</f>
        <v>Catalog Record</v>
      </c>
      <c r="AT2242" s="6" t="str">
        <f>HYPERLINK("http://www.worldcat.org/oclc/163990","WorldCat Record")</f>
        <v>WorldCat Record</v>
      </c>
      <c r="AU2242" s="3" t="s">
        <v>27319</v>
      </c>
      <c r="AV2242" s="3" t="s">
        <v>27320</v>
      </c>
      <c r="AW2242" s="3" t="s">
        <v>27321</v>
      </c>
      <c r="AX2242" s="3" t="s">
        <v>27321</v>
      </c>
      <c r="AY2242" s="3" t="s">
        <v>27322</v>
      </c>
      <c r="AZ2242" s="3" t="s">
        <v>73</v>
      </c>
      <c r="BB2242" s="3" t="s">
        <v>27323</v>
      </c>
      <c r="BC2242" s="3" t="s">
        <v>27324</v>
      </c>
      <c r="BD2242" s="3" t="s">
        <v>27325</v>
      </c>
    </row>
    <row r="2243" spans="1:56" ht="51" customHeight="1" x14ac:dyDescent="0.25">
      <c r="A2243" s="7" t="s">
        <v>58</v>
      </c>
      <c r="B2243" s="2" t="s">
        <v>27326</v>
      </c>
      <c r="C2243" s="2" t="s">
        <v>27327</v>
      </c>
      <c r="D2243" s="2" t="s">
        <v>27328</v>
      </c>
      <c r="F2243" s="3" t="s">
        <v>58</v>
      </c>
      <c r="G2243" s="3" t="s">
        <v>59</v>
      </c>
      <c r="H2243" s="3" t="s">
        <v>58</v>
      </c>
      <c r="I2243" s="3" t="s">
        <v>58</v>
      </c>
      <c r="J2243" s="3" t="s">
        <v>60</v>
      </c>
      <c r="K2243" s="2" t="s">
        <v>10064</v>
      </c>
      <c r="L2243" s="2" t="s">
        <v>27329</v>
      </c>
      <c r="M2243" s="3" t="s">
        <v>231</v>
      </c>
      <c r="N2243" s="2" t="s">
        <v>1611</v>
      </c>
      <c r="O2243" s="3" t="s">
        <v>63</v>
      </c>
      <c r="P2243" s="3" t="s">
        <v>584</v>
      </c>
      <c r="R2243" s="3" t="s">
        <v>65</v>
      </c>
      <c r="S2243" s="4">
        <v>2</v>
      </c>
      <c r="T2243" s="4">
        <v>2</v>
      </c>
      <c r="U2243" s="5" t="s">
        <v>19763</v>
      </c>
      <c r="V2243" s="5" t="s">
        <v>19763</v>
      </c>
      <c r="W2243" s="5" t="s">
        <v>20416</v>
      </c>
      <c r="X2243" s="5" t="s">
        <v>20416</v>
      </c>
      <c r="Y2243" s="4">
        <v>594</v>
      </c>
      <c r="Z2243" s="4">
        <v>494</v>
      </c>
      <c r="AA2243" s="4">
        <v>496</v>
      </c>
      <c r="AB2243" s="4">
        <v>3</v>
      </c>
      <c r="AC2243" s="4">
        <v>3</v>
      </c>
      <c r="AD2243" s="4">
        <v>20</v>
      </c>
      <c r="AE2243" s="4">
        <v>20</v>
      </c>
      <c r="AF2243" s="4">
        <v>9</v>
      </c>
      <c r="AG2243" s="4">
        <v>9</v>
      </c>
      <c r="AH2243" s="4">
        <v>6</v>
      </c>
      <c r="AI2243" s="4">
        <v>6</v>
      </c>
      <c r="AJ2243" s="4">
        <v>11</v>
      </c>
      <c r="AK2243" s="4">
        <v>11</v>
      </c>
      <c r="AL2243" s="4">
        <v>2</v>
      </c>
      <c r="AM2243" s="4">
        <v>2</v>
      </c>
      <c r="AN2243" s="4">
        <v>0</v>
      </c>
      <c r="AO2243" s="4">
        <v>0</v>
      </c>
      <c r="AP2243" s="3" t="s">
        <v>58</v>
      </c>
      <c r="AQ2243" s="3" t="s">
        <v>68</v>
      </c>
      <c r="AR2243" s="6" t="str">
        <f>HYPERLINK("http://catalog.hathitrust.org/Record/001246822","HathiTrust Record")</f>
        <v>HathiTrust Record</v>
      </c>
      <c r="AS2243" s="6" t="str">
        <f>HYPERLINK("https://creighton-primo.hosted.exlibrisgroup.com/primo-explore/search?tab=default_tab&amp;search_scope=EVERYTHING&amp;vid=01CRU&amp;lang=en_US&amp;offset=0&amp;query=any,contains,991002683189702656","Catalog Record")</f>
        <v>Catalog Record</v>
      </c>
      <c r="AT2243" s="6" t="str">
        <f>HYPERLINK("http://www.worldcat.org/oclc/399043","WorldCat Record")</f>
        <v>WorldCat Record</v>
      </c>
      <c r="AU2243" s="3" t="s">
        <v>27330</v>
      </c>
      <c r="AV2243" s="3" t="s">
        <v>27331</v>
      </c>
      <c r="AW2243" s="3" t="s">
        <v>27332</v>
      </c>
      <c r="AX2243" s="3" t="s">
        <v>27332</v>
      </c>
      <c r="AY2243" s="3" t="s">
        <v>27333</v>
      </c>
      <c r="AZ2243" s="3" t="s">
        <v>73</v>
      </c>
      <c r="BC2243" s="3" t="s">
        <v>27334</v>
      </c>
      <c r="BD2243" s="3" t="s">
        <v>27335</v>
      </c>
    </row>
    <row r="2244" spans="1:56" ht="51" customHeight="1" x14ac:dyDescent="0.25">
      <c r="A2244" s="7" t="s">
        <v>58</v>
      </c>
      <c r="B2244" s="2" t="s">
        <v>27336</v>
      </c>
      <c r="C2244" s="2" t="s">
        <v>27337</v>
      </c>
      <c r="D2244" s="2" t="s">
        <v>27338</v>
      </c>
      <c r="F2244" s="3" t="s">
        <v>58</v>
      </c>
      <c r="G2244" s="3" t="s">
        <v>59</v>
      </c>
      <c r="H2244" s="3" t="s">
        <v>58</v>
      </c>
      <c r="I2244" s="3" t="s">
        <v>68</v>
      </c>
      <c r="J2244" s="3" t="s">
        <v>60</v>
      </c>
      <c r="K2244" s="2" t="s">
        <v>27339</v>
      </c>
      <c r="L2244" s="2" t="s">
        <v>27340</v>
      </c>
      <c r="M2244" s="3" t="s">
        <v>951</v>
      </c>
      <c r="O2244" s="3" t="s">
        <v>63</v>
      </c>
      <c r="P2244" s="3" t="s">
        <v>584</v>
      </c>
      <c r="R2244" s="3" t="s">
        <v>65</v>
      </c>
      <c r="S2244" s="4">
        <v>4</v>
      </c>
      <c r="T2244" s="4">
        <v>4</v>
      </c>
      <c r="U2244" s="5" t="s">
        <v>27341</v>
      </c>
      <c r="V2244" s="5" t="s">
        <v>27341</v>
      </c>
      <c r="W2244" s="5" t="s">
        <v>9807</v>
      </c>
      <c r="X2244" s="5" t="s">
        <v>9807</v>
      </c>
      <c r="Y2244" s="4">
        <v>787</v>
      </c>
      <c r="Z2244" s="4">
        <v>626</v>
      </c>
      <c r="AA2244" s="4">
        <v>1425</v>
      </c>
      <c r="AB2244" s="4">
        <v>4</v>
      </c>
      <c r="AC2244" s="4">
        <v>10</v>
      </c>
      <c r="AD2244" s="4">
        <v>20</v>
      </c>
      <c r="AE2244" s="4">
        <v>44</v>
      </c>
      <c r="AF2244" s="4">
        <v>8</v>
      </c>
      <c r="AG2244" s="4">
        <v>19</v>
      </c>
      <c r="AH2244" s="4">
        <v>4</v>
      </c>
      <c r="AI2244" s="4">
        <v>7</v>
      </c>
      <c r="AJ2244" s="4">
        <v>12</v>
      </c>
      <c r="AK2244" s="4">
        <v>21</v>
      </c>
      <c r="AL2244" s="4">
        <v>3</v>
      </c>
      <c r="AM2244" s="4">
        <v>7</v>
      </c>
      <c r="AN2244" s="4">
        <v>0</v>
      </c>
      <c r="AO2244" s="4">
        <v>1</v>
      </c>
      <c r="AP2244" s="3" t="s">
        <v>58</v>
      </c>
      <c r="AQ2244" s="3" t="s">
        <v>58</v>
      </c>
      <c r="AS2244" s="6" t="str">
        <f>HYPERLINK("https://creighton-primo.hosted.exlibrisgroup.com/primo-explore/search?tab=default_tab&amp;search_scope=EVERYTHING&amp;vid=01CRU&amp;lang=en_US&amp;offset=0&amp;query=any,contains,991003334229702656","Catalog Record")</f>
        <v>Catalog Record</v>
      </c>
      <c r="AT2244" s="6" t="str">
        <f>HYPERLINK("http://www.worldcat.org/oclc/59564060","WorldCat Record")</f>
        <v>WorldCat Record</v>
      </c>
      <c r="AU2244" s="3" t="s">
        <v>27342</v>
      </c>
      <c r="AV2244" s="3" t="s">
        <v>27343</v>
      </c>
      <c r="AW2244" s="3" t="s">
        <v>27344</v>
      </c>
      <c r="AX2244" s="3" t="s">
        <v>27344</v>
      </c>
      <c r="AY2244" s="3" t="s">
        <v>27345</v>
      </c>
      <c r="AZ2244" s="3" t="s">
        <v>73</v>
      </c>
      <c r="BB2244" s="3" t="s">
        <v>27346</v>
      </c>
      <c r="BC2244" s="3" t="s">
        <v>27347</v>
      </c>
      <c r="BD2244" s="3" t="s">
        <v>27348</v>
      </c>
    </row>
    <row r="2245" spans="1:56" ht="51" customHeight="1" x14ac:dyDescent="0.25">
      <c r="A2245" s="7" t="s">
        <v>58</v>
      </c>
      <c r="B2245" s="2" t="s">
        <v>27349</v>
      </c>
      <c r="C2245" s="2" t="s">
        <v>27350</v>
      </c>
      <c r="D2245" s="2" t="s">
        <v>27351</v>
      </c>
      <c r="F2245" s="3" t="s">
        <v>58</v>
      </c>
      <c r="G2245" s="3" t="s">
        <v>59</v>
      </c>
      <c r="H2245" s="3" t="s">
        <v>58</v>
      </c>
      <c r="I2245" s="3" t="s">
        <v>58</v>
      </c>
      <c r="J2245" s="3" t="s">
        <v>60</v>
      </c>
      <c r="K2245" s="2" t="s">
        <v>27352</v>
      </c>
      <c r="L2245" s="2" t="s">
        <v>27353</v>
      </c>
      <c r="M2245" s="3" t="s">
        <v>4023</v>
      </c>
      <c r="O2245" s="3" t="s">
        <v>63</v>
      </c>
      <c r="P2245" s="3" t="s">
        <v>214</v>
      </c>
      <c r="R2245" s="3" t="s">
        <v>65</v>
      </c>
      <c r="S2245" s="4">
        <v>2</v>
      </c>
      <c r="T2245" s="4">
        <v>2</v>
      </c>
      <c r="U2245" s="5" t="s">
        <v>27354</v>
      </c>
      <c r="V2245" s="5" t="s">
        <v>27354</v>
      </c>
      <c r="W2245" s="5" t="s">
        <v>27354</v>
      </c>
      <c r="X2245" s="5" t="s">
        <v>27354</v>
      </c>
      <c r="Y2245" s="4">
        <v>828</v>
      </c>
      <c r="Z2245" s="4">
        <v>743</v>
      </c>
      <c r="AA2245" s="4">
        <v>1354</v>
      </c>
      <c r="AB2245" s="4">
        <v>6</v>
      </c>
      <c r="AC2245" s="4">
        <v>29</v>
      </c>
      <c r="AD2245" s="4">
        <v>22</v>
      </c>
      <c r="AE2245" s="4">
        <v>35</v>
      </c>
      <c r="AF2245" s="4">
        <v>11</v>
      </c>
      <c r="AG2245" s="4">
        <v>13</v>
      </c>
      <c r="AH2245" s="4">
        <v>6</v>
      </c>
      <c r="AI2245" s="4">
        <v>6</v>
      </c>
      <c r="AJ2245" s="4">
        <v>10</v>
      </c>
      <c r="AK2245" s="4">
        <v>11</v>
      </c>
      <c r="AL2245" s="4">
        <v>3</v>
      </c>
      <c r="AM2245" s="4">
        <v>13</v>
      </c>
      <c r="AN2245" s="4">
        <v>0</v>
      </c>
      <c r="AO2245" s="4">
        <v>0</v>
      </c>
      <c r="AP2245" s="3" t="s">
        <v>58</v>
      </c>
      <c r="AQ2245" s="3" t="s">
        <v>68</v>
      </c>
      <c r="AR2245" s="6" t="str">
        <f>HYPERLINK("http://catalog.hathitrust.org/Record/004320078","HathiTrust Record")</f>
        <v>HathiTrust Record</v>
      </c>
      <c r="AS2245" s="6" t="str">
        <f>HYPERLINK("https://creighton-primo.hosted.exlibrisgroup.com/primo-explore/search?tab=default_tab&amp;search_scope=EVERYTHING&amp;vid=01CRU&amp;lang=en_US&amp;offset=0&amp;query=any,contains,991004456539702656","Catalog Record")</f>
        <v>Catalog Record</v>
      </c>
      <c r="AT2245" s="6" t="str">
        <f>HYPERLINK("http://www.worldcat.org/oclc/51536563","WorldCat Record")</f>
        <v>WorldCat Record</v>
      </c>
      <c r="AU2245" s="3" t="s">
        <v>27355</v>
      </c>
      <c r="AV2245" s="3" t="s">
        <v>27356</v>
      </c>
      <c r="AW2245" s="3" t="s">
        <v>27357</v>
      </c>
      <c r="AX2245" s="3" t="s">
        <v>27357</v>
      </c>
      <c r="AY2245" s="3" t="s">
        <v>27358</v>
      </c>
      <c r="AZ2245" s="3" t="s">
        <v>73</v>
      </c>
      <c r="BB2245" s="3" t="s">
        <v>27359</v>
      </c>
      <c r="BC2245" s="3" t="s">
        <v>27360</v>
      </c>
      <c r="BD2245" s="3" t="s">
        <v>27361</v>
      </c>
    </row>
    <row r="2246" spans="1:56" ht="51" customHeight="1" x14ac:dyDescent="0.25">
      <c r="A2246" s="7" t="s">
        <v>58</v>
      </c>
      <c r="B2246" s="2" t="s">
        <v>27362</v>
      </c>
      <c r="C2246" s="2" t="s">
        <v>27363</v>
      </c>
      <c r="D2246" s="2" t="s">
        <v>27364</v>
      </c>
      <c r="F2246" s="3" t="s">
        <v>58</v>
      </c>
      <c r="G2246" s="3" t="s">
        <v>59</v>
      </c>
      <c r="H2246" s="3" t="s">
        <v>58</v>
      </c>
      <c r="I2246" s="3" t="s">
        <v>58</v>
      </c>
      <c r="J2246" s="3" t="s">
        <v>60</v>
      </c>
      <c r="K2246" s="2" t="s">
        <v>27365</v>
      </c>
      <c r="L2246" s="2" t="s">
        <v>27366</v>
      </c>
      <c r="M2246" s="3" t="s">
        <v>2186</v>
      </c>
      <c r="O2246" s="3" t="s">
        <v>63</v>
      </c>
      <c r="P2246" s="3" t="s">
        <v>214</v>
      </c>
      <c r="R2246" s="3" t="s">
        <v>65</v>
      </c>
      <c r="S2246" s="4">
        <v>1</v>
      </c>
      <c r="T2246" s="4">
        <v>1</v>
      </c>
      <c r="U2246" s="5" t="s">
        <v>27367</v>
      </c>
      <c r="V2246" s="5" t="s">
        <v>27367</v>
      </c>
      <c r="W2246" s="5" t="s">
        <v>27367</v>
      </c>
      <c r="X2246" s="5" t="s">
        <v>27367</v>
      </c>
      <c r="Y2246" s="4">
        <v>354</v>
      </c>
      <c r="Z2246" s="4">
        <v>312</v>
      </c>
      <c r="AA2246" s="4">
        <v>928</v>
      </c>
      <c r="AB2246" s="4">
        <v>3</v>
      </c>
      <c r="AC2246" s="4">
        <v>13</v>
      </c>
      <c r="AD2246" s="4">
        <v>20</v>
      </c>
      <c r="AE2246" s="4">
        <v>40</v>
      </c>
      <c r="AF2246" s="4">
        <v>8</v>
      </c>
      <c r="AG2246" s="4">
        <v>15</v>
      </c>
      <c r="AH2246" s="4">
        <v>6</v>
      </c>
      <c r="AI2246" s="4">
        <v>9</v>
      </c>
      <c r="AJ2246" s="4">
        <v>9</v>
      </c>
      <c r="AK2246" s="4">
        <v>14</v>
      </c>
      <c r="AL2246" s="4">
        <v>2</v>
      </c>
      <c r="AM2246" s="4">
        <v>8</v>
      </c>
      <c r="AN2246" s="4">
        <v>0</v>
      </c>
      <c r="AO2246" s="4">
        <v>0</v>
      </c>
      <c r="AP2246" s="3" t="s">
        <v>58</v>
      </c>
      <c r="AQ2246" s="3" t="s">
        <v>68</v>
      </c>
      <c r="AR2246" s="6" t="str">
        <f>HYPERLINK("http://catalog.hathitrust.org/Record/005548333","HathiTrust Record")</f>
        <v>HathiTrust Record</v>
      </c>
      <c r="AS2246" s="6" t="str">
        <f>HYPERLINK("https://creighton-primo.hosted.exlibrisgroup.com/primo-explore/search?tab=default_tab&amp;search_scope=EVERYTHING&amp;vid=01CRU&amp;lang=en_US&amp;offset=0&amp;query=any,contains,991005170519702656","Catalog Record")</f>
        <v>Catalog Record</v>
      </c>
      <c r="AT2246" s="6" t="str">
        <f>HYPERLINK("http://www.worldcat.org/oclc/76836251","WorldCat Record")</f>
        <v>WorldCat Record</v>
      </c>
      <c r="AU2246" s="3" t="s">
        <v>27368</v>
      </c>
      <c r="AV2246" s="3" t="s">
        <v>27369</v>
      </c>
      <c r="AW2246" s="3" t="s">
        <v>27370</v>
      </c>
      <c r="AX2246" s="3" t="s">
        <v>27370</v>
      </c>
      <c r="AY2246" s="3" t="s">
        <v>27371</v>
      </c>
      <c r="AZ2246" s="3" t="s">
        <v>73</v>
      </c>
      <c r="BB2246" s="3" t="s">
        <v>27372</v>
      </c>
      <c r="BC2246" s="3" t="s">
        <v>27373</v>
      </c>
      <c r="BD2246" s="3" t="s">
        <v>27374</v>
      </c>
    </row>
    <row r="2247" spans="1:56" ht="51" customHeight="1" x14ac:dyDescent="0.25">
      <c r="A2247" s="7" t="s">
        <v>58</v>
      </c>
      <c r="B2247" s="2" t="s">
        <v>27375</v>
      </c>
      <c r="C2247" s="2" t="s">
        <v>27376</v>
      </c>
      <c r="D2247" s="2" t="s">
        <v>27377</v>
      </c>
      <c r="F2247" s="3" t="s">
        <v>58</v>
      </c>
      <c r="G2247" s="3" t="s">
        <v>59</v>
      </c>
      <c r="H2247" s="3" t="s">
        <v>58</v>
      </c>
      <c r="I2247" s="3" t="s">
        <v>58</v>
      </c>
      <c r="J2247" s="3" t="s">
        <v>60</v>
      </c>
      <c r="K2247" s="2" t="s">
        <v>27378</v>
      </c>
      <c r="L2247" s="2" t="s">
        <v>27379</v>
      </c>
      <c r="M2247" s="3" t="s">
        <v>4023</v>
      </c>
      <c r="N2247" s="2" t="s">
        <v>338</v>
      </c>
      <c r="O2247" s="3" t="s">
        <v>63</v>
      </c>
      <c r="P2247" s="3" t="s">
        <v>214</v>
      </c>
      <c r="R2247" s="3" t="s">
        <v>65</v>
      </c>
      <c r="S2247" s="4">
        <v>4</v>
      </c>
      <c r="T2247" s="4">
        <v>4</v>
      </c>
      <c r="U2247" s="5" t="s">
        <v>103</v>
      </c>
      <c r="V2247" s="5" t="s">
        <v>103</v>
      </c>
      <c r="W2247" s="5" t="s">
        <v>103</v>
      </c>
      <c r="X2247" s="5" t="s">
        <v>103</v>
      </c>
      <c r="Y2247" s="4">
        <v>561</v>
      </c>
      <c r="Z2247" s="4">
        <v>458</v>
      </c>
      <c r="AA2247" s="4">
        <v>542</v>
      </c>
      <c r="AB2247" s="4">
        <v>4</v>
      </c>
      <c r="AC2247" s="4">
        <v>4</v>
      </c>
      <c r="AD2247" s="4">
        <v>16</v>
      </c>
      <c r="AE2247" s="4">
        <v>18</v>
      </c>
      <c r="AF2247" s="4">
        <v>3</v>
      </c>
      <c r="AG2247" s="4">
        <v>3</v>
      </c>
      <c r="AH2247" s="4">
        <v>7</v>
      </c>
      <c r="AI2247" s="4">
        <v>7</v>
      </c>
      <c r="AJ2247" s="4">
        <v>6</v>
      </c>
      <c r="AK2247" s="4">
        <v>8</v>
      </c>
      <c r="AL2247" s="4">
        <v>3</v>
      </c>
      <c r="AM2247" s="4">
        <v>3</v>
      </c>
      <c r="AN2247" s="4">
        <v>0</v>
      </c>
      <c r="AO2247" s="4">
        <v>0</v>
      </c>
      <c r="AP2247" s="3" t="s">
        <v>58</v>
      </c>
      <c r="AQ2247" s="3" t="s">
        <v>58</v>
      </c>
      <c r="AS2247" s="6" t="str">
        <f>HYPERLINK("https://creighton-primo.hosted.exlibrisgroup.com/primo-explore/search?tab=default_tab&amp;search_scope=EVERYTHING&amp;vid=01CRU&amp;lang=en_US&amp;offset=0&amp;query=any,contains,991004252189702656","Catalog Record")</f>
        <v>Catalog Record</v>
      </c>
      <c r="AT2247" s="6" t="str">
        <f>HYPERLINK("http://www.worldcat.org/oclc/52638800","WorldCat Record")</f>
        <v>WorldCat Record</v>
      </c>
      <c r="AU2247" s="3" t="s">
        <v>27380</v>
      </c>
      <c r="AV2247" s="3" t="s">
        <v>27381</v>
      </c>
      <c r="AW2247" s="3" t="s">
        <v>27382</v>
      </c>
      <c r="AX2247" s="3" t="s">
        <v>27382</v>
      </c>
      <c r="AY2247" s="3" t="s">
        <v>27383</v>
      </c>
      <c r="AZ2247" s="3" t="s">
        <v>73</v>
      </c>
      <c r="BB2247" s="3" t="s">
        <v>27384</v>
      </c>
      <c r="BC2247" s="3" t="s">
        <v>27385</v>
      </c>
      <c r="BD2247" s="3" t="s">
        <v>27386</v>
      </c>
    </row>
    <row r="2248" spans="1:56" ht="51" customHeight="1" x14ac:dyDescent="0.25">
      <c r="A2248" s="7" t="s">
        <v>58</v>
      </c>
      <c r="B2248" s="2" t="s">
        <v>27387</v>
      </c>
      <c r="C2248" s="2" t="s">
        <v>27388</v>
      </c>
      <c r="D2248" s="2" t="s">
        <v>27389</v>
      </c>
      <c r="F2248" s="3" t="s">
        <v>58</v>
      </c>
      <c r="G2248" s="3" t="s">
        <v>59</v>
      </c>
      <c r="H2248" s="3" t="s">
        <v>58</v>
      </c>
      <c r="I2248" s="3" t="s">
        <v>58</v>
      </c>
      <c r="J2248" s="3" t="s">
        <v>60</v>
      </c>
      <c r="K2248" s="2" t="s">
        <v>27390</v>
      </c>
      <c r="L2248" s="2" t="s">
        <v>27391</v>
      </c>
      <c r="M2248" s="3" t="s">
        <v>1399</v>
      </c>
      <c r="O2248" s="3" t="s">
        <v>63</v>
      </c>
      <c r="P2248" s="3" t="s">
        <v>214</v>
      </c>
      <c r="Q2248" s="2" t="s">
        <v>27392</v>
      </c>
      <c r="R2248" s="3" t="s">
        <v>65</v>
      </c>
      <c r="S2248" s="4">
        <v>15</v>
      </c>
      <c r="T2248" s="4">
        <v>15</v>
      </c>
      <c r="U2248" s="5" t="s">
        <v>17872</v>
      </c>
      <c r="V2248" s="5" t="s">
        <v>17872</v>
      </c>
      <c r="W2248" s="5" t="s">
        <v>27393</v>
      </c>
      <c r="X2248" s="5" t="s">
        <v>27393</v>
      </c>
      <c r="Y2248" s="4">
        <v>432</v>
      </c>
      <c r="Z2248" s="4">
        <v>359</v>
      </c>
      <c r="AA2248" s="4">
        <v>366</v>
      </c>
      <c r="AB2248" s="4">
        <v>2</v>
      </c>
      <c r="AC2248" s="4">
        <v>2</v>
      </c>
      <c r="AD2248" s="4">
        <v>15</v>
      </c>
      <c r="AE2248" s="4">
        <v>15</v>
      </c>
      <c r="AF2248" s="4">
        <v>6</v>
      </c>
      <c r="AG2248" s="4">
        <v>6</v>
      </c>
      <c r="AH2248" s="4">
        <v>5</v>
      </c>
      <c r="AI2248" s="4">
        <v>5</v>
      </c>
      <c r="AJ2248" s="4">
        <v>10</v>
      </c>
      <c r="AK2248" s="4">
        <v>10</v>
      </c>
      <c r="AL2248" s="4">
        <v>1</v>
      </c>
      <c r="AM2248" s="4">
        <v>1</v>
      </c>
      <c r="AN2248" s="4">
        <v>0</v>
      </c>
      <c r="AO2248" s="4">
        <v>0</v>
      </c>
      <c r="AP2248" s="3" t="s">
        <v>58</v>
      </c>
      <c r="AQ2248" s="3" t="s">
        <v>68</v>
      </c>
      <c r="AR2248" s="6" t="str">
        <f>HYPERLINK("http://catalog.hathitrust.org/Record/000920862","HathiTrust Record")</f>
        <v>HathiTrust Record</v>
      </c>
      <c r="AS2248" s="6" t="str">
        <f>HYPERLINK("https://creighton-primo.hosted.exlibrisgroup.com/primo-explore/search?tab=default_tab&amp;search_scope=EVERYTHING&amp;vid=01CRU&amp;lang=en_US&amp;offset=0&amp;query=any,contains,991001218899702656","Catalog Record")</f>
        <v>Catalog Record</v>
      </c>
      <c r="AT2248" s="6" t="str">
        <f>HYPERLINK("http://www.worldcat.org/oclc/17441335","WorldCat Record")</f>
        <v>WorldCat Record</v>
      </c>
      <c r="AU2248" s="3" t="s">
        <v>27394</v>
      </c>
      <c r="AV2248" s="3" t="s">
        <v>27395</v>
      </c>
      <c r="AW2248" s="3" t="s">
        <v>27396</v>
      </c>
      <c r="AX2248" s="3" t="s">
        <v>27396</v>
      </c>
      <c r="AY2248" s="3" t="s">
        <v>27397</v>
      </c>
      <c r="AZ2248" s="3" t="s">
        <v>73</v>
      </c>
      <c r="BB2248" s="3" t="s">
        <v>27398</v>
      </c>
      <c r="BC2248" s="3" t="s">
        <v>27399</v>
      </c>
      <c r="BD2248" s="3" t="s">
        <v>27400</v>
      </c>
    </row>
    <row r="2249" spans="1:56" ht="51" customHeight="1" x14ac:dyDescent="0.25">
      <c r="A2249" s="7" t="s">
        <v>58</v>
      </c>
      <c r="B2249" s="2" t="s">
        <v>27401</v>
      </c>
      <c r="C2249" s="2" t="s">
        <v>27402</v>
      </c>
      <c r="D2249" s="2" t="s">
        <v>27403</v>
      </c>
      <c r="F2249" s="3" t="s">
        <v>58</v>
      </c>
      <c r="G2249" s="3" t="s">
        <v>59</v>
      </c>
      <c r="H2249" s="3" t="s">
        <v>58</v>
      </c>
      <c r="I2249" s="3" t="s">
        <v>58</v>
      </c>
      <c r="J2249" s="3" t="s">
        <v>60</v>
      </c>
      <c r="K2249" s="2" t="s">
        <v>27404</v>
      </c>
      <c r="L2249" s="2" t="s">
        <v>16845</v>
      </c>
      <c r="M2249" s="3" t="s">
        <v>653</v>
      </c>
      <c r="O2249" s="3" t="s">
        <v>63</v>
      </c>
      <c r="P2249" s="3" t="s">
        <v>214</v>
      </c>
      <c r="R2249" s="3" t="s">
        <v>65</v>
      </c>
      <c r="S2249" s="4">
        <v>10</v>
      </c>
      <c r="T2249" s="4">
        <v>10</v>
      </c>
      <c r="U2249" s="5" t="s">
        <v>17129</v>
      </c>
      <c r="V2249" s="5" t="s">
        <v>17129</v>
      </c>
      <c r="W2249" s="5" t="s">
        <v>1599</v>
      </c>
      <c r="X2249" s="5" t="s">
        <v>1599</v>
      </c>
      <c r="Y2249" s="4">
        <v>412</v>
      </c>
      <c r="Z2249" s="4">
        <v>335</v>
      </c>
      <c r="AA2249" s="4">
        <v>364</v>
      </c>
      <c r="AB2249" s="4">
        <v>2</v>
      </c>
      <c r="AC2249" s="4">
        <v>2</v>
      </c>
      <c r="AD2249" s="4">
        <v>17</v>
      </c>
      <c r="AE2249" s="4">
        <v>18</v>
      </c>
      <c r="AF2249" s="4">
        <v>7</v>
      </c>
      <c r="AG2249" s="4">
        <v>7</v>
      </c>
      <c r="AH2249" s="4">
        <v>5</v>
      </c>
      <c r="AI2249" s="4">
        <v>5</v>
      </c>
      <c r="AJ2249" s="4">
        <v>11</v>
      </c>
      <c r="AK2249" s="4">
        <v>12</v>
      </c>
      <c r="AL2249" s="4">
        <v>1</v>
      </c>
      <c r="AM2249" s="4">
        <v>1</v>
      </c>
      <c r="AN2249" s="4">
        <v>0</v>
      </c>
      <c r="AO2249" s="4">
        <v>0</v>
      </c>
      <c r="AP2249" s="3" t="s">
        <v>58</v>
      </c>
      <c r="AQ2249" s="3" t="s">
        <v>58</v>
      </c>
      <c r="AS2249" s="6" t="str">
        <f>HYPERLINK("https://creighton-primo.hosted.exlibrisgroup.com/primo-explore/search?tab=default_tab&amp;search_scope=EVERYTHING&amp;vid=01CRU&amp;lang=en_US&amp;offset=0&amp;query=any,contains,991001751749702656","Catalog Record")</f>
        <v>Catalog Record</v>
      </c>
      <c r="AT2249" s="6" t="str">
        <f>HYPERLINK("http://www.worldcat.org/oclc/22183338","WorldCat Record")</f>
        <v>WorldCat Record</v>
      </c>
      <c r="AU2249" s="3" t="s">
        <v>27405</v>
      </c>
      <c r="AV2249" s="3" t="s">
        <v>27406</v>
      </c>
      <c r="AW2249" s="3" t="s">
        <v>27407</v>
      </c>
      <c r="AX2249" s="3" t="s">
        <v>27407</v>
      </c>
      <c r="AY2249" s="3" t="s">
        <v>27408</v>
      </c>
      <c r="AZ2249" s="3" t="s">
        <v>73</v>
      </c>
      <c r="BB2249" s="3" t="s">
        <v>27409</v>
      </c>
      <c r="BC2249" s="3" t="s">
        <v>27410</v>
      </c>
      <c r="BD2249" s="3" t="s">
        <v>27411</v>
      </c>
    </row>
    <row r="2250" spans="1:56" ht="51" customHeight="1" x14ac:dyDescent="0.25">
      <c r="A2250" s="7" t="s">
        <v>58</v>
      </c>
      <c r="B2250" s="2" t="s">
        <v>27412</v>
      </c>
      <c r="C2250" s="2" t="s">
        <v>27413</v>
      </c>
      <c r="D2250" s="2" t="s">
        <v>27414</v>
      </c>
      <c r="F2250" s="3" t="s">
        <v>58</v>
      </c>
      <c r="G2250" s="3" t="s">
        <v>59</v>
      </c>
      <c r="H2250" s="3" t="s">
        <v>58</v>
      </c>
      <c r="I2250" s="3" t="s">
        <v>58</v>
      </c>
      <c r="J2250" s="3" t="s">
        <v>60</v>
      </c>
      <c r="K2250" s="2" t="s">
        <v>9369</v>
      </c>
      <c r="L2250" s="2" t="s">
        <v>27415</v>
      </c>
      <c r="M2250" s="3" t="s">
        <v>101</v>
      </c>
      <c r="O2250" s="3" t="s">
        <v>63</v>
      </c>
      <c r="P2250" s="3" t="s">
        <v>1837</v>
      </c>
      <c r="R2250" s="3" t="s">
        <v>65</v>
      </c>
      <c r="S2250" s="4">
        <v>7</v>
      </c>
      <c r="T2250" s="4">
        <v>7</v>
      </c>
      <c r="U2250" s="5" t="s">
        <v>7698</v>
      </c>
      <c r="V2250" s="5" t="s">
        <v>7698</v>
      </c>
      <c r="W2250" s="5" t="s">
        <v>17640</v>
      </c>
      <c r="X2250" s="5" t="s">
        <v>17640</v>
      </c>
      <c r="Y2250" s="4">
        <v>984</v>
      </c>
      <c r="Z2250" s="4">
        <v>855</v>
      </c>
      <c r="AA2250" s="4">
        <v>862</v>
      </c>
      <c r="AB2250" s="4">
        <v>6</v>
      </c>
      <c r="AC2250" s="4">
        <v>6</v>
      </c>
      <c r="AD2250" s="4">
        <v>37</v>
      </c>
      <c r="AE2250" s="4">
        <v>37</v>
      </c>
      <c r="AF2250" s="4">
        <v>15</v>
      </c>
      <c r="AG2250" s="4">
        <v>15</v>
      </c>
      <c r="AH2250" s="4">
        <v>8</v>
      </c>
      <c r="AI2250" s="4">
        <v>8</v>
      </c>
      <c r="AJ2250" s="4">
        <v>21</v>
      </c>
      <c r="AK2250" s="4">
        <v>21</v>
      </c>
      <c r="AL2250" s="4">
        <v>5</v>
      </c>
      <c r="AM2250" s="4">
        <v>5</v>
      </c>
      <c r="AN2250" s="4">
        <v>1</v>
      </c>
      <c r="AO2250" s="4">
        <v>1</v>
      </c>
      <c r="AP2250" s="3" t="s">
        <v>58</v>
      </c>
      <c r="AQ2250" s="3" t="s">
        <v>68</v>
      </c>
      <c r="AR2250" s="6" t="str">
        <f>HYPERLINK("http://catalog.hathitrust.org/Record/000166308","HathiTrust Record")</f>
        <v>HathiTrust Record</v>
      </c>
      <c r="AS2250" s="6" t="str">
        <f>HYPERLINK("https://creighton-primo.hosted.exlibrisgroup.com/primo-explore/search?tab=default_tab&amp;search_scope=EVERYTHING&amp;vid=01CRU&amp;lang=en_US&amp;offset=0&amp;query=any,contains,991000464089702656","Catalog Record")</f>
        <v>Catalog Record</v>
      </c>
      <c r="AT2250" s="6" t="str">
        <f>HYPERLINK("http://www.worldcat.org/oclc/10949554","WorldCat Record")</f>
        <v>WorldCat Record</v>
      </c>
      <c r="AU2250" s="3" t="s">
        <v>27416</v>
      </c>
      <c r="AV2250" s="3" t="s">
        <v>27417</v>
      </c>
      <c r="AW2250" s="3" t="s">
        <v>27418</v>
      </c>
      <c r="AX2250" s="3" t="s">
        <v>27418</v>
      </c>
      <c r="AY2250" s="3" t="s">
        <v>27419</v>
      </c>
      <c r="AZ2250" s="3" t="s">
        <v>73</v>
      </c>
      <c r="BB2250" s="3" t="s">
        <v>27420</v>
      </c>
      <c r="BC2250" s="3" t="s">
        <v>27421</v>
      </c>
      <c r="BD2250" s="3" t="s">
        <v>27422</v>
      </c>
    </row>
    <row r="2251" spans="1:56" ht="51" customHeight="1" x14ac:dyDescent="0.25">
      <c r="A2251" s="7" t="s">
        <v>58</v>
      </c>
      <c r="B2251" s="2" t="s">
        <v>27423</v>
      </c>
      <c r="C2251" s="2" t="s">
        <v>27424</v>
      </c>
      <c r="D2251" s="2" t="s">
        <v>27425</v>
      </c>
      <c r="F2251" s="3" t="s">
        <v>58</v>
      </c>
      <c r="G2251" s="3" t="s">
        <v>59</v>
      </c>
      <c r="H2251" s="3" t="s">
        <v>58</v>
      </c>
      <c r="I2251" s="3" t="s">
        <v>58</v>
      </c>
      <c r="J2251" s="3" t="s">
        <v>60</v>
      </c>
      <c r="K2251" s="2" t="s">
        <v>10064</v>
      </c>
      <c r="L2251" s="2" t="s">
        <v>27426</v>
      </c>
      <c r="M2251" s="3" t="s">
        <v>83</v>
      </c>
      <c r="O2251" s="3" t="s">
        <v>63</v>
      </c>
      <c r="P2251" s="3" t="s">
        <v>1837</v>
      </c>
      <c r="R2251" s="3" t="s">
        <v>65</v>
      </c>
      <c r="S2251" s="4">
        <v>4</v>
      </c>
      <c r="T2251" s="4">
        <v>4</v>
      </c>
      <c r="U2251" s="5" t="s">
        <v>17129</v>
      </c>
      <c r="V2251" s="5" t="s">
        <v>17129</v>
      </c>
      <c r="W2251" s="5" t="s">
        <v>17640</v>
      </c>
      <c r="X2251" s="5" t="s">
        <v>17640</v>
      </c>
      <c r="Y2251" s="4">
        <v>487</v>
      </c>
      <c r="Z2251" s="4">
        <v>381</v>
      </c>
      <c r="AA2251" s="4">
        <v>387</v>
      </c>
      <c r="AB2251" s="4">
        <v>4</v>
      </c>
      <c r="AC2251" s="4">
        <v>4</v>
      </c>
      <c r="AD2251" s="4">
        <v>19</v>
      </c>
      <c r="AE2251" s="4">
        <v>19</v>
      </c>
      <c r="AF2251" s="4">
        <v>4</v>
      </c>
      <c r="AG2251" s="4">
        <v>4</v>
      </c>
      <c r="AH2251" s="4">
        <v>8</v>
      </c>
      <c r="AI2251" s="4">
        <v>8</v>
      </c>
      <c r="AJ2251" s="4">
        <v>9</v>
      </c>
      <c r="AK2251" s="4">
        <v>9</v>
      </c>
      <c r="AL2251" s="4">
        <v>3</v>
      </c>
      <c r="AM2251" s="4">
        <v>3</v>
      </c>
      <c r="AN2251" s="4">
        <v>0</v>
      </c>
      <c r="AO2251" s="4">
        <v>0</v>
      </c>
      <c r="AP2251" s="3" t="s">
        <v>58</v>
      </c>
      <c r="AQ2251" s="3" t="s">
        <v>68</v>
      </c>
      <c r="AR2251" s="6" t="str">
        <f>HYPERLINK("http://catalog.hathitrust.org/Record/000173860","HathiTrust Record")</f>
        <v>HathiTrust Record</v>
      </c>
      <c r="AS2251" s="6" t="str">
        <f>HYPERLINK("https://creighton-primo.hosted.exlibrisgroup.com/primo-explore/search?tab=default_tab&amp;search_scope=EVERYTHING&amp;vid=01CRU&amp;lang=en_US&amp;offset=0&amp;query=any,contains,991004543229702656","Catalog Record")</f>
        <v>Catalog Record</v>
      </c>
      <c r="AT2251" s="6" t="str">
        <f>HYPERLINK("http://www.worldcat.org/oclc/3906344","WorldCat Record")</f>
        <v>WorldCat Record</v>
      </c>
      <c r="AU2251" s="3" t="s">
        <v>27427</v>
      </c>
      <c r="AV2251" s="3" t="s">
        <v>27428</v>
      </c>
      <c r="AW2251" s="3" t="s">
        <v>27429</v>
      </c>
      <c r="AX2251" s="3" t="s">
        <v>27429</v>
      </c>
      <c r="AY2251" s="3" t="s">
        <v>27430</v>
      </c>
      <c r="AZ2251" s="3" t="s">
        <v>73</v>
      </c>
      <c r="BB2251" s="3" t="s">
        <v>27431</v>
      </c>
      <c r="BC2251" s="3" t="s">
        <v>27432</v>
      </c>
      <c r="BD2251" s="3" t="s">
        <v>27433</v>
      </c>
    </row>
    <row r="2252" spans="1:56" ht="51" customHeight="1" x14ac:dyDescent="0.25">
      <c r="A2252" s="7" t="s">
        <v>58</v>
      </c>
      <c r="B2252" s="2" t="s">
        <v>27434</v>
      </c>
      <c r="C2252" s="2" t="s">
        <v>27435</v>
      </c>
      <c r="D2252" s="2" t="s">
        <v>27436</v>
      </c>
      <c r="F2252" s="3" t="s">
        <v>58</v>
      </c>
      <c r="G2252" s="3" t="s">
        <v>59</v>
      </c>
      <c r="H2252" s="3" t="s">
        <v>58</v>
      </c>
      <c r="I2252" s="3" t="s">
        <v>58</v>
      </c>
      <c r="J2252" s="3" t="s">
        <v>60</v>
      </c>
      <c r="K2252" s="2" t="s">
        <v>9017</v>
      </c>
      <c r="L2252" s="2" t="s">
        <v>27437</v>
      </c>
      <c r="M2252" s="3" t="s">
        <v>337</v>
      </c>
      <c r="N2252" s="2" t="s">
        <v>338</v>
      </c>
      <c r="O2252" s="3" t="s">
        <v>63</v>
      </c>
      <c r="P2252" s="3" t="s">
        <v>214</v>
      </c>
      <c r="R2252" s="3" t="s">
        <v>65</v>
      </c>
      <c r="S2252" s="4">
        <v>8</v>
      </c>
      <c r="T2252" s="4">
        <v>8</v>
      </c>
      <c r="U2252" s="5" t="s">
        <v>27438</v>
      </c>
      <c r="V2252" s="5" t="s">
        <v>27438</v>
      </c>
      <c r="W2252" s="5" t="s">
        <v>27439</v>
      </c>
      <c r="X2252" s="5" t="s">
        <v>27439</v>
      </c>
      <c r="Y2252" s="4">
        <v>1434</v>
      </c>
      <c r="Z2252" s="4">
        <v>1296</v>
      </c>
      <c r="AA2252" s="4">
        <v>1420</v>
      </c>
      <c r="AB2252" s="4">
        <v>6</v>
      </c>
      <c r="AC2252" s="4">
        <v>8</v>
      </c>
      <c r="AD2252" s="4">
        <v>28</v>
      </c>
      <c r="AE2252" s="4">
        <v>34</v>
      </c>
      <c r="AF2252" s="4">
        <v>15</v>
      </c>
      <c r="AG2252" s="4">
        <v>18</v>
      </c>
      <c r="AH2252" s="4">
        <v>6</v>
      </c>
      <c r="AI2252" s="4">
        <v>6</v>
      </c>
      <c r="AJ2252" s="4">
        <v>11</v>
      </c>
      <c r="AK2252" s="4">
        <v>14</v>
      </c>
      <c r="AL2252" s="4">
        <v>4</v>
      </c>
      <c r="AM2252" s="4">
        <v>5</v>
      </c>
      <c r="AN2252" s="4">
        <v>0</v>
      </c>
      <c r="AO2252" s="4">
        <v>0</v>
      </c>
      <c r="AP2252" s="3" t="s">
        <v>58</v>
      </c>
      <c r="AQ2252" s="3" t="s">
        <v>58</v>
      </c>
      <c r="AS2252" s="6" t="str">
        <f>HYPERLINK("https://creighton-primo.hosted.exlibrisgroup.com/primo-explore/search?tab=default_tab&amp;search_scope=EVERYTHING&amp;vid=01CRU&amp;lang=en_US&amp;offset=0&amp;query=any,contains,991003819509702656","Catalog Record")</f>
        <v>Catalog Record</v>
      </c>
      <c r="AT2252" s="6" t="str">
        <f>HYPERLINK("http://www.worldcat.org/oclc/48810593","WorldCat Record")</f>
        <v>WorldCat Record</v>
      </c>
      <c r="AU2252" s="3" t="s">
        <v>27440</v>
      </c>
      <c r="AV2252" s="3" t="s">
        <v>27441</v>
      </c>
      <c r="AW2252" s="3" t="s">
        <v>27442</v>
      </c>
      <c r="AX2252" s="3" t="s">
        <v>27442</v>
      </c>
      <c r="AY2252" s="3" t="s">
        <v>27443</v>
      </c>
      <c r="AZ2252" s="3" t="s">
        <v>73</v>
      </c>
      <c r="BB2252" s="3" t="s">
        <v>27444</v>
      </c>
      <c r="BC2252" s="3" t="s">
        <v>27445</v>
      </c>
      <c r="BD2252" s="3" t="s">
        <v>27446</v>
      </c>
    </row>
    <row r="2253" spans="1:56" ht="51" customHeight="1" x14ac:dyDescent="0.25">
      <c r="A2253" s="7" t="s">
        <v>58</v>
      </c>
      <c r="B2253" s="2" t="s">
        <v>27447</v>
      </c>
      <c r="C2253" s="2" t="s">
        <v>27448</v>
      </c>
      <c r="D2253" s="2" t="s">
        <v>27449</v>
      </c>
      <c r="F2253" s="3" t="s">
        <v>58</v>
      </c>
      <c r="G2253" s="3" t="s">
        <v>59</v>
      </c>
      <c r="H2253" s="3" t="s">
        <v>58</v>
      </c>
      <c r="I2253" s="3" t="s">
        <v>58</v>
      </c>
      <c r="J2253" s="3" t="s">
        <v>60</v>
      </c>
      <c r="L2253" s="2" t="s">
        <v>27450</v>
      </c>
      <c r="M2253" s="3" t="s">
        <v>154</v>
      </c>
      <c r="N2253" s="2" t="s">
        <v>27451</v>
      </c>
      <c r="O2253" s="3" t="s">
        <v>63</v>
      </c>
      <c r="P2253" s="3" t="s">
        <v>584</v>
      </c>
      <c r="R2253" s="3" t="s">
        <v>65</v>
      </c>
      <c r="S2253" s="4">
        <v>12</v>
      </c>
      <c r="T2253" s="4">
        <v>12</v>
      </c>
      <c r="U2253" s="5" t="s">
        <v>12091</v>
      </c>
      <c r="V2253" s="5" t="s">
        <v>12091</v>
      </c>
      <c r="W2253" s="5" t="s">
        <v>9492</v>
      </c>
      <c r="X2253" s="5" t="s">
        <v>9492</v>
      </c>
      <c r="Y2253" s="4">
        <v>404</v>
      </c>
      <c r="Z2253" s="4">
        <v>334</v>
      </c>
      <c r="AA2253" s="4">
        <v>449</v>
      </c>
      <c r="AB2253" s="4">
        <v>2</v>
      </c>
      <c r="AC2253" s="4">
        <v>3</v>
      </c>
      <c r="AD2253" s="4">
        <v>8</v>
      </c>
      <c r="AE2253" s="4">
        <v>10</v>
      </c>
      <c r="AF2253" s="4">
        <v>2</v>
      </c>
      <c r="AG2253" s="4">
        <v>2</v>
      </c>
      <c r="AH2253" s="4">
        <v>3</v>
      </c>
      <c r="AI2253" s="4">
        <v>3</v>
      </c>
      <c r="AJ2253" s="4">
        <v>5</v>
      </c>
      <c r="AK2253" s="4">
        <v>6</v>
      </c>
      <c r="AL2253" s="4">
        <v>1</v>
      </c>
      <c r="AM2253" s="4">
        <v>2</v>
      </c>
      <c r="AN2253" s="4">
        <v>0</v>
      </c>
      <c r="AO2253" s="4">
        <v>0</v>
      </c>
      <c r="AP2253" s="3" t="s">
        <v>58</v>
      </c>
      <c r="AQ2253" s="3" t="s">
        <v>58</v>
      </c>
      <c r="AS2253" s="6" t="str">
        <f>HYPERLINK("https://creighton-primo.hosted.exlibrisgroup.com/primo-explore/search?tab=default_tab&amp;search_scope=EVERYTHING&amp;vid=01CRU&amp;lang=en_US&amp;offset=0&amp;query=any,contains,991001319819702656","Catalog Record")</f>
        <v>Catalog Record</v>
      </c>
      <c r="AT2253" s="6" t="str">
        <f>HYPERLINK("http://www.worldcat.org/oclc/18221715","WorldCat Record")</f>
        <v>WorldCat Record</v>
      </c>
      <c r="AU2253" s="3" t="s">
        <v>27452</v>
      </c>
      <c r="AV2253" s="3" t="s">
        <v>27453</v>
      </c>
      <c r="AW2253" s="3" t="s">
        <v>27454</v>
      </c>
      <c r="AX2253" s="3" t="s">
        <v>27454</v>
      </c>
      <c r="AY2253" s="3" t="s">
        <v>27455</v>
      </c>
      <c r="AZ2253" s="3" t="s">
        <v>73</v>
      </c>
      <c r="BB2253" s="3" t="s">
        <v>27456</v>
      </c>
      <c r="BC2253" s="3" t="s">
        <v>27457</v>
      </c>
      <c r="BD2253" s="3" t="s">
        <v>27458</v>
      </c>
    </row>
    <row r="2254" spans="1:56" ht="51" customHeight="1" x14ac:dyDescent="0.25">
      <c r="A2254" s="7" t="s">
        <v>58</v>
      </c>
      <c r="B2254" s="2" t="s">
        <v>27459</v>
      </c>
      <c r="C2254" s="2" t="s">
        <v>27460</v>
      </c>
      <c r="D2254" s="2" t="s">
        <v>27461</v>
      </c>
      <c r="F2254" s="3" t="s">
        <v>58</v>
      </c>
      <c r="G2254" s="3" t="s">
        <v>59</v>
      </c>
      <c r="H2254" s="3" t="s">
        <v>58</v>
      </c>
      <c r="I2254" s="3" t="s">
        <v>58</v>
      </c>
      <c r="J2254" s="3" t="s">
        <v>60</v>
      </c>
      <c r="K2254" s="2" t="s">
        <v>27462</v>
      </c>
      <c r="L2254" s="2" t="s">
        <v>27463</v>
      </c>
      <c r="M2254" s="3" t="s">
        <v>2295</v>
      </c>
      <c r="O2254" s="3" t="s">
        <v>63</v>
      </c>
      <c r="P2254" s="3" t="s">
        <v>584</v>
      </c>
      <c r="R2254" s="3" t="s">
        <v>65</v>
      </c>
      <c r="S2254" s="4">
        <v>4</v>
      </c>
      <c r="T2254" s="4">
        <v>4</v>
      </c>
      <c r="U2254" s="5" t="s">
        <v>27464</v>
      </c>
      <c r="V2254" s="5" t="s">
        <v>27464</v>
      </c>
      <c r="W2254" s="5" t="s">
        <v>2243</v>
      </c>
      <c r="X2254" s="5" t="s">
        <v>2243</v>
      </c>
      <c r="Y2254" s="4">
        <v>38</v>
      </c>
      <c r="Z2254" s="4">
        <v>16</v>
      </c>
      <c r="AA2254" s="4">
        <v>1038</v>
      </c>
      <c r="AB2254" s="4">
        <v>1</v>
      </c>
      <c r="AC2254" s="4">
        <v>13</v>
      </c>
      <c r="AD2254" s="4">
        <v>0</v>
      </c>
      <c r="AE2254" s="4">
        <v>17</v>
      </c>
      <c r="AF2254" s="4">
        <v>0</v>
      </c>
      <c r="AG2254" s="4">
        <v>5</v>
      </c>
      <c r="AH2254" s="4">
        <v>0</v>
      </c>
      <c r="AI2254" s="4">
        <v>1</v>
      </c>
      <c r="AJ2254" s="4">
        <v>0</v>
      </c>
      <c r="AK2254" s="4">
        <v>12</v>
      </c>
      <c r="AL2254" s="4">
        <v>0</v>
      </c>
      <c r="AM2254" s="4">
        <v>2</v>
      </c>
      <c r="AN2254" s="4">
        <v>0</v>
      </c>
      <c r="AO2254" s="4">
        <v>0</v>
      </c>
      <c r="AP2254" s="3" t="s">
        <v>58</v>
      </c>
      <c r="AQ2254" s="3" t="s">
        <v>58</v>
      </c>
      <c r="AS2254" s="6" t="str">
        <f>HYPERLINK("https://creighton-primo.hosted.exlibrisgroup.com/primo-explore/search?tab=default_tab&amp;search_scope=EVERYTHING&amp;vid=01CRU&amp;lang=en_US&amp;offset=0&amp;query=any,contains,991004154639702656","Catalog Record")</f>
        <v>Catalog Record</v>
      </c>
      <c r="AT2254" s="6" t="str">
        <f>HYPERLINK("http://www.worldcat.org/oclc/52738470","WorldCat Record")</f>
        <v>WorldCat Record</v>
      </c>
      <c r="AU2254" s="3" t="s">
        <v>27465</v>
      </c>
      <c r="AV2254" s="3" t="s">
        <v>27466</v>
      </c>
      <c r="AW2254" s="3" t="s">
        <v>27467</v>
      </c>
      <c r="AX2254" s="3" t="s">
        <v>27467</v>
      </c>
      <c r="AY2254" s="3" t="s">
        <v>27468</v>
      </c>
      <c r="AZ2254" s="3" t="s">
        <v>73</v>
      </c>
      <c r="BB2254" s="3" t="s">
        <v>27469</v>
      </c>
      <c r="BC2254" s="3" t="s">
        <v>27470</v>
      </c>
      <c r="BD2254" s="3" t="s">
        <v>27471</v>
      </c>
    </row>
    <row r="2255" spans="1:56" ht="51" customHeight="1" x14ac:dyDescent="0.25">
      <c r="A2255" s="7" t="s">
        <v>58</v>
      </c>
      <c r="B2255" s="2" t="s">
        <v>27472</v>
      </c>
      <c r="C2255" s="2" t="s">
        <v>27473</v>
      </c>
      <c r="D2255" s="2" t="s">
        <v>27474</v>
      </c>
      <c r="F2255" s="3" t="s">
        <v>58</v>
      </c>
      <c r="G2255" s="3" t="s">
        <v>59</v>
      </c>
      <c r="H2255" s="3" t="s">
        <v>58</v>
      </c>
      <c r="I2255" s="3" t="s">
        <v>58</v>
      </c>
      <c r="J2255" s="3" t="s">
        <v>60</v>
      </c>
      <c r="K2255" s="2" t="s">
        <v>27475</v>
      </c>
      <c r="L2255" s="2" t="s">
        <v>27476</v>
      </c>
      <c r="M2255" s="3" t="s">
        <v>898</v>
      </c>
      <c r="O2255" s="3" t="s">
        <v>63</v>
      </c>
      <c r="P2255" s="3" t="s">
        <v>510</v>
      </c>
      <c r="Q2255" s="2" t="s">
        <v>27477</v>
      </c>
      <c r="R2255" s="3" t="s">
        <v>65</v>
      </c>
      <c r="S2255" s="4">
        <v>6</v>
      </c>
      <c r="T2255" s="4">
        <v>6</v>
      </c>
      <c r="U2255" s="5" t="s">
        <v>2958</v>
      </c>
      <c r="V2255" s="5" t="s">
        <v>2958</v>
      </c>
      <c r="W2255" s="5" t="s">
        <v>25176</v>
      </c>
      <c r="X2255" s="5" t="s">
        <v>25176</v>
      </c>
      <c r="Y2255" s="4">
        <v>405</v>
      </c>
      <c r="Z2255" s="4">
        <v>356</v>
      </c>
      <c r="AA2255" s="4">
        <v>375</v>
      </c>
      <c r="AB2255" s="4">
        <v>4</v>
      </c>
      <c r="AC2255" s="4">
        <v>4</v>
      </c>
      <c r="AD2255" s="4">
        <v>10</v>
      </c>
      <c r="AE2255" s="4">
        <v>11</v>
      </c>
      <c r="AF2255" s="4">
        <v>1</v>
      </c>
      <c r="AG2255" s="4">
        <v>1</v>
      </c>
      <c r="AH2255" s="4">
        <v>4</v>
      </c>
      <c r="AI2255" s="4">
        <v>4</v>
      </c>
      <c r="AJ2255" s="4">
        <v>4</v>
      </c>
      <c r="AK2255" s="4">
        <v>5</v>
      </c>
      <c r="AL2255" s="4">
        <v>3</v>
      </c>
      <c r="AM2255" s="4">
        <v>3</v>
      </c>
      <c r="AN2255" s="4">
        <v>0</v>
      </c>
      <c r="AO2255" s="4">
        <v>0</v>
      </c>
      <c r="AP2255" s="3" t="s">
        <v>58</v>
      </c>
      <c r="AQ2255" s="3" t="s">
        <v>68</v>
      </c>
      <c r="AR2255" s="6" t="str">
        <f>HYPERLINK("http://catalog.hathitrust.org/Record/007146118","HathiTrust Record")</f>
        <v>HathiTrust Record</v>
      </c>
      <c r="AS2255" s="6" t="str">
        <f>HYPERLINK("https://creighton-primo.hosted.exlibrisgroup.com/primo-explore/search?tab=default_tab&amp;search_scope=EVERYTHING&amp;vid=01CRU&amp;lang=en_US&amp;offset=0&amp;query=any,contains,991004800879702656","Catalog Record")</f>
        <v>Catalog Record</v>
      </c>
      <c r="AT2255" s="6" t="str">
        <f>HYPERLINK("http://www.worldcat.org/oclc/60971999","WorldCat Record")</f>
        <v>WorldCat Record</v>
      </c>
      <c r="AU2255" s="3" t="s">
        <v>27478</v>
      </c>
      <c r="AV2255" s="3" t="s">
        <v>27479</v>
      </c>
      <c r="AW2255" s="3" t="s">
        <v>27480</v>
      </c>
      <c r="AX2255" s="3" t="s">
        <v>27480</v>
      </c>
      <c r="AY2255" s="3" t="s">
        <v>27481</v>
      </c>
      <c r="AZ2255" s="3" t="s">
        <v>73</v>
      </c>
      <c r="BB2255" s="3" t="s">
        <v>27482</v>
      </c>
      <c r="BC2255" s="3" t="s">
        <v>27483</v>
      </c>
      <c r="BD2255" s="3" t="s">
        <v>27484</v>
      </c>
    </row>
    <row r="2256" spans="1:56" ht="51" customHeight="1" x14ac:dyDescent="0.25">
      <c r="A2256" s="7" t="s">
        <v>58</v>
      </c>
      <c r="B2256" s="2" t="s">
        <v>27485</v>
      </c>
      <c r="C2256" s="2" t="s">
        <v>27486</v>
      </c>
      <c r="D2256" s="2" t="s">
        <v>27487</v>
      </c>
      <c r="F2256" s="3" t="s">
        <v>58</v>
      </c>
      <c r="G2256" s="3" t="s">
        <v>59</v>
      </c>
      <c r="H2256" s="3" t="s">
        <v>58</v>
      </c>
      <c r="I2256" s="3" t="s">
        <v>58</v>
      </c>
      <c r="J2256" s="3" t="s">
        <v>60</v>
      </c>
      <c r="K2256" s="2" t="s">
        <v>27488</v>
      </c>
      <c r="L2256" s="2" t="s">
        <v>27489</v>
      </c>
      <c r="M2256" s="3" t="s">
        <v>653</v>
      </c>
      <c r="O2256" s="3" t="s">
        <v>63</v>
      </c>
      <c r="P2256" s="3" t="s">
        <v>2061</v>
      </c>
      <c r="R2256" s="3" t="s">
        <v>65</v>
      </c>
      <c r="S2256" s="4">
        <v>12</v>
      </c>
      <c r="T2256" s="4">
        <v>12</v>
      </c>
      <c r="U2256" s="5" t="s">
        <v>2958</v>
      </c>
      <c r="V2256" s="5" t="s">
        <v>2958</v>
      </c>
      <c r="W2256" s="5" t="s">
        <v>27490</v>
      </c>
      <c r="X2256" s="5" t="s">
        <v>27490</v>
      </c>
      <c r="Y2256" s="4">
        <v>621</v>
      </c>
      <c r="Z2256" s="4">
        <v>526</v>
      </c>
      <c r="AA2256" s="4">
        <v>533</v>
      </c>
      <c r="AB2256" s="4">
        <v>6</v>
      </c>
      <c r="AC2256" s="4">
        <v>6</v>
      </c>
      <c r="AD2256" s="4">
        <v>13</v>
      </c>
      <c r="AE2256" s="4">
        <v>13</v>
      </c>
      <c r="AF2256" s="4">
        <v>6</v>
      </c>
      <c r="AG2256" s="4">
        <v>6</v>
      </c>
      <c r="AH2256" s="4">
        <v>2</v>
      </c>
      <c r="AI2256" s="4">
        <v>2</v>
      </c>
      <c r="AJ2256" s="4">
        <v>5</v>
      </c>
      <c r="AK2256" s="4">
        <v>5</v>
      </c>
      <c r="AL2256" s="4">
        <v>2</v>
      </c>
      <c r="AM2256" s="4">
        <v>2</v>
      </c>
      <c r="AN2256" s="4">
        <v>0</v>
      </c>
      <c r="AO2256" s="4">
        <v>0</v>
      </c>
      <c r="AP2256" s="3" t="s">
        <v>58</v>
      </c>
      <c r="AQ2256" s="3" t="s">
        <v>68</v>
      </c>
      <c r="AR2256" s="6" t="str">
        <f>HYPERLINK("http://catalog.hathitrust.org/Record/004579269","HathiTrust Record")</f>
        <v>HathiTrust Record</v>
      </c>
      <c r="AS2256" s="6" t="str">
        <f>HYPERLINK("https://creighton-primo.hosted.exlibrisgroup.com/primo-explore/search?tab=default_tab&amp;search_scope=EVERYTHING&amp;vid=01CRU&amp;lang=en_US&amp;offset=0&amp;query=any,contains,991001810169702656","Catalog Record")</f>
        <v>Catalog Record</v>
      </c>
      <c r="AT2256" s="6" t="str">
        <f>HYPERLINK("http://www.worldcat.org/oclc/22733452","WorldCat Record")</f>
        <v>WorldCat Record</v>
      </c>
      <c r="AU2256" s="3" t="s">
        <v>27491</v>
      </c>
      <c r="AV2256" s="3" t="s">
        <v>27492</v>
      </c>
      <c r="AW2256" s="3" t="s">
        <v>27493</v>
      </c>
      <c r="AX2256" s="3" t="s">
        <v>27493</v>
      </c>
      <c r="AY2256" s="3" t="s">
        <v>27494</v>
      </c>
      <c r="AZ2256" s="3" t="s">
        <v>73</v>
      </c>
      <c r="BB2256" s="3" t="s">
        <v>27495</v>
      </c>
      <c r="BC2256" s="3" t="s">
        <v>27496</v>
      </c>
      <c r="BD2256" s="3" t="s">
        <v>27497</v>
      </c>
    </row>
    <row r="2257" spans="1:56" ht="51" customHeight="1" x14ac:dyDescent="0.25">
      <c r="A2257" s="7" t="s">
        <v>58</v>
      </c>
      <c r="B2257" s="2" t="s">
        <v>27498</v>
      </c>
      <c r="C2257" s="2" t="s">
        <v>27499</v>
      </c>
      <c r="D2257" s="2" t="s">
        <v>27500</v>
      </c>
      <c r="F2257" s="3" t="s">
        <v>58</v>
      </c>
      <c r="G2257" s="3" t="s">
        <v>59</v>
      </c>
      <c r="H2257" s="3" t="s">
        <v>58</v>
      </c>
      <c r="I2257" s="3" t="s">
        <v>58</v>
      </c>
      <c r="J2257" s="3" t="s">
        <v>60</v>
      </c>
      <c r="K2257" s="2" t="s">
        <v>27501</v>
      </c>
      <c r="L2257" s="2" t="s">
        <v>27502</v>
      </c>
      <c r="M2257" s="3" t="s">
        <v>815</v>
      </c>
      <c r="N2257" s="2" t="s">
        <v>27503</v>
      </c>
      <c r="O2257" s="3" t="s">
        <v>63</v>
      </c>
      <c r="P2257" s="3" t="s">
        <v>214</v>
      </c>
      <c r="R2257" s="3" t="s">
        <v>65</v>
      </c>
      <c r="S2257" s="4">
        <v>3</v>
      </c>
      <c r="T2257" s="4">
        <v>3</v>
      </c>
      <c r="U2257" s="5" t="s">
        <v>27504</v>
      </c>
      <c r="V2257" s="5" t="s">
        <v>27504</v>
      </c>
      <c r="W2257" s="5" t="s">
        <v>27505</v>
      </c>
      <c r="X2257" s="5" t="s">
        <v>27505</v>
      </c>
      <c r="Y2257" s="4">
        <v>72</v>
      </c>
      <c r="Z2257" s="4">
        <v>58</v>
      </c>
      <c r="AA2257" s="4">
        <v>80</v>
      </c>
      <c r="AB2257" s="4">
        <v>2</v>
      </c>
      <c r="AC2257" s="4">
        <v>2</v>
      </c>
      <c r="AD2257" s="4">
        <v>5</v>
      </c>
      <c r="AE2257" s="4">
        <v>5</v>
      </c>
      <c r="AF2257" s="4">
        <v>1</v>
      </c>
      <c r="AG2257" s="4">
        <v>1</v>
      </c>
      <c r="AH2257" s="4">
        <v>3</v>
      </c>
      <c r="AI2257" s="4">
        <v>3</v>
      </c>
      <c r="AJ2257" s="4">
        <v>1</v>
      </c>
      <c r="AK2257" s="4">
        <v>1</v>
      </c>
      <c r="AL2257" s="4">
        <v>1</v>
      </c>
      <c r="AM2257" s="4">
        <v>1</v>
      </c>
      <c r="AN2257" s="4">
        <v>0</v>
      </c>
      <c r="AO2257" s="4">
        <v>0</v>
      </c>
      <c r="AP2257" s="3" t="s">
        <v>58</v>
      </c>
      <c r="AQ2257" s="3" t="s">
        <v>58</v>
      </c>
      <c r="AS2257" s="6" t="str">
        <f>HYPERLINK("https://creighton-primo.hosted.exlibrisgroup.com/primo-explore/search?tab=default_tab&amp;search_scope=EVERYTHING&amp;vid=01CRU&amp;lang=en_US&amp;offset=0&amp;query=any,contains,991005391339702656","Catalog Record")</f>
        <v>Catalog Record</v>
      </c>
      <c r="AT2257" s="6" t="str">
        <f>HYPERLINK("http://www.worldcat.org/oclc/234435530","WorldCat Record")</f>
        <v>WorldCat Record</v>
      </c>
      <c r="AU2257" s="3" t="s">
        <v>27506</v>
      </c>
      <c r="AV2257" s="3" t="s">
        <v>27507</v>
      </c>
      <c r="AW2257" s="3" t="s">
        <v>27508</v>
      </c>
      <c r="AX2257" s="3" t="s">
        <v>27508</v>
      </c>
      <c r="AY2257" s="3" t="s">
        <v>27509</v>
      </c>
      <c r="AZ2257" s="3" t="s">
        <v>73</v>
      </c>
      <c r="BB2257" s="3" t="s">
        <v>27510</v>
      </c>
      <c r="BC2257" s="3" t="s">
        <v>27511</v>
      </c>
      <c r="BD2257" s="3" t="s">
        <v>27512</v>
      </c>
    </row>
    <row r="2258" spans="1:56" ht="51" customHeight="1" x14ac:dyDescent="0.25">
      <c r="A2258" s="7" t="s">
        <v>58</v>
      </c>
      <c r="B2258" s="2" t="s">
        <v>27513</v>
      </c>
      <c r="C2258" s="2" t="s">
        <v>27514</v>
      </c>
      <c r="D2258" s="2" t="s">
        <v>27515</v>
      </c>
      <c r="F2258" s="3" t="s">
        <v>58</v>
      </c>
      <c r="G2258" s="3" t="s">
        <v>59</v>
      </c>
      <c r="H2258" s="3" t="s">
        <v>58</v>
      </c>
      <c r="I2258" s="3" t="s">
        <v>58</v>
      </c>
      <c r="J2258" s="3" t="s">
        <v>60</v>
      </c>
      <c r="K2258" s="2" t="s">
        <v>27516</v>
      </c>
      <c r="L2258" s="2" t="s">
        <v>27517</v>
      </c>
      <c r="M2258" s="3" t="s">
        <v>2214</v>
      </c>
      <c r="N2258" s="2" t="s">
        <v>27518</v>
      </c>
      <c r="O2258" s="3" t="s">
        <v>63</v>
      </c>
      <c r="P2258" s="3" t="s">
        <v>214</v>
      </c>
      <c r="R2258" s="3" t="s">
        <v>65</v>
      </c>
      <c r="S2258" s="4">
        <v>2</v>
      </c>
      <c r="T2258" s="4">
        <v>2</v>
      </c>
      <c r="U2258" s="5" t="s">
        <v>25743</v>
      </c>
      <c r="V2258" s="5" t="s">
        <v>25743</v>
      </c>
      <c r="W2258" s="5" t="s">
        <v>27519</v>
      </c>
      <c r="X2258" s="5" t="s">
        <v>27519</v>
      </c>
      <c r="Y2258" s="4">
        <v>649</v>
      </c>
      <c r="Z2258" s="4">
        <v>612</v>
      </c>
      <c r="AA2258" s="4">
        <v>635</v>
      </c>
      <c r="AB2258" s="4">
        <v>5</v>
      </c>
      <c r="AC2258" s="4">
        <v>5</v>
      </c>
      <c r="AD2258" s="4">
        <v>19</v>
      </c>
      <c r="AE2258" s="4">
        <v>19</v>
      </c>
      <c r="AF2258" s="4">
        <v>6</v>
      </c>
      <c r="AG2258" s="4">
        <v>6</v>
      </c>
      <c r="AH2258" s="4">
        <v>4</v>
      </c>
      <c r="AI2258" s="4">
        <v>4</v>
      </c>
      <c r="AJ2258" s="4">
        <v>10</v>
      </c>
      <c r="AK2258" s="4">
        <v>10</v>
      </c>
      <c r="AL2258" s="4">
        <v>3</v>
      </c>
      <c r="AM2258" s="4">
        <v>3</v>
      </c>
      <c r="AN2258" s="4">
        <v>0</v>
      </c>
      <c r="AO2258" s="4">
        <v>0</v>
      </c>
      <c r="AP2258" s="3" t="s">
        <v>58</v>
      </c>
      <c r="AQ2258" s="3" t="s">
        <v>58</v>
      </c>
      <c r="AS2258" s="6" t="str">
        <f>HYPERLINK("https://creighton-primo.hosted.exlibrisgroup.com/primo-explore/search?tab=default_tab&amp;search_scope=EVERYTHING&amp;vid=01CRU&amp;lang=en_US&amp;offset=0&amp;query=any,contains,991004688169702656","Catalog Record")</f>
        <v>Catalog Record</v>
      </c>
      <c r="AT2258" s="6" t="str">
        <f>HYPERLINK("http://www.worldcat.org/oclc/61203344","WorldCat Record")</f>
        <v>WorldCat Record</v>
      </c>
      <c r="AU2258" s="3" t="s">
        <v>27520</v>
      </c>
      <c r="AV2258" s="3" t="s">
        <v>27521</v>
      </c>
      <c r="AW2258" s="3" t="s">
        <v>27522</v>
      </c>
      <c r="AX2258" s="3" t="s">
        <v>27522</v>
      </c>
      <c r="AY2258" s="3" t="s">
        <v>27523</v>
      </c>
      <c r="AZ2258" s="3" t="s">
        <v>73</v>
      </c>
      <c r="BB2258" s="3" t="s">
        <v>27524</v>
      </c>
      <c r="BC2258" s="3" t="s">
        <v>27525</v>
      </c>
      <c r="BD2258" s="3" t="s">
        <v>27526</v>
      </c>
    </row>
    <row r="2259" spans="1:56" ht="51" customHeight="1" x14ac:dyDescent="0.25">
      <c r="A2259" s="7" t="s">
        <v>58</v>
      </c>
      <c r="B2259" s="2" t="s">
        <v>27527</v>
      </c>
      <c r="C2259" s="2" t="s">
        <v>27528</v>
      </c>
      <c r="D2259" s="2" t="s">
        <v>27529</v>
      </c>
      <c r="F2259" s="3" t="s">
        <v>58</v>
      </c>
      <c r="G2259" s="3" t="s">
        <v>59</v>
      </c>
      <c r="H2259" s="3" t="s">
        <v>58</v>
      </c>
      <c r="I2259" s="3" t="s">
        <v>58</v>
      </c>
      <c r="J2259" s="3" t="s">
        <v>60</v>
      </c>
      <c r="K2259" s="2" t="s">
        <v>27530</v>
      </c>
      <c r="L2259" s="2" t="s">
        <v>20579</v>
      </c>
      <c r="M2259" s="3" t="s">
        <v>337</v>
      </c>
      <c r="O2259" s="3" t="s">
        <v>63</v>
      </c>
      <c r="P2259" s="3" t="s">
        <v>584</v>
      </c>
      <c r="R2259" s="3" t="s">
        <v>65</v>
      </c>
      <c r="S2259" s="4">
        <v>7</v>
      </c>
      <c r="T2259" s="4">
        <v>7</v>
      </c>
      <c r="U2259" s="5" t="s">
        <v>27438</v>
      </c>
      <c r="V2259" s="5" t="s">
        <v>27438</v>
      </c>
      <c r="W2259" s="5" t="s">
        <v>111</v>
      </c>
      <c r="X2259" s="5" t="s">
        <v>111</v>
      </c>
      <c r="Y2259" s="4">
        <v>45</v>
      </c>
      <c r="Z2259" s="4">
        <v>28</v>
      </c>
      <c r="AA2259" s="4">
        <v>748</v>
      </c>
      <c r="AB2259" s="4">
        <v>2</v>
      </c>
      <c r="AC2259" s="4">
        <v>30</v>
      </c>
      <c r="AD2259" s="4">
        <v>1</v>
      </c>
      <c r="AE2259" s="4">
        <v>30</v>
      </c>
      <c r="AF2259" s="4">
        <v>0</v>
      </c>
      <c r="AG2259" s="4">
        <v>8</v>
      </c>
      <c r="AH2259" s="4">
        <v>0</v>
      </c>
      <c r="AI2259" s="4">
        <v>7</v>
      </c>
      <c r="AJ2259" s="4">
        <v>0</v>
      </c>
      <c r="AK2259" s="4">
        <v>11</v>
      </c>
      <c r="AL2259" s="4">
        <v>1</v>
      </c>
      <c r="AM2259" s="4">
        <v>11</v>
      </c>
      <c r="AN2259" s="4">
        <v>0</v>
      </c>
      <c r="AO2259" s="4">
        <v>0</v>
      </c>
      <c r="AP2259" s="3" t="s">
        <v>58</v>
      </c>
      <c r="AQ2259" s="3" t="s">
        <v>58</v>
      </c>
      <c r="AS2259" s="6" t="str">
        <f>HYPERLINK("https://creighton-primo.hosted.exlibrisgroup.com/primo-explore/search?tab=default_tab&amp;search_scope=EVERYTHING&amp;vid=01CRU&amp;lang=en_US&amp;offset=0&amp;query=any,contains,991003909849702656","Catalog Record")</f>
        <v>Catalog Record</v>
      </c>
      <c r="AT2259" s="6" t="str">
        <f>HYPERLINK("http://www.worldcat.org/oclc/48416900","WorldCat Record")</f>
        <v>WorldCat Record</v>
      </c>
      <c r="AU2259" s="3" t="s">
        <v>27531</v>
      </c>
      <c r="AV2259" s="3" t="s">
        <v>27532</v>
      </c>
      <c r="AW2259" s="3" t="s">
        <v>27533</v>
      </c>
      <c r="AX2259" s="3" t="s">
        <v>27533</v>
      </c>
      <c r="AY2259" s="3" t="s">
        <v>27534</v>
      </c>
      <c r="AZ2259" s="3" t="s">
        <v>73</v>
      </c>
      <c r="BB2259" s="3" t="s">
        <v>27535</v>
      </c>
      <c r="BC2259" s="3" t="s">
        <v>27536</v>
      </c>
      <c r="BD2259" s="3" t="s">
        <v>27537</v>
      </c>
    </row>
    <row r="2260" spans="1:56" ht="51" customHeight="1" x14ac:dyDescent="0.25">
      <c r="A2260" s="7" t="s">
        <v>58</v>
      </c>
      <c r="B2260" s="2" t="s">
        <v>27538</v>
      </c>
      <c r="C2260" s="2" t="s">
        <v>27539</v>
      </c>
      <c r="D2260" s="2" t="s">
        <v>27540</v>
      </c>
      <c r="F2260" s="3" t="s">
        <v>58</v>
      </c>
      <c r="G2260" s="3" t="s">
        <v>59</v>
      </c>
      <c r="H2260" s="3" t="s">
        <v>58</v>
      </c>
      <c r="I2260" s="3" t="s">
        <v>58</v>
      </c>
      <c r="J2260" s="3" t="s">
        <v>60</v>
      </c>
      <c r="K2260" s="2" t="s">
        <v>13482</v>
      </c>
      <c r="L2260" s="2" t="s">
        <v>27541</v>
      </c>
      <c r="M2260" s="3" t="s">
        <v>337</v>
      </c>
      <c r="O2260" s="3" t="s">
        <v>63</v>
      </c>
      <c r="P2260" s="3" t="s">
        <v>214</v>
      </c>
      <c r="R2260" s="3" t="s">
        <v>65</v>
      </c>
      <c r="S2260" s="4">
        <v>2</v>
      </c>
      <c r="T2260" s="4">
        <v>2</v>
      </c>
      <c r="U2260" s="5" t="s">
        <v>2367</v>
      </c>
      <c r="V2260" s="5" t="s">
        <v>2367</v>
      </c>
      <c r="W2260" s="5" t="s">
        <v>6714</v>
      </c>
      <c r="X2260" s="5" t="s">
        <v>6714</v>
      </c>
      <c r="Y2260" s="4">
        <v>881</v>
      </c>
      <c r="Z2260" s="4">
        <v>808</v>
      </c>
      <c r="AA2260" s="4">
        <v>861</v>
      </c>
      <c r="AB2260" s="4">
        <v>6</v>
      </c>
      <c r="AC2260" s="4">
        <v>6</v>
      </c>
      <c r="AD2260" s="4">
        <v>21</v>
      </c>
      <c r="AE2260" s="4">
        <v>22</v>
      </c>
      <c r="AF2260" s="4">
        <v>6</v>
      </c>
      <c r="AG2260" s="4">
        <v>6</v>
      </c>
      <c r="AH2260" s="4">
        <v>4</v>
      </c>
      <c r="AI2260" s="4">
        <v>5</v>
      </c>
      <c r="AJ2260" s="4">
        <v>9</v>
      </c>
      <c r="AK2260" s="4">
        <v>10</v>
      </c>
      <c r="AL2260" s="4">
        <v>3</v>
      </c>
      <c r="AM2260" s="4">
        <v>3</v>
      </c>
      <c r="AN2260" s="4">
        <v>0</v>
      </c>
      <c r="AO2260" s="4">
        <v>0</v>
      </c>
      <c r="AP2260" s="3" t="s">
        <v>58</v>
      </c>
      <c r="AQ2260" s="3" t="s">
        <v>58</v>
      </c>
      <c r="AS2260" s="6" t="str">
        <f>HYPERLINK("https://creighton-primo.hosted.exlibrisgroup.com/primo-explore/search?tab=default_tab&amp;search_scope=EVERYTHING&amp;vid=01CRU&amp;lang=en_US&amp;offset=0&amp;query=any,contains,991004006199702656","Catalog Record")</f>
        <v>Catalog Record</v>
      </c>
      <c r="AT2260" s="6" t="str">
        <f>HYPERLINK("http://www.worldcat.org/oclc/51101428","WorldCat Record")</f>
        <v>WorldCat Record</v>
      </c>
      <c r="AU2260" s="3" t="s">
        <v>27542</v>
      </c>
      <c r="AV2260" s="3" t="s">
        <v>27543</v>
      </c>
      <c r="AW2260" s="3" t="s">
        <v>27544</v>
      </c>
      <c r="AX2260" s="3" t="s">
        <v>27544</v>
      </c>
      <c r="AY2260" s="3" t="s">
        <v>27545</v>
      </c>
      <c r="AZ2260" s="3" t="s">
        <v>73</v>
      </c>
      <c r="BB2260" s="3" t="s">
        <v>27546</v>
      </c>
      <c r="BC2260" s="3" t="s">
        <v>27547</v>
      </c>
      <c r="BD2260" s="3" t="s">
        <v>27548</v>
      </c>
    </row>
    <row r="2261" spans="1:56" ht="51" customHeight="1" x14ac:dyDescent="0.25">
      <c r="A2261" s="7" t="s">
        <v>58</v>
      </c>
      <c r="B2261" s="2" t="s">
        <v>27549</v>
      </c>
      <c r="C2261" s="2" t="s">
        <v>27550</v>
      </c>
      <c r="D2261" s="2" t="s">
        <v>27551</v>
      </c>
      <c r="F2261" s="3" t="s">
        <v>58</v>
      </c>
      <c r="G2261" s="3" t="s">
        <v>59</v>
      </c>
      <c r="H2261" s="3" t="s">
        <v>58</v>
      </c>
      <c r="I2261" s="3" t="s">
        <v>58</v>
      </c>
      <c r="J2261" s="3" t="s">
        <v>60</v>
      </c>
      <c r="K2261" s="2" t="s">
        <v>27552</v>
      </c>
      <c r="L2261" s="2" t="s">
        <v>27553</v>
      </c>
      <c r="M2261" s="3" t="s">
        <v>1544</v>
      </c>
      <c r="O2261" s="3" t="s">
        <v>63</v>
      </c>
      <c r="P2261" s="3" t="s">
        <v>510</v>
      </c>
      <c r="R2261" s="3" t="s">
        <v>65</v>
      </c>
      <c r="S2261" s="4">
        <v>8</v>
      </c>
      <c r="T2261" s="4">
        <v>8</v>
      </c>
      <c r="U2261" s="5" t="s">
        <v>8416</v>
      </c>
      <c r="V2261" s="5" t="s">
        <v>8416</v>
      </c>
      <c r="W2261" s="5" t="s">
        <v>24486</v>
      </c>
      <c r="X2261" s="5" t="s">
        <v>24486</v>
      </c>
      <c r="Y2261" s="4">
        <v>372</v>
      </c>
      <c r="Z2261" s="4">
        <v>310</v>
      </c>
      <c r="AA2261" s="4">
        <v>320</v>
      </c>
      <c r="AB2261" s="4">
        <v>3</v>
      </c>
      <c r="AC2261" s="4">
        <v>3</v>
      </c>
      <c r="AD2261" s="4">
        <v>13</v>
      </c>
      <c r="AE2261" s="4">
        <v>13</v>
      </c>
      <c r="AF2261" s="4">
        <v>3</v>
      </c>
      <c r="AG2261" s="4">
        <v>3</v>
      </c>
      <c r="AH2261" s="4">
        <v>6</v>
      </c>
      <c r="AI2261" s="4">
        <v>6</v>
      </c>
      <c r="AJ2261" s="4">
        <v>7</v>
      </c>
      <c r="AK2261" s="4">
        <v>7</v>
      </c>
      <c r="AL2261" s="4">
        <v>2</v>
      </c>
      <c r="AM2261" s="4">
        <v>2</v>
      </c>
      <c r="AN2261" s="4">
        <v>0</v>
      </c>
      <c r="AO2261" s="4">
        <v>0</v>
      </c>
      <c r="AP2261" s="3" t="s">
        <v>58</v>
      </c>
      <c r="AQ2261" s="3" t="s">
        <v>68</v>
      </c>
      <c r="AR2261" s="6" t="str">
        <f>HYPERLINK("http://catalog.hathitrust.org/Record/002589851","HathiTrust Record")</f>
        <v>HathiTrust Record</v>
      </c>
      <c r="AS2261" s="6" t="str">
        <f>HYPERLINK("https://creighton-primo.hosted.exlibrisgroup.com/primo-explore/search?tab=default_tab&amp;search_scope=EVERYTHING&amp;vid=01CRU&amp;lang=en_US&amp;offset=0&amp;query=any,contains,991001990719702656","Catalog Record")</f>
        <v>Catalog Record</v>
      </c>
      <c r="AT2261" s="6" t="str">
        <f>HYPERLINK("http://www.worldcat.org/oclc/25282767","WorldCat Record")</f>
        <v>WorldCat Record</v>
      </c>
      <c r="AU2261" s="3" t="s">
        <v>27554</v>
      </c>
      <c r="AV2261" s="3" t="s">
        <v>27555</v>
      </c>
      <c r="AW2261" s="3" t="s">
        <v>27556</v>
      </c>
      <c r="AX2261" s="3" t="s">
        <v>27556</v>
      </c>
      <c r="AY2261" s="3" t="s">
        <v>27557</v>
      </c>
      <c r="AZ2261" s="3" t="s">
        <v>73</v>
      </c>
      <c r="BB2261" s="3" t="s">
        <v>27558</v>
      </c>
      <c r="BC2261" s="3" t="s">
        <v>27559</v>
      </c>
      <c r="BD2261" s="3" t="s">
        <v>27560</v>
      </c>
    </row>
    <row r="2262" spans="1:56" ht="51" customHeight="1" x14ac:dyDescent="0.25">
      <c r="A2262" s="7" t="s">
        <v>58</v>
      </c>
      <c r="B2262" s="2" t="s">
        <v>27561</v>
      </c>
      <c r="C2262" s="2" t="s">
        <v>27562</v>
      </c>
      <c r="D2262" s="2" t="s">
        <v>27563</v>
      </c>
      <c r="F2262" s="3" t="s">
        <v>58</v>
      </c>
      <c r="G2262" s="3" t="s">
        <v>59</v>
      </c>
      <c r="H2262" s="3" t="s">
        <v>58</v>
      </c>
      <c r="I2262" s="3" t="s">
        <v>58</v>
      </c>
      <c r="J2262" s="3" t="s">
        <v>60</v>
      </c>
      <c r="L2262" s="2" t="s">
        <v>27564</v>
      </c>
      <c r="M2262" s="3" t="s">
        <v>2295</v>
      </c>
      <c r="O2262" s="3" t="s">
        <v>63</v>
      </c>
      <c r="P2262" s="3" t="s">
        <v>354</v>
      </c>
      <c r="R2262" s="3" t="s">
        <v>65</v>
      </c>
      <c r="S2262" s="4">
        <v>6</v>
      </c>
      <c r="T2262" s="4">
        <v>6</v>
      </c>
      <c r="U2262" s="5" t="s">
        <v>11361</v>
      </c>
      <c r="V2262" s="5" t="s">
        <v>11361</v>
      </c>
      <c r="W2262" s="5" t="s">
        <v>13776</v>
      </c>
      <c r="X2262" s="5" t="s">
        <v>13776</v>
      </c>
      <c r="Y2262" s="4">
        <v>280</v>
      </c>
      <c r="Z2262" s="4">
        <v>218</v>
      </c>
      <c r="AA2262" s="4">
        <v>225</v>
      </c>
      <c r="AB2262" s="4">
        <v>3</v>
      </c>
      <c r="AC2262" s="4">
        <v>3</v>
      </c>
      <c r="AD2262" s="4">
        <v>7</v>
      </c>
      <c r="AE2262" s="4">
        <v>7</v>
      </c>
      <c r="AF2262" s="4">
        <v>1</v>
      </c>
      <c r="AG2262" s="4">
        <v>1</v>
      </c>
      <c r="AH2262" s="4">
        <v>2</v>
      </c>
      <c r="AI2262" s="4">
        <v>2</v>
      </c>
      <c r="AJ2262" s="4">
        <v>4</v>
      </c>
      <c r="AK2262" s="4">
        <v>4</v>
      </c>
      <c r="AL2262" s="4">
        <v>2</v>
      </c>
      <c r="AM2262" s="4">
        <v>2</v>
      </c>
      <c r="AN2262" s="4">
        <v>0</v>
      </c>
      <c r="AO2262" s="4">
        <v>0</v>
      </c>
      <c r="AP2262" s="3" t="s">
        <v>58</v>
      </c>
      <c r="AQ2262" s="3" t="s">
        <v>68</v>
      </c>
      <c r="AR2262" s="6" t="str">
        <f>HYPERLINK("http://catalog.hathitrust.org/Record/004314683","HathiTrust Record")</f>
        <v>HathiTrust Record</v>
      </c>
      <c r="AS2262" s="6" t="str">
        <f>HYPERLINK("https://creighton-primo.hosted.exlibrisgroup.com/primo-explore/search?tab=default_tab&amp;search_scope=EVERYTHING&amp;vid=01CRU&amp;lang=en_US&amp;offset=0&amp;query=any,contains,991004004109702656","Catalog Record")</f>
        <v>Catalog Record</v>
      </c>
      <c r="AT2262" s="6" t="str">
        <f>HYPERLINK("http://www.worldcat.org/oclc/51251869","WorldCat Record")</f>
        <v>WorldCat Record</v>
      </c>
      <c r="AU2262" s="3" t="s">
        <v>27565</v>
      </c>
      <c r="AV2262" s="3" t="s">
        <v>27566</v>
      </c>
      <c r="AW2262" s="3" t="s">
        <v>27567</v>
      </c>
      <c r="AX2262" s="3" t="s">
        <v>27567</v>
      </c>
      <c r="AY2262" s="3" t="s">
        <v>27568</v>
      </c>
      <c r="AZ2262" s="3" t="s">
        <v>73</v>
      </c>
      <c r="BB2262" s="3" t="s">
        <v>27569</v>
      </c>
      <c r="BC2262" s="3" t="s">
        <v>27570</v>
      </c>
      <c r="BD2262" s="3" t="s">
        <v>27571</v>
      </c>
    </row>
    <row r="2263" spans="1:56" ht="51" customHeight="1" x14ac:dyDescent="0.25">
      <c r="A2263" s="7" t="s">
        <v>58</v>
      </c>
      <c r="B2263" s="2" t="s">
        <v>27572</v>
      </c>
      <c r="C2263" s="2" t="s">
        <v>27573</v>
      </c>
      <c r="D2263" s="2" t="s">
        <v>27574</v>
      </c>
      <c r="F2263" s="3" t="s">
        <v>58</v>
      </c>
      <c r="G2263" s="3" t="s">
        <v>59</v>
      </c>
      <c r="H2263" s="3" t="s">
        <v>58</v>
      </c>
      <c r="I2263" s="3" t="s">
        <v>58</v>
      </c>
      <c r="J2263" s="3" t="s">
        <v>60</v>
      </c>
      <c r="K2263" s="2" t="s">
        <v>27575</v>
      </c>
      <c r="L2263" s="2" t="s">
        <v>27576</v>
      </c>
      <c r="M2263" s="3" t="s">
        <v>653</v>
      </c>
      <c r="O2263" s="3" t="s">
        <v>63</v>
      </c>
      <c r="P2263" s="3" t="s">
        <v>214</v>
      </c>
      <c r="R2263" s="3" t="s">
        <v>65</v>
      </c>
      <c r="S2263" s="4">
        <v>13</v>
      </c>
      <c r="T2263" s="4">
        <v>13</v>
      </c>
      <c r="U2263" s="5" t="s">
        <v>11361</v>
      </c>
      <c r="V2263" s="5" t="s">
        <v>11361</v>
      </c>
      <c r="W2263" s="5" t="s">
        <v>12420</v>
      </c>
      <c r="X2263" s="5" t="s">
        <v>12420</v>
      </c>
      <c r="Y2263" s="4">
        <v>1117</v>
      </c>
      <c r="Z2263" s="4">
        <v>1007</v>
      </c>
      <c r="AA2263" s="4">
        <v>1016</v>
      </c>
      <c r="AB2263" s="4">
        <v>13</v>
      </c>
      <c r="AC2263" s="4">
        <v>13</v>
      </c>
      <c r="AD2263" s="4">
        <v>35</v>
      </c>
      <c r="AE2263" s="4">
        <v>35</v>
      </c>
      <c r="AF2263" s="4">
        <v>12</v>
      </c>
      <c r="AG2263" s="4">
        <v>12</v>
      </c>
      <c r="AH2263" s="4">
        <v>8</v>
      </c>
      <c r="AI2263" s="4">
        <v>8</v>
      </c>
      <c r="AJ2263" s="4">
        <v>14</v>
      </c>
      <c r="AK2263" s="4">
        <v>14</v>
      </c>
      <c r="AL2263" s="4">
        <v>8</v>
      </c>
      <c r="AM2263" s="4">
        <v>8</v>
      </c>
      <c r="AN2263" s="4">
        <v>1</v>
      </c>
      <c r="AO2263" s="4">
        <v>1</v>
      </c>
      <c r="AP2263" s="3" t="s">
        <v>58</v>
      </c>
      <c r="AQ2263" s="3" t="s">
        <v>68</v>
      </c>
      <c r="AR2263" s="6" t="str">
        <f>HYPERLINK("http://catalog.hathitrust.org/Record/002468212","HathiTrust Record")</f>
        <v>HathiTrust Record</v>
      </c>
      <c r="AS2263" s="6" t="str">
        <f>HYPERLINK("https://creighton-primo.hosted.exlibrisgroup.com/primo-explore/search?tab=default_tab&amp;search_scope=EVERYTHING&amp;vid=01CRU&amp;lang=en_US&amp;offset=0&amp;query=any,contains,991001869809702656","Catalog Record")</f>
        <v>Catalog Record</v>
      </c>
      <c r="AT2263" s="6" t="str">
        <f>HYPERLINK("http://www.worldcat.org/oclc/23584115","WorldCat Record")</f>
        <v>WorldCat Record</v>
      </c>
      <c r="AU2263" s="3" t="s">
        <v>27577</v>
      </c>
      <c r="AV2263" s="3" t="s">
        <v>27578</v>
      </c>
      <c r="AW2263" s="3" t="s">
        <v>27579</v>
      </c>
      <c r="AX2263" s="3" t="s">
        <v>27579</v>
      </c>
      <c r="AY2263" s="3" t="s">
        <v>27580</v>
      </c>
      <c r="AZ2263" s="3" t="s">
        <v>73</v>
      </c>
      <c r="BB2263" s="3" t="s">
        <v>27581</v>
      </c>
      <c r="BC2263" s="3" t="s">
        <v>27582</v>
      </c>
      <c r="BD2263" s="3" t="s">
        <v>27583</v>
      </c>
    </row>
    <row r="2264" spans="1:56" ht="51" customHeight="1" x14ac:dyDescent="0.25">
      <c r="A2264" s="7" t="s">
        <v>58</v>
      </c>
      <c r="B2264" s="2" t="s">
        <v>27584</v>
      </c>
      <c r="C2264" s="2" t="s">
        <v>27585</v>
      </c>
      <c r="D2264" s="2" t="s">
        <v>27586</v>
      </c>
      <c r="F2264" s="3" t="s">
        <v>58</v>
      </c>
      <c r="G2264" s="3" t="s">
        <v>59</v>
      </c>
      <c r="H2264" s="3" t="s">
        <v>58</v>
      </c>
      <c r="I2264" s="3" t="s">
        <v>58</v>
      </c>
      <c r="J2264" s="3" t="s">
        <v>60</v>
      </c>
      <c r="K2264" s="2" t="s">
        <v>27587</v>
      </c>
      <c r="L2264" s="2" t="s">
        <v>27588</v>
      </c>
      <c r="M2264" s="3" t="s">
        <v>479</v>
      </c>
      <c r="O2264" s="3" t="s">
        <v>63</v>
      </c>
      <c r="P2264" s="3" t="s">
        <v>2630</v>
      </c>
      <c r="R2264" s="3" t="s">
        <v>65</v>
      </c>
      <c r="S2264" s="4">
        <v>7</v>
      </c>
      <c r="T2264" s="4">
        <v>7</v>
      </c>
      <c r="U2264" s="5" t="s">
        <v>27589</v>
      </c>
      <c r="V2264" s="5" t="s">
        <v>27589</v>
      </c>
      <c r="W2264" s="5" t="s">
        <v>9926</v>
      </c>
      <c r="X2264" s="5" t="s">
        <v>9926</v>
      </c>
      <c r="Y2264" s="4">
        <v>331</v>
      </c>
      <c r="Z2264" s="4">
        <v>263</v>
      </c>
      <c r="AA2264" s="4">
        <v>268</v>
      </c>
      <c r="AB2264" s="4">
        <v>3</v>
      </c>
      <c r="AC2264" s="4">
        <v>3</v>
      </c>
      <c r="AD2264" s="4">
        <v>14</v>
      </c>
      <c r="AE2264" s="4">
        <v>14</v>
      </c>
      <c r="AF2264" s="4">
        <v>2</v>
      </c>
      <c r="AG2264" s="4">
        <v>2</v>
      </c>
      <c r="AH2264" s="4">
        <v>7</v>
      </c>
      <c r="AI2264" s="4">
        <v>7</v>
      </c>
      <c r="AJ2264" s="4">
        <v>7</v>
      </c>
      <c r="AK2264" s="4">
        <v>7</v>
      </c>
      <c r="AL2264" s="4">
        <v>2</v>
      </c>
      <c r="AM2264" s="4">
        <v>2</v>
      </c>
      <c r="AN2264" s="4">
        <v>0</v>
      </c>
      <c r="AO2264" s="4">
        <v>0</v>
      </c>
      <c r="AP2264" s="3" t="s">
        <v>58</v>
      </c>
      <c r="AQ2264" s="3" t="s">
        <v>58</v>
      </c>
      <c r="AS2264" s="6" t="str">
        <f>HYPERLINK("https://creighton-primo.hosted.exlibrisgroup.com/primo-explore/search?tab=default_tab&amp;search_scope=EVERYTHING&amp;vid=01CRU&amp;lang=en_US&amp;offset=0&amp;query=any,contains,991002246759702656","Catalog Record")</f>
        <v>Catalog Record</v>
      </c>
      <c r="AT2264" s="6" t="str">
        <f>HYPERLINK("http://www.worldcat.org/oclc/28966030","WorldCat Record")</f>
        <v>WorldCat Record</v>
      </c>
      <c r="AU2264" s="3" t="s">
        <v>27590</v>
      </c>
      <c r="AV2264" s="3" t="s">
        <v>27591</v>
      </c>
      <c r="AW2264" s="3" t="s">
        <v>27592</v>
      </c>
      <c r="AX2264" s="3" t="s">
        <v>27592</v>
      </c>
      <c r="AY2264" s="3" t="s">
        <v>27593</v>
      </c>
      <c r="AZ2264" s="3" t="s">
        <v>73</v>
      </c>
      <c r="BB2264" s="3" t="s">
        <v>27594</v>
      </c>
      <c r="BC2264" s="3" t="s">
        <v>27595</v>
      </c>
      <c r="BD2264" s="3" t="s">
        <v>27596</v>
      </c>
    </row>
    <row r="2265" spans="1:56" ht="51" customHeight="1" x14ac:dyDescent="0.25">
      <c r="A2265" s="7" t="s">
        <v>58</v>
      </c>
      <c r="B2265" s="2" t="s">
        <v>27597</v>
      </c>
      <c r="C2265" s="2" t="s">
        <v>27598</v>
      </c>
      <c r="D2265" s="2" t="s">
        <v>27599</v>
      </c>
      <c r="F2265" s="3" t="s">
        <v>58</v>
      </c>
      <c r="G2265" s="3" t="s">
        <v>59</v>
      </c>
      <c r="H2265" s="3" t="s">
        <v>58</v>
      </c>
      <c r="I2265" s="3" t="s">
        <v>58</v>
      </c>
      <c r="J2265" s="3" t="s">
        <v>60</v>
      </c>
      <c r="L2265" s="2" t="s">
        <v>27600</v>
      </c>
      <c r="M2265" s="3" t="s">
        <v>653</v>
      </c>
      <c r="N2265" s="2" t="s">
        <v>338</v>
      </c>
      <c r="O2265" s="3" t="s">
        <v>63</v>
      </c>
      <c r="P2265" s="3" t="s">
        <v>816</v>
      </c>
      <c r="R2265" s="3" t="s">
        <v>65</v>
      </c>
      <c r="S2265" s="4">
        <v>22</v>
      </c>
      <c r="T2265" s="4">
        <v>22</v>
      </c>
      <c r="U2265" s="5" t="s">
        <v>27601</v>
      </c>
      <c r="V2265" s="5" t="s">
        <v>27601</v>
      </c>
      <c r="W2265" s="5" t="s">
        <v>6594</v>
      </c>
      <c r="X2265" s="5" t="s">
        <v>6594</v>
      </c>
      <c r="Y2265" s="4">
        <v>604</v>
      </c>
      <c r="Z2265" s="4">
        <v>555</v>
      </c>
      <c r="AA2265" s="4">
        <v>563</v>
      </c>
      <c r="AB2265" s="4">
        <v>5</v>
      </c>
      <c r="AC2265" s="4">
        <v>5</v>
      </c>
      <c r="AD2265" s="4">
        <v>2</v>
      </c>
      <c r="AE2265" s="4">
        <v>2</v>
      </c>
      <c r="AF2265" s="4">
        <v>0</v>
      </c>
      <c r="AG2265" s="4">
        <v>0</v>
      </c>
      <c r="AH2265" s="4">
        <v>0</v>
      </c>
      <c r="AI2265" s="4">
        <v>0</v>
      </c>
      <c r="AJ2265" s="4">
        <v>2</v>
      </c>
      <c r="AK2265" s="4">
        <v>2</v>
      </c>
      <c r="AL2265" s="4">
        <v>0</v>
      </c>
      <c r="AM2265" s="4">
        <v>0</v>
      </c>
      <c r="AN2265" s="4">
        <v>0</v>
      </c>
      <c r="AO2265" s="4">
        <v>0</v>
      </c>
      <c r="AP2265" s="3" t="s">
        <v>58</v>
      </c>
      <c r="AQ2265" s="3" t="s">
        <v>58</v>
      </c>
      <c r="AS2265" s="6" t="str">
        <f>HYPERLINK("https://creighton-primo.hosted.exlibrisgroup.com/primo-explore/search?tab=default_tab&amp;search_scope=EVERYTHING&amp;vid=01CRU&amp;lang=en_US&amp;offset=0&amp;query=any,contains,991001881569702656","Catalog Record")</f>
        <v>Catalog Record</v>
      </c>
      <c r="AT2265" s="6" t="str">
        <f>HYPERLINK("http://www.worldcat.org/oclc/23732332","WorldCat Record")</f>
        <v>WorldCat Record</v>
      </c>
      <c r="AU2265" s="3" t="s">
        <v>27602</v>
      </c>
      <c r="AV2265" s="3" t="s">
        <v>27603</v>
      </c>
      <c r="AW2265" s="3" t="s">
        <v>27604</v>
      </c>
      <c r="AX2265" s="3" t="s">
        <v>27604</v>
      </c>
      <c r="AY2265" s="3" t="s">
        <v>27605</v>
      </c>
      <c r="AZ2265" s="3" t="s">
        <v>73</v>
      </c>
      <c r="BB2265" s="3" t="s">
        <v>27606</v>
      </c>
      <c r="BC2265" s="3" t="s">
        <v>27607</v>
      </c>
      <c r="BD2265" s="3" t="s">
        <v>27608</v>
      </c>
    </row>
    <row r="2266" spans="1:56" ht="51" customHeight="1" x14ac:dyDescent="0.25">
      <c r="A2266" s="7" t="s">
        <v>58</v>
      </c>
      <c r="B2266" s="2" t="s">
        <v>27609</v>
      </c>
      <c r="C2266" s="2" t="s">
        <v>27610</v>
      </c>
      <c r="D2266" s="2" t="s">
        <v>27611</v>
      </c>
      <c r="F2266" s="3" t="s">
        <v>58</v>
      </c>
      <c r="G2266" s="3" t="s">
        <v>59</v>
      </c>
      <c r="H2266" s="3" t="s">
        <v>58</v>
      </c>
      <c r="I2266" s="3" t="s">
        <v>58</v>
      </c>
      <c r="J2266" s="3" t="s">
        <v>60</v>
      </c>
      <c r="K2266" s="2" t="s">
        <v>27612</v>
      </c>
      <c r="L2266" s="2" t="s">
        <v>27613</v>
      </c>
      <c r="M2266" s="3" t="s">
        <v>855</v>
      </c>
      <c r="O2266" s="3" t="s">
        <v>63</v>
      </c>
      <c r="P2266" s="3" t="s">
        <v>354</v>
      </c>
      <c r="R2266" s="3" t="s">
        <v>65</v>
      </c>
      <c r="S2266" s="4">
        <v>6</v>
      </c>
      <c r="T2266" s="4">
        <v>6</v>
      </c>
      <c r="U2266" s="5" t="s">
        <v>27614</v>
      </c>
      <c r="V2266" s="5" t="s">
        <v>27614</v>
      </c>
      <c r="W2266" s="5" t="s">
        <v>27615</v>
      </c>
      <c r="X2266" s="5" t="s">
        <v>27615</v>
      </c>
      <c r="Y2266" s="4">
        <v>1148</v>
      </c>
      <c r="Z2266" s="4">
        <v>1029</v>
      </c>
      <c r="AA2266" s="4">
        <v>1118</v>
      </c>
      <c r="AB2266" s="4">
        <v>8</v>
      </c>
      <c r="AC2266" s="4">
        <v>9</v>
      </c>
      <c r="AD2266" s="4">
        <v>33</v>
      </c>
      <c r="AE2266" s="4">
        <v>36</v>
      </c>
      <c r="AF2266" s="4">
        <v>9</v>
      </c>
      <c r="AG2266" s="4">
        <v>10</v>
      </c>
      <c r="AH2266" s="4">
        <v>8</v>
      </c>
      <c r="AI2266" s="4">
        <v>9</v>
      </c>
      <c r="AJ2266" s="4">
        <v>17</v>
      </c>
      <c r="AK2266" s="4">
        <v>17</v>
      </c>
      <c r="AL2266" s="4">
        <v>6</v>
      </c>
      <c r="AM2266" s="4">
        <v>7</v>
      </c>
      <c r="AN2266" s="4">
        <v>3</v>
      </c>
      <c r="AO2266" s="4">
        <v>3</v>
      </c>
      <c r="AP2266" s="3" t="s">
        <v>58</v>
      </c>
      <c r="AQ2266" s="3" t="s">
        <v>58</v>
      </c>
      <c r="AS2266" s="6" t="str">
        <f>HYPERLINK("https://creighton-primo.hosted.exlibrisgroup.com/primo-explore/search?tab=default_tab&amp;search_scope=EVERYTHING&amp;vid=01CRU&amp;lang=en_US&amp;offset=0&amp;query=any,contains,991002093859702656","Catalog Record")</f>
        <v>Catalog Record</v>
      </c>
      <c r="AT2266" s="6" t="str">
        <f>HYPERLINK("http://www.worldcat.org/oclc/26854210","WorldCat Record")</f>
        <v>WorldCat Record</v>
      </c>
      <c r="AU2266" s="3" t="s">
        <v>27616</v>
      </c>
      <c r="AV2266" s="3" t="s">
        <v>27617</v>
      </c>
      <c r="AW2266" s="3" t="s">
        <v>27618</v>
      </c>
      <c r="AX2266" s="3" t="s">
        <v>27618</v>
      </c>
      <c r="AY2266" s="3" t="s">
        <v>27619</v>
      </c>
      <c r="AZ2266" s="3" t="s">
        <v>73</v>
      </c>
      <c r="BB2266" s="3" t="s">
        <v>27620</v>
      </c>
      <c r="BC2266" s="3" t="s">
        <v>27621</v>
      </c>
      <c r="BD2266" s="3" t="s">
        <v>27622</v>
      </c>
    </row>
    <row r="2267" spans="1:56" ht="51" customHeight="1" x14ac:dyDescent="0.25">
      <c r="A2267" s="7" t="s">
        <v>58</v>
      </c>
      <c r="B2267" s="2" t="s">
        <v>27623</v>
      </c>
      <c r="C2267" s="2" t="s">
        <v>27624</v>
      </c>
      <c r="D2267" s="2" t="s">
        <v>27625</v>
      </c>
      <c r="F2267" s="3" t="s">
        <v>58</v>
      </c>
      <c r="G2267" s="3" t="s">
        <v>59</v>
      </c>
      <c r="H2267" s="3" t="s">
        <v>58</v>
      </c>
      <c r="I2267" s="3" t="s">
        <v>58</v>
      </c>
      <c r="J2267" s="3" t="s">
        <v>60</v>
      </c>
      <c r="K2267" s="2" t="s">
        <v>27626</v>
      </c>
      <c r="L2267" s="2" t="s">
        <v>27627</v>
      </c>
      <c r="M2267" s="3" t="s">
        <v>1544</v>
      </c>
      <c r="O2267" s="3" t="s">
        <v>63</v>
      </c>
      <c r="P2267" s="3" t="s">
        <v>2061</v>
      </c>
      <c r="R2267" s="3" t="s">
        <v>65</v>
      </c>
      <c r="S2267" s="4">
        <v>12</v>
      </c>
      <c r="T2267" s="4">
        <v>12</v>
      </c>
      <c r="U2267" s="5" t="s">
        <v>11361</v>
      </c>
      <c r="V2267" s="5" t="s">
        <v>11361</v>
      </c>
      <c r="W2267" s="5" t="s">
        <v>5734</v>
      </c>
      <c r="X2267" s="5" t="s">
        <v>5734</v>
      </c>
      <c r="Y2267" s="4">
        <v>338</v>
      </c>
      <c r="Z2267" s="4">
        <v>309</v>
      </c>
      <c r="AA2267" s="4">
        <v>331</v>
      </c>
      <c r="AB2267" s="4">
        <v>2</v>
      </c>
      <c r="AC2267" s="4">
        <v>2</v>
      </c>
      <c r="AD2267" s="4">
        <v>13</v>
      </c>
      <c r="AE2267" s="4">
        <v>13</v>
      </c>
      <c r="AF2267" s="4">
        <v>4</v>
      </c>
      <c r="AG2267" s="4">
        <v>4</v>
      </c>
      <c r="AH2267" s="4">
        <v>4</v>
      </c>
      <c r="AI2267" s="4">
        <v>4</v>
      </c>
      <c r="AJ2267" s="4">
        <v>9</v>
      </c>
      <c r="AK2267" s="4">
        <v>9</v>
      </c>
      <c r="AL2267" s="4">
        <v>1</v>
      </c>
      <c r="AM2267" s="4">
        <v>1</v>
      </c>
      <c r="AN2267" s="4">
        <v>0</v>
      </c>
      <c r="AO2267" s="4">
        <v>0</v>
      </c>
      <c r="AP2267" s="3" t="s">
        <v>58</v>
      </c>
      <c r="AQ2267" s="3" t="s">
        <v>68</v>
      </c>
      <c r="AR2267" s="6" t="str">
        <f>HYPERLINK("http://catalog.hathitrust.org/Record/002652178","HathiTrust Record")</f>
        <v>HathiTrust Record</v>
      </c>
      <c r="AS2267" s="6" t="str">
        <f>HYPERLINK("https://creighton-primo.hosted.exlibrisgroup.com/primo-explore/search?tab=default_tab&amp;search_scope=EVERYTHING&amp;vid=01CRU&amp;lang=en_US&amp;offset=0&amp;query=any,contains,991002009459702656","Catalog Record")</f>
        <v>Catalog Record</v>
      </c>
      <c r="AT2267" s="6" t="str">
        <f>HYPERLINK("http://www.worldcat.org/oclc/25547747","WorldCat Record")</f>
        <v>WorldCat Record</v>
      </c>
      <c r="AU2267" s="3" t="s">
        <v>27628</v>
      </c>
      <c r="AV2267" s="3" t="s">
        <v>27629</v>
      </c>
      <c r="AW2267" s="3" t="s">
        <v>27630</v>
      </c>
      <c r="AX2267" s="3" t="s">
        <v>27630</v>
      </c>
      <c r="AY2267" s="3" t="s">
        <v>27631</v>
      </c>
      <c r="AZ2267" s="3" t="s">
        <v>73</v>
      </c>
      <c r="BB2267" s="3" t="s">
        <v>27632</v>
      </c>
      <c r="BC2267" s="3" t="s">
        <v>27633</v>
      </c>
      <c r="BD2267" s="3" t="s">
        <v>27634</v>
      </c>
    </row>
    <row r="2268" spans="1:56" ht="51" customHeight="1" x14ac:dyDescent="0.25">
      <c r="A2268" s="7" t="s">
        <v>58</v>
      </c>
      <c r="B2268" s="2" t="s">
        <v>27635</v>
      </c>
      <c r="C2268" s="2" t="s">
        <v>27636</v>
      </c>
      <c r="D2268" s="2" t="s">
        <v>27637</v>
      </c>
      <c r="F2268" s="3" t="s">
        <v>58</v>
      </c>
      <c r="G2268" s="3" t="s">
        <v>59</v>
      </c>
      <c r="H2268" s="3" t="s">
        <v>58</v>
      </c>
      <c r="I2268" s="3" t="s">
        <v>58</v>
      </c>
      <c r="J2268" s="3" t="s">
        <v>60</v>
      </c>
      <c r="L2268" s="2" t="s">
        <v>27638</v>
      </c>
      <c r="M2268" s="3" t="s">
        <v>855</v>
      </c>
      <c r="O2268" s="3" t="s">
        <v>63</v>
      </c>
      <c r="P2268" s="3" t="s">
        <v>1837</v>
      </c>
      <c r="R2268" s="3" t="s">
        <v>65</v>
      </c>
      <c r="S2268" s="4">
        <v>9</v>
      </c>
      <c r="T2268" s="4">
        <v>9</v>
      </c>
      <c r="U2268" s="5" t="s">
        <v>9506</v>
      </c>
      <c r="V2268" s="5" t="s">
        <v>9506</v>
      </c>
      <c r="W2268" s="5" t="s">
        <v>27639</v>
      </c>
      <c r="X2268" s="5" t="s">
        <v>27639</v>
      </c>
      <c r="Y2268" s="4">
        <v>522</v>
      </c>
      <c r="Z2268" s="4">
        <v>505</v>
      </c>
      <c r="AA2268" s="4">
        <v>627</v>
      </c>
      <c r="AB2268" s="4">
        <v>4</v>
      </c>
      <c r="AC2268" s="4">
        <v>4</v>
      </c>
      <c r="AD2268" s="4">
        <v>17</v>
      </c>
      <c r="AE2268" s="4">
        <v>26</v>
      </c>
      <c r="AF2268" s="4">
        <v>7</v>
      </c>
      <c r="AG2268" s="4">
        <v>8</v>
      </c>
      <c r="AH2268" s="4">
        <v>4</v>
      </c>
      <c r="AI2268" s="4">
        <v>6</v>
      </c>
      <c r="AJ2268" s="4">
        <v>9</v>
      </c>
      <c r="AK2268" s="4">
        <v>16</v>
      </c>
      <c r="AL2268" s="4">
        <v>3</v>
      </c>
      <c r="AM2268" s="4">
        <v>3</v>
      </c>
      <c r="AN2268" s="4">
        <v>0</v>
      </c>
      <c r="AO2268" s="4">
        <v>1</v>
      </c>
      <c r="AP2268" s="3" t="s">
        <v>58</v>
      </c>
      <c r="AQ2268" s="3" t="s">
        <v>68</v>
      </c>
      <c r="AR2268" s="6" t="str">
        <f>HYPERLINK("http://catalog.hathitrust.org/Record/002856205","HathiTrust Record")</f>
        <v>HathiTrust Record</v>
      </c>
      <c r="AS2268" s="6" t="str">
        <f>HYPERLINK("https://creighton-primo.hosted.exlibrisgroup.com/primo-explore/search?tab=default_tab&amp;search_scope=EVERYTHING&amp;vid=01CRU&amp;lang=en_US&amp;offset=0&amp;query=any,contains,991002261989702656","Catalog Record")</f>
        <v>Catalog Record</v>
      </c>
      <c r="AT2268" s="6" t="str">
        <f>HYPERLINK("http://www.worldcat.org/oclc/29348508","WorldCat Record")</f>
        <v>WorldCat Record</v>
      </c>
      <c r="AU2268" s="3" t="s">
        <v>27640</v>
      </c>
      <c r="AV2268" s="3" t="s">
        <v>27641</v>
      </c>
      <c r="AW2268" s="3" t="s">
        <v>27642</v>
      </c>
      <c r="AX2268" s="3" t="s">
        <v>27642</v>
      </c>
      <c r="AY2268" s="3" t="s">
        <v>27643</v>
      </c>
      <c r="AZ2268" s="3" t="s">
        <v>73</v>
      </c>
      <c r="BC2268" s="3" t="s">
        <v>27644</v>
      </c>
      <c r="BD2268" s="3" t="s">
        <v>27645</v>
      </c>
    </row>
    <row r="2269" spans="1:56" ht="51" customHeight="1" x14ac:dyDescent="0.25">
      <c r="A2269" s="7" t="s">
        <v>58</v>
      </c>
      <c r="B2269" s="2" t="s">
        <v>27646</v>
      </c>
      <c r="C2269" s="2" t="s">
        <v>27647</v>
      </c>
      <c r="D2269" s="2" t="s">
        <v>27648</v>
      </c>
      <c r="F2269" s="3" t="s">
        <v>58</v>
      </c>
      <c r="G2269" s="3" t="s">
        <v>59</v>
      </c>
      <c r="H2269" s="3" t="s">
        <v>58</v>
      </c>
      <c r="I2269" s="3" t="s">
        <v>58</v>
      </c>
      <c r="J2269" s="3" t="s">
        <v>60</v>
      </c>
      <c r="K2269" s="2" t="s">
        <v>18462</v>
      </c>
      <c r="L2269" s="2" t="s">
        <v>27649</v>
      </c>
      <c r="M2269" s="3" t="s">
        <v>2326</v>
      </c>
      <c r="O2269" s="3" t="s">
        <v>63</v>
      </c>
      <c r="P2269" s="3" t="s">
        <v>510</v>
      </c>
      <c r="Q2269" s="2" t="s">
        <v>27650</v>
      </c>
      <c r="R2269" s="3" t="s">
        <v>65</v>
      </c>
      <c r="S2269" s="4">
        <v>2</v>
      </c>
      <c r="T2269" s="4">
        <v>2</v>
      </c>
      <c r="U2269" s="5" t="s">
        <v>19716</v>
      </c>
      <c r="V2269" s="5" t="s">
        <v>19716</v>
      </c>
      <c r="W2269" s="5" t="s">
        <v>12656</v>
      </c>
      <c r="X2269" s="5" t="s">
        <v>12656</v>
      </c>
      <c r="Y2269" s="4">
        <v>319</v>
      </c>
      <c r="Z2269" s="4">
        <v>276</v>
      </c>
      <c r="AA2269" s="4">
        <v>671</v>
      </c>
      <c r="AB2269" s="4">
        <v>2</v>
      </c>
      <c r="AC2269" s="4">
        <v>4</v>
      </c>
      <c r="AD2269" s="4">
        <v>15</v>
      </c>
      <c r="AE2269" s="4">
        <v>19</v>
      </c>
      <c r="AF2269" s="4">
        <v>9</v>
      </c>
      <c r="AG2269" s="4">
        <v>11</v>
      </c>
      <c r="AH2269" s="4">
        <v>4</v>
      </c>
      <c r="AI2269" s="4">
        <v>4</v>
      </c>
      <c r="AJ2269" s="4">
        <v>8</v>
      </c>
      <c r="AK2269" s="4">
        <v>8</v>
      </c>
      <c r="AL2269" s="4">
        <v>1</v>
      </c>
      <c r="AM2269" s="4">
        <v>3</v>
      </c>
      <c r="AN2269" s="4">
        <v>0</v>
      </c>
      <c r="AO2269" s="4">
        <v>0</v>
      </c>
      <c r="AP2269" s="3" t="s">
        <v>58</v>
      </c>
      <c r="AQ2269" s="3" t="s">
        <v>68</v>
      </c>
      <c r="AR2269" s="6" t="str">
        <f>HYPERLINK("http://catalog.hathitrust.org/Record/005927660","HathiTrust Record")</f>
        <v>HathiTrust Record</v>
      </c>
      <c r="AS2269" s="6" t="str">
        <f>HYPERLINK("https://creighton-primo.hosted.exlibrisgroup.com/primo-explore/search?tab=default_tab&amp;search_scope=EVERYTHING&amp;vid=01CRU&amp;lang=en_US&amp;offset=0&amp;query=any,contains,991005364869702656","Catalog Record")</f>
        <v>Catalog Record</v>
      </c>
      <c r="AT2269" s="6" t="str">
        <f>HYPERLINK("http://www.worldcat.org/oclc/233543989","WorldCat Record")</f>
        <v>WorldCat Record</v>
      </c>
      <c r="AU2269" s="3" t="s">
        <v>27651</v>
      </c>
      <c r="AV2269" s="3" t="s">
        <v>27652</v>
      </c>
      <c r="AW2269" s="3" t="s">
        <v>27653</v>
      </c>
      <c r="AX2269" s="3" t="s">
        <v>27653</v>
      </c>
      <c r="AY2269" s="3" t="s">
        <v>27654</v>
      </c>
      <c r="AZ2269" s="3" t="s">
        <v>73</v>
      </c>
      <c r="BB2269" s="3" t="s">
        <v>27655</v>
      </c>
      <c r="BC2269" s="3" t="s">
        <v>27656</v>
      </c>
      <c r="BD2269" s="3" t="s">
        <v>27657</v>
      </c>
    </row>
    <row r="2270" spans="1:56" ht="51" customHeight="1" x14ac:dyDescent="0.25">
      <c r="A2270" s="7" t="s">
        <v>58</v>
      </c>
      <c r="B2270" s="2" t="s">
        <v>27658</v>
      </c>
      <c r="C2270" s="2" t="s">
        <v>27659</v>
      </c>
      <c r="D2270" s="2" t="s">
        <v>27660</v>
      </c>
      <c r="F2270" s="3" t="s">
        <v>58</v>
      </c>
      <c r="G2270" s="3" t="s">
        <v>59</v>
      </c>
      <c r="H2270" s="3" t="s">
        <v>58</v>
      </c>
      <c r="I2270" s="3" t="s">
        <v>58</v>
      </c>
      <c r="J2270" s="3" t="s">
        <v>60</v>
      </c>
      <c r="K2270" s="2" t="s">
        <v>27661</v>
      </c>
      <c r="L2270" s="2" t="s">
        <v>27662</v>
      </c>
      <c r="M2270" s="3" t="s">
        <v>1544</v>
      </c>
      <c r="N2270" s="2" t="s">
        <v>338</v>
      </c>
      <c r="O2270" s="3" t="s">
        <v>63</v>
      </c>
      <c r="P2270" s="3" t="s">
        <v>214</v>
      </c>
      <c r="R2270" s="3" t="s">
        <v>65</v>
      </c>
      <c r="S2270" s="4">
        <v>7</v>
      </c>
      <c r="T2270" s="4">
        <v>7</v>
      </c>
      <c r="U2270" s="5" t="s">
        <v>1666</v>
      </c>
      <c r="V2270" s="5" t="s">
        <v>1666</v>
      </c>
      <c r="W2270" s="5" t="s">
        <v>3215</v>
      </c>
      <c r="X2270" s="5" t="s">
        <v>3215</v>
      </c>
      <c r="Y2270" s="4">
        <v>1035</v>
      </c>
      <c r="Z2270" s="4">
        <v>945</v>
      </c>
      <c r="AA2270" s="4">
        <v>954</v>
      </c>
      <c r="AB2270" s="4">
        <v>4</v>
      </c>
      <c r="AC2270" s="4">
        <v>4</v>
      </c>
      <c r="AD2270" s="4">
        <v>21</v>
      </c>
      <c r="AE2270" s="4">
        <v>21</v>
      </c>
      <c r="AF2270" s="4">
        <v>7</v>
      </c>
      <c r="AG2270" s="4">
        <v>7</v>
      </c>
      <c r="AH2270" s="4">
        <v>6</v>
      </c>
      <c r="AI2270" s="4">
        <v>6</v>
      </c>
      <c r="AJ2270" s="4">
        <v>11</v>
      </c>
      <c r="AK2270" s="4">
        <v>11</v>
      </c>
      <c r="AL2270" s="4">
        <v>3</v>
      </c>
      <c r="AM2270" s="4">
        <v>3</v>
      </c>
      <c r="AN2270" s="4">
        <v>0</v>
      </c>
      <c r="AO2270" s="4">
        <v>0</v>
      </c>
      <c r="AP2270" s="3" t="s">
        <v>58</v>
      </c>
      <c r="AQ2270" s="3" t="s">
        <v>58</v>
      </c>
      <c r="AS2270" s="6" t="str">
        <f>HYPERLINK("https://creighton-primo.hosted.exlibrisgroup.com/primo-explore/search?tab=default_tab&amp;search_scope=EVERYTHING&amp;vid=01CRU&amp;lang=en_US&amp;offset=0&amp;query=any,contains,991001940209702656","Catalog Record")</f>
        <v>Catalog Record</v>
      </c>
      <c r="AT2270" s="6" t="str">
        <f>HYPERLINK("http://www.worldcat.org/oclc/24504095","WorldCat Record")</f>
        <v>WorldCat Record</v>
      </c>
      <c r="AU2270" s="3" t="s">
        <v>27663</v>
      </c>
      <c r="AV2270" s="3" t="s">
        <v>27664</v>
      </c>
      <c r="AW2270" s="3" t="s">
        <v>27665</v>
      </c>
      <c r="AX2270" s="3" t="s">
        <v>27665</v>
      </c>
      <c r="AY2270" s="3" t="s">
        <v>27666</v>
      </c>
      <c r="AZ2270" s="3" t="s">
        <v>73</v>
      </c>
      <c r="BB2270" s="3" t="s">
        <v>27667</v>
      </c>
      <c r="BC2270" s="3" t="s">
        <v>27668</v>
      </c>
      <c r="BD2270" s="3" t="s">
        <v>27669</v>
      </c>
    </row>
    <row r="2271" spans="1:56" ht="51" customHeight="1" x14ac:dyDescent="0.25">
      <c r="A2271" s="7" t="s">
        <v>58</v>
      </c>
      <c r="B2271" s="2" t="s">
        <v>27670</v>
      </c>
      <c r="C2271" s="2" t="s">
        <v>27671</v>
      </c>
      <c r="D2271" s="2" t="s">
        <v>27672</v>
      </c>
      <c r="F2271" s="3" t="s">
        <v>58</v>
      </c>
      <c r="G2271" s="3" t="s">
        <v>59</v>
      </c>
      <c r="H2271" s="3" t="s">
        <v>58</v>
      </c>
      <c r="I2271" s="3" t="s">
        <v>58</v>
      </c>
      <c r="J2271" s="3" t="s">
        <v>60</v>
      </c>
      <c r="K2271" s="2" t="s">
        <v>27673</v>
      </c>
      <c r="L2271" s="2" t="s">
        <v>27674</v>
      </c>
      <c r="M2271" s="3" t="s">
        <v>1544</v>
      </c>
      <c r="O2271" s="3" t="s">
        <v>63</v>
      </c>
      <c r="P2271" s="3" t="s">
        <v>584</v>
      </c>
      <c r="R2271" s="3" t="s">
        <v>65</v>
      </c>
      <c r="S2271" s="4">
        <v>28</v>
      </c>
      <c r="T2271" s="4">
        <v>28</v>
      </c>
      <c r="U2271" s="5" t="s">
        <v>27675</v>
      </c>
      <c r="V2271" s="5" t="s">
        <v>27675</v>
      </c>
      <c r="W2271" s="5" t="s">
        <v>6553</v>
      </c>
      <c r="X2271" s="5" t="s">
        <v>6553</v>
      </c>
      <c r="Y2271" s="4">
        <v>646</v>
      </c>
      <c r="Z2271" s="4">
        <v>447</v>
      </c>
      <c r="AA2271" s="4">
        <v>534</v>
      </c>
      <c r="AB2271" s="4">
        <v>4</v>
      </c>
      <c r="AC2271" s="4">
        <v>4</v>
      </c>
      <c r="AD2271" s="4">
        <v>22</v>
      </c>
      <c r="AE2271" s="4">
        <v>27</v>
      </c>
      <c r="AF2271" s="4">
        <v>6</v>
      </c>
      <c r="AG2271" s="4">
        <v>9</v>
      </c>
      <c r="AH2271" s="4">
        <v>7</v>
      </c>
      <c r="AI2271" s="4">
        <v>8</v>
      </c>
      <c r="AJ2271" s="4">
        <v>14</v>
      </c>
      <c r="AK2271" s="4">
        <v>15</v>
      </c>
      <c r="AL2271" s="4">
        <v>3</v>
      </c>
      <c r="AM2271" s="4">
        <v>3</v>
      </c>
      <c r="AN2271" s="4">
        <v>0</v>
      </c>
      <c r="AO2271" s="4">
        <v>0</v>
      </c>
      <c r="AP2271" s="3" t="s">
        <v>58</v>
      </c>
      <c r="AQ2271" s="3" t="s">
        <v>68</v>
      </c>
      <c r="AR2271" s="6" t="str">
        <f>HYPERLINK("http://catalog.hathitrust.org/Record/002545402","HathiTrust Record")</f>
        <v>HathiTrust Record</v>
      </c>
      <c r="AS2271" s="6" t="str">
        <f>HYPERLINK("https://creighton-primo.hosted.exlibrisgroup.com/primo-explore/search?tab=default_tab&amp;search_scope=EVERYTHING&amp;vid=01CRU&amp;lang=en_US&amp;offset=0&amp;query=any,contains,991001970799702656","Catalog Record")</f>
        <v>Catalog Record</v>
      </c>
      <c r="AT2271" s="6" t="str">
        <f>HYPERLINK("http://www.worldcat.org/oclc/25008753","WorldCat Record")</f>
        <v>WorldCat Record</v>
      </c>
      <c r="AU2271" s="3" t="s">
        <v>27676</v>
      </c>
      <c r="AV2271" s="3" t="s">
        <v>27677</v>
      </c>
      <c r="AW2271" s="3" t="s">
        <v>27678</v>
      </c>
      <c r="AX2271" s="3" t="s">
        <v>27678</v>
      </c>
      <c r="AY2271" s="3" t="s">
        <v>27679</v>
      </c>
      <c r="AZ2271" s="3" t="s">
        <v>73</v>
      </c>
      <c r="BB2271" s="3" t="s">
        <v>27680</v>
      </c>
      <c r="BC2271" s="3" t="s">
        <v>27681</v>
      </c>
      <c r="BD2271" s="3" t="s">
        <v>27682</v>
      </c>
    </row>
    <row r="2272" spans="1:56" ht="51" customHeight="1" x14ac:dyDescent="0.25">
      <c r="A2272" s="7" t="s">
        <v>58</v>
      </c>
      <c r="B2272" s="2" t="s">
        <v>27683</v>
      </c>
      <c r="C2272" s="2" t="s">
        <v>27684</v>
      </c>
      <c r="D2272" s="2" t="s">
        <v>27685</v>
      </c>
      <c r="F2272" s="3" t="s">
        <v>58</v>
      </c>
      <c r="G2272" s="3" t="s">
        <v>59</v>
      </c>
      <c r="H2272" s="3" t="s">
        <v>58</v>
      </c>
      <c r="I2272" s="3" t="s">
        <v>58</v>
      </c>
      <c r="J2272" s="3" t="s">
        <v>60</v>
      </c>
      <c r="K2272" s="2" t="s">
        <v>27686</v>
      </c>
      <c r="L2272" s="2" t="s">
        <v>27687</v>
      </c>
      <c r="M2272" s="3" t="s">
        <v>1544</v>
      </c>
      <c r="O2272" s="3" t="s">
        <v>63</v>
      </c>
      <c r="P2272" s="3" t="s">
        <v>1192</v>
      </c>
      <c r="R2272" s="3" t="s">
        <v>65</v>
      </c>
      <c r="S2272" s="4">
        <v>5</v>
      </c>
      <c r="T2272" s="4">
        <v>5</v>
      </c>
      <c r="U2272" s="5" t="s">
        <v>8953</v>
      </c>
      <c r="V2272" s="5" t="s">
        <v>8953</v>
      </c>
      <c r="W2272" s="5" t="s">
        <v>3762</v>
      </c>
      <c r="X2272" s="5" t="s">
        <v>3762</v>
      </c>
      <c r="Y2272" s="4">
        <v>463</v>
      </c>
      <c r="Z2272" s="4">
        <v>416</v>
      </c>
      <c r="AA2272" s="4">
        <v>423</v>
      </c>
      <c r="AB2272" s="4">
        <v>4</v>
      </c>
      <c r="AC2272" s="4">
        <v>4</v>
      </c>
      <c r="AD2272" s="4">
        <v>27</v>
      </c>
      <c r="AE2272" s="4">
        <v>27</v>
      </c>
      <c r="AF2272" s="4">
        <v>12</v>
      </c>
      <c r="AG2272" s="4">
        <v>12</v>
      </c>
      <c r="AH2272" s="4">
        <v>7</v>
      </c>
      <c r="AI2272" s="4">
        <v>7</v>
      </c>
      <c r="AJ2272" s="4">
        <v>15</v>
      </c>
      <c r="AK2272" s="4">
        <v>15</v>
      </c>
      <c r="AL2272" s="4">
        <v>3</v>
      </c>
      <c r="AM2272" s="4">
        <v>3</v>
      </c>
      <c r="AN2272" s="4">
        <v>0</v>
      </c>
      <c r="AO2272" s="4">
        <v>0</v>
      </c>
      <c r="AP2272" s="3" t="s">
        <v>58</v>
      </c>
      <c r="AQ2272" s="3" t="s">
        <v>68</v>
      </c>
      <c r="AR2272" s="6" t="str">
        <f>HYPERLINK("http://catalog.hathitrust.org/Record/002609962","HathiTrust Record")</f>
        <v>HathiTrust Record</v>
      </c>
      <c r="AS2272" s="6" t="str">
        <f>HYPERLINK("https://creighton-primo.hosted.exlibrisgroup.com/primo-explore/search?tab=default_tab&amp;search_scope=EVERYTHING&amp;vid=01CRU&amp;lang=en_US&amp;offset=0&amp;query=any,contains,991002010539702656","Catalog Record")</f>
        <v>Catalog Record</v>
      </c>
      <c r="AT2272" s="6" t="str">
        <f>HYPERLINK("http://www.worldcat.org/oclc/25551728","WorldCat Record")</f>
        <v>WorldCat Record</v>
      </c>
      <c r="AU2272" s="3" t="s">
        <v>27688</v>
      </c>
      <c r="AV2272" s="3" t="s">
        <v>27689</v>
      </c>
      <c r="AW2272" s="3" t="s">
        <v>27690</v>
      </c>
      <c r="AX2272" s="3" t="s">
        <v>27690</v>
      </c>
      <c r="AY2272" s="3" t="s">
        <v>27691</v>
      </c>
      <c r="AZ2272" s="3" t="s">
        <v>73</v>
      </c>
      <c r="BB2272" s="3" t="s">
        <v>27692</v>
      </c>
      <c r="BC2272" s="3" t="s">
        <v>27693</v>
      </c>
      <c r="BD2272" s="3" t="s">
        <v>27694</v>
      </c>
    </row>
    <row r="2273" spans="1:56" ht="51" customHeight="1" x14ac:dyDescent="0.25">
      <c r="A2273" s="7" t="s">
        <v>58</v>
      </c>
      <c r="B2273" s="2" t="s">
        <v>27695</v>
      </c>
      <c r="C2273" s="2" t="s">
        <v>27696</v>
      </c>
      <c r="D2273" s="2" t="s">
        <v>27697</v>
      </c>
      <c r="F2273" s="3" t="s">
        <v>58</v>
      </c>
      <c r="G2273" s="3" t="s">
        <v>59</v>
      </c>
      <c r="H2273" s="3" t="s">
        <v>58</v>
      </c>
      <c r="I2273" s="3" t="s">
        <v>58</v>
      </c>
      <c r="J2273" s="3" t="s">
        <v>60</v>
      </c>
      <c r="K2273" s="2" t="s">
        <v>27698</v>
      </c>
      <c r="M2273" s="3" t="s">
        <v>800</v>
      </c>
      <c r="N2273" s="2" t="s">
        <v>338</v>
      </c>
      <c r="O2273" s="3" t="s">
        <v>63</v>
      </c>
      <c r="P2273" s="3" t="s">
        <v>571</v>
      </c>
      <c r="R2273" s="3" t="s">
        <v>65</v>
      </c>
      <c r="S2273" s="4">
        <v>5</v>
      </c>
      <c r="T2273" s="4">
        <v>5</v>
      </c>
      <c r="U2273" s="5" t="s">
        <v>27699</v>
      </c>
      <c r="V2273" s="5" t="s">
        <v>27699</v>
      </c>
      <c r="W2273" s="5" t="s">
        <v>8279</v>
      </c>
      <c r="X2273" s="5" t="s">
        <v>8279</v>
      </c>
      <c r="Y2273" s="4">
        <v>1028</v>
      </c>
      <c r="Z2273" s="4">
        <v>1027</v>
      </c>
      <c r="AA2273" s="4">
        <v>1037</v>
      </c>
      <c r="AB2273" s="4">
        <v>12</v>
      </c>
      <c r="AC2273" s="4">
        <v>12</v>
      </c>
      <c r="AD2273" s="4">
        <v>43</v>
      </c>
      <c r="AE2273" s="4">
        <v>43</v>
      </c>
      <c r="AF2273" s="4">
        <v>17</v>
      </c>
      <c r="AG2273" s="4">
        <v>17</v>
      </c>
      <c r="AH2273" s="4">
        <v>5</v>
      </c>
      <c r="AI2273" s="4">
        <v>5</v>
      </c>
      <c r="AJ2273" s="4">
        <v>15</v>
      </c>
      <c r="AK2273" s="4">
        <v>15</v>
      </c>
      <c r="AL2273" s="4">
        <v>11</v>
      </c>
      <c r="AM2273" s="4">
        <v>11</v>
      </c>
      <c r="AN2273" s="4">
        <v>0</v>
      </c>
      <c r="AO2273" s="4">
        <v>0</v>
      </c>
      <c r="AP2273" s="3" t="s">
        <v>58</v>
      </c>
      <c r="AQ2273" s="3" t="s">
        <v>68</v>
      </c>
      <c r="AR2273" s="6" t="str">
        <f>HYPERLINK("http://catalog.hathitrust.org/Record/003006278","HathiTrust Record")</f>
        <v>HathiTrust Record</v>
      </c>
      <c r="AS2273" s="6" t="str">
        <f>HYPERLINK("https://creighton-primo.hosted.exlibrisgroup.com/primo-explore/search?tab=default_tab&amp;search_scope=EVERYTHING&amp;vid=01CRU&amp;lang=en_US&amp;offset=0&amp;query=any,contains,991002522339702656","Catalog Record")</f>
        <v>Catalog Record</v>
      </c>
      <c r="AT2273" s="6" t="str">
        <f>HYPERLINK("http://www.worldcat.org/oclc/32805896","WorldCat Record")</f>
        <v>WorldCat Record</v>
      </c>
      <c r="AU2273" s="3" t="s">
        <v>27700</v>
      </c>
      <c r="AV2273" s="3" t="s">
        <v>27701</v>
      </c>
      <c r="AW2273" s="3" t="s">
        <v>27702</v>
      </c>
      <c r="AX2273" s="3" t="s">
        <v>27702</v>
      </c>
      <c r="AY2273" s="3" t="s">
        <v>27703</v>
      </c>
      <c r="AZ2273" s="3" t="s">
        <v>73</v>
      </c>
      <c r="BB2273" s="3" t="s">
        <v>27704</v>
      </c>
      <c r="BC2273" s="3" t="s">
        <v>27705</v>
      </c>
      <c r="BD2273" s="3" t="s">
        <v>27706</v>
      </c>
    </row>
    <row r="2274" spans="1:56" ht="51" customHeight="1" x14ac:dyDescent="0.25">
      <c r="A2274" s="7" t="s">
        <v>58</v>
      </c>
      <c r="B2274" s="2" t="s">
        <v>27707</v>
      </c>
      <c r="C2274" s="2" t="s">
        <v>27708</v>
      </c>
      <c r="D2274" s="2" t="s">
        <v>27709</v>
      </c>
      <c r="F2274" s="3" t="s">
        <v>58</v>
      </c>
      <c r="G2274" s="3" t="s">
        <v>59</v>
      </c>
      <c r="H2274" s="3" t="s">
        <v>58</v>
      </c>
      <c r="I2274" s="3" t="s">
        <v>58</v>
      </c>
      <c r="J2274" s="3" t="s">
        <v>60</v>
      </c>
      <c r="K2274" s="2" t="s">
        <v>27710</v>
      </c>
      <c r="L2274" s="2" t="s">
        <v>27711</v>
      </c>
      <c r="M2274" s="3" t="s">
        <v>479</v>
      </c>
      <c r="O2274" s="3" t="s">
        <v>63</v>
      </c>
      <c r="P2274" s="3" t="s">
        <v>2061</v>
      </c>
      <c r="Q2274" s="2" t="s">
        <v>27712</v>
      </c>
      <c r="R2274" s="3" t="s">
        <v>65</v>
      </c>
      <c r="S2274" s="4">
        <v>7</v>
      </c>
      <c r="T2274" s="4">
        <v>7</v>
      </c>
      <c r="U2274" s="5" t="s">
        <v>24774</v>
      </c>
      <c r="V2274" s="5" t="s">
        <v>24774</v>
      </c>
      <c r="W2274" s="5" t="s">
        <v>9926</v>
      </c>
      <c r="X2274" s="5" t="s">
        <v>9926</v>
      </c>
      <c r="Y2274" s="4">
        <v>252</v>
      </c>
      <c r="Z2274" s="4">
        <v>223</v>
      </c>
      <c r="AA2274" s="4">
        <v>226</v>
      </c>
      <c r="AB2274" s="4">
        <v>2</v>
      </c>
      <c r="AC2274" s="4">
        <v>2</v>
      </c>
      <c r="AD2274" s="4">
        <v>7</v>
      </c>
      <c r="AE2274" s="4">
        <v>7</v>
      </c>
      <c r="AF2274" s="4">
        <v>1</v>
      </c>
      <c r="AG2274" s="4">
        <v>1</v>
      </c>
      <c r="AH2274" s="4">
        <v>4</v>
      </c>
      <c r="AI2274" s="4">
        <v>4</v>
      </c>
      <c r="AJ2274" s="4">
        <v>3</v>
      </c>
      <c r="AK2274" s="4">
        <v>3</v>
      </c>
      <c r="AL2274" s="4">
        <v>1</v>
      </c>
      <c r="AM2274" s="4">
        <v>1</v>
      </c>
      <c r="AN2274" s="4">
        <v>1</v>
      </c>
      <c r="AO2274" s="4">
        <v>1</v>
      </c>
      <c r="AP2274" s="3" t="s">
        <v>58</v>
      </c>
      <c r="AQ2274" s="3" t="s">
        <v>58</v>
      </c>
      <c r="AS2274" s="6" t="str">
        <f>HYPERLINK("https://creighton-primo.hosted.exlibrisgroup.com/primo-explore/search?tab=default_tab&amp;search_scope=EVERYTHING&amp;vid=01CRU&amp;lang=en_US&amp;offset=0&amp;query=any,contains,991002282909702656","Catalog Record")</f>
        <v>Catalog Record</v>
      </c>
      <c r="AT2274" s="6" t="str">
        <f>HYPERLINK("http://www.worldcat.org/oclc/29597148","WorldCat Record")</f>
        <v>WorldCat Record</v>
      </c>
      <c r="AU2274" s="3" t="s">
        <v>27713</v>
      </c>
      <c r="AV2274" s="3" t="s">
        <v>27714</v>
      </c>
      <c r="AW2274" s="3" t="s">
        <v>27715</v>
      </c>
      <c r="AX2274" s="3" t="s">
        <v>27715</v>
      </c>
      <c r="AY2274" s="3" t="s">
        <v>27716</v>
      </c>
      <c r="AZ2274" s="3" t="s">
        <v>73</v>
      </c>
      <c r="BB2274" s="3" t="s">
        <v>27717</v>
      </c>
      <c r="BC2274" s="3" t="s">
        <v>27718</v>
      </c>
      <c r="BD2274" s="3" t="s">
        <v>27719</v>
      </c>
    </row>
    <row r="2275" spans="1:56" ht="51" customHeight="1" x14ac:dyDescent="0.25">
      <c r="A2275" s="7" t="s">
        <v>58</v>
      </c>
      <c r="B2275" s="2" t="s">
        <v>27720</v>
      </c>
      <c r="C2275" s="2" t="s">
        <v>27721</v>
      </c>
      <c r="D2275" s="2" t="s">
        <v>27722</v>
      </c>
      <c r="F2275" s="3" t="s">
        <v>58</v>
      </c>
      <c r="G2275" s="3" t="s">
        <v>59</v>
      </c>
      <c r="H2275" s="3" t="s">
        <v>58</v>
      </c>
      <c r="I2275" s="3" t="s">
        <v>58</v>
      </c>
      <c r="J2275" s="3" t="s">
        <v>60</v>
      </c>
      <c r="K2275" s="2" t="s">
        <v>27723</v>
      </c>
      <c r="L2275" s="2" t="s">
        <v>27724</v>
      </c>
      <c r="M2275" s="3" t="s">
        <v>423</v>
      </c>
      <c r="O2275" s="3" t="s">
        <v>63</v>
      </c>
      <c r="P2275" s="3" t="s">
        <v>3109</v>
      </c>
      <c r="R2275" s="3" t="s">
        <v>65</v>
      </c>
      <c r="S2275" s="4">
        <v>3</v>
      </c>
      <c r="T2275" s="4">
        <v>3</v>
      </c>
      <c r="U2275" s="5" t="s">
        <v>27725</v>
      </c>
      <c r="V2275" s="5" t="s">
        <v>27725</v>
      </c>
      <c r="W2275" s="5" t="s">
        <v>27726</v>
      </c>
      <c r="X2275" s="5" t="s">
        <v>27726</v>
      </c>
      <c r="Y2275" s="4">
        <v>284</v>
      </c>
      <c r="Z2275" s="4">
        <v>241</v>
      </c>
      <c r="AA2275" s="4">
        <v>244</v>
      </c>
      <c r="AB2275" s="4">
        <v>3</v>
      </c>
      <c r="AC2275" s="4">
        <v>3</v>
      </c>
      <c r="AD2275" s="4">
        <v>20</v>
      </c>
      <c r="AE2275" s="4">
        <v>20</v>
      </c>
      <c r="AF2275" s="4">
        <v>10</v>
      </c>
      <c r="AG2275" s="4">
        <v>10</v>
      </c>
      <c r="AH2275" s="4">
        <v>4</v>
      </c>
      <c r="AI2275" s="4">
        <v>4</v>
      </c>
      <c r="AJ2275" s="4">
        <v>10</v>
      </c>
      <c r="AK2275" s="4">
        <v>10</v>
      </c>
      <c r="AL2275" s="4">
        <v>2</v>
      </c>
      <c r="AM2275" s="4">
        <v>2</v>
      </c>
      <c r="AN2275" s="4">
        <v>0</v>
      </c>
      <c r="AO2275" s="4">
        <v>0</v>
      </c>
      <c r="AP2275" s="3" t="s">
        <v>58</v>
      </c>
      <c r="AQ2275" s="3" t="s">
        <v>68</v>
      </c>
      <c r="AR2275" s="6" t="str">
        <f>HYPERLINK("http://catalog.hathitrust.org/Record/003977246","HathiTrust Record")</f>
        <v>HathiTrust Record</v>
      </c>
      <c r="AS2275" s="6" t="str">
        <f>HYPERLINK("https://creighton-primo.hosted.exlibrisgroup.com/primo-explore/search?tab=default_tab&amp;search_scope=EVERYTHING&amp;vid=01CRU&amp;lang=en_US&amp;offset=0&amp;query=any,contains,991003239359702656","Catalog Record")</f>
        <v>Catalog Record</v>
      </c>
      <c r="AT2275" s="6" t="str">
        <f>HYPERLINK("http://www.worldcat.org/oclc/38061659","WorldCat Record")</f>
        <v>WorldCat Record</v>
      </c>
      <c r="AU2275" s="3" t="s">
        <v>27727</v>
      </c>
      <c r="AV2275" s="3" t="s">
        <v>27728</v>
      </c>
      <c r="AW2275" s="3" t="s">
        <v>27729</v>
      </c>
      <c r="AX2275" s="3" t="s">
        <v>27729</v>
      </c>
      <c r="AY2275" s="3" t="s">
        <v>27730</v>
      </c>
      <c r="AZ2275" s="3" t="s">
        <v>73</v>
      </c>
      <c r="BB2275" s="3" t="s">
        <v>27731</v>
      </c>
      <c r="BC2275" s="3" t="s">
        <v>27732</v>
      </c>
      <c r="BD2275" s="3" t="s">
        <v>27733</v>
      </c>
    </row>
    <row r="2276" spans="1:56" ht="51" customHeight="1" x14ac:dyDescent="0.25">
      <c r="A2276" s="7" t="s">
        <v>58</v>
      </c>
      <c r="B2276" s="2" t="s">
        <v>27734</v>
      </c>
      <c r="C2276" s="2" t="s">
        <v>27735</v>
      </c>
      <c r="D2276" s="2" t="s">
        <v>27736</v>
      </c>
      <c r="F2276" s="3" t="s">
        <v>58</v>
      </c>
      <c r="G2276" s="3" t="s">
        <v>59</v>
      </c>
      <c r="H2276" s="3" t="s">
        <v>58</v>
      </c>
      <c r="I2276" s="3" t="s">
        <v>58</v>
      </c>
      <c r="J2276" s="3" t="s">
        <v>60</v>
      </c>
      <c r="L2276" s="2" t="s">
        <v>27737</v>
      </c>
      <c r="M2276" s="3" t="s">
        <v>855</v>
      </c>
      <c r="O2276" s="3" t="s">
        <v>63</v>
      </c>
      <c r="P2276" s="3" t="s">
        <v>354</v>
      </c>
      <c r="Q2276" s="2" t="s">
        <v>27738</v>
      </c>
      <c r="R2276" s="3" t="s">
        <v>65</v>
      </c>
      <c r="S2276" s="4">
        <v>26</v>
      </c>
      <c r="T2276" s="4">
        <v>26</v>
      </c>
      <c r="U2276" s="5" t="s">
        <v>4409</v>
      </c>
      <c r="V2276" s="5" t="s">
        <v>4409</v>
      </c>
      <c r="W2276" s="5" t="s">
        <v>27739</v>
      </c>
      <c r="X2276" s="5" t="s">
        <v>27739</v>
      </c>
      <c r="Y2276" s="4">
        <v>338</v>
      </c>
      <c r="Z2276" s="4">
        <v>267</v>
      </c>
      <c r="AA2276" s="4">
        <v>274</v>
      </c>
      <c r="AB2276" s="4">
        <v>2</v>
      </c>
      <c r="AC2276" s="4">
        <v>2</v>
      </c>
      <c r="AD2276" s="4">
        <v>17</v>
      </c>
      <c r="AE2276" s="4">
        <v>17</v>
      </c>
      <c r="AF2276" s="4">
        <v>7</v>
      </c>
      <c r="AG2276" s="4">
        <v>7</v>
      </c>
      <c r="AH2276" s="4">
        <v>4</v>
      </c>
      <c r="AI2276" s="4">
        <v>4</v>
      </c>
      <c r="AJ2276" s="4">
        <v>8</v>
      </c>
      <c r="AK2276" s="4">
        <v>8</v>
      </c>
      <c r="AL2276" s="4">
        <v>1</v>
      </c>
      <c r="AM2276" s="4">
        <v>1</v>
      </c>
      <c r="AN2276" s="4">
        <v>0</v>
      </c>
      <c r="AO2276" s="4">
        <v>0</v>
      </c>
      <c r="AP2276" s="3" t="s">
        <v>58</v>
      </c>
      <c r="AQ2276" s="3" t="s">
        <v>68</v>
      </c>
      <c r="AR2276" s="6" t="str">
        <f>HYPERLINK("http://catalog.hathitrust.org/Record/002654906","HathiTrust Record")</f>
        <v>HathiTrust Record</v>
      </c>
      <c r="AS2276" s="6" t="str">
        <f>HYPERLINK("https://creighton-primo.hosted.exlibrisgroup.com/primo-explore/search?tab=default_tab&amp;search_scope=EVERYTHING&amp;vid=01CRU&amp;lang=en_US&amp;offset=0&amp;query=any,contains,991002110219702656","Catalog Record")</f>
        <v>Catalog Record</v>
      </c>
      <c r="AT2276" s="6" t="str">
        <f>HYPERLINK("http://www.worldcat.org/oclc/27036200","WorldCat Record")</f>
        <v>WorldCat Record</v>
      </c>
      <c r="AU2276" s="3" t="s">
        <v>27740</v>
      </c>
      <c r="AV2276" s="3" t="s">
        <v>27741</v>
      </c>
      <c r="AW2276" s="3" t="s">
        <v>27742</v>
      </c>
      <c r="AX2276" s="3" t="s">
        <v>27742</v>
      </c>
      <c r="AY2276" s="3" t="s">
        <v>27743</v>
      </c>
      <c r="AZ2276" s="3" t="s">
        <v>73</v>
      </c>
      <c r="BB2276" s="3" t="s">
        <v>27744</v>
      </c>
      <c r="BC2276" s="3" t="s">
        <v>27745</v>
      </c>
      <c r="BD2276" s="3" t="s">
        <v>27746</v>
      </c>
    </row>
    <row r="2277" spans="1:56" ht="51" customHeight="1" x14ac:dyDescent="0.25">
      <c r="A2277" s="7" t="s">
        <v>58</v>
      </c>
      <c r="B2277" s="2" t="s">
        <v>27747</v>
      </c>
      <c r="C2277" s="2" t="s">
        <v>27748</v>
      </c>
      <c r="D2277" s="2" t="s">
        <v>27749</v>
      </c>
      <c r="F2277" s="3" t="s">
        <v>58</v>
      </c>
      <c r="G2277" s="3" t="s">
        <v>59</v>
      </c>
      <c r="H2277" s="3" t="s">
        <v>58</v>
      </c>
      <c r="I2277" s="3" t="s">
        <v>58</v>
      </c>
      <c r="J2277" s="3" t="s">
        <v>60</v>
      </c>
      <c r="K2277" s="2" t="s">
        <v>27750</v>
      </c>
      <c r="L2277" s="2" t="s">
        <v>27751</v>
      </c>
      <c r="M2277" s="3" t="s">
        <v>1544</v>
      </c>
      <c r="N2277" s="2" t="s">
        <v>338</v>
      </c>
      <c r="O2277" s="3" t="s">
        <v>63</v>
      </c>
      <c r="P2277" s="3" t="s">
        <v>214</v>
      </c>
      <c r="R2277" s="3" t="s">
        <v>65</v>
      </c>
      <c r="S2277" s="4">
        <v>37</v>
      </c>
      <c r="T2277" s="4">
        <v>37</v>
      </c>
      <c r="U2277" s="5" t="s">
        <v>6025</v>
      </c>
      <c r="V2277" s="5" t="s">
        <v>6025</v>
      </c>
      <c r="W2277" s="5" t="s">
        <v>4485</v>
      </c>
      <c r="X2277" s="5" t="s">
        <v>4485</v>
      </c>
      <c r="Y2277" s="4">
        <v>1052</v>
      </c>
      <c r="Z2277" s="4">
        <v>938</v>
      </c>
      <c r="AA2277" s="4">
        <v>1075</v>
      </c>
      <c r="AB2277" s="4">
        <v>6</v>
      </c>
      <c r="AC2277" s="4">
        <v>9</v>
      </c>
      <c r="AD2277" s="4">
        <v>34</v>
      </c>
      <c r="AE2277" s="4">
        <v>40</v>
      </c>
      <c r="AF2277" s="4">
        <v>11</v>
      </c>
      <c r="AG2277" s="4">
        <v>13</v>
      </c>
      <c r="AH2277" s="4">
        <v>7</v>
      </c>
      <c r="AI2277" s="4">
        <v>8</v>
      </c>
      <c r="AJ2277" s="4">
        <v>19</v>
      </c>
      <c r="AK2277" s="4">
        <v>20</v>
      </c>
      <c r="AL2277" s="4">
        <v>3</v>
      </c>
      <c r="AM2277" s="4">
        <v>6</v>
      </c>
      <c r="AN2277" s="4">
        <v>3</v>
      </c>
      <c r="AO2277" s="4">
        <v>3</v>
      </c>
      <c r="AP2277" s="3" t="s">
        <v>58</v>
      </c>
      <c r="AQ2277" s="3" t="s">
        <v>58</v>
      </c>
      <c r="AS2277" s="6" t="str">
        <f>HYPERLINK("https://creighton-primo.hosted.exlibrisgroup.com/primo-explore/search?tab=default_tab&amp;search_scope=EVERYTHING&amp;vid=01CRU&amp;lang=en_US&amp;offset=0&amp;query=any,contains,991001963699702656","Catalog Record")</f>
        <v>Catalog Record</v>
      </c>
      <c r="AT2277" s="6" t="str">
        <f>HYPERLINK("http://www.worldcat.org/oclc/24872182","WorldCat Record")</f>
        <v>WorldCat Record</v>
      </c>
      <c r="AU2277" s="3" t="s">
        <v>27752</v>
      </c>
      <c r="AV2277" s="3" t="s">
        <v>27753</v>
      </c>
      <c r="AW2277" s="3" t="s">
        <v>27754</v>
      </c>
      <c r="AX2277" s="3" t="s">
        <v>27754</v>
      </c>
      <c r="AY2277" s="3" t="s">
        <v>27755</v>
      </c>
      <c r="AZ2277" s="3" t="s">
        <v>73</v>
      </c>
      <c r="BB2277" s="3" t="s">
        <v>27756</v>
      </c>
      <c r="BC2277" s="3" t="s">
        <v>27757</v>
      </c>
      <c r="BD2277" s="3" t="s">
        <v>27758</v>
      </c>
    </row>
    <row r="2278" spans="1:56" ht="51" customHeight="1" x14ac:dyDescent="0.25">
      <c r="A2278" s="7" t="s">
        <v>58</v>
      </c>
      <c r="B2278" s="2" t="s">
        <v>27759</v>
      </c>
      <c r="C2278" s="2" t="s">
        <v>27760</v>
      </c>
      <c r="D2278" s="2" t="s">
        <v>27761</v>
      </c>
      <c r="F2278" s="3" t="s">
        <v>58</v>
      </c>
      <c r="G2278" s="3" t="s">
        <v>59</v>
      </c>
      <c r="H2278" s="3" t="s">
        <v>58</v>
      </c>
      <c r="I2278" s="3" t="s">
        <v>58</v>
      </c>
      <c r="J2278" s="3" t="s">
        <v>60</v>
      </c>
      <c r="L2278" s="2" t="s">
        <v>27762</v>
      </c>
      <c r="M2278" s="3" t="s">
        <v>1544</v>
      </c>
      <c r="O2278" s="3" t="s">
        <v>63</v>
      </c>
      <c r="P2278" s="3" t="s">
        <v>1837</v>
      </c>
      <c r="R2278" s="3" t="s">
        <v>65</v>
      </c>
      <c r="S2278" s="4">
        <v>34</v>
      </c>
      <c r="T2278" s="4">
        <v>34</v>
      </c>
      <c r="U2278" s="5" t="s">
        <v>27763</v>
      </c>
      <c r="V2278" s="5" t="s">
        <v>27763</v>
      </c>
      <c r="W2278" s="5" t="s">
        <v>27764</v>
      </c>
      <c r="X2278" s="5" t="s">
        <v>27764</v>
      </c>
      <c r="Y2278" s="4">
        <v>553</v>
      </c>
      <c r="Z2278" s="4">
        <v>469</v>
      </c>
      <c r="AA2278" s="4">
        <v>476</v>
      </c>
      <c r="AB2278" s="4">
        <v>4</v>
      </c>
      <c r="AC2278" s="4">
        <v>4</v>
      </c>
      <c r="AD2278" s="4">
        <v>25</v>
      </c>
      <c r="AE2278" s="4">
        <v>25</v>
      </c>
      <c r="AF2278" s="4">
        <v>11</v>
      </c>
      <c r="AG2278" s="4">
        <v>11</v>
      </c>
      <c r="AH2278" s="4">
        <v>6</v>
      </c>
      <c r="AI2278" s="4">
        <v>6</v>
      </c>
      <c r="AJ2278" s="4">
        <v>12</v>
      </c>
      <c r="AK2278" s="4">
        <v>12</v>
      </c>
      <c r="AL2278" s="4">
        <v>3</v>
      </c>
      <c r="AM2278" s="4">
        <v>3</v>
      </c>
      <c r="AN2278" s="4">
        <v>0</v>
      </c>
      <c r="AO2278" s="4">
        <v>0</v>
      </c>
      <c r="AP2278" s="3" t="s">
        <v>58</v>
      </c>
      <c r="AQ2278" s="3" t="s">
        <v>68</v>
      </c>
      <c r="AR2278" s="6" t="str">
        <f>HYPERLINK("http://catalog.hathitrust.org/Record/002600693","HathiTrust Record")</f>
        <v>HathiTrust Record</v>
      </c>
      <c r="AS2278" s="6" t="str">
        <f>HYPERLINK("https://creighton-primo.hosted.exlibrisgroup.com/primo-explore/search?tab=default_tab&amp;search_scope=EVERYTHING&amp;vid=01CRU&amp;lang=en_US&amp;offset=0&amp;query=any,contains,991002035149702656","Catalog Record")</f>
        <v>Catalog Record</v>
      </c>
      <c r="AT2278" s="6" t="str">
        <f>HYPERLINK("http://www.worldcat.org/oclc/25915748","WorldCat Record")</f>
        <v>WorldCat Record</v>
      </c>
      <c r="AU2278" s="3" t="s">
        <v>27765</v>
      </c>
      <c r="AV2278" s="3" t="s">
        <v>27766</v>
      </c>
      <c r="AW2278" s="3" t="s">
        <v>27767</v>
      </c>
      <c r="AX2278" s="3" t="s">
        <v>27767</v>
      </c>
      <c r="AY2278" s="3" t="s">
        <v>27768</v>
      </c>
      <c r="AZ2278" s="3" t="s">
        <v>73</v>
      </c>
      <c r="BB2278" s="3" t="s">
        <v>27769</v>
      </c>
      <c r="BC2278" s="3" t="s">
        <v>27770</v>
      </c>
      <c r="BD2278" s="3" t="s">
        <v>27771</v>
      </c>
    </row>
    <row r="2279" spans="1:56" ht="51" customHeight="1" x14ac:dyDescent="0.25">
      <c r="A2279" s="7" t="s">
        <v>58</v>
      </c>
      <c r="B2279" s="2" t="s">
        <v>27772</v>
      </c>
      <c r="C2279" s="2" t="s">
        <v>27773</v>
      </c>
      <c r="D2279" s="2" t="s">
        <v>27774</v>
      </c>
      <c r="F2279" s="3" t="s">
        <v>58</v>
      </c>
      <c r="G2279" s="3" t="s">
        <v>59</v>
      </c>
      <c r="H2279" s="3" t="s">
        <v>58</v>
      </c>
      <c r="I2279" s="3" t="s">
        <v>58</v>
      </c>
      <c r="J2279" s="3" t="s">
        <v>60</v>
      </c>
      <c r="L2279" s="2" t="s">
        <v>27775</v>
      </c>
      <c r="M2279" s="3" t="s">
        <v>855</v>
      </c>
      <c r="O2279" s="3" t="s">
        <v>63</v>
      </c>
      <c r="P2279" s="3" t="s">
        <v>510</v>
      </c>
      <c r="Q2279" s="2" t="s">
        <v>27776</v>
      </c>
      <c r="R2279" s="3" t="s">
        <v>65</v>
      </c>
      <c r="S2279" s="4">
        <v>31</v>
      </c>
      <c r="T2279" s="4">
        <v>31</v>
      </c>
      <c r="U2279" s="5" t="s">
        <v>27675</v>
      </c>
      <c r="V2279" s="5" t="s">
        <v>27675</v>
      </c>
      <c r="W2279" s="5" t="s">
        <v>27777</v>
      </c>
      <c r="X2279" s="5" t="s">
        <v>27777</v>
      </c>
      <c r="Y2279" s="4">
        <v>566</v>
      </c>
      <c r="Z2279" s="4">
        <v>468</v>
      </c>
      <c r="AA2279" s="4">
        <v>473</v>
      </c>
      <c r="AB2279" s="4">
        <v>6</v>
      </c>
      <c r="AC2279" s="4">
        <v>6</v>
      </c>
      <c r="AD2279" s="4">
        <v>29</v>
      </c>
      <c r="AE2279" s="4">
        <v>29</v>
      </c>
      <c r="AF2279" s="4">
        <v>11</v>
      </c>
      <c r="AG2279" s="4">
        <v>11</v>
      </c>
      <c r="AH2279" s="4">
        <v>7</v>
      </c>
      <c r="AI2279" s="4">
        <v>7</v>
      </c>
      <c r="AJ2279" s="4">
        <v>11</v>
      </c>
      <c r="AK2279" s="4">
        <v>11</v>
      </c>
      <c r="AL2279" s="4">
        <v>5</v>
      </c>
      <c r="AM2279" s="4">
        <v>5</v>
      </c>
      <c r="AN2279" s="4">
        <v>0</v>
      </c>
      <c r="AO2279" s="4">
        <v>0</v>
      </c>
      <c r="AP2279" s="3" t="s">
        <v>58</v>
      </c>
      <c r="AQ2279" s="3" t="s">
        <v>68</v>
      </c>
      <c r="AR2279" s="6" t="str">
        <f>HYPERLINK("http://catalog.hathitrust.org/Record/002640740","HathiTrust Record")</f>
        <v>HathiTrust Record</v>
      </c>
      <c r="AS2279" s="6" t="str">
        <f>HYPERLINK("https://creighton-primo.hosted.exlibrisgroup.com/primo-explore/search?tab=default_tab&amp;search_scope=EVERYTHING&amp;vid=01CRU&amp;lang=en_US&amp;offset=0&amp;query=any,contains,991002090449702656","Catalog Record")</f>
        <v>Catalog Record</v>
      </c>
      <c r="AT2279" s="6" t="str">
        <f>HYPERLINK("http://www.worldcat.org/oclc/26810173","WorldCat Record")</f>
        <v>WorldCat Record</v>
      </c>
      <c r="AU2279" s="3" t="s">
        <v>27778</v>
      </c>
      <c r="AV2279" s="3" t="s">
        <v>27779</v>
      </c>
      <c r="AW2279" s="3" t="s">
        <v>27780</v>
      </c>
      <c r="AX2279" s="3" t="s">
        <v>27780</v>
      </c>
      <c r="AY2279" s="3" t="s">
        <v>27781</v>
      </c>
      <c r="AZ2279" s="3" t="s">
        <v>73</v>
      </c>
      <c r="BB2279" s="3" t="s">
        <v>27782</v>
      </c>
      <c r="BC2279" s="3" t="s">
        <v>27783</v>
      </c>
      <c r="BD2279" s="3" t="s">
        <v>27784</v>
      </c>
    </row>
    <row r="2280" spans="1:56" ht="51" customHeight="1" x14ac:dyDescent="0.25">
      <c r="A2280" s="7" t="s">
        <v>58</v>
      </c>
      <c r="B2280" s="2" t="s">
        <v>27785</v>
      </c>
      <c r="C2280" s="2" t="s">
        <v>27786</v>
      </c>
      <c r="D2280" s="2" t="s">
        <v>27787</v>
      </c>
      <c r="F2280" s="3" t="s">
        <v>58</v>
      </c>
      <c r="G2280" s="3" t="s">
        <v>59</v>
      </c>
      <c r="H2280" s="3" t="s">
        <v>58</v>
      </c>
      <c r="I2280" s="3" t="s">
        <v>58</v>
      </c>
      <c r="J2280" s="3" t="s">
        <v>60</v>
      </c>
      <c r="L2280" s="2" t="s">
        <v>27788</v>
      </c>
      <c r="M2280" s="3" t="s">
        <v>479</v>
      </c>
      <c r="O2280" s="3" t="s">
        <v>63</v>
      </c>
      <c r="P2280" s="3" t="s">
        <v>354</v>
      </c>
      <c r="Q2280" s="2" t="s">
        <v>27789</v>
      </c>
      <c r="R2280" s="3" t="s">
        <v>65</v>
      </c>
      <c r="S2280" s="4">
        <v>30</v>
      </c>
      <c r="T2280" s="4">
        <v>30</v>
      </c>
      <c r="U2280" s="5" t="s">
        <v>27790</v>
      </c>
      <c r="V2280" s="5" t="s">
        <v>27790</v>
      </c>
      <c r="W2280" s="5" t="s">
        <v>27791</v>
      </c>
      <c r="X2280" s="5" t="s">
        <v>27791</v>
      </c>
      <c r="Y2280" s="4">
        <v>631</v>
      </c>
      <c r="Z2280" s="4">
        <v>530</v>
      </c>
      <c r="AA2280" s="4">
        <v>530</v>
      </c>
      <c r="AB2280" s="4">
        <v>3</v>
      </c>
      <c r="AC2280" s="4">
        <v>3</v>
      </c>
      <c r="AD2280" s="4">
        <v>33</v>
      </c>
      <c r="AE2280" s="4">
        <v>33</v>
      </c>
      <c r="AF2280" s="4">
        <v>16</v>
      </c>
      <c r="AG2280" s="4">
        <v>16</v>
      </c>
      <c r="AH2280" s="4">
        <v>8</v>
      </c>
      <c r="AI2280" s="4">
        <v>8</v>
      </c>
      <c r="AJ2280" s="4">
        <v>16</v>
      </c>
      <c r="AK2280" s="4">
        <v>16</v>
      </c>
      <c r="AL2280" s="4">
        <v>2</v>
      </c>
      <c r="AM2280" s="4">
        <v>2</v>
      </c>
      <c r="AN2280" s="4">
        <v>0</v>
      </c>
      <c r="AO2280" s="4">
        <v>0</v>
      </c>
      <c r="AP2280" s="3" t="s">
        <v>58</v>
      </c>
      <c r="AQ2280" s="3" t="s">
        <v>58</v>
      </c>
      <c r="AS2280" s="6" t="str">
        <f>HYPERLINK("https://creighton-primo.hosted.exlibrisgroup.com/primo-explore/search?tab=default_tab&amp;search_scope=EVERYTHING&amp;vid=01CRU&amp;lang=en_US&amp;offset=0&amp;query=any,contains,991002213719702656","Catalog Record")</f>
        <v>Catalog Record</v>
      </c>
      <c r="AT2280" s="6" t="str">
        <f>HYPERLINK("http://www.worldcat.org/oclc/28504504","WorldCat Record")</f>
        <v>WorldCat Record</v>
      </c>
      <c r="AU2280" s="3" t="s">
        <v>27792</v>
      </c>
      <c r="AV2280" s="3" t="s">
        <v>27793</v>
      </c>
      <c r="AW2280" s="3" t="s">
        <v>27794</v>
      </c>
      <c r="AX2280" s="3" t="s">
        <v>27794</v>
      </c>
      <c r="AY2280" s="3" t="s">
        <v>27795</v>
      </c>
      <c r="AZ2280" s="3" t="s">
        <v>73</v>
      </c>
      <c r="BB2280" s="3" t="s">
        <v>27796</v>
      </c>
      <c r="BC2280" s="3" t="s">
        <v>27797</v>
      </c>
      <c r="BD2280" s="3" t="s">
        <v>27798</v>
      </c>
    </row>
    <row r="2281" spans="1:56" ht="51" customHeight="1" x14ac:dyDescent="0.25">
      <c r="A2281" s="7" t="s">
        <v>58</v>
      </c>
      <c r="B2281" s="2" t="s">
        <v>27799</v>
      </c>
      <c r="C2281" s="2" t="s">
        <v>27800</v>
      </c>
      <c r="D2281" s="2" t="s">
        <v>27801</v>
      </c>
      <c r="F2281" s="3" t="s">
        <v>58</v>
      </c>
      <c r="G2281" s="3" t="s">
        <v>59</v>
      </c>
      <c r="H2281" s="3" t="s">
        <v>58</v>
      </c>
      <c r="I2281" s="3" t="s">
        <v>58</v>
      </c>
      <c r="J2281" s="3" t="s">
        <v>60</v>
      </c>
      <c r="L2281" s="2" t="s">
        <v>23378</v>
      </c>
      <c r="M2281" s="3" t="s">
        <v>479</v>
      </c>
      <c r="O2281" s="3" t="s">
        <v>63</v>
      </c>
      <c r="P2281" s="3" t="s">
        <v>411</v>
      </c>
      <c r="Q2281" s="2" t="s">
        <v>27802</v>
      </c>
      <c r="R2281" s="3" t="s">
        <v>65</v>
      </c>
      <c r="S2281" s="4">
        <v>19</v>
      </c>
      <c r="T2281" s="4">
        <v>19</v>
      </c>
      <c r="U2281" s="5" t="s">
        <v>4409</v>
      </c>
      <c r="V2281" s="5" t="s">
        <v>4409</v>
      </c>
      <c r="W2281" s="5" t="s">
        <v>27803</v>
      </c>
      <c r="X2281" s="5" t="s">
        <v>27803</v>
      </c>
      <c r="Y2281" s="4">
        <v>807</v>
      </c>
      <c r="Z2281" s="4">
        <v>643</v>
      </c>
      <c r="AA2281" s="4">
        <v>643</v>
      </c>
      <c r="AB2281" s="4">
        <v>6</v>
      </c>
      <c r="AC2281" s="4">
        <v>6</v>
      </c>
      <c r="AD2281" s="4">
        <v>34</v>
      </c>
      <c r="AE2281" s="4">
        <v>34</v>
      </c>
      <c r="AF2281" s="4">
        <v>14</v>
      </c>
      <c r="AG2281" s="4">
        <v>14</v>
      </c>
      <c r="AH2281" s="4">
        <v>8</v>
      </c>
      <c r="AI2281" s="4">
        <v>8</v>
      </c>
      <c r="AJ2281" s="4">
        <v>16</v>
      </c>
      <c r="AK2281" s="4">
        <v>16</v>
      </c>
      <c r="AL2281" s="4">
        <v>5</v>
      </c>
      <c r="AM2281" s="4">
        <v>5</v>
      </c>
      <c r="AN2281" s="4">
        <v>0</v>
      </c>
      <c r="AO2281" s="4">
        <v>0</v>
      </c>
      <c r="AP2281" s="3" t="s">
        <v>58</v>
      </c>
      <c r="AQ2281" s="3" t="s">
        <v>58</v>
      </c>
      <c r="AS2281" s="6" t="str">
        <f>HYPERLINK("https://creighton-primo.hosted.exlibrisgroup.com/primo-explore/search?tab=default_tab&amp;search_scope=EVERYTHING&amp;vid=01CRU&amp;lang=en_US&amp;offset=0&amp;query=any,contains,991002275219702656","Catalog Record")</f>
        <v>Catalog Record</v>
      </c>
      <c r="AT2281" s="6" t="str">
        <f>HYPERLINK("http://www.worldcat.org/oclc/29520424","WorldCat Record")</f>
        <v>WorldCat Record</v>
      </c>
      <c r="AU2281" s="3" t="s">
        <v>27804</v>
      </c>
      <c r="AV2281" s="3" t="s">
        <v>27805</v>
      </c>
      <c r="AW2281" s="3" t="s">
        <v>27806</v>
      </c>
      <c r="AX2281" s="3" t="s">
        <v>27806</v>
      </c>
      <c r="AY2281" s="3" t="s">
        <v>27807</v>
      </c>
      <c r="AZ2281" s="3" t="s">
        <v>73</v>
      </c>
      <c r="BB2281" s="3" t="s">
        <v>27808</v>
      </c>
      <c r="BC2281" s="3" t="s">
        <v>27809</v>
      </c>
      <c r="BD2281" s="3" t="s">
        <v>27810</v>
      </c>
    </row>
    <row r="2282" spans="1:56" ht="51" customHeight="1" x14ac:dyDescent="0.25">
      <c r="A2282" s="7" t="s">
        <v>58</v>
      </c>
      <c r="B2282" s="2" t="s">
        <v>27811</v>
      </c>
      <c r="C2282" s="2" t="s">
        <v>27812</v>
      </c>
      <c r="D2282" s="2" t="s">
        <v>27813</v>
      </c>
      <c r="F2282" s="3" t="s">
        <v>58</v>
      </c>
      <c r="G2282" s="3" t="s">
        <v>59</v>
      </c>
      <c r="H2282" s="3" t="s">
        <v>58</v>
      </c>
      <c r="I2282" s="3" t="s">
        <v>58</v>
      </c>
      <c r="J2282" s="3" t="s">
        <v>60</v>
      </c>
      <c r="K2282" s="2" t="s">
        <v>27814</v>
      </c>
      <c r="L2282" s="2" t="s">
        <v>27627</v>
      </c>
      <c r="M2282" s="3" t="s">
        <v>1544</v>
      </c>
      <c r="O2282" s="3" t="s">
        <v>63</v>
      </c>
      <c r="P2282" s="3" t="s">
        <v>2061</v>
      </c>
      <c r="R2282" s="3" t="s">
        <v>65</v>
      </c>
      <c r="S2282" s="4">
        <v>16</v>
      </c>
      <c r="T2282" s="4">
        <v>16</v>
      </c>
      <c r="U2282" s="5" t="s">
        <v>25969</v>
      </c>
      <c r="V2282" s="5" t="s">
        <v>25969</v>
      </c>
      <c r="W2282" s="5" t="s">
        <v>3904</v>
      </c>
      <c r="X2282" s="5" t="s">
        <v>3904</v>
      </c>
      <c r="Y2282" s="4">
        <v>979</v>
      </c>
      <c r="Z2282" s="4">
        <v>933</v>
      </c>
      <c r="AA2282" s="4">
        <v>1056</v>
      </c>
      <c r="AB2282" s="4">
        <v>4</v>
      </c>
      <c r="AC2282" s="4">
        <v>6</v>
      </c>
      <c r="AD2282" s="4">
        <v>7</v>
      </c>
      <c r="AE2282" s="4">
        <v>8</v>
      </c>
      <c r="AF2282" s="4">
        <v>0</v>
      </c>
      <c r="AG2282" s="4">
        <v>0</v>
      </c>
      <c r="AH2282" s="4">
        <v>3</v>
      </c>
      <c r="AI2282" s="4">
        <v>3</v>
      </c>
      <c r="AJ2282" s="4">
        <v>7</v>
      </c>
      <c r="AK2282" s="4">
        <v>7</v>
      </c>
      <c r="AL2282" s="4">
        <v>0</v>
      </c>
      <c r="AM2282" s="4">
        <v>1</v>
      </c>
      <c r="AN2282" s="4">
        <v>0</v>
      </c>
      <c r="AO2282" s="4">
        <v>0</v>
      </c>
      <c r="AP2282" s="3" t="s">
        <v>58</v>
      </c>
      <c r="AQ2282" s="3" t="s">
        <v>68</v>
      </c>
      <c r="AR2282" s="6" t="str">
        <f>HYPERLINK("http://catalog.hathitrust.org/Record/007530456","HathiTrust Record")</f>
        <v>HathiTrust Record</v>
      </c>
      <c r="AS2282" s="6" t="str">
        <f>HYPERLINK("https://creighton-primo.hosted.exlibrisgroup.com/primo-explore/search?tab=default_tab&amp;search_scope=EVERYTHING&amp;vid=01CRU&amp;lang=en_US&amp;offset=0&amp;query=any,contains,991002000199702656","Catalog Record")</f>
        <v>Catalog Record</v>
      </c>
      <c r="AT2282" s="6" t="str">
        <f>HYPERLINK("http://www.worldcat.org/oclc/25410980","WorldCat Record")</f>
        <v>WorldCat Record</v>
      </c>
      <c r="AU2282" s="3" t="s">
        <v>27815</v>
      </c>
      <c r="AV2282" s="3" t="s">
        <v>27816</v>
      </c>
      <c r="AW2282" s="3" t="s">
        <v>27817</v>
      </c>
      <c r="AX2282" s="3" t="s">
        <v>27817</v>
      </c>
      <c r="AY2282" s="3" t="s">
        <v>27818</v>
      </c>
      <c r="AZ2282" s="3" t="s">
        <v>73</v>
      </c>
      <c r="BB2282" s="3" t="s">
        <v>27819</v>
      </c>
      <c r="BC2282" s="3" t="s">
        <v>27820</v>
      </c>
      <c r="BD2282" s="3" t="s">
        <v>27821</v>
      </c>
    </row>
    <row r="2283" spans="1:56" ht="51" customHeight="1" x14ac:dyDescent="0.25">
      <c r="A2283" s="7" t="s">
        <v>58</v>
      </c>
      <c r="B2283" s="2" t="s">
        <v>27822</v>
      </c>
      <c r="C2283" s="2" t="s">
        <v>27823</v>
      </c>
      <c r="D2283" s="2" t="s">
        <v>27824</v>
      </c>
      <c r="F2283" s="3" t="s">
        <v>58</v>
      </c>
      <c r="G2283" s="3" t="s">
        <v>59</v>
      </c>
      <c r="H2283" s="3" t="s">
        <v>58</v>
      </c>
      <c r="I2283" s="3" t="s">
        <v>58</v>
      </c>
      <c r="J2283" s="3" t="s">
        <v>60</v>
      </c>
      <c r="K2283" s="2" t="s">
        <v>27825</v>
      </c>
      <c r="L2283" s="2" t="s">
        <v>27826</v>
      </c>
      <c r="M2283" s="3" t="s">
        <v>855</v>
      </c>
      <c r="O2283" s="3" t="s">
        <v>63</v>
      </c>
      <c r="P2283" s="3" t="s">
        <v>214</v>
      </c>
      <c r="R2283" s="3" t="s">
        <v>65</v>
      </c>
      <c r="S2283" s="4">
        <v>7</v>
      </c>
      <c r="T2283" s="4">
        <v>7</v>
      </c>
      <c r="U2283" s="5" t="s">
        <v>27827</v>
      </c>
      <c r="V2283" s="5" t="s">
        <v>27827</v>
      </c>
      <c r="W2283" s="5" t="s">
        <v>6964</v>
      </c>
      <c r="X2283" s="5" t="s">
        <v>6964</v>
      </c>
      <c r="Y2283" s="4">
        <v>724</v>
      </c>
      <c r="Z2283" s="4">
        <v>690</v>
      </c>
      <c r="AA2283" s="4">
        <v>714</v>
      </c>
      <c r="AB2283" s="4">
        <v>7</v>
      </c>
      <c r="AC2283" s="4">
        <v>7</v>
      </c>
      <c r="AD2283" s="4">
        <v>15</v>
      </c>
      <c r="AE2283" s="4">
        <v>15</v>
      </c>
      <c r="AF2283" s="4">
        <v>3</v>
      </c>
      <c r="AG2283" s="4">
        <v>3</v>
      </c>
      <c r="AH2283" s="4">
        <v>4</v>
      </c>
      <c r="AI2283" s="4">
        <v>4</v>
      </c>
      <c r="AJ2283" s="4">
        <v>9</v>
      </c>
      <c r="AK2283" s="4">
        <v>9</v>
      </c>
      <c r="AL2283" s="4">
        <v>3</v>
      </c>
      <c r="AM2283" s="4">
        <v>3</v>
      </c>
      <c r="AN2283" s="4">
        <v>0</v>
      </c>
      <c r="AO2283" s="4">
        <v>0</v>
      </c>
      <c r="AP2283" s="3" t="s">
        <v>58</v>
      </c>
      <c r="AQ2283" s="3" t="s">
        <v>68</v>
      </c>
      <c r="AR2283" s="6" t="str">
        <f>HYPERLINK("http://catalog.hathitrust.org/Record/002645391","HathiTrust Record")</f>
        <v>HathiTrust Record</v>
      </c>
      <c r="AS2283" s="6" t="str">
        <f>HYPERLINK("https://creighton-primo.hosted.exlibrisgroup.com/primo-explore/search?tab=default_tab&amp;search_scope=EVERYTHING&amp;vid=01CRU&amp;lang=en_US&amp;offset=0&amp;query=any,contains,991002086199702656","Catalog Record")</f>
        <v>Catalog Record</v>
      </c>
      <c r="AT2283" s="6" t="str">
        <f>HYPERLINK("http://www.worldcat.org/oclc/26766105","WorldCat Record")</f>
        <v>WorldCat Record</v>
      </c>
      <c r="AU2283" s="3" t="s">
        <v>27828</v>
      </c>
      <c r="AV2283" s="3" t="s">
        <v>27829</v>
      </c>
      <c r="AW2283" s="3" t="s">
        <v>27830</v>
      </c>
      <c r="AX2283" s="3" t="s">
        <v>27830</v>
      </c>
      <c r="AY2283" s="3" t="s">
        <v>27831</v>
      </c>
      <c r="AZ2283" s="3" t="s">
        <v>73</v>
      </c>
      <c r="BB2283" s="3" t="s">
        <v>27832</v>
      </c>
      <c r="BC2283" s="3" t="s">
        <v>27833</v>
      </c>
      <c r="BD2283" s="3" t="s">
        <v>27834</v>
      </c>
    </row>
    <row r="2284" spans="1:56" ht="51" customHeight="1" x14ac:dyDescent="0.25">
      <c r="A2284" s="7" t="s">
        <v>58</v>
      </c>
      <c r="B2284" s="2" t="s">
        <v>27835</v>
      </c>
      <c r="C2284" s="2" t="s">
        <v>27836</v>
      </c>
      <c r="D2284" s="2" t="s">
        <v>27837</v>
      </c>
      <c r="F2284" s="3" t="s">
        <v>58</v>
      </c>
      <c r="G2284" s="3" t="s">
        <v>59</v>
      </c>
      <c r="H2284" s="3" t="s">
        <v>58</v>
      </c>
      <c r="I2284" s="3" t="s">
        <v>58</v>
      </c>
      <c r="J2284" s="3" t="s">
        <v>60</v>
      </c>
      <c r="K2284" s="2" t="s">
        <v>27838</v>
      </c>
      <c r="L2284" s="2" t="s">
        <v>27839</v>
      </c>
      <c r="M2284" s="3" t="s">
        <v>2295</v>
      </c>
      <c r="O2284" s="3" t="s">
        <v>63</v>
      </c>
      <c r="P2284" s="3" t="s">
        <v>214</v>
      </c>
      <c r="R2284" s="3" t="s">
        <v>65</v>
      </c>
      <c r="S2284" s="4">
        <v>5</v>
      </c>
      <c r="T2284" s="4">
        <v>5</v>
      </c>
      <c r="U2284" s="5" t="s">
        <v>27840</v>
      </c>
      <c r="V2284" s="5" t="s">
        <v>27840</v>
      </c>
      <c r="W2284" s="5" t="s">
        <v>22268</v>
      </c>
      <c r="X2284" s="5" t="s">
        <v>22268</v>
      </c>
      <c r="Y2284" s="4">
        <v>2390</v>
      </c>
      <c r="Z2284" s="4">
        <v>2256</v>
      </c>
      <c r="AA2284" s="4">
        <v>2541</v>
      </c>
      <c r="AB2284" s="4">
        <v>33</v>
      </c>
      <c r="AC2284" s="4">
        <v>38</v>
      </c>
      <c r="AD2284" s="4">
        <v>35</v>
      </c>
      <c r="AE2284" s="4">
        <v>39</v>
      </c>
      <c r="AF2284" s="4">
        <v>13</v>
      </c>
      <c r="AG2284" s="4">
        <v>14</v>
      </c>
      <c r="AH2284" s="4">
        <v>5</v>
      </c>
      <c r="AI2284" s="4">
        <v>5</v>
      </c>
      <c r="AJ2284" s="4">
        <v>14</v>
      </c>
      <c r="AK2284" s="4">
        <v>14</v>
      </c>
      <c r="AL2284" s="4">
        <v>7</v>
      </c>
      <c r="AM2284" s="4">
        <v>10</v>
      </c>
      <c r="AN2284" s="4">
        <v>1</v>
      </c>
      <c r="AO2284" s="4">
        <v>1</v>
      </c>
      <c r="AP2284" s="3" t="s">
        <v>58</v>
      </c>
      <c r="AQ2284" s="3" t="s">
        <v>58</v>
      </c>
      <c r="AS2284" s="6" t="str">
        <f>HYPERLINK("https://creighton-primo.hosted.exlibrisgroup.com/primo-explore/search?tab=default_tab&amp;search_scope=EVERYTHING&amp;vid=01CRU&amp;lang=en_US&amp;offset=0&amp;query=any,contains,991004058589702656","Catalog Record")</f>
        <v>Catalog Record</v>
      </c>
      <c r="AT2284" s="6" t="str">
        <f>HYPERLINK("http://www.worldcat.org/oclc/50598121","WorldCat Record")</f>
        <v>WorldCat Record</v>
      </c>
      <c r="AU2284" s="3" t="s">
        <v>27841</v>
      </c>
      <c r="AV2284" s="3" t="s">
        <v>27842</v>
      </c>
      <c r="AW2284" s="3" t="s">
        <v>27843</v>
      </c>
      <c r="AX2284" s="3" t="s">
        <v>27843</v>
      </c>
      <c r="AY2284" s="3" t="s">
        <v>27844</v>
      </c>
      <c r="AZ2284" s="3" t="s">
        <v>73</v>
      </c>
      <c r="BB2284" s="3" t="s">
        <v>27845</v>
      </c>
      <c r="BC2284" s="3" t="s">
        <v>27846</v>
      </c>
      <c r="BD2284" s="3" t="s">
        <v>27847</v>
      </c>
    </row>
    <row r="2285" spans="1:56" ht="51" customHeight="1" x14ac:dyDescent="0.25">
      <c r="A2285" s="7" t="s">
        <v>58</v>
      </c>
      <c r="B2285" s="2" t="s">
        <v>27848</v>
      </c>
      <c r="C2285" s="2" t="s">
        <v>27849</v>
      </c>
      <c r="D2285" s="2" t="s">
        <v>27850</v>
      </c>
      <c r="F2285" s="3" t="s">
        <v>58</v>
      </c>
      <c r="G2285" s="3" t="s">
        <v>59</v>
      </c>
      <c r="H2285" s="3" t="s">
        <v>58</v>
      </c>
      <c r="I2285" s="3" t="s">
        <v>58</v>
      </c>
      <c r="J2285" s="3" t="s">
        <v>60</v>
      </c>
      <c r="K2285" s="2" t="s">
        <v>27851</v>
      </c>
      <c r="L2285" s="2" t="s">
        <v>27852</v>
      </c>
      <c r="M2285" s="3" t="s">
        <v>1544</v>
      </c>
      <c r="N2285" s="2" t="s">
        <v>338</v>
      </c>
      <c r="O2285" s="3" t="s">
        <v>63</v>
      </c>
      <c r="P2285" s="3" t="s">
        <v>2061</v>
      </c>
      <c r="R2285" s="3" t="s">
        <v>65</v>
      </c>
      <c r="S2285" s="4">
        <v>10</v>
      </c>
      <c r="T2285" s="4">
        <v>10</v>
      </c>
      <c r="U2285" s="5" t="s">
        <v>9506</v>
      </c>
      <c r="V2285" s="5" t="s">
        <v>9506</v>
      </c>
      <c r="W2285" s="5" t="s">
        <v>27853</v>
      </c>
      <c r="X2285" s="5" t="s">
        <v>27853</v>
      </c>
      <c r="Y2285" s="4">
        <v>824</v>
      </c>
      <c r="Z2285" s="4">
        <v>747</v>
      </c>
      <c r="AA2285" s="4">
        <v>762</v>
      </c>
      <c r="AB2285" s="4">
        <v>4</v>
      </c>
      <c r="AC2285" s="4">
        <v>4</v>
      </c>
      <c r="AD2285" s="4">
        <v>19</v>
      </c>
      <c r="AE2285" s="4">
        <v>20</v>
      </c>
      <c r="AF2285" s="4">
        <v>3</v>
      </c>
      <c r="AG2285" s="4">
        <v>4</v>
      </c>
      <c r="AH2285" s="4">
        <v>5</v>
      </c>
      <c r="AI2285" s="4">
        <v>5</v>
      </c>
      <c r="AJ2285" s="4">
        <v>13</v>
      </c>
      <c r="AK2285" s="4">
        <v>13</v>
      </c>
      <c r="AL2285" s="4">
        <v>3</v>
      </c>
      <c r="AM2285" s="4">
        <v>3</v>
      </c>
      <c r="AN2285" s="4">
        <v>0</v>
      </c>
      <c r="AO2285" s="4">
        <v>0</v>
      </c>
      <c r="AP2285" s="3" t="s">
        <v>58</v>
      </c>
      <c r="AQ2285" s="3" t="s">
        <v>68</v>
      </c>
      <c r="AR2285" s="6" t="str">
        <f>HYPERLINK("http://catalog.hathitrust.org/Record/002595514","HathiTrust Record")</f>
        <v>HathiTrust Record</v>
      </c>
      <c r="AS2285" s="6" t="str">
        <f>HYPERLINK("https://creighton-primo.hosted.exlibrisgroup.com/primo-explore/search?tab=default_tab&amp;search_scope=EVERYTHING&amp;vid=01CRU&amp;lang=en_US&amp;offset=0&amp;query=any,contains,991002044109702656","Catalog Record")</f>
        <v>Catalog Record</v>
      </c>
      <c r="AT2285" s="6" t="str">
        <f>HYPERLINK("http://www.worldcat.org/oclc/26094931","WorldCat Record")</f>
        <v>WorldCat Record</v>
      </c>
      <c r="AU2285" s="3" t="s">
        <v>27854</v>
      </c>
      <c r="AV2285" s="3" t="s">
        <v>27855</v>
      </c>
      <c r="AW2285" s="3" t="s">
        <v>27856</v>
      </c>
      <c r="AX2285" s="3" t="s">
        <v>27856</v>
      </c>
      <c r="AY2285" s="3" t="s">
        <v>27857</v>
      </c>
      <c r="AZ2285" s="3" t="s">
        <v>73</v>
      </c>
      <c r="BB2285" s="3" t="s">
        <v>27858</v>
      </c>
      <c r="BC2285" s="3" t="s">
        <v>27859</v>
      </c>
      <c r="BD2285" s="3" t="s">
        <v>27860</v>
      </c>
    </row>
    <row r="2286" spans="1:56" ht="51" customHeight="1" x14ac:dyDescent="0.25">
      <c r="A2286" s="7" t="s">
        <v>58</v>
      </c>
      <c r="B2286" s="2" t="s">
        <v>27861</v>
      </c>
      <c r="C2286" s="2" t="s">
        <v>27862</v>
      </c>
      <c r="D2286" s="2" t="s">
        <v>27863</v>
      </c>
      <c r="F2286" s="3" t="s">
        <v>58</v>
      </c>
      <c r="G2286" s="3" t="s">
        <v>59</v>
      </c>
      <c r="H2286" s="3" t="s">
        <v>58</v>
      </c>
      <c r="I2286" s="3" t="s">
        <v>58</v>
      </c>
      <c r="J2286" s="3" t="s">
        <v>60</v>
      </c>
      <c r="K2286" s="2" t="s">
        <v>27864</v>
      </c>
      <c r="L2286" s="2" t="s">
        <v>27865</v>
      </c>
      <c r="M2286" s="3" t="s">
        <v>382</v>
      </c>
      <c r="N2286" s="2" t="s">
        <v>338</v>
      </c>
      <c r="O2286" s="3" t="s">
        <v>63</v>
      </c>
      <c r="P2286" s="3" t="s">
        <v>214</v>
      </c>
      <c r="R2286" s="3" t="s">
        <v>65</v>
      </c>
      <c r="S2286" s="4">
        <v>4</v>
      </c>
      <c r="T2286" s="4">
        <v>4</v>
      </c>
      <c r="U2286" s="5" t="s">
        <v>27866</v>
      </c>
      <c r="V2286" s="5" t="s">
        <v>27866</v>
      </c>
      <c r="W2286" s="5" t="s">
        <v>20632</v>
      </c>
      <c r="X2286" s="5" t="s">
        <v>20632</v>
      </c>
      <c r="Y2286" s="4">
        <v>1073</v>
      </c>
      <c r="Z2286" s="4">
        <v>978</v>
      </c>
      <c r="AA2286" s="4">
        <v>1125</v>
      </c>
      <c r="AB2286" s="4">
        <v>5</v>
      </c>
      <c r="AC2286" s="4">
        <v>7</v>
      </c>
      <c r="AD2286" s="4">
        <v>27</v>
      </c>
      <c r="AE2286" s="4">
        <v>30</v>
      </c>
      <c r="AF2286" s="4">
        <v>8</v>
      </c>
      <c r="AG2286" s="4">
        <v>8</v>
      </c>
      <c r="AH2286" s="4">
        <v>8</v>
      </c>
      <c r="AI2286" s="4">
        <v>9</v>
      </c>
      <c r="AJ2286" s="4">
        <v>16</v>
      </c>
      <c r="AK2286" s="4">
        <v>17</v>
      </c>
      <c r="AL2286" s="4">
        <v>4</v>
      </c>
      <c r="AM2286" s="4">
        <v>5</v>
      </c>
      <c r="AN2286" s="4">
        <v>0</v>
      </c>
      <c r="AO2286" s="4">
        <v>0</v>
      </c>
      <c r="AP2286" s="3" t="s">
        <v>58</v>
      </c>
      <c r="AQ2286" s="3" t="s">
        <v>58</v>
      </c>
      <c r="AS2286" s="6" t="str">
        <f>HYPERLINK("https://creighton-primo.hosted.exlibrisgroup.com/primo-explore/search?tab=default_tab&amp;search_scope=EVERYTHING&amp;vid=01CRU&amp;lang=en_US&amp;offset=0&amp;query=any,contains,991002995949702656","Catalog Record")</f>
        <v>Catalog Record</v>
      </c>
      <c r="AT2286" s="6" t="str">
        <f>HYPERLINK("http://www.worldcat.org/oclc/40510501","WorldCat Record")</f>
        <v>WorldCat Record</v>
      </c>
      <c r="AU2286" s="3" t="s">
        <v>27867</v>
      </c>
      <c r="AV2286" s="3" t="s">
        <v>27868</v>
      </c>
      <c r="AW2286" s="3" t="s">
        <v>27869</v>
      </c>
      <c r="AX2286" s="3" t="s">
        <v>27869</v>
      </c>
      <c r="AY2286" s="3" t="s">
        <v>27870</v>
      </c>
      <c r="AZ2286" s="3" t="s">
        <v>73</v>
      </c>
      <c r="BB2286" s="3" t="s">
        <v>27871</v>
      </c>
      <c r="BC2286" s="3" t="s">
        <v>27872</v>
      </c>
      <c r="BD2286" s="3" t="s">
        <v>27873</v>
      </c>
    </row>
    <row r="2287" spans="1:56" ht="51" customHeight="1" x14ac:dyDescent="0.25">
      <c r="A2287" s="7" t="s">
        <v>58</v>
      </c>
      <c r="B2287" s="2" t="s">
        <v>27874</v>
      </c>
      <c r="C2287" s="2" t="s">
        <v>27875</v>
      </c>
      <c r="D2287" s="2" t="s">
        <v>27876</v>
      </c>
      <c r="F2287" s="3" t="s">
        <v>58</v>
      </c>
      <c r="G2287" s="3" t="s">
        <v>59</v>
      </c>
      <c r="H2287" s="3" t="s">
        <v>58</v>
      </c>
      <c r="I2287" s="3" t="s">
        <v>58</v>
      </c>
      <c r="J2287" s="3" t="s">
        <v>60</v>
      </c>
      <c r="K2287" s="2" t="s">
        <v>27877</v>
      </c>
      <c r="L2287" s="2" t="s">
        <v>27878</v>
      </c>
      <c r="M2287" s="3" t="s">
        <v>382</v>
      </c>
      <c r="O2287" s="3" t="s">
        <v>63</v>
      </c>
      <c r="P2287" s="3" t="s">
        <v>584</v>
      </c>
      <c r="R2287" s="3" t="s">
        <v>65</v>
      </c>
      <c r="S2287" s="4">
        <v>3</v>
      </c>
      <c r="T2287" s="4">
        <v>3</v>
      </c>
      <c r="U2287" s="5" t="s">
        <v>3958</v>
      </c>
      <c r="V2287" s="5" t="s">
        <v>3958</v>
      </c>
      <c r="W2287" s="5" t="s">
        <v>18373</v>
      </c>
      <c r="X2287" s="5" t="s">
        <v>18373</v>
      </c>
      <c r="Y2287" s="4">
        <v>508</v>
      </c>
      <c r="Z2287" s="4">
        <v>398</v>
      </c>
      <c r="AA2287" s="4">
        <v>400</v>
      </c>
      <c r="AB2287" s="4">
        <v>2</v>
      </c>
      <c r="AC2287" s="4">
        <v>2</v>
      </c>
      <c r="AD2287" s="4">
        <v>24</v>
      </c>
      <c r="AE2287" s="4">
        <v>24</v>
      </c>
      <c r="AF2287" s="4">
        <v>9</v>
      </c>
      <c r="AG2287" s="4">
        <v>9</v>
      </c>
      <c r="AH2287" s="4">
        <v>7</v>
      </c>
      <c r="AI2287" s="4">
        <v>7</v>
      </c>
      <c r="AJ2287" s="4">
        <v>12</v>
      </c>
      <c r="AK2287" s="4">
        <v>12</v>
      </c>
      <c r="AL2287" s="4">
        <v>1</v>
      </c>
      <c r="AM2287" s="4">
        <v>1</v>
      </c>
      <c r="AN2287" s="4">
        <v>1</v>
      </c>
      <c r="AO2287" s="4">
        <v>1</v>
      </c>
      <c r="AP2287" s="3" t="s">
        <v>58</v>
      </c>
      <c r="AQ2287" s="3" t="s">
        <v>58</v>
      </c>
      <c r="AS2287" s="6" t="str">
        <f>HYPERLINK("https://creighton-primo.hosted.exlibrisgroup.com/primo-explore/search?tab=default_tab&amp;search_scope=EVERYTHING&amp;vid=01CRU&amp;lang=en_US&amp;offset=0&amp;query=any,contains,991003572249702656","Catalog Record")</f>
        <v>Catalog Record</v>
      </c>
      <c r="AT2287" s="6" t="str">
        <f>HYPERLINK("http://www.worldcat.org/oclc/42458531","WorldCat Record")</f>
        <v>WorldCat Record</v>
      </c>
      <c r="AU2287" s="3" t="s">
        <v>27879</v>
      </c>
      <c r="AV2287" s="3" t="s">
        <v>27880</v>
      </c>
      <c r="AW2287" s="3" t="s">
        <v>27881</v>
      </c>
      <c r="AX2287" s="3" t="s">
        <v>27881</v>
      </c>
      <c r="AY2287" s="3" t="s">
        <v>27882</v>
      </c>
      <c r="AZ2287" s="3" t="s">
        <v>73</v>
      </c>
      <c r="BB2287" s="3" t="s">
        <v>27883</v>
      </c>
      <c r="BC2287" s="3" t="s">
        <v>27884</v>
      </c>
      <c r="BD2287" s="3" t="s">
        <v>27885</v>
      </c>
    </row>
    <row r="2288" spans="1:56" ht="51" customHeight="1" x14ac:dyDescent="0.25">
      <c r="A2288" s="7" t="s">
        <v>58</v>
      </c>
      <c r="B2288" s="2" t="s">
        <v>27886</v>
      </c>
      <c r="C2288" s="2" t="s">
        <v>27887</v>
      </c>
      <c r="D2288" s="2" t="s">
        <v>27888</v>
      </c>
      <c r="F2288" s="3" t="s">
        <v>58</v>
      </c>
      <c r="G2288" s="3" t="s">
        <v>59</v>
      </c>
      <c r="H2288" s="3" t="s">
        <v>58</v>
      </c>
      <c r="I2288" s="3" t="s">
        <v>58</v>
      </c>
      <c r="J2288" s="3" t="s">
        <v>60</v>
      </c>
      <c r="L2288" s="2" t="s">
        <v>22726</v>
      </c>
      <c r="M2288" s="3" t="s">
        <v>2295</v>
      </c>
      <c r="O2288" s="3" t="s">
        <v>63</v>
      </c>
      <c r="P2288" s="3" t="s">
        <v>214</v>
      </c>
      <c r="R2288" s="3" t="s">
        <v>65</v>
      </c>
      <c r="S2288" s="4">
        <v>2</v>
      </c>
      <c r="T2288" s="4">
        <v>2</v>
      </c>
      <c r="U2288" s="5" t="s">
        <v>16860</v>
      </c>
      <c r="V2288" s="5" t="s">
        <v>16860</v>
      </c>
      <c r="W2288" s="5" t="s">
        <v>7525</v>
      </c>
      <c r="X2288" s="5" t="s">
        <v>7525</v>
      </c>
      <c r="Y2288" s="4">
        <v>88</v>
      </c>
      <c r="Z2288" s="4">
        <v>67</v>
      </c>
      <c r="AA2288" s="4">
        <v>67</v>
      </c>
      <c r="AB2288" s="4">
        <v>1</v>
      </c>
      <c r="AC2288" s="4">
        <v>1</v>
      </c>
      <c r="AD2288" s="4">
        <v>5</v>
      </c>
      <c r="AE2288" s="4">
        <v>5</v>
      </c>
      <c r="AF2288" s="4">
        <v>0</v>
      </c>
      <c r="AG2288" s="4">
        <v>0</v>
      </c>
      <c r="AH2288" s="4">
        <v>3</v>
      </c>
      <c r="AI2288" s="4">
        <v>3</v>
      </c>
      <c r="AJ2288" s="4">
        <v>4</v>
      </c>
      <c r="AK2288" s="4">
        <v>4</v>
      </c>
      <c r="AL2288" s="4">
        <v>0</v>
      </c>
      <c r="AM2288" s="4">
        <v>0</v>
      </c>
      <c r="AN2288" s="4">
        <v>0</v>
      </c>
      <c r="AO2288" s="4">
        <v>0</v>
      </c>
      <c r="AP2288" s="3" t="s">
        <v>58</v>
      </c>
      <c r="AQ2288" s="3" t="s">
        <v>58</v>
      </c>
      <c r="AS2288" s="6" t="str">
        <f>HYPERLINK("https://creighton-primo.hosted.exlibrisgroup.com/primo-explore/search?tab=default_tab&amp;search_scope=EVERYTHING&amp;vid=01CRU&amp;lang=en_US&amp;offset=0&amp;query=any,contains,991004149859702656","Catalog Record")</f>
        <v>Catalog Record</v>
      </c>
      <c r="AT2288" s="6" t="str">
        <f>HYPERLINK("http://www.worldcat.org/oclc/52989988","WorldCat Record")</f>
        <v>WorldCat Record</v>
      </c>
      <c r="AU2288" s="3" t="s">
        <v>27889</v>
      </c>
      <c r="AV2288" s="3" t="s">
        <v>27890</v>
      </c>
      <c r="AW2288" s="3" t="s">
        <v>27891</v>
      </c>
      <c r="AX2288" s="3" t="s">
        <v>27891</v>
      </c>
      <c r="AY2288" s="3" t="s">
        <v>27892</v>
      </c>
      <c r="AZ2288" s="3" t="s">
        <v>73</v>
      </c>
      <c r="BB2288" s="3" t="s">
        <v>27893</v>
      </c>
      <c r="BC2288" s="3" t="s">
        <v>27894</v>
      </c>
      <c r="BD2288" s="3" t="s">
        <v>27895</v>
      </c>
    </row>
    <row r="2289" spans="1:56" ht="51" customHeight="1" x14ac:dyDescent="0.25">
      <c r="A2289" s="7" t="s">
        <v>58</v>
      </c>
      <c r="B2289" s="2" t="s">
        <v>27896</v>
      </c>
      <c r="C2289" s="2" t="s">
        <v>27897</v>
      </c>
      <c r="D2289" s="2" t="s">
        <v>27898</v>
      </c>
      <c r="F2289" s="3" t="s">
        <v>58</v>
      </c>
      <c r="G2289" s="3" t="s">
        <v>59</v>
      </c>
      <c r="H2289" s="3" t="s">
        <v>58</v>
      </c>
      <c r="I2289" s="3" t="s">
        <v>58</v>
      </c>
      <c r="J2289" s="3" t="s">
        <v>60</v>
      </c>
      <c r="K2289" s="2" t="s">
        <v>27899</v>
      </c>
      <c r="L2289" s="2" t="s">
        <v>27900</v>
      </c>
      <c r="M2289" s="3" t="s">
        <v>337</v>
      </c>
      <c r="N2289" s="2" t="s">
        <v>338</v>
      </c>
      <c r="O2289" s="3" t="s">
        <v>63</v>
      </c>
      <c r="P2289" s="3" t="s">
        <v>214</v>
      </c>
      <c r="R2289" s="3" t="s">
        <v>65</v>
      </c>
      <c r="S2289" s="4">
        <v>13</v>
      </c>
      <c r="T2289" s="4">
        <v>13</v>
      </c>
      <c r="U2289" s="5" t="s">
        <v>27901</v>
      </c>
      <c r="V2289" s="5" t="s">
        <v>27901</v>
      </c>
      <c r="W2289" s="5" t="s">
        <v>8037</v>
      </c>
      <c r="X2289" s="5" t="s">
        <v>8037</v>
      </c>
      <c r="Y2289" s="4">
        <v>1571</v>
      </c>
      <c r="Z2289" s="4">
        <v>1417</v>
      </c>
      <c r="AA2289" s="4">
        <v>1438</v>
      </c>
      <c r="AB2289" s="4">
        <v>10</v>
      </c>
      <c r="AC2289" s="4">
        <v>10</v>
      </c>
      <c r="AD2289" s="4">
        <v>42</v>
      </c>
      <c r="AE2289" s="4">
        <v>42</v>
      </c>
      <c r="AF2289" s="4">
        <v>19</v>
      </c>
      <c r="AG2289" s="4">
        <v>19</v>
      </c>
      <c r="AH2289" s="4">
        <v>8</v>
      </c>
      <c r="AI2289" s="4">
        <v>8</v>
      </c>
      <c r="AJ2289" s="4">
        <v>17</v>
      </c>
      <c r="AK2289" s="4">
        <v>17</v>
      </c>
      <c r="AL2289" s="4">
        <v>6</v>
      </c>
      <c r="AM2289" s="4">
        <v>6</v>
      </c>
      <c r="AN2289" s="4">
        <v>2</v>
      </c>
      <c r="AO2289" s="4">
        <v>2</v>
      </c>
      <c r="AP2289" s="3" t="s">
        <v>58</v>
      </c>
      <c r="AQ2289" s="3" t="s">
        <v>68</v>
      </c>
      <c r="AR2289" s="6" t="str">
        <f>HYPERLINK("http://catalog.hathitrust.org/Record/004280913","HathiTrust Record")</f>
        <v>HathiTrust Record</v>
      </c>
      <c r="AS2289" s="6" t="str">
        <f>HYPERLINK("https://creighton-primo.hosted.exlibrisgroup.com/primo-explore/search?tab=default_tab&amp;search_scope=EVERYTHING&amp;vid=01CRU&amp;lang=en_US&amp;offset=0&amp;query=any,contains,991003943839702656","Catalog Record")</f>
        <v>Catalog Record</v>
      </c>
      <c r="AT2289" s="6" t="str">
        <f>HYPERLINK("http://www.worldcat.org/oclc/50315130","WorldCat Record")</f>
        <v>WorldCat Record</v>
      </c>
      <c r="AU2289" s="3" t="s">
        <v>27902</v>
      </c>
      <c r="AV2289" s="3" t="s">
        <v>27903</v>
      </c>
      <c r="AW2289" s="3" t="s">
        <v>27904</v>
      </c>
      <c r="AX2289" s="3" t="s">
        <v>27904</v>
      </c>
      <c r="AY2289" s="3" t="s">
        <v>27905</v>
      </c>
      <c r="AZ2289" s="3" t="s">
        <v>73</v>
      </c>
      <c r="BB2289" s="3" t="s">
        <v>27906</v>
      </c>
      <c r="BC2289" s="3" t="s">
        <v>27907</v>
      </c>
      <c r="BD2289" s="3" t="s">
        <v>27908</v>
      </c>
    </row>
    <row r="2290" spans="1:56" ht="51" customHeight="1" x14ac:dyDescent="0.25">
      <c r="A2290" s="7" t="s">
        <v>58</v>
      </c>
      <c r="B2290" s="2" t="s">
        <v>27909</v>
      </c>
      <c r="C2290" s="2" t="s">
        <v>27910</v>
      </c>
      <c r="D2290" s="2" t="s">
        <v>27911</v>
      </c>
      <c r="F2290" s="3" t="s">
        <v>58</v>
      </c>
      <c r="G2290" s="3" t="s">
        <v>59</v>
      </c>
      <c r="H2290" s="3" t="s">
        <v>58</v>
      </c>
      <c r="I2290" s="3" t="s">
        <v>58</v>
      </c>
      <c r="J2290" s="3" t="s">
        <v>60</v>
      </c>
      <c r="K2290" s="2" t="s">
        <v>27912</v>
      </c>
      <c r="L2290" s="2" t="s">
        <v>27913</v>
      </c>
      <c r="M2290" s="3" t="s">
        <v>1091</v>
      </c>
      <c r="O2290" s="3" t="s">
        <v>63</v>
      </c>
      <c r="P2290" s="3" t="s">
        <v>214</v>
      </c>
      <c r="R2290" s="3" t="s">
        <v>65</v>
      </c>
      <c r="S2290" s="4">
        <v>7</v>
      </c>
      <c r="T2290" s="4">
        <v>7</v>
      </c>
      <c r="U2290" s="5" t="s">
        <v>27914</v>
      </c>
      <c r="V2290" s="5" t="s">
        <v>27914</v>
      </c>
      <c r="W2290" s="5" t="s">
        <v>20581</v>
      </c>
      <c r="X2290" s="5" t="s">
        <v>20581</v>
      </c>
      <c r="Y2290" s="4">
        <v>295</v>
      </c>
      <c r="Z2290" s="4">
        <v>264</v>
      </c>
      <c r="AA2290" s="4">
        <v>1091</v>
      </c>
      <c r="AB2290" s="4">
        <v>2</v>
      </c>
      <c r="AC2290" s="4">
        <v>9</v>
      </c>
      <c r="AD2290" s="4">
        <v>11</v>
      </c>
      <c r="AE2290" s="4">
        <v>39</v>
      </c>
      <c r="AF2290" s="4">
        <v>7</v>
      </c>
      <c r="AG2290" s="4">
        <v>16</v>
      </c>
      <c r="AH2290" s="4">
        <v>3</v>
      </c>
      <c r="AI2290" s="4">
        <v>9</v>
      </c>
      <c r="AJ2290" s="4">
        <v>4</v>
      </c>
      <c r="AK2290" s="4">
        <v>13</v>
      </c>
      <c r="AL2290" s="4">
        <v>1</v>
      </c>
      <c r="AM2290" s="4">
        <v>7</v>
      </c>
      <c r="AN2290" s="4">
        <v>0</v>
      </c>
      <c r="AO2290" s="4">
        <v>3</v>
      </c>
      <c r="AP2290" s="3" t="s">
        <v>58</v>
      </c>
      <c r="AQ2290" s="3" t="s">
        <v>58</v>
      </c>
      <c r="AS2290" s="6" t="str">
        <f>HYPERLINK("https://creighton-primo.hosted.exlibrisgroup.com/primo-explore/search?tab=default_tab&amp;search_scope=EVERYTHING&amp;vid=01CRU&amp;lang=en_US&amp;offset=0&amp;query=any,contains,991003718109702656","Catalog Record")</f>
        <v>Catalog Record</v>
      </c>
      <c r="AT2290" s="6" t="str">
        <f>HYPERLINK("http://www.worldcat.org/oclc/47764411","WorldCat Record")</f>
        <v>WorldCat Record</v>
      </c>
      <c r="AU2290" s="3" t="s">
        <v>27915</v>
      </c>
      <c r="AV2290" s="3" t="s">
        <v>27916</v>
      </c>
      <c r="AW2290" s="3" t="s">
        <v>27917</v>
      </c>
      <c r="AX2290" s="3" t="s">
        <v>27917</v>
      </c>
      <c r="AY2290" s="3" t="s">
        <v>27918</v>
      </c>
      <c r="AZ2290" s="3" t="s">
        <v>73</v>
      </c>
      <c r="BB2290" s="3" t="s">
        <v>27919</v>
      </c>
      <c r="BC2290" s="3" t="s">
        <v>27920</v>
      </c>
      <c r="BD2290" s="3" t="s">
        <v>27921</v>
      </c>
    </row>
    <row r="2291" spans="1:56" ht="51" customHeight="1" x14ac:dyDescent="0.25">
      <c r="A2291" s="7" t="s">
        <v>58</v>
      </c>
      <c r="B2291" s="2" t="s">
        <v>27922</v>
      </c>
      <c r="C2291" s="2" t="s">
        <v>27923</v>
      </c>
      <c r="D2291" s="2" t="s">
        <v>27924</v>
      </c>
      <c r="F2291" s="3" t="s">
        <v>58</v>
      </c>
      <c r="G2291" s="3" t="s">
        <v>59</v>
      </c>
      <c r="H2291" s="3" t="s">
        <v>58</v>
      </c>
      <c r="I2291" s="3" t="s">
        <v>58</v>
      </c>
      <c r="J2291" s="3" t="s">
        <v>60</v>
      </c>
      <c r="L2291" s="2" t="s">
        <v>27925</v>
      </c>
      <c r="M2291" s="3" t="s">
        <v>4023</v>
      </c>
      <c r="N2291" s="2" t="s">
        <v>338</v>
      </c>
      <c r="O2291" s="3" t="s">
        <v>63</v>
      </c>
      <c r="P2291" s="3" t="s">
        <v>214</v>
      </c>
      <c r="R2291" s="3" t="s">
        <v>65</v>
      </c>
      <c r="S2291" s="4">
        <v>6</v>
      </c>
      <c r="T2291" s="4">
        <v>6</v>
      </c>
      <c r="U2291" s="5" t="s">
        <v>12015</v>
      </c>
      <c r="V2291" s="5" t="s">
        <v>12015</v>
      </c>
      <c r="W2291" s="5" t="s">
        <v>12445</v>
      </c>
      <c r="X2291" s="5" t="s">
        <v>12445</v>
      </c>
      <c r="Y2291" s="4">
        <v>683</v>
      </c>
      <c r="Z2291" s="4">
        <v>607</v>
      </c>
      <c r="AA2291" s="4">
        <v>615</v>
      </c>
      <c r="AB2291" s="4">
        <v>7</v>
      </c>
      <c r="AC2291" s="4">
        <v>7</v>
      </c>
      <c r="AD2291" s="4">
        <v>22</v>
      </c>
      <c r="AE2291" s="4">
        <v>22</v>
      </c>
      <c r="AF2291" s="4">
        <v>8</v>
      </c>
      <c r="AG2291" s="4">
        <v>8</v>
      </c>
      <c r="AH2291" s="4">
        <v>4</v>
      </c>
      <c r="AI2291" s="4">
        <v>4</v>
      </c>
      <c r="AJ2291" s="4">
        <v>9</v>
      </c>
      <c r="AK2291" s="4">
        <v>9</v>
      </c>
      <c r="AL2291" s="4">
        <v>4</v>
      </c>
      <c r="AM2291" s="4">
        <v>4</v>
      </c>
      <c r="AN2291" s="4">
        <v>1</v>
      </c>
      <c r="AO2291" s="4">
        <v>1</v>
      </c>
      <c r="AP2291" s="3" t="s">
        <v>58</v>
      </c>
      <c r="AQ2291" s="3" t="s">
        <v>68</v>
      </c>
      <c r="AR2291" s="6" t="str">
        <f>HYPERLINK("http://catalog.hathitrust.org/Record/004768861","HathiTrust Record")</f>
        <v>HathiTrust Record</v>
      </c>
      <c r="AS2291" s="6" t="str">
        <f>HYPERLINK("https://creighton-primo.hosted.exlibrisgroup.com/primo-explore/search?tab=default_tab&amp;search_scope=EVERYTHING&amp;vid=01CRU&amp;lang=en_US&amp;offset=0&amp;query=any,contains,991004467939702656","Catalog Record")</f>
        <v>Catalog Record</v>
      </c>
      <c r="AT2291" s="6" t="str">
        <f>HYPERLINK("http://www.worldcat.org/oclc/56674875","WorldCat Record")</f>
        <v>WorldCat Record</v>
      </c>
      <c r="AU2291" s="3" t="s">
        <v>27926</v>
      </c>
      <c r="AV2291" s="3" t="s">
        <v>27927</v>
      </c>
      <c r="AW2291" s="3" t="s">
        <v>27928</v>
      </c>
      <c r="AX2291" s="3" t="s">
        <v>27928</v>
      </c>
      <c r="AY2291" s="3" t="s">
        <v>27929</v>
      </c>
      <c r="AZ2291" s="3" t="s">
        <v>73</v>
      </c>
      <c r="BB2291" s="3" t="s">
        <v>27930</v>
      </c>
      <c r="BC2291" s="3" t="s">
        <v>27931</v>
      </c>
      <c r="BD2291" s="3" t="s">
        <v>27932</v>
      </c>
    </row>
    <row r="2292" spans="1:56" ht="51" customHeight="1" x14ac:dyDescent="0.25">
      <c r="A2292" s="7" t="s">
        <v>58</v>
      </c>
      <c r="B2292" s="2" t="s">
        <v>27933</v>
      </c>
      <c r="C2292" s="2" t="s">
        <v>27934</v>
      </c>
      <c r="D2292" s="2" t="s">
        <v>27935</v>
      </c>
      <c r="F2292" s="3" t="s">
        <v>58</v>
      </c>
      <c r="G2292" s="3" t="s">
        <v>59</v>
      </c>
      <c r="H2292" s="3" t="s">
        <v>58</v>
      </c>
      <c r="I2292" s="3" t="s">
        <v>58</v>
      </c>
      <c r="J2292" s="3" t="s">
        <v>60</v>
      </c>
      <c r="L2292" s="2" t="s">
        <v>27936</v>
      </c>
      <c r="M2292" s="3" t="s">
        <v>2295</v>
      </c>
      <c r="O2292" s="3" t="s">
        <v>63</v>
      </c>
      <c r="P2292" s="3" t="s">
        <v>584</v>
      </c>
      <c r="R2292" s="3" t="s">
        <v>65</v>
      </c>
      <c r="S2292" s="4">
        <v>8</v>
      </c>
      <c r="T2292" s="4">
        <v>8</v>
      </c>
      <c r="U2292" s="5" t="s">
        <v>27937</v>
      </c>
      <c r="V2292" s="5" t="s">
        <v>27937</v>
      </c>
      <c r="W2292" s="5" t="s">
        <v>27938</v>
      </c>
      <c r="X2292" s="5" t="s">
        <v>27938</v>
      </c>
      <c r="Y2292" s="4">
        <v>306</v>
      </c>
      <c r="Z2292" s="4">
        <v>246</v>
      </c>
      <c r="AA2292" s="4">
        <v>253</v>
      </c>
      <c r="AB2292" s="4">
        <v>2</v>
      </c>
      <c r="AC2292" s="4">
        <v>2</v>
      </c>
      <c r="AD2292" s="4">
        <v>19</v>
      </c>
      <c r="AE2292" s="4">
        <v>19</v>
      </c>
      <c r="AF2292" s="4">
        <v>9</v>
      </c>
      <c r="AG2292" s="4">
        <v>9</v>
      </c>
      <c r="AH2292" s="4">
        <v>6</v>
      </c>
      <c r="AI2292" s="4">
        <v>6</v>
      </c>
      <c r="AJ2292" s="4">
        <v>8</v>
      </c>
      <c r="AK2292" s="4">
        <v>8</v>
      </c>
      <c r="AL2292" s="4">
        <v>1</v>
      </c>
      <c r="AM2292" s="4">
        <v>1</v>
      </c>
      <c r="AN2292" s="4">
        <v>0</v>
      </c>
      <c r="AO2292" s="4">
        <v>0</v>
      </c>
      <c r="AP2292" s="3" t="s">
        <v>58</v>
      </c>
      <c r="AQ2292" s="3" t="s">
        <v>68</v>
      </c>
      <c r="AR2292" s="6" t="str">
        <f>HYPERLINK("http://catalog.hathitrust.org/Record/004354085","HathiTrust Record")</f>
        <v>HathiTrust Record</v>
      </c>
      <c r="AS2292" s="6" t="str">
        <f>HYPERLINK("https://creighton-primo.hosted.exlibrisgroup.com/primo-explore/search?tab=default_tab&amp;search_scope=EVERYTHING&amp;vid=01CRU&amp;lang=en_US&amp;offset=0&amp;query=any,contains,991004337969702656","Catalog Record")</f>
        <v>Catalog Record</v>
      </c>
      <c r="AT2292" s="6" t="str">
        <f>HYPERLINK("http://www.worldcat.org/oclc/52728786","WorldCat Record")</f>
        <v>WorldCat Record</v>
      </c>
      <c r="AU2292" s="3" t="s">
        <v>27939</v>
      </c>
      <c r="AV2292" s="3" t="s">
        <v>27940</v>
      </c>
      <c r="AW2292" s="3" t="s">
        <v>27941</v>
      </c>
      <c r="AX2292" s="3" t="s">
        <v>27941</v>
      </c>
      <c r="AY2292" s="3" t="s">
        <v>27942</v>
      </c>
      <c r="AZ2292" s="3" t="s">
        <v>73</v>
      </c>
      <c r="BB2292" s="3" t="s">
        <v>27943</v>
      </c>
      <c r="BC2292" s="3" t="s">
        <v>27944</v>
      </c>
      <c r="BD2292" s="3" t="s">
        <v>27945</v>
      </c>
    </row>
    <row r="2293" spans="1:56" ht="51" customHeight="1" x14ac:dyDescent="0.25">
      <c r="A2293" s="7" t="s">
        <v>58</v>
      </c>
      <c r="B2293" s="2" t="s">
        <v>27946</v>
      </c>
      <c r="C2293" s="2" t="s">
        <v>27947</v>
      </c>
      <c r="D2293" s="2" t="s">
        <v>27948</v>
      </c>
      <c r="F2293" s="3" t="s">
        <v>58</v>
      </c>
      <c r="G2293" s="3" t="s">
        <v>59</v>
      </c>
      <c r="H2293" s="3" t="s">
        <v>58</v>
      </c>
      <c r="I2293" s="3" t="s">
        <v>58</v>
      </c>
      <c r="J2293" s="3" t="s">
        <v>60</v>
      </c>
      <c r="K2293" s="2" t="s">
        <v>27949</v>
      </c>
      <c r="L2293" s="2" t="s">
        <v>27950</v>
      </c>
      <c r="M2293" s="3" t="s">
        <v>4023</v>
      </c>
      <c r="O2293" s="3" t="s">
        <v>63</v>
      </c>
      <c r="P2293" s="3" t="s">
        <v>214</v>
      </c>
      <c r="R2293" s="3" t="s">
        <v>65</v>
      </c>
      <c r="S2293" s="4">
        <v>5</v>
      </c>
      <c r="T2293" s="4">
        <v>5</v>
      </c>
      <c r="U2293" s="5" t="s">
        <v>27951</v>
      </c>
      <c r="V2293" s="5" t="s">
        <v>27951</v>
      </c>
      <c r="W2293" s="5" t="s">
        <v>27952</v>
      </c>
      <c r="X2293" s="5" t="s">
        <v>27952</v>
      </c>
      <c r="Y2293" s="4">
        <v>1594</v>
      </c>
      <c r="Z2293" s="4">
        <v>1493</v>
      </c>
      <c r="AA2293" s="4">
        <v>1928</v>
      </c>
      <c r="AB2293" s="4">
        <v>10</v>
      </c>
      <c r="AC2293" s="4">
        <v>32</v>
      </c>
      <c r="AD2293" s="4">
        <v>40</v>
      </c>
      <c r="AE2293" s="4">
        <v>50</v>
      </c>
      <c r="AF2293" s="4">
        <v>19</v>
      </c>
      <c r="AG2293" s="4">
        <v>21</v>
      </c>
      <c r="AH2293" s="4">
        <v>8</v>
      </c>
      <c r="AI2293" s="4">
        <v>8</v>
      </c>
      <c r="AJ2293" s="4">
        <v>18</v>
      </c>
      <c r="AK2293" s="4">
        <v>20</v>
      </c>
      <c r="AL2293" s="4">
        <v>5</v>
      </c>
      <c r="AM2293" s="4">
        <v>11</v>
      </c>
      <c r="AN2293" s="4">
        <v>0</v>
      </c>
      <c r="AO2293" s="4">
        <v>0</v>
      </c>
      <c r="AP2293" s="3" t="s">
        <v>58</v>
      </c>
      <c r="AQ2293" s="3" t="s">
        <v>58</v>
      </c>
      <c r="AS2293" s="6" t="str">
        <f>HYPERLINK("https://creighton-primo.hosted.exlibrisgroup.com/primo-explore/search?tab=default_tab&amp;search_scope=EVERYTHING&amp;vid=01CRU&amp;lang=en_US&amp;offset=0&amp;query=any,contains,991004344419702656","Catalog Record")</f>
        <v>Catalog Record</v>
      </c>
      <c r="AT2293" s="6" t="str">
        <f>HYPERLINK("http://www.worldcat.org/oclc/55624270","WorldCat Record")</f>
        <v>WorldCat Record</v>
      </c>
      <c r="AU2293" s="3" t="s">
        <v>27953</v>
      </c>
      <c r="AV2293" s="3" t="s">
        <v>27954</v>
      </c>
      <c r="AW2293" s="3" t="s">
        <v>27955</v>
      </c>
      <c r="AX2293" s="3" t="s">
        <v>27955</v>
      </c>
      <c r="AY2293" s="3" t="s">
        <v>27956</v>
      </c>
      <c r="AZ2293" s="3" t="s">
        <v>73</v>
      </c>
      <c r="BB2293" s="3" t="s">
        <v>27957</v>
      </c>
      <c r="BC2293" s="3" t="s">
        <v>27958</v>
      </c>
      <c r="BD2293" s="3" t="s">
        <v>27959</v>
      </c>
    </row>
    <row r="2294" spans="1:56" ht="51" customHeight="1" x14ac:dyDescent="0.25">
      <c r="A2294" s="7" t="s">
        <v>58</v>
      </c>
      <c r="B2294" s="2" t="s">
        <v>27960</v>
      </c>
      <c r="C2294" s="2" t="s">
        <v>27961</v>
      </c>
      <c r="D2294" s="2" t="s">
        <v>27962</v>
      </c>
      <c r="F2294" s="3" t="s">
        <v>58</v>
      </c>
      <c r="G2294" s="3" t="s">
        <v>59</v>
      </c>
      <c r="H2294" s="3" t="s">
        <v>58</v>
      </c>
      <c r="I2294" s="3" t="s">
        <v>58</v>
      </c>
      <c r="J2294" s="3" t="s">
        <v>60</v>
      </c>
      <c r="K2294" s="2" t="s">
        <v>27963</v>
      </c>
      <c r="L2294" s="2" t="s">
        <v>27964</v>
      </c>
      <c r="M2294" s="3" t="s">
        <v>2186</v>
      </c>
      <c r="N2294" s="2" t="s">
        <v>338</v>
      </c>
      <c r="O2294" s="3" t="s">
        <v>63</v>
      </c>
      <c r="P2294" s="3" t="s">
        <v>1837</v>
      </c>
      <c r="Q2294" s="2" t="s">
        <v>27965</v>
      </c>
      <c r="R2294" s="3" t="s">
        <v>65</v>
      </c>
      <c r="S2294" s="4">
        <v>2</v>
      </c>
      <c r="T2294" s="4">
        <v>2</v>
      </c>
      <c r="U2294" s="5" t="s">
        <v>23751</v>
      </c>
      <c r="V2294" s="5" t="s">
        <v>23751</v>
      </c>
      <c r="W2294" s="5" t="s">
        <v>27966</v>
      </c>
      <c r="X2294" s="5" t="s">
        <v>27966</v>
      </c>
      <c r="Y2294" s="4">
        <v>235</v>
      </c>
      <c r="Z2294" s="4">
        <v>194</v>
      </c>
      <c r="AA2294" s="4">
        <v>204</v>
      </c>
      <c r="AB2294" s="4">
        <v>2</v>
      </c>
      <c r="AC2294" s="4">
        <v>2</v>
      </c>
      <c r="AD2294" s="4">
        <v>8</v>
      </c>
      <c r="AE2294" s="4">
        <v>9</v>
      </c>
      <c r="AF2294" s="4">
        <v>3</v>
      </c>
      <c r="AG2294" s="4">
        <v>4</v>
      </c>
      <c r="AH2294" s="4">
        <v>3</v>
      </c>
      <c r="AI2294" s="4">
        <v>3</v>
      </c>
      <c r="AJ2294" s="4">
        <v>5</v>
      </c>
      <c r="AK2294" s="4">
        <v>5</v>
      </c>
      <c r="AL2294" s="4">
        <v>1</v>
      </c>
      <c r="AM2294" s="4">
        <v>1</v>
      </c>
      <c r="AN2294" s="4">
        <v>0</v>
      </c>
      <c r="AO2294" s="4">
        <v>0</v>
      </c>
      <c r="AP2294" s="3" t="s">
        <v>58</v>
      </c>
      <c r="AQ2294" s="3" t="s">
        <v>68</v>
      </c>
      <c r="AR2294" s="6" t="str">
        <f>HYPERLINK("http://catalog.hathitrust.org/Record/005430861","HathiTrust Record")</f>
        <v>HathiTrust Record</v>
      </c>
      <c r="AS2294" s="6" t="str">
        <f>HYPERLINK("https://creighton-primo.hosted.exlibrisgroup.com/primo-explore/search?tab=default_tab&amp;search_scope=EVERYTHING&amp;vid=01CRU&amp;lang=en_US&amp;offset=0&amp;query=any,contains,991005115879702656","Catalog Record")</f>
        <v>Catalog Record</v>
      </c>
      <c r="AT2294" s="6" t="str">
        <f>HYPERLINK("http://www.worldcat.org/oclc/64585855","WorldCat Record")</f>
        <v>WorldCat Record</v>
      </c>
      <c r="AU2294" s="3" t="s">
        <v>27967</v>
      </c>
      <c r="AV2294" s="3" t="s">
        <v>27968</v>
      </c>
      <c r="AW2294" s="3" t="s">
        <v>27969</v>
      </c>
      <c r="AX2294" s="3" t="s">
        <v>27969</v>
      </c>
      <c r="AY2294" s="3" t="s">
        <v>27970</v>
      </c>
      <c r="AZ2294" s="3" t="s">
        <v>73</v>
      </c>
      <c r="BB2294" s="3" t="s">
        <v>27971</v>
      </c>
      <c r="BC2294" s="3" t="s">
        <v>27972</v>
      </c>
      <c r="BD2294" s="3" t="s">
        <v>27973</v>
      </c>
    </row>
    <row r="2295" spans="1:56" ht="51" customHeight="1" x14ac:dyDescent="0.25">
      <c r="A2295" s="7" t="s">
        <v>58</v>
      </c>
      <c r="B2295" s="2" t="s">
        <v>27974</v>
      </c>
      <c r="C2295" s="2" t="s">
        <v>27975</v>
      </c>
      <c r="D2295" s="2" t="s">
        <v>27976</v>
      </c>
      <c r="F2295" s="3" t="s">
        <v>58</v>
      </c>
      <c r="G2295" s="3" t="s">
        <v>59</v>
      </c>
      <c r="H2295" s="3" t="s">
        <v>58</v>
      </c>
      <c r="I2295" s="3" t="s">
        <v>58</v>
      </c>
      <c r="J2295" s="3" t="s">
        <v>60</v>
      </c>
      <c r="K2295" s="2" t="s">
        <v>27977</v>
      </c>
      <c r="L2295" s="2" t="s">
        <v>27978</v>
      </c>
      <c r="M2295" s="3" t="s">
        <v>2295</v>
      </c>
      <c r="N2295" s="2" t="s">
        <v>338</v>
      </c>
      <c r="O2295" s="3" t="s">
        <v>63</v>
      </c>
      <c r="P2295" s="3" t="s">
        <v>214</v>
      </c>
      <c r="R2295" s="3" t="s">
        <v>65</v>
      </c>
      <c r="S2295" s="4">
        <v>1</v>
      </c>
      <c r="T2295" s="4">
        <v>1</v>
      </c>
      <c r="U2295" s="5" t="s">
        <v>7580</v>
      </c>
      <c r="V2295" s="5" t="s">
        <v>7580</v>
      </c>
      <c r="W2295" s="5" t="s">
        <v>7580</v>
      </c>
      <c r="X2295" s="5" t="s">
        <v>7580</v>
      </c>
      <c r="Y2295" s="4">
        <v>1981</v>
      </c>
      <c r="Z2295" s="4">
        <v>1921</v>
      </c>
      <c r="AA2295" s="4">
        <v>2112</v>
      </c>
      <c r="AB2295" s="4">
        <v>25</v>
      </c>
      <c r="AC2295" s="4">
        <v>26</v>
      </c>
      <c r="AD2295" s="4">
        <v>19</v>
      </c>
      <c r="AE2295" s="4">
        <v>21</v>
      </c>
      <c r="AF2295" s="4">
        <v>8</v>
      </c>
      <c r="AG2295" s="4">
        <v>9</v>
      </c>
      <c r="AH2295" s="4">
        <v>4</v>
      </c>
      <c r="AI2295" s="4">
        <v>4</v>
      </c>
      <c r="AJ2295" s="4">
        <v>10</v>
      </c>
      <c r="AK2295" s="4">
        <v>10</v>
      </c>
      <c r="AL2295" s="4">
        <v>2</v>
      </c>
      <c r="AM2295" s="4">
        <v>3</v>
      </c>
      <c r="AN2295" s="4">
        <v>0</v>
      </c>
      <c r="AO2295" s="4">
        <v>0</v>
      </c>
      <c r="AP2295" s="3" t="s">
        <v>58</v>
      </c>
      <c r="AQ2295" s="3" t="s">
        <v>68</v>
      </c>
      <c r="AR2295" s="6" t="str">
        <f>HYPERLINK("http://catalog.hathitrust.org/Record/004353135","HathiTrust Record")</f>
        <v>HathiTrust Record</v>
      </c>
      <c r="AS2295" s="6" t="str">
        <f>HYPERLINK("https://creighton-primo.hosted.exlibrisgroup.com/primo-explore/search?tab=default_tab&amp;search_scope=EVERYTHING&amp;vid=01CRU&amp;lang=en_US&amp;offset=0&amp;query=any,contains,991004210849702656","Catalog Record")</f>
        <v>Catalog Record</v>
      </c>
      <c r="AT2295" s="6" t="str">
        <f>HYPERLINK("http://www.worldcat.org/oclc/53344743","WorldCat Record")</f>
        <v>WorldCat Record</v>
      </c>
      <c r="AU2295" s="3" t="s">
        <v>27979</v>
      </c>
      <c r="AV2295" s="3" t="s">
        <v>27980</v>
      </c>
      <c r="AW2295" s="3" t="s">
        <v>27981</v>
      </c>
      <c r="AX2295" s="3" t="s">
        <v>27981</v>
      </c>
      <c r="AY2295" s="3" t="s">
        <v>27982</v>
      </c>
      <c r="AZ2295" s="3" t="s">
        <v>73</v>
      </c>
      <c r="BB2295" s="3" t="s">
        <v>27983</v>
      </c>
      <c r="BC2295" s="3" t="s">
        <v>27984</v>
      </c>
      <c r="BD2295" s="3" t="s">
        <v>27985</v>
      </c>
    </row>
    <row r="2296" spans="1:56" ht="51" customHeight="1" x14ac:dyDescent="0.25">
      <c r="A2296" s="7" t="s">
        <v>58</v>
      </c>
      <c r="B2296" s="2" t="s">
        <v>27986</v>
      </c>
      <c r="C2296" s="2" t="s">
        <v>27987</v>
      </c>
      <c r="D2296" s="2" t="s">
        <v>27988</v>
      </c>
      <c r="F2296" s="3" t="s">
        <v>58</v>
      </c>
      <c r="G2296" s="3" t="s">
        <v>59</v>
      </c>
      <c r="H2296" s="3" t="s">
        <v>58</v>
      </c>
      <c r="I2296" s="3" t="s">
        <v>58</v>
      </c>
      <c r="J2296" s="3" t="s">
        <v>60</v>
      </c>
      <c r="K2296" s="2" t="s">
        <v>27989</v>
      </c>
      <c r="L2296" s="2" t="s">
        <v>27990</v>
      </c>
      <c r="M2296" s="3" t="s">
        <v>2214</v>
      </c>
      <c r="N2296" s="2" t="s">
        <v>338</v>
      </c>
      <c r="O2296" s="3" t="s">
        <v>63</v>
      </c>
      <c r="P2296" s="3" t="s">
        <v>214</v>
      </c>
      <c r="R2296" s="3" t="s">
        <v>65</v>
      </c>
      <c r="S2296" s="4">
        <v>2</v>
      </c>
      <c r="T2296" s="4">
        <v>2</v>
      </c>
      <c r="U2296" s="5" t="s">
        <v>27991</v>
      </c>
      <c r="V2296" s="5" t="s">
        <v>27991</v>
      </c>
      <c r="W2296" s="5" t="s">
        <v>23938</v>
      </c>
      <c r="X2296" s="5" t="s">
        <v>23938</v>
      </c>
      <c r="Y2296" s="4">
        <v>442</v>
      </c>
      <c r="Z2296" s="4">
        <v>438</v>
      </c>
      <c r="AA2296" s="4">
        <v>488</v>
      </c>
      <c r="AB2296" s="4">
        <v>4</v>
      </c>
      <c r="AC2296" s="4">
        <v>4</v>
      </c>
      <c r="AD2296" s="4">
        <v>5</v>
      </c>
      <c r="AE2296" s="4">
        <v>5</v>
      </c>
      <c r="AF2296" s="4">
        <v>0</v>
      </c>
      <c r="AG2296" s="4">
        <v>0</v>
      </c>
      <c r="AH2296" s="4">
        <v>3</v>
      </c>
      <c r="AI2296" s="4">
        <v>3</v>
      </c>
      <c r="AJ2296" s="4">
        <v>2</v>
      </c>
      <c r="AK2296" s="4">
        <v>2</v>
      </c>
      <c r="AL2296" s="4">
        <v>1</v>
      </c>
      <c r="AM2296" s="4">
        <v>1</v>
      </c>
      <c r="AN2296" s="4">
        <v>0</v>
      </c>
      <c r="AO2296" s="4">
        <v>0</v>
      </c>
      <c r="AP2296" s="3" t="s">
        <v>58</v>
      </c>
      <c r="AQ2296" s="3" t="s">
        <v>58</v>
      </c>
      <c r="AS2296" s="6" t="str">
        <f>HYPERLINK("https://creighton-primo.hosted.exlibrisgroup.com/primo-explore/search?tab=default_tab&amp;search_scope=EVERYTHING&amp;vid=01CRU&amp;lang=en_US&amp;offset=0&amp;query=any,contains,991004532469702656","Catalog Record")</f>
        <v>Catalog Record</v>
      </c>
      <c r="AT2296" s="6" t="str">
        <f>HYPERLINK("http://www.worldcat.org/oclc/58596416","WorldCat Record")</f>
        <v>WorldCat Record</v>
      </c>
      <c r="AU2296" s="3" t="s">
        <v>27992</v>
      </c>
      <c r="AV2296" s="3" t="s">
        <v>27993</v>
      </c>
      <c r="AW2296" s="3" t="s">
        <v>27994</v>
      </c>
      <c r="AX2296" s="3" t="s">
        <v>27994</v>
      </c>
      <c r="AY2296" s="3" t="s">
        <v>27995</v>
      </c>
      <c r="AZ2296" s="3" t="s">
        <v>73</v>
      </c>
      <c r="BB2296" s="3" t="s">
        <v>27996</v>
      </c>
      <c r="BC2296" s="3" t="s">
        <v>27997</v>
      </c>
      <c r="BD2296" s="3" t="s">
        <v>27998</v>
      </c>
    </row>
    <row r="2297" spans="1:56" ht="51" customHeight="1" x14ac:dyDescent="0.25">
      <c r="A2297" s="7" t="s">
        <v>58</v>
      </c>
      <c r="B2297" s="2" t="s">
        <v>27999</v>
      </c>
      <c r="C2297" s="2" t="s">
        <v>28000</v>
      </c>
      <c r="D2297" s="2" t="s">
        <v>28001</v>
      </c>
      <c r="F2297" s="3" t="s">
        <v>58</v>
      </c>
      <c r="G2297" s="3" t="s">
        <v>59</v>
      </c>
      <c r="H2297" s="3" t="s">
        <v>58</v>
      </c>
      <c r="I2297" s="3" t="s">
        <v>58</v>
      </c>
      <c r="J2297" s="3" t="s">
        <v>60</v>
      </c>
      <c r="K2297" s="2" t="s">
        <v>28002</v>
      </c>
      <c r="L2297" s="2" t="s">
        <v>28003</v>
      </c>
      <c r="M2297" s="3" t="s">
        <v>4023</v>
      </c>
      <c r="O2297" s="3" t="s">
        <v>63</v>
      </c>
      <c r="P2297" s="3" t="s">
        <v>214</v>
      </c>
      <c r="R2297" s="3" t="s">
        <v>65</v>
      </c>
      <c r="S2297" s="4">
        <v>3</v>
      </c>
      <c r="T2297" s="4">
        <v>3</v>
      </c>
      <c r="U2297" s="5" t="s">
        <v>12015</v>
      </c>
      <c r="V2297" s="5" t="s">
        <v>12015</v>
      </c>
      <c r="W2297" s="5" t="s">
        <v>28004</v>
      </c>
      <c r="X2297" s="5" t="s">
        <v>28004</v>
      </c>
      <c r="Y2297" s="4">
        <v>1164</v>
      </c>
      <c r="Z2297" s="4">
        <v>1065</v>
      </c>
      <c r="AA2297" s="4">
        <v>1073</v>
      </c>
      <c r="AB2297" s="4">
        <v>8</v>
      </c>
      <c r="AC2297" s="4">
        <v>8</v>
      </c>
      <c r="AD2297" s="4">
        <v>45</v>
      </c>
      <c r="AE2297" s="4">
        <v>45</v>
      </c>
      <c r="AF2297" s="4">
        <v>16</v>
      </c>
      <c r="AG2297" s="4">
        <v>16</v>
      </c>
      <c r="AH2297" s="4">
        <v>10</v>
      </c>
      <c r="AI2297" s="4">
        <v>10</v>
      </c>
      <c r="AJ2297" s="4">
        <v>20</v>
      </c>
      <c r="AK2297" s="4">
        <v>20</v>
      </c>
      <c r="AL2297" s="4">
        <v>3</v>
      </c>
      <c r="AM2297" s="4">
        <v>3</v>
      </c>
      <c r="AN2297" s="4">
        <v>8</v>
      </c>
      <c r="AO2297" s="4">
        <v>8</v>
      </c>
      <c r="AP2297" s="3" t="s">
        <v>58</v>
      </c>
      <c r="AQ2297" s="3" t="s">
        <v>68</v>
      </c>
      <c r="AR2297" s="6" t="str">
        <f>HYPERLINK("http://catalog.hathitrust.org/Record/004920742","HathiTrust Record")</f>
        <v>HathiTrust Record</v>
      </c>
      <c r="AS2297" s="6" t="str">
        <f>HYPERLINK("https://creighton-primo.hosted.exlibrisgroup.com/primo-explore/search?tab=default_tab&amp;search_scope=EVERYTHING&amp;vid=01CRU&amp;lang=en_US&amp;offset=0&amp;query=any,contains,991004467959702656","Catalog Record")</f>
        <v>Catalog Record</v>
      </c>
      <c r="AT2297" s="6" t="str">
        <f>HYPERLINK("http://www.worldcat.org/oclc/56590643","WorldCat Record")</f>
        <v>WorldCat Record</v>
      </c>
      <c r="AU2297" s="3" t="s">
        <v>28005</v>
      </c>
      <c r="AV2297" s="3" t="s">
        <v>28006</v>
      </c>
      <c r="AW2297" s="3" t="s">
        <v>28007</v>
      </c>
      <c r="AX2297" s="3" t="s">
        <v>28007</v>
      </c>
      <c r="AY2297" s="3" t="s">
        <v>28008</v>
      </c>
      <c r="AZ2297" s="3" t="s">
        <v>73</v>
      </c>
      <c r="BB2297" s="3" t="s">
        <v>28009</v>
      </c>
      <c r="BC2297" s="3" t="s">
        <v>28010</v>
      </c>
      <c r="BD2297" s="3" t="s">
        <v>28011</v>
      </c>
    </row>
    <row r="2298" spans="1:56" ht="51" customHeight="1" x14ac:dyDescent="0.25">
      <c r="A2298" s="7" t="s">
        <v>58</v>
      </c>
      <c r="B2298" s="2" t="s">
        <v>28012</v>
      </c>
      <c r="C2298" s="2" t="s">
        <v>28013</v>
      </c>
      <c r="D2298" s="2" t="s">
        <v>28014</v>
      </c>
      <c r="F2298" s="3" t="s">
        <v>58</v>
      </c>
      <c r="G2298" s="3" t="s">
        <v>59</v>
      </c>
      <c r="H2298" s="3" t="s">
        <v>58</v>
      </c>
      <c r="I2298" s="3" t="s">
        <v>58</v>
      </c>
      <c r="J2298" s="3" t="s">
        <v>60</v>
      </c>
      <c r="K2298" s="2" t="s">
        <v>28015</v>
      </c>
      <c r="L2298" s="2" t="s">
        <v>28016</v>
      </c>
      <c r="M2298" s="3" t="s">
        <v>4023</v>
      </c>
      <c r="N2298" s="2" t="s">
        <v>338</v>
      </c>
      <c r="O2298" s="3" t="s">
        <v>63</v>
      </c>
      <c r="P2298" s="3" t="s">
        <v>214</v>
      </c>
      <c r="R2298" s="3" t="s">
        <v>65</v>
      </c>
      <c r="S2298" s="4">
        <v>3</v>
      </c>
      <c r="T2298" s="4">
        <v>3</v>
      </c>
      <c r="U2298" s="5" t="s">
        <v>1208</v>
      </c>
      <c r="V2298" s="5" t="s">
        <v>1208</v>
      </c>
      <c r="W2298" s="5" t="s">
        <v>24599</v>
      </c>
      <c r="X2298" s="5" t="s">
        <v>24599</v>
      </c>
      <c r="Y2298" s="4">
        <v>680</v>
      </c>
      <c r="Z2298" s="4">
        <v>628</v>
      </c>
      <c r="AA2298" s="4">
        <v>722</v>
      </c>
      <c r="AB2298" s="4">
        <v>5</v>
      </c>
      <c r="AC2298" s="4">
        <v>5</v>
      </c>
      <c r="AD2298" s="4">
        <v>9</v>
      </c>
      <c r="AE2298" s="4">
        <v>9</v>
      </c>
      <c r="AF2298" s="4">
        <v>1</v>
      </c>
      <c r="AG2298" s="4">
        <v>1</v>
      </c>
      <c r="AH2298" s="4">
        <v>4</v>
      </c>
      <c r="AI2298" s="4">
        <v>4</v>
      </c>
      <c r="AJ2298" s="4">
        <v>4</v>
      </c>
      <c r="AK2298" s="4">
        <v>4</v>
      </c>
      <c r="AL2298" s="4">
        <v>2</v>
      </c>
      <c r="AM2298" s="4">
        <v>2</v>
      </c>
      <c r="AN2298" s="4">
        <v>0</v>
      </c>
      <c r="AO2298" s="4">
        <v>0</v>
      </c>
      <c r="AP2298" s="3" t="s">
        <v>58</v>
      </c>
      <c r="AQ2298" s="3" t="s">
        <v>58</v>
      </c>
      <c r="AS2298" s="6" t="str">
        <f>HYPERLINK("https://creighton-primo.hosted.exlibrisgroup.com/primo-explore/search?tab=default_tab&amp;search_scope=EVERYTHING&amp;vid=01CRU&amp;lang=en_US&amp;offset=0&amp;query=any,contains,991004244919702656","Catalog Record")</f>
        <v>Catalog Record</v>
      </c>
      <c r="AT2298" s="6" t="str">
        <f>HYPERLINK("http://www.worldcat.org/oclc/54438904","WorldCat Record")</f>
        <v>WorldCat Record</v>
      </c>
      <c r="AU2298" s="3" t="s">
        <v>28017</v>
      </c>
      <c r="AV2298" s="3" t="s">
        <v>28018</v>
      </c>
      <c r="AW2298" s="3" t="s">
        <v>28019</v>
      </c>
      <c r="AX2298" s="3" t="s">
        <v>28019</v>
      </c>
      <c r="AY2298" s="3" t="s">
        <v>28020</v>
      </c>
      <c r="AZ2298" s="3" t="s">
        <v>73</v>
      </c>
      <c r="BB2298" s="3" t="s">
        <v>28021</v>
      </c>
      <c r="BC2298" s="3" t="s">
        <v>28022</v>
      </c>
      <c r="BD2298" s="3" t="s">
        <v>28023</v>
      </c>
    </row>
    <row r="2299" spans="1:56" ht="51" customHeight="1" x14ac:dyDescent="0.25">
      <c r="A2299" s="7" t="s">
        <v>58</v>
      </c>
      <c r="B2299" s="2" t="s">
        <v>28024</v>
      </c>
      <c r="C2299" s="2" t="s">
        <v>28025</v>
      </c>
      <c r="D2299" s="2" t="s">
        <v>28026</v>
      </c>
      <c r="F2299" s="3" t="s">
        <v>58</v>
      </c>
      <c r="G2299" s="3" t="s">
        <v>59</v>
      </c>
      <c r="H2299" s="3" t="s">
        <v>58</v>
      </c>
      <c r="I2299" s="3" t="s">
        <v>58</v>
      </c>
      <c r="J2299" s="3" t="s">
        <v>60</v>
      </c>
      <c r="K2299" s="2" t="s">
        <v>28027</v>
      </c>
      <c r="L2299" s="2" t="s">
        <v>28028</v>
      </c>
      <c r="M2299" s="3" t="s">
        <v>898</v>
      </c>
      <c r="O2299" s="3" t="s">
        <v>63</v>
      </c>
      <c r="P2299" s="3" t="s">
        <v>214</v>
      </c>
      <c r="R2299" s="3" t="s">
        <v>65</v>
      </c>
      <c r="S2299" s="4">
        <v>3</v>
      </c>
      <c r="T2299" s="4">
        <v>3</v>
      </c>
      <c r="U2299" s="5" t="s">
        <v>13664</v>
      </c>
      <c r="V2299" s="5" t="s">
        <v>13664</v>
      </c>
      <c r="W2299" s="5" t="s">
        <v>28029</v>
      </c>
      <c r="X2299" s="5" t="s">
        <v>28029</v>
      </c>
      <c r="Y2299" s="4">
        <v>1420</v>
      </c>
      <c r="Z2299" s="4">
        <v>1305</v>
      </c>
      <c r="AA2299" s="4">
        <v>1386</v>
      </c>
      <c r="AB2299" s="4">
        <v>13</v>
      </c>
      <c r="AC2299" s="4">
        <v>13</v>
      </c>
      <c r="AD2299" s="4">
        <v>34</v>
      </c>
      <c r="AE2299" s="4">
        <v>34</v>
      </c>
      <c r="AF2299" s="4">
        <v>13</v>
      </c>
      <c r="AG2299" s="4">
        <v>13</v>
      </c>
      <c r="AH2299" s="4">
        <v>7</v>
      </c>
      <c r="AI2299" s="4">
        <v>7</v>
      </c>
      <c r="AJ2299" s="4">
        <v>15</v>
      </c>
      <c r="AK2299" s="4">
        <v>15</v>
      </c>
      <c r="AL2299" s="4">
        <v>7</v>
      </c>
      <c r="AM2299" s="4">
        <v>7</v>
      </c>
      <c r="AN2299" s="4">
        <v>0</v>
      </c>
      <c r="AO2299" s="4">
        <v>0</v>
      </c>
      <c r="AP2299" s="3" t="s">
        <v>58</v>
      </c>
      <c r="AQ2299" s="3" t="s">
        <v>68</v>
      </c>
      <c r="AR2299" s="6" t="str">
        <f>HYPERLINK("http://catalog.hathitrust.org/Record/005247360","HathiTrust Record")</f>
        <v>HathiTrust Record</v>
      </c>
      <c r="AS2299" s="6" t="str">
        <f>HYPERLINK("https://creighton-primo.hosted.exlibrisgroup.com/primo-explore/search?tab=default_tab&amp;search_scope=EVERYTHING&amp;vid=01CRU&amp;lang=en_US&amp;offset=0&amp;query=any,contains,991004841319702656","Catalog Record")</f>
        <v>Catalog Record</v>
      </c>
      <c r="AT2299" s="6" t="str">
        <f>HYPERLINK("http://www.worldcat.org/oclc/69332311","WorldCat Record")</f>
        <v>WorldCat Record</v>
      </c>
      <c r="AU2299" s="3" t="s">
        <v>28030</v>
      </c>
      <c r="AV2299" s="3" t="s">
        <v>28031</v>
      </c>
      <c r="AW2299" s="3" t="s">
        <v>28032</v>
      </c>
      <c r="AX2299" s="3" t="s">
        <v>28032</v>
      </c>
      <c r="AY2299" s="3" t="s">
        <v>28033</v>
      </c>
      <c r="AZ2299" s="3" t="s">
        <v>73</v>
      </c>
      <c r="BB2299" s="3" t="s">
        <v>28034</v>
      </c>
      <c r="BC2299" s="3" t="s">
        <v>28035</v>
      </c>
      <c r="BD2299" s="3" t="s">
        <v>28036</v>
      </c>
    </row>
    <row r="2300" spans="1:56" ht="51" customHeight="1" x14ac:dyDescent="0.25">
      <c r="A2300" s="7" t="s">
        <v>58</v>
      </c>
      <c r="B2300" s="2" t="s">
        <v>28037</v>
      </c>
      <c r="C2300" s="2" t="s">
        <v>28038</v>
      </c>
      <c r="D2300" s="2" t="s">
        <v>28039</v>
      </c>
      <c r="F2300" s="3" t="s">
        <v>58</v>
      </c>
      <c r="G2300" s="3" t="s">
        <v>59</v>
      </c>
      <c r="H2300" s="3" t="s">
        <v>58</v>
      </c>
      <c r="I2300" s="3" t="s">
        <v>58</v>
      </c>
      <c r="J2300" s="3" t="s">
        <v>60</v>
      </c>
      <c r="L2300" s="2" t="s">
        <v>28040</v>
      </c>
      <c r="M2300" s="3" t="s">
        <v>4023</v>
      </c>
      <c r="O2300" s="3" t="s">
        <v>63</v>
      </c>
      <c r="P2300" s="3" t="s">
        <v>6817</v>
      </c>
      <c r="R2300" s="3" t="s">
        <v>65</v>
      </c>
      <c r="S2300" s="4">
        <v>3</v>
      </c>
      <c r="T2300" s="4">
        <v>3</v>
      </c>
      <c r="U2300" s="5" t="s">
        <v>1257</v>
      </c>
      <c r="V2300" s="5" t="s">
        <v>1257</v>
      </c>
      <c r="W2300" s="5" t="s">
        <v>16037</v>
      </c>
      <c r="X2300" s="5" t="s">
        <v>16037</v>
      </c>
      <c r="Y2300" s="4">
        <v>335</v>
      </c>
      <c r="Z2300" s="4">
        <v>268</v>
      </c>
      <c r="AA2300" s="4">
        <v>273</v>
      </c>
      <c r="AB2300" s="4">
        <v>3</v>
      </c>
      <c r="AC2300" s="4">
        <v>3</v>
      </c>
      <c r="AD2300" s="4">
        <v>21</v>
      </c>
      <c r="AE2300" s="4">
        <v>21</v>
      </c>
      <c r="AF2300" s="4">
        <v>10</v>
      </c>
      <c r="AG2300" s="4">
        <v>10</v>
      </c>
      <c r="AH2300" s="4">
        <v>5</v>
      </c>
      <c r="AI2300" s="4">
        <v>5</v>
      </c>
      <c r="AJ2300" s="4">
        <v>10</v>
      </c>
      <c r="AK2300" s="4">
        <v>10</v>
      </c>
      <c r="AL2300" s="4">
        <v>2</v>
      </c>
      <c r="AM2300" s="4">
        <v>2</v>
      </c>
      <c r="AN2300" s="4">
        <v>0</v>
      </c>
      <c r="AO2300" s="4">
        <v>0</v>
      </c>
      <c r="AP2300" s="3" t="s">
        <v>58</v>
      </c>
      <c r="AQ2300" s="3" t="s">
        <v>68</v>
      </c>
      <c r="AR2300" s="6" t="str">
        <f>HYPERLINK("http://catalog.hathitrust.org/Record/005086686","HathiTrust Record")</f>
        <v>HathiTrust Record</v>
      </c>
      <c r="AS2300" s="6" t="str">
        <f>HYPERLINK("https://creighton-primo.hosted.exlibrisgroup.com/primo-explore/search?tab=default_tab&amp;search_scope=EVERYTHING&amp;vid=01CRU&amp;lang=en_US&amp;offset=0&amp;query=any,contains,991004725379702656","Catalog Record")</f>
        <v>Catalog Record</v>
      </c>
      <c r="AT2300" s="6" t="str">
        <f>HYPERLINK("http://www.worldcat.org/oclc/54966145","WorldCat Record")</f>
        <v>WorldCat Record</v>
      </c>
      <c r="AU2300" s="3" t="s">
        <v>28041</v>
      </c>
      <c r="AV2300" s="3" t="s">
        <v>28042</v>
      </c>
      <c r="AW2300" s="3" t="s">
        <v>28043</v>
      </c>
      <c r="AX2300" s="3" t="s">
        <v>28043</v>
      </c>
      <c r="AY2300" s="3" t="s">
        <v>28044</v>
      </c>
      <c r="AZ2300" s="3" t="s">
        <v>73</v>
      </c>
      <c r="BB2300" s="3" t="s">
        <v>28045</v>
      </c>
      <c r="BC2300" s="3" t="s">
        <v>28046</v>
      </c>
      <c r="BD2300" s="3" t="s">
        <v>28047</v>
      </c>
    </row>
    <row r="2301" spans="1:56" ht="51" customHeight="1" x14ac:dyDescent="0.25">
      <c r="A2301" s="7" t="s">
        <v>58</v>
      </c>
      <c r="B2301" s="2" t="s">
        <v>28048</v>
      </c>
      <c r="C2301" s="2" t="s">
        <v>28049</v>
      </c>
      <c r="D2301" s="2" t="s">
        <v>28050</v>
      </c>
      <c r="F2301" s="3" t="s">
        <v>58</v>
      </c>
      <c r="G2301" s="3" t="s">
        <v>59</v>
      </c>
      <c r="H2301" s="3" t="s">
        <v>58</v>
      </c>
      <c r="I2301" s="3" t="s">
        <v>58</v>
      </c>
      <c r="J2301" s="3" t="s">
        <v>60</v>
      </c>
      <c r="K2301" s="2" t="s">
        <v>28051</v>
      </c>
      <c r="L2301" s="2" t="s">
        <v>28052</v>
      </c>
      <c r="M2301" s="3" t="s">
        <v>898</v>
      </c>
      <c r="N2301" s="2" t="s">
        <v>338</v>
      </c>
      <c r="O2301" s="3" t="s">
        <v>63</v>
      </c>
      <c r="P2301" s="3" t="s">
        <v>214</v>
      </c>
      <c r="R2301" s="3" t="s">
        <v>65</v>
      </c>
      <c r="S2301" s="4">
        <v>3</v>
      </c>
      <c r="T2301" s="4">
        <v>3</v>
      </c>
      <c r="U2301" s="5" t="s">
        <v>28053</v>
      </c>
      <c r="V2301" s="5" t="s">
        <v>28053</v>
      </c>
      <c r="W2301" s="5" t="s">
        <v>28054</v>
      </c>
      <c r="X2301" s="5" t="s">
        <v>28054</v>
      </c>
      <c r="Y2301" s="4">
        <v>2178</v>
      </c>
      <c r="Z2301" s="4">
        <v>2047</v>
      </c>
      <c r="AA2301" s="4">
        <v>2180</v>
      </c>
      <c r="AB2301" s="4">
        <v>22</v>
      </c>
      <c r="AC2301" s="4">
        <v>22</v>
      </c>
      <c r="AD2301" s="4">
        <v>46</v>
      </c>
      <c r="AE2301" s="4">
        <v>50</v>
      </c>
      <c r="AF2301" s="4">
        <v>20</v>
      </c>
      <c r="AG2301" s="4">
        <v>23</v>
      </c>
      <c r="AH2301" s="4">
        <v>8</v>
      </c>
      <c r="AI2301" s="4">
        <v>8</v>
      </c>
      <c r="AJ2301" s="4">
        <v>17</v>
      </c>
      <c r="AK2301" s="4">
        <v>20</v>
      </c>
      <c r="AL2301" s="4">
        <v>7</v>
      </c>
      <c r="AM2301" s="4">
        <v>7</v>
      </c>
      <c r="AN2301" s="4">
        <v>3</v>
      </c>
      <c r="AO2301" s="4">
        <v>3</v>
      </c>
      <c r="AP2301" s="3" t="s">
        <v>58</v>
      </c>
      <c r="AQ2301" s="3" t="s">
        <v>68</v>
      </c>
      <c r="AR2301" s="6" t="str">
        <f>HYPERLINK("http://catalog.hathitrust.org/Record/005145454","HathiTrust Record")</f>
        <v>HathiTrust Record</v>
      </c>
      <c r="AS2301" s="6" t="str">
        <f>HYPERLINK("https://creighton-primo.hosted.exlibrisgroup.com/primo-explore/search?tab=default_tab&amp;search_scope=EVERYTHING&amp;vid=01CRU&amp;lang=en_US&amp;offset=0&amp;query=any,contains,991004814609702656","Catalog Record")</f>
        <v>Catalog Record</v>
      </c>
      <c r="AT2301" s="6" t="str">
        <f>HYPERLINK("http://www.worldcat.org/oclc/65200842","WorldCat Record")</f>
        <v>WorldCat Record</v>
      </c>
      <c r="AU2301" s="3" t="s">
        <v>28055</v>
      </c>
      <c r="AV2301" s="3" t="s">
        <v>28056</v>
      </c>
      <c r="AW2301" s="3" t="s">
        <v>28057</v>
      </c>
      <c r="AX2301" s="3" t="s">
        <v>28057</v>
      </c>
      <c r="AY2301" s="3" t="s">
        <v>28058</v>
      </c>
      <c r="AZ2301" s="3" t="s">
        <v>73</v>
      </c>
      <c r="BB2301" s="3" t="s">
        <v>28059</v>
      </c>
      <c r="BC2301" s="3" t="s">
        <v>28060</v>
      </c>
      <c r="BD2301" s="3" t="s">
        <v>28061</v>
      </c>
    </row>
    <row r="2302" spans="1:56" ht="51" customHeight="1" x14ac:dyDescent="0.25">
      <c r="A2302" s="7" t="s">
        <v>58</v>
      </c>
      <c r="B2302" s="2" t="s">
        <v>28062</v>
      </c>
      <c r="C2302" s="2" t="s">
        <v>28063</v>
      </c>
      <c r="D2302" s="2" t="s">
        <v>28064</v>
      </c>
      <c r="F2302" s="3" t="s">
        <v>58</v>
      </c>
      <c r="G2302" s="3" t="s">
        <v>59</v>
      </c>
      <c r="H2302" s="3" t="s">
        <v>58</v>
      </c>
      <c r="I2302" s="3" t="s">
        <v>58</v>
      </c>
      <c r="J2302" s="3" t="s">
        <v>60</v>
      </c>
      <c r="K2302" s="2" t="s">
        <v>28065</v>
      </c>
      <c r="L2302" s="2" t="s">
        <v>28066</v>
      </c>
      <c r="M2302" s="3" t="s">
        <v>2214</v>
      </c>
      <c r="O2302" s="3" t="s">
        <v>63</v>
      </c>
      <c r="P2302" s="3" t="s">
        <v>3109</v>
      </c>
      <c r="R2302" s="3" t="s">
        <v>65</v>
      </c>
      <c r="S2302" s="4">
        <v>3</v>
      </c>
      <c r="T2302" s="4">
        <v>3</v>
      </c>
      <c r="U2302" s="5" t="s">
        <v>28067</v>
      </c>
      <c r="V2302" s="5" t="s">
        <v>28067</v>
      </c>
      <c r="W2302" s="5" t="s">
        <v>28068</v>
      </c>
      <c r="X2302" s="5" t="s">
        <v>28068</v>
      </c>
      <c r="Y2302" s="4">
        <v>536</v>
      </c>
      <c r="Z2302" s="4">
        <v>481</v>
      </c>
      <c r="AA2302" s="4">
        <v>492</v>
      </c>
      <c r="AB2302" s="4">
        <v>3</v>
      </c>
      <c r="AC2302" s="4">
        <v>3</v>
      </c>
      <c r="AD2302" s="4">
        <v>24</v>
      </c>
      <c r="AE2302" s="4">
        <v>24</v>
      </c>
      <c r="AF2302" s="4">
        <v>13</v>
      </c>
      <c r="AG2302" s="4">
        <v>13</v>
      </c>
      <c r="AH2302" s="4">
        <v>5</v>
      </c>
      <c r="AI2302" s="4">
        <v>5</v>
      </c>
      <c r="AJ2302" s="4">
        <v>11</v>
      </c>
      <c r="AK2302" s="4">
        <v>11</v>
      </c>
      <c r="AL2302" s="4">
        <v>2</v>
      </c>
      <c r="AM2302" s="4">
        <v>2</v>
      </c>
      <c r="AN2302" s="4">
        <v>0</v>
      </c>
      <c r="AO2302" s="4">
        <v>0</v>
      </c>
      <c r="AP2302" s="3" t="s">
        <v>58</v>
      </c>
      <c r="AQ2302" s="3" t="s">
        <v>68</v>
      </c>
      <c r="AR2302" s="6" t="str">
        <f>HYPERLINK("http://catalog.hathitrust.org/Record/005097420","HathiTrust Record")</f>
        <v>HathiTrust Record</v>
      </c>
      <c r="AS2302" s="6" t="str">
        <f>HYPERLINK("https://creighton-primo.hosted.exlibrisgroup.com/primo-explore/search?tab=default_tab&amp;search_scope=EVERYTHING&amp;vid=01CRU&amp;lang=en_US&amp;offset=0&amp;query=any,contains,991004759219702656","Catalog Record")</f>
        <v>Catalog Record</v>
      </c>
      <c r="AT2302" s="6" t="str">
        <f>HYPERLINK("http://www.worldcat.org/oclc/61151539","WorldCat Record")</f>
        <v>WorldCat Record</v>
      </c>
      <c r="AU2302" s="3" t="s">
        <v>28069</v>
      </c>
      <c r="AV2302" s="3" t="s">
        <v>28070</v>
      </c>
      <c r="AW2302" s="3" t="s">
        <v>28071</v>
      </c>
      <c r="AX2302" s="3" t="s">
        <v>28071</v>
      </c>
      <c r="AY2302" s="3" t="s">
        <v>28072</v>
      </c>
      <c r="AZ2302" s="3" t="s">
        <v>73</v>
      </c>
      <c r="BB2302" s="3" t="s">
        <v>28073</v>
      </c>
      <c r="BC2302" s="3" t="s">
        <v>28074</v>
      </c>
      <c r="BD2302" s="3" t="s">
        <v>28075</v>
      </c>
    </row>
    <row r="2303" spans="1:56" ht="51" customHeight="1" x14ac:dyDescent="0.25">
      <c r="A2303" s="7" t="s">
        <v>58</v>
      </c>
      <c r="B2303" s="2" t="s">
        <v>28076</v>
      </c>
      <c r="C2303" s="2" t="s">
        <v>28077</v>
      </c>
      <c r="D2303" s="2" t="s">
        <v>28078</v>
      </c>
      <c r="F2303" s="3" t="s">
        <v>58</v>
      </c>
      <c r="G2303" s="3" t="s">
        <v>59</v>
      </c>
      <c r="H2303" s="3" t="s">
        <v>58</v>
      </c>
      <c r="I2303" s="3" t="s">
        <v>58</v>
      </c>
      <c r="J2303" s="3" t="s">
        <v>60</v>
      </c>
      <c r="K2303" s="2" t="s">
        <v>28079</v>
      </c>
      <c r="L2303" s="2" t="s">
        <v>28080</v>
      </c>
      <c r="M2303" s="3" t="s">
        <v>898</v>
      </c>
      <c r="O2303" s="3" t="s">
        <v>63</v>
      </c>
      <c r="P2303" s="3" t="s">
        <v>214</v>
      </c>
      <c r="R2303" s="3" t="s">
        <v>65</v>
      </c>
      <c r="S2303" s="4">
        <v>2</v>
      </c>
      <c r="T2303" s="4">
        <v>2</v>
      </c>
      <c r="U2303" s="5" t="s">
        <v>11874</v>
      </c>
      <c r="V2303" s="5" t="s">
        <v>11874</v>
      </c>
      <c r="W2303" s="5" t="s">
        <v>11874</v>
      </c>
      <c r="X2303" s="5" t="s">
        <v>11874</v>
      </c>
      <c r="Y2303" s="4">
        <v>691</v>
      </c>
      <c r="Z2303" s="4">
        <v>653</v>
      </c>
      <c r="AA2303" s="4">
        <v>670</v>
      </c>
      <c r="AB2303" s="4">
        <v>5</v>
      </c>
      <c r="AC2303" s="4">
        <v>5</v>
      </c>
      <c r="AD2303" s="4">
        <v>15</v>
      </c>
      <c r="AE2303" s="4">
        <v>15</v>
      </c>
      <c r="AF2303" s="4">
        <v>5</v>
      </c>
      <c r="AG2303" s="4">
        <v>5</v>
      </c>
      <c r="AH2303" s="4">
        <v>3</v>
      </c>
      <c r="AI2303" s="4">
        <v>3</v>
      </c>
      <c r="AJ2303" s="4">
        <v>6</v>
      </c>
      <c r="AK2303" s="4">
        <v>6</v>
      </c>
      <c r="AL2303" s="4">
        <v>3</v>
      </c>
      <c r="AM2303" s="4">
        <v>3</v>
      </c>
      <c r="AN2303" s="4">
        <v>0</v>
      </c>
      <c r="AO2303" s="4">
        <v>0</v>
      </c>
      <c r="AP2303" s="3" t="s">
        <v>58</v>
      </c>
      <c r="AQ2303" s="3" t="s">
        <v>58</v>
      </c>
      <c r="AS2303" s="6" t="str">
        <f>HYPERLINK("https://creighton-primo.hosted.exlibrisgroup.com/primo-explore/search?tab=default_tab&amp;search_scope=EVERYTHING&amp;vid=01CRU&amp;lang=en_US&amp;offset=0&amp;query=any,contains,991005163839702656","Catalog Record")</f>
        <v>Catalog Record</v>
      </c>
      <c r="AT2303" s="6" t="str">
        <f>HYPERLINK("http://www.worldcat.org/oclc/71189936","WorldCat Record")</f>
        <v>WorldCat Record</v>
      </c>
      <c r="AU2303" s="3" t="s">
        <v>28081</v>
      </c>
      <c r="AV2303" s="3" t="s">
        <v>28082</v>
      </c>
      <c r="AW2303" s="3" t="s">
        <v>28083</v>
      </c>
      <c r="AX2303" s="3" t="s">
        <v>28083</v>
      </c>
      <c r="AY2303" s="3" t="s">
        <v>28084</v>
      </c>
      <c r="AZ2303" s="3" t="s">
        <v>73</v>
      </c>
      <c r="BB2303" s="3" t="s">
        <v>28085</v>
      </c>
      <c r="BC2303" s="3" t="s">
        <v>28086</v>
      </c>
      <c r="BD2303" s="3" t="s">
        <v>28087</v>
      </c>
    </row>
    <row r="2304" spans="1:56" ht="51" customHeight="1" x14ac:dyDescent="0.25">
      <c r="A2304" s="7" t="s">
        <v>58</v>
      </c>
      <c r="B2304" s="2" t="s">
        <v>28088</v>
      </c>
      <c r="C2304" s="2" t="s">
        <v>28089</v>
      </c>
      <c r="D2304" s="2" t="s">
        <v>28090</v>
      </c>
      <c r="F2304" s="3" t="s">
        <v>58</v>
      </c>
      <c r="G2304" s="3" t="s">
        <v>59</v>
      </c>
      <c r="H2304" s="3" t="s">
        <v>58</v>
      </c>
      <c r="I2304" s="3" t="s">
        <v>58</v>
      </c>
      <c r="J2304" s="3" t="s">
        <v>60</v>
      </c>
      <c r="K2304" s="2" t="s">
        <v>28091</v>
      </c>
      <c r="L2304" s="2" t="s">
        <v>28092</v>
      </c>
      <c r="M2304" s="3" t="s">
        <v>898</v>
      </c>
      <c r="N2304" s="2" t="s">
        <v>338</v>
      </c>
      <c r="O2304" s="3" t="s">
        <v>63</v>
      </c>
      <c r="P2304" s="3" t="s">
        <v>214</v>
      </c>
      <c r="R2304" s="3" t="s">
        <v>65</v>
      </c>
      <c r="S2304" s="4">
        <v>5</v>
      </c>
      <c r="T2304" s="4">
        <v>5</v>
      </c>
      <c r="U2304" s="5" t="s">
        <v>1532</v>
      </c>
      <c r="V2304" s="5" t="s">
        <v>1532</v>
      </c>
      <c r="W2304" s="5" t="s">
        <v>28093</v>
      </c>
      <c r="X2304" s="5" t="s">
        <v>28093</v>
      </c>
      <c r="Y2304" s="4">
        <v>908</v>
      </c>
      <c r="Z2304" s="4">
        <v>848</v>
      </c>
      <c r="AA2304" s="4">
        <v>912</v>
      </c>
      <c r="AB2304" s="4">
        <v>4</v>
      </c>
      <c r="AC2304" s="4">
        <v>4</v>
      </c>
      <c r="AD2304" s="4">
        <v>13</v>
      </c>
      <c r="AE2304" s="4">
        <v>14</v>
      </c>
      <c r="AF2304" s="4">
        <v>3</v>
      </c>
      <c r="AG2304" s="4">
        <v>4</v>
      </c>
      <c r="AH2304" s="4">
        <v>5</v>
      </c>
      <c r="AI2304" s="4">
        <v>5</v>
      </c>
      <c r="AJ2304" s="4">
        <v>6</v>
      </c>
      <c r="AK2304" s="4">
        <v>6</v>
      </c>
      <c r="AL2304" s="4">
        <v>2</v>
      </c>
      <c r="AM2304" s="4">
        <v>2</v>
      </c>
      <c r="AN2304" s="4">
        <v>0</v>
      </c>
      <c r="AO2304" s="4">
        <v>0</v>
      </c>
      <c r="AP2304" s="3" t="s">
        <v>58</v>
      </c>
      <c r="AQ2304" s="3" t="s">
        <v>58</v>
      </c>
      <c r="AS2304" s="6" t="str">
        <f>HYPERLINK("https://creighton-primo.hosted.exlibrisgroup.com/primo-explore/search?tab=default_tab&amp;search_scope=EVERYTHING&amp;vid=01CRU&amp;lang=en_US&amp;offset=0&amp;query=any,contains,991004842879702656","Catalog Record")</f>
        <v>Catalog Record</v>
      </c>
      <c r="AT2304" s="6" t="str">
        <f>HYPERLINK("http://www.worldcat.org/oclc/68799662","WorldCat Record")</f>
        <v>WorldCat Record</v>
      </c>
      <c r="AU2304" s="3" t="s">
        <v>28094</v>
      </c>
      <c r="AV2304" s="3" t="s">
        <v>28095</v>
      </c>
      <c r="AW2304" s="3" t="s">
        <v>28096</v>
      </c>
      <c r="AX2304" s="3" t="s">
        <v>28096</v>
      </c>
      <c r="AY2304" s="3" t="s">
        <v>28097</v>
      </c>
      <c r="AZ2304" s="3" t="s">
        <v>73</v>
      </c>
      <c r="BB2304" s="3" t="s">
        <v>28098</v>
      </c>
      <c r="BC2304" s="3" t="s">
        <v>28099</v>
      </c>
      <c r="BD2304" s="3" t="s">
        <v>28100</v>
      </c>
    </row>
    <row r="2305" spans="1:56" ht="51" customHeight="1" x14ac:dyDescent="0.25">
      <c r="A2305" s="7" t="s">
        <v>58</v>
      </c>
      <c r="B2305" s="2" t="s">
        <v>28101</v>
      </c>
      <c r="C2305" s="2" t="s">
        <v>28102</v>
      </c>
      <c r="D2305" s="2" t="s">
        <v>28103</v>
      </c>
      <c r="F2305" s="3" t="s">
        <v>58</v>
      </c>
      <c r="G2305" s="3" t="s">
        <v>59</v>
      </c>
      <c r="H2305" s="3" t="s">
        <v>58</v>
      </c>
      <c r="I2305" s="3" t="s">
        <v>58</v>
      </c>
      <c r="J2305" s="3" t="s">
        <v>60</v>
      </c>
      <c r="K2305" s="2" t="s">
        <v>28104</v>
      </c>
      <c r="L2305" s="2" t="s">
        <v>28105</v>
      </c>
      <c r="M2305" s="3" t="s">
        <v>4023</v>
      </c>
      <c r="N2305" s="2" t="s">
        <v>338</v>
      </c>
      <c r="O2305" s="3" t="s">
        <v>63</v>
      </c>
      <c r="P2305" s="3" t="s">
        <v>214</v>
      </c>
      <c r="R2305" s="3" t="s">
        <v>65</v>
      </c>
      <c r="S2305" s="4">
        <v>6</v>
      </c>
      <c r="T2305" s="4">
        <v>6</v>
      </c>
      <c r="U2305" s="5" t="s">
        <v>28106</v>
      </c>
      <c r="V2305" s="5" t="s">
        <v>28106</v>
      </c>
      <c r="W2305" s="5" t="s">
        <v>28107</v>
      </c>
      <c r="X2305" s="5" t="s">
        <v>28107</v>
      </c>
      <c r="Y2305" s="4">
        <v>787</v>
      </c>
      <c r="Z2305" s="4">
        <v>716</v>
      </c>
      <c r="AA2305" s="4">
        <v>753</v>
      </c>
      <c r="AB2305" s="4">
        <v>6</v>
      </c>
      <c r="AC2305" s="4">
        <v>6</v>
      </c>
      <c r="AD2305" s="4">
        <v>13</v>
      </c>
      <c r="AE2305" s="4">
        <v>14</v>
      </c>
      <c r="AF2305" s="4">
        <v>2</v>
      </c>
      <c r="AG2305" s="4">
        <v>3</v>
      </c>
      <c r="AH2305" s="4">
        <v>6</v>
      </c>
      <c r="AI2305" s="4">
        <v>6</v>
      </c>
      <c r="AJ2305" s="4">
        <v>6</v>
      </c>
      <c r="AK2305" s="4">
        <v>6</v>
      </c>
      <c r="AL2305" s="4">
        <v>2</v>
      </c>
      <c r="AM2305" s="4">
        <v>2</v>
      </c>
      <c r="AN2305" s="4">
        <v>0</v>
      </c>
      <c r="AO2305" s="4">
        <v>0</v>
      </c>
      <c r="AP2305" s="3" t="s">
        <v>58</v>
      </c>
      <c r="AQ2305" s="3" t="s">
        <v>58</v>
      </c>
      <c r="AS2305" s="6" t="str">
        <f>HYPERLINK("https://creighton-primo.hosted.exlibrisgroup.com/primo-explore/search?tab=default_tab&amp;search_scope=EVERYTHING&amp;vid=01CRU&amp;lang=en_US&amp;offset=0&amp;query=any,contains,991004283309702656","Catalog Record")</f>
        <v>Catalog Record</v>
      </c>
      <c r="AT2305" s="6" t="str">
        <f>HYPERLINK("http://www.worldcat.org/oclc/54460121","WorldCat Record")</f>
        <v>WorldCat Record</v>
      </c>
      <c r="AU2305" s="3" t="s">
        <v>28108</v>
      </c>
      <c r="AV2305" s="3" t="s">
        <v>28109</v>
      </c>
      <c r="AW2305" s="3" t="s">
        <v>28110</v>
      </c>
      <c r="AX2305" s="3" t="s">
        <v>28110</v>
      </c>
      <c r="AY2305" s="3" t="s">
        <v>28111</v>
      </c>
      <c r="AZ2305" s="3" t="s">
        <v>73</v>
      </c>
      <c r="BB2305" s="3" t="s">
        <v>28112</v>
      </c>
      <c r="BC2305" s="3" t="s">
        <v>28113</v>
      </c>
      <c r="BD2305" s="3" t="s">
        <v>28114</v>
      </c>
    </row>
    <row r="2306" spans="1:56" ht="51" customHeight="1" x14ac:dyDescent="0.25">
      <c r="A2306" s="7" t="s">
        <v>58</v>
      </c>
      <c r="B2306" s="2" t="s">
        <v>28115</v>
      </c>
      <c r="C2306" s="2" t="s">
        <v>28116</v>
      </c>
      <c r="D2306" s="2" t="s">
        <v>28117</v>
      </c>
      <c r="F2306" s="3" t="s">
        <v>58</v>
      </c>
      <c r="G2306" s="3" t="s">
        <v>59</v>
      </c>
      <c r="H2306" s="3" t="s">
        <v>58</v>
      </c>
      <c r="I2306" s="3" t="s">
        <v>58</v>
      </c>
      <c r="J2306" s="3" t="s">
        <v>60</v>
      </c>
      <c r="K2306" s="2" t="s">
        <v>10796</v>
      </c>
      <c r="L2306" s="2" t="s">
        <v>28118</v>
      </c>
      <c r="M2306" s="3" t="s">
        <v>4023</v>
      </c>
      <c r="O2306" s="3" t="s">
        <v>63</v>
      </c>
      <c r="P2306" s="3" t="s">
        <v>981</v>
      </c>
      <c r="Q2306" s="2" t="s">
        <v>13904</v>
      </c>
      <c r="R2306" s="3" t="s">
        <v>65</v>
      </c>
      <c r="S2306" s="4">
        <v>6</v>
      </c>
      <c r="T2306" s="4">
        <v>6</v>
      </c>
      <c r="U2306" s="5" t="s">
        <v>19716</v>
      </c>
      <c r="V2306" s="5" t="s">
        <v>19716</v>
      </c>
      <c r="W2306" s="5" t="s">
        <v>24736</v>
      </c>
      <c r="X2306" s="5" t="s">
        <v>24736</v>
      </c>
      <c r="Y2306" s="4">
        <v>486</v>
      </c>
      <c r="Z2306" s="4">
        <v>440</v>
      </c>
      <c r="AA2306" s="4">
        <v>522</v>
      </c>
      <c r="AB2306" s="4">
        <v>3</v>
      </c>
      <c r="AC2306" s="4">
        <v>4</v>
      </c>
      <c r="AD2306" s="4">
        <v>26</v>
      </c>
      <c r="AE2306" s="4">
        <v>28</v>
      </c>
      <c r="AF2306" s="4">
        <v>14</v>
      </c>
      <c r="AG2306" s="4">
        <v>14</v>
      </c>
      <c r="AH2306" s="4">
        <v>8</v>
      </c>
      <c r="AI2306" s="4">
        <v>8</v>
      </c>
      <c r="AJ2306" s="4">
        <v>10</v>
      </c>
      <c r="AK2306" s="4">
        <v>11</v>
      </c>
      <c r="AL2306" s="4">
        <v>2</v>
      </c>
      <c r="AM2306" s="4">
        <v>3</v>
      </c>
      <c r="AN2306" s="4">
        <v>1</v>
      </c>
      <c r="AO2306" s="4">
        <v>1</v>
      </c>
      <c r="AP2306" s="3" t="s">
        <v>58</v>
      </c>
      <c r="AQ2306" s="3" t="s">
        <v>68</v>
      </c>
      <c r="AR2306" s="6" t="str">
        <f>HYPERLINK("http://catalog.hathitrust.org/Record/004945850","HathiTrust Record")</f>
        <v>HathiTrust Record</v>
      </c>
      <c r="AS2306" s="6" t="str">
        <f>HYPERLINK("https://creighton-primo.hosted.exlibrisgroup.com/primo-explore/search?tab=default_tab&amp;search_scope=EVERYTHING&amp;vid=01CRU&amp;lang=en_US&amp;offset=0&amp;query=any,contains,991004772729702656","Catalog Record")</f>
        <v>Catalog Record</v>
      </c>
      <c r="AT2306" s="6" t="str">
        <f>HYPERLINK("http://www.worldcat.org/oclc/55502572","WorldCat Record")</f>
        <v>WorldCat Record</v>
      </c>
      <c r="AU2306" s="3" t="s">
        <v>28119</v>
      </c>
      <c r="AV2306" s="3" t="s">
        <v>28120</v>
      </c>
      <c r="AW2306" s="3" t="s">
        <v>28121</v>
      </c>
      <c r="AX2306" s="3" t="s">
        <v>28121</v>
      </c>
      <c r="AY2306" s="3" t="s">
        <v>28122</v>
      </c>
      <c r="AZ2306" s="3" t="s">
        <v>73</v>
      </c>
      <c r="BB2306" s="3" t="s">
        <v>28123</v>
      </c>
      <c r="BC2306" s="3" t="s">
        <v>28124</v>
      </c>
      <c r="BD2306" s="3" t="s">
        <v>28125</v>
      </c>
    </row>
    <row r="2307" spans="1:56" ht="51" customHeight="1" x14ac:dyDescent="0.25">
      <c r="A2307" s="7" t="s">
        <v>58</v>
      </c>
      <c r="B2307" s="2" t="s">
        <v>28126</v>
      </c>
      <c r="C2307" s="2" t="s">
        <v>28127</v>
      </c>
      <c r="D2307" s="2" t="s">
        <v>28128</v>
      </c>
      <c r="F2307" s="3" t="s">
        <v>58</v>
      </c>
      <c r="G2307" s="3" t="s">
        <v>59</v>
      </c>
      <c r="H2307" s="3" t="s">
        <v>58</v>
      </c>
      <c r="I2307" s="3" t="s">
        <v>58</v>
      </c>
      <c r="J2307" s="3" t="s">
        <v>60</v>
      </c>
      <c r="K2307" s="2" t="s">
        <v>28129</v>
      </c>
      <c r="L2307" s="2" t="s">
        <v>28130</v>
      </c>
      <c r="M2307" s="3" t="s">
        <v>2295</v>
      </c>
      <c r="N2307" s="2" t="s">
        <v>338</v>
      </c>
      <c r="O2307" s="3" t="s">
        <v>63</v>
      </c>
      <c r="P2307" s="3" t="s">
        <v>214</v>
      </c>
      <c r="R2307" s="3" t="s">
        <v>65</v>
      </c>
      <c r="S2307" s="4">
        <v>4</v>
      </c>
      <c r="T2307" s="4">
        <v>4</v>
      </c>
      <c r="U2307" s="5" t="s">
        <v>27937</v>
      </c>
      <c r="V2307" s="5" t="s">
        <v>27937</v>
      </c>
      <c r="W2307" s="5" t="s">
        <v>8992</v>
      </c>
      <c r="X2307" s="5" t="s">
        <v>8992</v>
      </c>
      <c r="Y2307" s="4">
        <v>867</v>
      </c>
      <c r="Z2307" s="4">
        <v>821</v>
      </c>
      <c r="AA2307" s="4">
        <v>855</v>
      </c>
      <c r="AB2307" s="4">
        <v>3</v>
      </c>
      <c r="AC2307" s="4">
        <v>3</v>
      </c>
      <c r="AD2307" s="4">
        <v>23</v>
      </c>
      <c r="AE2307" s="4">
        <v>24</v>
      </c>
      <c r="AF2307" s="4">
        <v>9</v>
      </c>
      <c r="AG2307" s="4">
        <v>9</v>
      </c>
      <c r="AH2307" s="4">
        <v>5</v>
      </c>
      <c r="AI2307" s="4">
        <v>6</v>
      </c>
      <c r="AJ2307" s="4">
        <v>12</v>
      </c>
      <c r="AK2307" s="4">
        <v>12</v>
      </c>
      <c r="AL2307" s="4">
        <v>2</v>
      </c>
      <c r="AM2307" s="4">
        <v>2</v>
      </c>
      <c r="AN2307" s="4">
        <v>1</v>
      </c>
      <c r="AO2307" s="4">
        <v>1</v>
      </c>
      <c r="AP2307" s="3" t="s">
        <v>58</v>
      </c>
      <c r="AQ2307" s="3" t="s">
        <v>58</v>
      </c>
      <c r="AS2307" s="6" t="str">
        <f>HYPERLINK("https://creighton-primo.hosted.exlibrisgroup.com/primo-explore/search?tab=default_tab&amp;search_scope=EVERYTHING&amp;vid=01CRU&amp;lang=en_US&amp;offset=0&amp;query=any,contains,991004183639702656","Catalog Record")</f>
        <v>Catalog Record</v>
      </c>
      <c r="AT2307" s="6" t="str">
        <f>HYPERLINK("http://www.worldcat.org/oclc/52901400","WorldCat Record")</f>
        <v>WorldCat Record</v>
      </c>
      <c r="AU2307" s="3" t="s">
        <v>28131</v>
      </c>
      <c r="AV2307" s="3" t="s">
        <v>28132</v>
      </c>
      <c r="AW2307" s="3" t="s">
        <v>28133</v>
      </c>
      <c r="AX2307" s="3" t="s">
        <v>28133</v>
      </c>
      <c r="AY2307" s="3" t="s">
        <v>28134</v>
      </c>
      <c r="AZ2307" s="3" t="s">
        <v>73</v>
      </c>
      <c r="BB2307" s="3" t="s">
        <v>28135</v>
      </c>
      <c r="BC2307" s="3" t="s">
        <v>28136</v>
      </c>
      <c r="BD2307" s="3" t="s">
        <v>28137</v>
      </c>
    </row>
    <row r="2308" spans="1:56" ht="51" customHeight="1" x14ac:dyDescent="0.25">
      <c r="A2308" s="7" t="s">
        <v>58</v>
      </c>
      <c r="B2308" s="2" t="s">
        <v>28138</v>
      </c>
      <c r="C2308" s="2" t="s">
        <v>28139</v>
      </c>
      <c r="D2308" s="2" t="s">
        <v>28140</v>
      </c>
      <c r="F2308" s="3" t="s">
        <v>58</v>
      </c>
      <c r="G2308" s="3" t="s">
        <v>59</v>
      </c>
      <c r="H2308" s="3" t="s">
        <v>58</v>
      </c>
      <c r="I2308" s="3" t="s">
        <v>58</v>
      </c>
      <c r="J2308" s="3" t="s">
        <v>60</v>
      </c>
      <c r="K2308" s="2" t="s">
        <v>28141</v>
      </c>
      <c r="L2308" s="2" t="s">
        <v>28142</v>
      </c>
      <c r="M2308" s="3" t="s">
        <v>4023</v>
      </c>
      <c r="O2308" s="3" t="s">
        <v>63</v>
      </c>
      <c r="P2308" s="3" t="s">
        <v>3109</v>
      </c>
      <c r="R2308" s="3" t="s">
        <v>65</v>
      </c>
      <c r="S2308" s="4">
        <v>6</v>
      </c>
      <c r="T2308" s="4">
        <v>6</v>
      </c>
      <c r="U2308" s="5" t="s">
        <v>16073</v>
      </c>
      <c r="V2308" s="5" t="s">
        <v>16073</v>
      </c>
      <c r="W2308" s="5" t="s">
        <v>28143</v>
      </c>
      <c r="X2308" s="5" t="s">
        <v>28143</v>
      </c>
      <c r="Y2308" s="4">
        <v>744</v>
      </c>
      <c r="Z2308" s="4">
        <v>667</v>
      </c>
      <c r="AA2308" s="4">
        <v>673</v>
      </c>
      <c r="AB2308" s="4">
        <v>4</v>
      </c>
      <c r="AC2308" s="4">
        <v>4</v>
      </c>
      <c r="AD2308" s="4">
        <v>36</v>
      </c>
      <c r="AE2308" s="4">
        <v>36</v>
      </c>
      <c r="AF2308" s="4">
        <v>16</v>
      </c>
      <c r="AG2308" s="4">
        <v>16</v>
      </c>
      <c r="AH2308" s="4">
        <v>8</v>
      </c>
      <c r="AI2308" s="4">
        <v>8</v>
      </c>
      <c r="AJ2308" s="4">
        <v>16</v>
      </c>
      <c r="AK2308" s="4">
        <v>16</v>
      </c>
      <c r="AL2308" s="4">
        <v>3</v>
      </c>
      <c r="AM2308" s="4">
        <v>3</v>
      </c>
      <c r="AN2308" s="4">
        <v>1</v>
      </c>
      <c r="AO2308" s="4">
        <v>1</v>
      </c>
      <c r="AP2308" s="3" t="s">
        <v>58</v>
      </c>
      <c r="AQ2308" s="3" t="s">
        <v>68</v>
      </c>
      <c r="AR2308" s="6" t="str">
        <f>HYPERLINK("http://catalog.hathitrust.org/Record/004723095","HathiTrust Record")</f>
        <v>HathiTrust Record</v>
      </c>
      <c r="AS2308" s="6" t="str">
        <f>HYPERLINK("https://creighton-primo.hosted.exlibrisgroup.com/primo-explore/search?tab=default_tab&amp;search_scope=EVERYTHING&amp;vid=01CRU&amp;lang=en_US&amp;offset=0&amp;query=any,contains,991004314669702656","Catalog Record")</f>
        <v>Catalog Record</v>
      </c>
      <c r="AT2308" s="6" t="str">
        <f>HYPERLINK("http://www.worldcat.org/oclc/53824235","WorldCat Record")</f>
        <v>WorldCat Record</v>
      </c>
      <c r="AU2308" s="3" t="s">
        <v>28144</v>
      </c>
      <c r="AV2308" s="3" t="s">
        <v>28145</v>
      </c>
      <c r="AW2308" s="3" t="s">
        <v>28146</v>
      </c>
      <c r="AX2308" s="3" t="s">
        <v>28146</v>
      </c>
      <c r="AY2308" s="3" t="s">
        <v>28147</v>
      </c>
      <c r="AZ2308" s="3" t="s">
        <v>73</v>
      </c>
      <c r="BB2308" s="3" t="s">
        <v>28148</v>
      </c>
      <c r="BC2308" s="3" t="s">
        <v>28149</v>
      </c>
      <c r="BD2308" s="3" t="s">
        <v>28150</v>
      </c>
    </row>
    <row r="2309" spans="1:56" ht="51" customHeight="1" x14ac:dyDescent="0.25">
      <c r="A2309" s="7" t="s">
        <v>58</v>
      </c>
      <c r="B2309" s="2" t="s">
        <v>28151</v>
      </c>
      <c r="C2309" s="2" t="s">
        <v>28152</v>
      </c>
      <c r="D2309" s="2" t="s">
        <v>28153</v>
      </c>
      <c r="F2309" s="3" t="s">
        <v>58</v>
      </c>
      <c r="G2309" s="3" t="s">
        <v>59</v>
      </c>
      <c r="H2309" s="3" t="s">
        <v>58</v>
      </c>
      <c r="I2309" s="3" t="s">
        <v>58</v>
      </c>
      <c r="J2309" s="3" t="s">
        <v>60</v>
      </c>
      <c r="K2309" s="2" t="s">
        <v>10276</v>
      </c>
      <c r="L2309" s="2" t="s">
        <v>28154</v>
      </c>
      <c r="M2309" s="3" t="s">
        <v>4023</v>
      </c>
      <c r="O2309" s="3" t="s">
        <v>63</v>
      </c>
      <c r="P2309" s="3" t="s">
        <v>214</v>
      </c>
      <c r="R2309" s="3" t="s">
        <v>65</v>
      </c>
      <c r="S2309" s="4">
        <v>5</v>
      </c>
      <c r="T2309" s="4">
        <v>5</v>
      </c>
      <c r="U2309" s="5" t="s">
        <v>28155</v>
      </c>
      <c r="V2309" s="5" t="s">
        <v>28155</v>
      </c>
      <c r="W2309" s="5" t="s">
        <v>24599</v>
      </c>
      <c r="X2309" s="5" t="s">
        <v>24599</v>
      </c>
      <c r="Y2309" s="4">
        <v>626</v>
      </c>
      <c r="Z2309" s="4">
        <v>558</v>
      </c>
      <c r="AA2309" s="4">
        <v>566</v>
      </c>
      <c r="AB2309" s="4">
        <v>4</v>
      </c>
      <c r="AC2309" s="4">
        <v>4</v>
      </c>
      <c r="AD2309" s="4">
        <v>22</v>
      </c>
      <c r="AE2309" s="4">
        <v>22</v>
      </c>
      <c r="AF2309" s="4">
        <v>7</v>
      </c>
      <c r="AG2309" s="4">
        <v>7</v>
      </c>
      <c r="AH2309" s="4">
        <v>3</v>
      </c>
      <c r="AI2309" s="4">
        <v>3</v>
      </c>
      <c r="AJ2309" s="4">
        <v>13</v>
      </c>
      <c r="AK2309" s="4">
        <v>13</v>
      </c>
      <c r="AL2309" s="4">
        <v>3</v>
      </c>
      <c r="AM2309" s="4">
        <v>3</v>
      </c>
      <c r="AN2309" s="4">
        <v>0</v>
      </c>
      <c r="AO2309" s="4">
        <v>0</v>
      </c>
      <c r="AP2309" s="3" t="s">
        <v>58</v>
      </c>
      <c r="AQ2309" s="3" t="s">
        <v>58</v>
      </c>
      <c r="AS2309" s="6" t="str">
        <f>HYPERLINK("https://creighton-primo.hosted.exlibrisgroup.com/primo-explore/search?tab=default_tab&amp;search_scope=EVERYTHING&amp;vid=01CRU&amp;lang=en_US&amp;offset=0&amp;query=any,contains,991004244749702656","Catalog Record")</f>
        <v>Catalog Record</v>
      </c>
      <c r="AT2309" s="6" t="str">
        <f>HYPERLINK("http://www.worldcat.org/oclc/53442992","WorldCat Record")</f>
        <v>WorldCat Record</v>
      </c>
      <c r="AU2309" s="3" t="s">
        <v>28156</v>
      </c>
      <c r="AV2309" s="3" t="s">
        <v>28157</v>
      </c>
      <c r="AW2309" s="3" t="s">
        <v>28158</v>
      </c>
      <c r="AX2309" s="3" t="s">
        <v>28158</v>
      </c>
      <c r="AY2309" s="3" t="s">
        <v>28159</v>
      </c>
      <c r="AZ2309" s="3" t="s">
        <v>73</v>
      </c>
      <c r="BB2309" s="3" t="s">
        <v>28160</v>
      </c>
      <c r="BC2309" s="3" t="s">
        <v>28161</v>
      </c>
      <c r="BD2309" s="3" t="s">
        <v>28162</v>
      </c>
    </row>
    <row r="2310" spans="1:56" ht="51" customHeight="1" x14ac:dyDescent="0.25">
      <c r="A2310" s="7" t="s">
        <v>58</v>
      </c>
      <c r="B2310" s="2" t="s">
        <v>28163</v>
      </c>
      <c r="C2310" s="2" t="s">
        <v>28164</v>
      </c>
      <c r="D2310" s="2" t="s">
        <v>28165</v>
      </c>
      <c r="F2310" s="3" t="s">
        <v>58</v>
      </c>
      <c r="G2310" s="3" t="s">
        <v>59</v>
      </c>
      <c r="H2310" s="3" t="s">
        <v>58</v>
      </c>
      <c r="I2310" s="3" t="s">
        <v>58</v>
      </c>
      <c r="J2310" s="3" t="s">
        <v>60</v>
      </c>
      <c r="K2310" s="2" t="s">
        <v>28166</v>
      </c>
      <c r="L2310" s="2" t="s">
        <v>28167</v>
      </c>
      <c r="M2310" s="3" t="s">
        <v>2326</v>
      </c>
      <c r="O2310" s="3" t="s">
        <v>63</v>
      </c>
      <c r="P2310" s="3" t="s">
        <v>214</v>
      </c>
      <c r="R2310" s="3" t="s">
        <v>65</v>
      </c>
      <c r="S2310" s="4">
        <v>2</v>
      </c>
      <c r="T2310" s="4">
        <v>2</v>
      </c>
      <c r="U2310" s="5" t="s">
        <v>25710</v>
      </c>
      <c r="V2310" s="5" t="s">
        <v>25710</v>
      </c>
      <c r="W2310" s="5" t="s">
        <v>25710</v>
      </c>
      <c r="X2310" s="5" t="s">
        <v>25710</v>
      </c>
      <c r="Y2310" s="4">
        <v>261</v>
      </c>
      <c r="Z2310" s="4">
        <v>235</v>
      </c>
      <c r="AA2310" s="4">
        <v>236</v>
      </c>
      <c r="AB2310" s="4">
        <v>2</v>
      </c>
      <c r="AC2310" s="4">
        <v>2</v>
      </c>
      <c r="AD2310" s="4">
        <v>9</v>
      </c>
      <c r="AE2310" s="4">
        <v>9</v>
      </c>
      <c r="AF2310" s="4">
        <v>4</v>
      </c>
      <c r="AG2310" s="4">
        <v>4</v>
      </c>
      <c r="AH2310" s="4">
        <v>2</v>
      </c>
      <c r="AI2310" s="4">
        <v>2</v>
      </c>
      <c r="AJ2310" s="4">
        <v>6</v>
      </c>
      <c r="AK2310" s="4">
        <v>6</v>
      </c>
      <c r="AL2310" s="4">
        <v>1</v>
      </c>
      <c r="AM2310" s="4">
        <v>1</v>
      </c>
      <c r="AN2310" s="4">
        <v>0</v>
      </c>
      <c r="AO2310" s="4">
        <v>0</v>
      </c>
      <c r="AP2310" s="3" t="s">
        <v>58</v>
      </c>
      <c r="AQ2310" s="3" t="s">
        <v>58</v>
      </c>
      <c r="AS2310" s="6" t="str">
        <f>HYPERLINK("https://creighton-primo.hosted.exlibrisgroup.com/primo-explore/search?tab=default_tab&amp;search_scope=EVERYTHING&amp;vid=01CRU&amp;lang=en_US&amp;offset=0&amp;query=any,contains,991005333219702656","Catalog Record")</f>
        <v>Catalog Record</v>
      </c>
      <c r="AT2310" s="6" t="str">
        <f>HYPERLINK("http://www.worldcat.org/oclc/232002294","WorldCat Record")</f>
        <v>WorldCat Record</v>
      </c>
      <c r="AU2310" s="3" t="s">
        <v>28168</v>
      </c>
      <c r="AV2310" s="3" t="s">
        <v>28169</v>
      </c>
      <c r="AW2310" s="3" t="s">
        <v>28170</v>
      </c>
      <c r="AX2310" s="3" t="s">
        <v>28170</v>
      </c>
      <c r="AY2310" s="3" t="s">
        <v>28171</v>
      </c>
      <c r="AZ2310" s="3" t="s">
        <v>73</v>
      </c>
      <c r="BB2310" s="3" t="s">
        <v>28172</v>
      </c>
      <c r="BC2310" s="3" t="s">
        <v>28173</v>
      </c>
      <c r="BD2310" s="3" t="s">
        <v>28174</v>
      </c>
    </row>
    <row r="2311" spans="1:56" ht="51" customHeight="1" x14ac:dyDescent="0.25">
      <c r="A2311" s="7" t="s">
        <v>58</v>
      </c>
      <c r="B2311" s="2" t="s">
        <v>28175</v>
      </c>
      <c r="C2311" s="2" t="s">
        <v>28176</v>
      </c>
      <c r="D2311" s="2" t="s">
        <v>28177</v>
      </c>
      <c r="F2311" s="3" t="s">
        <v>58</v>
      </c>
      <c r="G2311" s="3" t="s">
        <v>59</v>
      </c>
      <c r="H2311" s="3" t="s">
        <v>58</v>
      </c>
      <c r="I2311" s="3" t="s">
        <v>58</v>
      </c>
      <c r="J2311" s="3" t="s">
        <v>60</v>
      </c>
      <c r="K2311" s="2" t="s">
        <v>28178</v>
      </c>
      <c r="L2311" s="2" t="s">
        <v>28179</v>
      </c>
      <c r="M2311" s="3" t="s">
        <v>815</v>
      </c>
      <c r="N2311" s="2" t="s">
        <v>338</v>
      </c>
      <c r="O2311" s="3" t="s">
        <v>63</v>
      </c>
      <c r="P2311" s="3" t="s">
        <v>214</v>
      </c>
      <c r="R2311" s="3" t="s">
        <v>65</v>
      </c>
      <c r="S2311" s="4">
        <v>4</v>
      </c>
      <c r="T2311" s="4">
        <v>4</v>
      </c>
      <c r="U2311" s="5" t="s">
        <v>27901</v>
      </c>
      <c r="V2311" s="5" t="s">
        <v>27901</v>
      </c>
      <c r="W2311" s="5" t="s">
        <v>28180</v>
      </c>
      <c r="X2311" s="5" t="s">
        <v>28180</v>
      </c>
      <c r="Y2311" s="4">
        <v>1265</v>
      </c>
      <c r="Z2311" s="4">
        <v>1133</v>
      </c>
      <c r="AA2311" s="4">
        <v>1253</v>
      </c>
      <c r="AB2311" s="4">
        <v>9</v>
      </c>
      <c r="AC2311" s="4">
        <v>10</v>
      </c>
      <c r="AD2311" s="4">
        <v>27</v>
      </c>
      <c r="AE2311" s="4">
        <v>31</v>
      </c>
      <c r="AF2311" s="4">
        <v>10</v>
      </c>
      <c r="AG2311" s="4">
        <v>12</v>
      </c>
      <c r="AH2311" s="4">
        <v>4</v>
      </c>
      <c r="AI2311" s="4">
        <v>5</v>
      </c>
      <c r="AJ2311" s="4">
        <v>14</v>
      </c>
      <c r="AK2311" s="4">
        <v>16</v>
      </c>
      <c r="AL2311" s="4">
        <v>4</v>
      </c>
      <c r="AM2311" s="4">
        <v>5</v>
      </c>
      <c r="AN2311" s="4">
        <v>0</v>
      </c>
      <c r="AO2311" s="4">
        <v>0</v>
      </c>
      <c r="AP2311" s="3" t="s">
        <v>58</v>
      </c>
      <c r="AQ2311" s="3" t="s">
        <v>58</v>
      </c>
      <c r="AS2311" s="6" t="str">
        <f>HYPERLINK("https://creighton-primo.hosted.exlibrisgroup.com/primo-explore/search?tab=default_tab&amp;search_scope=EVERYTHING&amp;vid=01CRU&amp;lang=en_US&amp;offset=0&amp;query=any,contains,991005190779702656","Catalog Record")</f>
        <v>Catalog Record</v>
      </c>
      <c r="AT2311" s="6" t="str">
        <f>HYPERLINK("http://www.worldcat.org/oclc/181139407","WorldCat Record")</f>
        <v>WorldCat Record</v>
      </c>
      <c r="AU2311" s="3" t="s">
        <v>28181</v>
      </c>
      <c r="AV2311" s="3" t="s">
        <v>28182</v>
      </c>
      <c r="AW2311" s="3" t="s">
        <v>28183</v>
      </c>
      <c r="AX2311" s="3" t="s">
        <v>28183</v>
      </c>
      <c r="AY2311" s="3" t="s">
        <v>28184</v>
      </c>
      <c r="AZ2311" s="3" t="s">
        <v>73</v>
      </c>
      <c r="BB2311" s="3" t="s">
        <v>28185</v>
      </c>
      <c r="BC2311" s="3" t="s">
        <v>28186</v>
      </c>
      <c r="BD2311" s="3" t="s">
        <v>28187</v>
      </c>
    </row>
    <row r="2312" spans="1:56" ht="51" customHeight="1" x14ac:dyDescent="0.25">
      <c r="A2312" s="7" t="s">
        <v>58</v>
      </c>
      <c r="B2312" s="2" t="s">
        <v>28188</v>
      </c>
      <c r="C2312" s="2" t="s">
        <v>28189</v>
      </c>
      <c r="D2312" s="2" t="s">
        <v>28190</v>
      </c>
      <c r="F2312" s="3" t="s">
        <v>58</v>
      </c>
      <c r="G2312" s="3" t="s">
        <v>59</v>
      </c>
      <c r="H2312" s="3" t="s">
        <v>58</v>
      </c>
      <c r="I2312" s="3" t="s">
        <v>58</v>
      </c>
      <c r="J2312" s="3" t="s">
        <v>60</v>
      </c>
      <c r="K2312" s="2" t="s">
        <v>28191</v>
      </c>
      <c r="L2312" s="2" t="s">
        <v>28192</v>
      </c>
      <c r="M2312" s="3" t="s">
        <v>2214</v>
      </c>
      <c r="O2312" s="3" t="s">
        <v>63</v>
      </c>
      <c r="P2312" s="3" t="s">
        <v>3109</v>
      </c>
      <c r="R2312" s="3" t="s">
        <v>65</v>
      </c>
      <c r="S2312" s="4">
        <v>2</v>
      </c>
      <c r="T2312" s="4">
        <v>2</v>
      </c>
      <c r="U2312" s="5" t="s">
        <v>24980</v>
      </c>
      <c r="V2312" s="5" t="s">
        <v>24980</v>
      </c>
      <c r="W2312" s="5" t="s">
        <v>19624</v>
      </c>
      <c r="X2312" s="5" t="s">
        <v>19624</v>
      </c>
      <c r="Y2312" s="4">
        <v>545</v>
      </c>
      <c r="Z2312" s="4">
        <v>456</v>
      </c>
      <c r="AA2312" s="4">
        <v>459</v>
      </c>
      <c r="AB2312" s="4">
        <v>5</v>
      </c>
      <c r="AC2312" s="4">
        <v>5</v>
      </c>
      <c r="AD2312" s="4">
        <v>26</v>
      </c>
      <c r="AE2312" s="4">
        <v>26</v>
      </c>
      <c r="AF2312" s="4">
        <v>12</v>
      </c>
      <c r="AG2312" s="4">
        <v>12</v>
      </c>
      <c r="AH2312" s="4">
        <v>5</v>
      </c>
      <c r="AI2312" s="4">
        <v>5</v>
      </c>
      <c r="AJ2312" s="4">
        <v>10</v>
      </c>
      <c r="AK2312" s="4">
        <v>10</v>
      </c>
      <c r="AL2312" s="4">
        <v>4</v>
      </c>
      <c r="AM2312" s="4">
        <v>4</v>
      </c>
      <c r="AN2312" s="4">
        <v>0</v>
      </c>
      <c r="AO2312" s="4">
        <v>0</v>
      </c>
      <c r="AP2312" s="3" t="s">
        <v>58</v>
      </c>
      <c r="AQ2312" s="3" t="s">
        <v>68</v>
      </c>
      <c r="AR2312" s="6" t="str">
        <f>HYPERLINK("http://catalog.hathitrust.org/Record/009929843","HathiTrust Record")</f>
        <v>HathiTrust Record</v>
      </c>
      <c r="AS2312" s="6" t="str">
        <f>HYPERLINK("https://creighton-primo.hosted.exlibrisgroup.com/primo-explore/search?tab=default_tab&amp;search_scope=EVERYTHING&amp;vid=01CRU&amp;lang=en_US&amp;offset=0&amp;query=any,contains,991004440279702656","Catalog Record")</f>
        <v>Catalog Record</v>
      </c>
      <c r="AT2312" s="6" t="str">
        <f>HYPERLINK("http://www.worldcat.org/oclc/55220254","WorldCat Record")</f>
        <v>WorldCat Record</v>
      </c>
      <c r="AU2312" s="3" t="s">
        <v>28193</v>
      </c>
      <c r="AV2312" s="3" t="s">
        <v>28194</v>
      </c>
      <c r="AW2312" s="3" t="s">
        <v>28195</v>
      </c>
      <c r="AX2312" s="3" t="s">
        <v>28195</v>
      </c>
      <c r="AY2312" s="3" t="s">
        <v>28196</v>
      </c>
      <c r="AZ2312" s="3" t="s">
        <v>73</v>
      </c>
      <c r="BB2312" s="3" t="s">
        <v>28197</v>
      </c>
      <c r="BC2312" s="3" t="s">
        <v>28198</v>
      </c>
      <c r="BD2312" s="3" t="s">
        <v>28199</v>
      </c>
    </row>
    <row r="2313" spans="1:56" ht="51" customHeight="1" x14ac:dyDescent="0.25">
      <c r="A2313" s="7" t="s">
        <v>58</v>
      </c>
      <c r="B2313" s="2" t="s">
        <v>28200</v>
      </c>
      <c r="C2313" s="2" t="s">
        <v>28201</v>
      </c>
      <c r="D2313" s="2" t="s">
        <v>28202</v>
      </c>
      <c r="F2313" s="3" t="s">
        <v>58</v>
      </c>
      <c r="G2313" s="3" t="s">
        <v>59</v>
      </c>
      <c r="H2313" s="3" t="s">
        <v>58</v>
      </c>
      <c r="I2313" s="3" t="s">
        <v>58</v>
      </c>
      <c r="J2313" s="3" t="s">
        <v>60</v>
      </c>
      <c r="L2313" s="2" t="s">
        <v>28203</v>
      </c>
      <c r="M2313" s="3" t="s">
        <v>4023</v>
      </c>
      <c r="O2313" s="3" t="s">
        <v>63</v>
      </c>
      <c r="P2313" s="3" t="s">
        <v>214</v>
      </c>
      <c r="R2313" s="3" t="s">
        <v>65</v>
      </c>
      <c r="S2313" s="4">
        <v>1</v>
      </c>
      <c r="T2313" s="4">
        <v>1</v>
      </c>
      <c r="U2313" s="5" t="s">
        <v>19728</v>
      </c>
      <c r="V2313" s="5" t="s">
        <v>19728</v>
      </c>
      <c r="W2313" s="5" t="s">
        <v>19728</v>
      </c>
      <c r="X2313" s="5" t="s">
        <v>19728</v>
      </c>
      <c r="Y2313" s="4">
        <v>1153</v>
      </c>
      <c r="Z2313" s="4">
        <v>1074</v>
      </c>
      <c r="AA2313" s="4">
        <v>1103</v>
      </c>
      <c r="AB2313" s="4">
        <v>6</v>
      </c>
      <c r="AC2313" s="4">
        <v>6</v>
      </c>
      <c r="AD2313" s="4">
        <v>18</v>
      </c>
      <c r="AE2313" s="4">
        <v>18</v>
      </c>
      <c r="AF2313" s="4">
        <v>5</v>
      </c>
      <c r="AG2313" s="4">
        <v>5</v>
      </c>
      <c r="AH2313" s="4">
        <v>5</v>
      </c>
      <c r="AI2313" s="4">
        <v>5</v>
      </c>
      <c r="AJ2313" s="4">
        <v>10</v>
      </c>
      <c r="AK2313" s="4">
        <v>10</v>
      </c>
      <c r="AL2313" s="4">
        <v>2</v>
      </c>
      <c r="AM2313" s="4">
        <v>2</v>
      </c>
      <c r="AN2313" s="4">
        <v>1</v>
      </c>
      <c r="AO2313" s="4">
        <v>1</v>
      </c>
      <c r="AP2313" s="3" t="s">
        <v>58</v>
      </c>
      <c r="AQ2313" s="3" t="s">
        <v>68</v>
      </c>
      <c r="AR2313" s="6" t="str">
        <f>HYPERLINK("http://catalog.hathitrust.org/Record/004768810","HathiTrust Record")</f>
        <v>HathiTrust Record</v>
      </c>
      <c r="AS2313" s="6" t="str">
        <f>HYPERLINK("https://creighton-primo.hosted.exlibrisgroup.com/primo-explore/search?tab=default_tab&amp;search_scope=EVERYTHING&amp;vid=01CRU&amp;lang=en_US&amp;offset=0&amp;query=any,contains,991004413059702656","Catalog Record")</f>
        <v>Catalog Record</v>
      </c>
      <c r="AT2313" s="6" t="str">
        <f>HYPERLINK("http://www.worldcat.org/oclc/56531274","WorldCat Record")</f>
        <v>WorldCat Record</v>
      </c>
      <c r="AU2313" s="3" t="s">
        <v>28204</v>
      </c>
      <c r="AV2313" s="3" t="s">
        <v>28205</v>
      </c>
      <c r="AW2313" s="3" t="s">
        <v>28206</v>
      </c>
      <c r="AX2313" s="3" t="s">
        <v>28206</v>
      </c>
      <c r="AY2313" s="3" t="s">
        <v>28207</v>
      </c>
      <c r="AZ2313" s="3" t="s">
        <v>73</v>
      </c>
      <c r="BB2313" s="3" t="s">
        <v>28208</v>
      </c>
      <c r="BC2313" s="3" t="s">
        <v>28209</v>
      </c>
      <c r="BD2313" s="3" t="s">
        <v>28210</v>
      </c>
    </row>
    <row r="2314" spans="1:56" ht="51" customHeight="1" x14ac:dyDescent="0.25">
      <c r="A2314" s="7" t="s">
        <v>58</v>
      </c>
      <c r="B2314" s="2" t="s">
        <v>28211</v>
      </c>
      <c r="C2314" s="2" t="s">
        <v>28212</v>
      </c>
      <c r="D2314" s="2" t="s">
        <v>28213</v>
      </c>
      <c r="F2314" s="3" t="s">
        <v>58</v>
      </c>
      <c r="G2314" s="3" t="s">
        <v>59</v>
      </c>
      <c r="H2314" s="3" t="s">
        <v>58</v>
      </c>
      <c r="I2314" s="3" t="s">
        <v>58</v>
      </c>
      <c r="J2314" s="3" t="s">
        <v>60</v>
      </c>
      <c r="L2314" s="2" t="s">
        <v>28214</v>
      </c>
      <c r="M2314" s="3" t="s">
        <v>2214</v>
      </c>
      <c r="O2314" s="3" t="s">
        <v>63</v>
      </c>
      <c r="P2314" s="3" t="s">
        <v>981</v>
      </c>
      <c r="R2314" s="3" t="s">
        <v>65</v>
      </c>
      <c r="S2314" s="4">
        <v>4</v>
      </c>
      <c r="T2314" s="4">
        <v>4</v>
      </c>
      <c r="U2314" s="5" t="s">
        <v>28215</v>
      </c>
      <c r="V2314" s="5" t="s">
        <v>28215</v>
      </c>
      <c r="W2314" s="5" t="s">
        <v>18943</v>
      </c>
      <c r="X2314" s="5" t="s">
        <v>18943</v>
      </c>
      <c r="Y2314" s="4">
        <v>604</v>
      </c>
      <c r="Z2314" s="4">
        <v>561</v>
      </c>
      <c r="AA2314" s="4">
        <v>568</v>
      </c>
      <c r="AB2314" s="4">
        <v>3</v>
      </c>
      <c r="AC2314" s="4">
        <v>3</v>
      </c>
      <c r="AD2314" s="4">
        <v>21</v>
      </c>
      <c r="AE2314" s="4">
        <v>21</v>
      </c>
      <c r="AF2314" s="4">
        <v>9</v>
      </c>
      <c r="AG2314" s="4">
        <v>9</v>
      </c>
      <c r="AH2314" s="4">
        <v>6</v>
      </c>
      <c r="AI2314" s="4">
        <v>6</v>
      </c>
      <c r="AJ2314" s="4">
        <v>10</v>
      </c>
      <c r="AK2314" s="4">
        <v>10</v>
      </c>
      <c r="AL2314" s="4">
        <v>2</v>
      </c>
      <c r="AM2314" s="4">
        <v>2</v>
      </c>
      <c r="AN2314" s="4">
        <v>0</v>
      </c>
      <c r="AO2314" s="4">
        <v>0</v>
      </c>
      <c r="AP2314" s="3" t="s">
        <v>58</v>
      </c>
      <c r="AQ2314" s="3" t="s">
        <v>68</v>
      </c>
      <c r="AR2314" s="6" t="str">
        <f>HYPERLINK("http://catalog.hathitrust.org/Record/005103837","HathiTrust Record")</f>
        <v>HathiTrust Record</v>
      </c>
      <c r="AS2314" s="6" t="str">
        <f>HYPERLINK("https://creighton-primo.hosted.exlibrisgroup.com/primo-explore/search?tab=default_tab&amp;search_scope=EVERYTHING&amp;vid=01CRU&amp;lang=en_US&amp;offset=0&amp;query=any,contains,991004754169702656","Catalog Record")</f>
        <v>Catalog Record</v>
      </c>
      <c r="AT2314" s="6" t="str">
        <f>HYPERLINK("http://www.worldcat.org/oclc/61204414","WorldCat Record")</f>
        <v>WorldCat Record</v>
      </c>
      <c r="AU2314" s="3" t="s">
        <v>28216</v>
      </c>
      <c r="AV2314" s="3" t="s">
        <v>28217</v>
      </c>
      <c r="AW2314" s="3" t="s">
        <v>28218</v>
      </c>
      <c r="AX2314" s="3" t="s">
        <v>28218</v>
      </c>
      <c r="AY2314" s="3" t="s">
        <v>28219</v>
      </c>
      <c r="AZ2314" s="3" t="s">
        <v>73</v>
      </c>
      <c r="BB2314" s="3" t="s">
        <v>28220</v>
      </c>
      <c r="BC2314" s="3" t="s">
        <v>28221</v>
      </c>
      <c r="BD2314" s="3" t="s">
        <v>28222</v>
      </c>
    </row>
    <row r="2315" spans="1:56" ht="51" customHeight="1" x14ac:dyDescent="0.25">
      <c r="A2315" s="7" t="s">
        <v>58</v>
      </c>
      <c r="B2315" s="2" t="s">
        <v>28223</v>
      </c>
      <c r="C2315" s="2" t="s">
        <v>28224</v>
      </c>
      <c r="D2315" s="2" t="s">
        <v>28225</v>
      </c>
      <c r="F2315" s="3" t="s">
        <v>58</v>
      </c>
      <c r="G2315" s="3" t="s">
        <v>59</v>
      </c>
      <c r="H2315" s="3" t="s">
        <v>58</v>
      </c>
      <c r="I2315" s="3" t="s">
        <v>58</v>
      </c>
      <c r="J2315" s="3" t="s">
        <v>60</v>
      </c>
      <c r="K2315" s="2" t="s">
        <v>28226</v>
      </c>
      <c r="L2315" s="2" t="s">
        <v>28227</v>
      </c>
      <c r="M2315" s="3" t="s">
        <v>4023</v>
      </c>
      <c r="N2315" s="2" t="s">
        <v>338</v>
      </c>
      <c r="O2315" s="3" t="s">
        <v>63</v>
      </c>
      <c r="P2315" s="3" t="s">
        <v>214</v>
      </c>
      <c r="R2315" s="3" t="s">
        <v>65</v>
      </c>
      <c r="S2315" s="4">
        <v>2</v>
      </c>
      <c r="T2315" s="4">
        <v>2</v>
      </c>
      <c r="U2315" s="5" t="s">
        <v>28228</v>
      </c>
      <c r="V2315" s="5" t="s">
        <v>28228</v>
      </c>
      <c r="W2315" s="5" t="s">
        <v>6580</v>
      </c>
      <c r="X2315" s="5" t="s">
        <v>6580</v>
      </c>
      <c r="Y2315" s="4">
        <v>1883</v>
      </c>
      <c r="Z2315" s="4">
        <v>1821</v>
      </c>
      <c r="AA2315" s="4">
        <v>2015</v>
      </c>
      <c r="AB2315" s="4">
        <v>25</v>
      </c>
      <c r="AC2315" s="4">
        <v>26</v>
      </c>
      <c r="AD2315" s="4">
        <v>28</v>
      </c>
      <c r="AE2315" s="4">
        <v>30</v>
      </c>
      <c r="AF2315" s="4">
        <v>16</v>
      </c>
      <c r="AG2315" s="4">
        <v>18</v>
      </c>
      <c r="AH2315" s="4">
        <v>5</v>
      </c>
      <c r="AI2315" s="4">
        <v>5</v>
      </c>
      <c r="AJ2315" s="4">
        <v>12</v>
      </c>
      <c r="AK2315" s="4">
        <v>13</v>
      </c>
      <c r="AL2315" s="4">
        <v>2</v>
      </c>
      <c r="AM2315" s="4">
        <v>2</v>
      </c>
      <c r="AN2315" s="4">
        <v>0</v>
      </c>
      <c r="AO2315" s="4">
        <v>0</v>
      </c>
      <c r="AP2315" s="3" t="s">
        <v>58</v>
      </c>
      <c r="AQ2315" s="3" t="s">
        <v>58</v>
      </c>
      <c r="AS2315" s="6" t="str">
        <f>HYPERLINK("https://creighton-primo.hosted.exlibrisgroup.com/primo-explore/search?tab=default_tab&amp;search_scope=EVERYTHING&amp;vid=01CRU&amp;lang=en_US&amp;offset=0&amp;query=any,contains,991004256329702656","Catalog Record")</f>
        <v>Catalog Record</v>
      </c>
      <c r="AT2315" s="6" t="str">
        <f>HYPERLINK("http://www.worldcat.org/oclc/53967465","WorldCat Record")</f>
        <v>WorldCat Record</v>
      </c>
      <c r="AU2315" s="3" t="s">
        <v>28229</v>
      </c>
      <c r="AV2315" s="3" t="s">
        <v>28230</v>
      </c>
      <c r="AW2315" s="3" t="s">
        <v>28231</v>
      </c>
      <c r="AX2315" s="3" t="s">
        <v>28231</v>
      </c>
      <c r="AY2315" s="3" t="s">
        <v>28232</v>
      </c>
      <c r="AZ2315" s="3" t="s">
        <v>73</v>
      </c>
      <c r="BB2315" s="3" t="s">
        <v>28233</v>
      </c>
      <c r="BC2315" s="3" t="s">
        <v>28234</v>
      </c>
      <c r="BD2315" s="3" t="s">
        <v>28235</v>
      </c>
    </row>
    <row r="2316" spans="1:56" ht="51" customHeight="1" x14ac:dyDescent="0.25">
      <c r="A2316" s="7" t="s">
        <v>58</v>
      </c>
      <c r="B2316" s="2" t="s">
        <v>28236</v>
      </c>
      <c r="C2316" s="2" t="s">
        <v>28237</v>
      </c>
      <c r="D2316" s="2" t="s">
        <v>28238</v>
      </c>
      <c r="F2316" s="3" t="s">
        <v>58</v>
      </c>
      <c r="G2316" s="3" t="s">
        <v>59</v>
      </c>
      <c r="H2316" s="3" t="s">
        <v>58</v>
      </c>
      <c r="I2316" s="3" t="s">
        <v>58</v>
      </c>
      <c r="J2316" s="3" t="s">
        <v>60</v>
      </c>
      <c r="K2316" s="2" t="s">
        <v>28239</v>
      </c>
      <c r="L2316" s="2" t="s">
        <v>28240</v>
      </c>
      <c r="M2316" s="3" t="s">
        <v>2310</v>
      </c>
      <c r="O2316" s="3" t="s">
        <v>63</v>
      </c>
      <c r="P2316" s="3" t="s">
        <v>816</v>
      </c>
      <c r="R2316" s="3" t="s">
        <v>65</v>
      </c>
      <c r="S2316" s="4">
        <v>2</v>
      </c>
      <c r="T2316" s="4">
        <v>2</v>
      </c>
      <c r="U2316" s="5" t="s">
        <v>21041</v>
      </c>
      <c r="V2316" s="5" t="s">
        <v>21041</v>
      </c>
      <c r="W2316" s="5" t="s">
        <v>21042</v>
      </c>
      <c r="X2316" s="5" t="s">
        <v>21042</v>
      </c>
      <c r="Y2316" s="4">
        <v>426</v>
      </c>
      <c r="Z2316" s="4">
        <v>412</v>
      </c>
      <c r="AA2316" s="4">
        <v>549</v>
      </c>
      <c r="AB2316" s="4">
        <v>2</v>
      </c>
      <c r="AC2316" s="4">
        <v>2</v>
      </c>
      <c r="AD2316" s="4">
        <v>3</v>
      </c>
      <c r="AE2316" s="4">
        <v>3</v>
      </c>
      <c r="AF2316" s="4">
        <v>1</v>
      </c>
      <c r="AG2316" s="4">
        <v>1</v>
      </c>
      <c r="AH2316" s="4">
        <v>1</v>
      </c>
      <c r="AI2316" s="4">
        <v>1</v>
      </c>
      <c r="AJ2316" s="4">
        <v>1</v>
      </c>
      <c r="AK2316" s="4">
        <v>1</v>
      </c>
      <c r="AL2316" s="4">
        <v>0</v>
      </c>
      <c r="AM2316" s="4">
        <v>0</v>
      </c>
      <c r="AN2316" s="4">
        <v>0</v>
      </c>
      <c r="AO2316" s="4">
        <v>0</v>
      </c>
      <c r="AP2316" s="3" t="s">
        <v>58</v>
      </c>
      <c r="AQ2316" s="3" t="s">
        <v>58</v>
      </c>
      <c r="AS2316" s="6" t="str">
        <f>HYPERLINK("https://creighton-primo.hosted.exlibrisgroup.com/primo-explore/search?tab=default_tab&amp;search_scope=EVERYTHING&amp;vid=01CRU&amp;lang=en_US&amp;offset=0&amp;query=any,contains,991000106909702656","Catalog Record")</f>
        <v>Catalog Record</v>
      </c>
      <c r="AT2316" s="6" t="str">
        <f>HYPERLINK("http://www.worldcat.org/oclc/435418549","WorldCat Record")</f>
        <v>WorldCat Record</v>
      </c>
      <c r="AU2316" s="3" t="s">
        <v>28241</v>
      </c>
      <c r="AV2316" s="3" t="s">
        <v>28242</v>
      </c>
      <c r="AW2316" s="3" t="s">
        <v>28243</v>
      </c>
      <c r="AX2316" s="3" t="s">
        <v>28243</v>
      </c>
      <c r="AY2316" s="3" t="s">
        <v>28244</v>
      </c>
      <c r="AZ2316" s="3" t="s">
        <v>73</v>
      </c>
      <c r="BB2316" s="3" t="s">
        <v>28245</v>
      </c>
      <c r="BC2316" s="3" t="s">
        <v>28246</v>
      </c>
      <c r="BD2316" s="3" t="s">
        <v>28247</v>
      </c>
    </row>
    <row r="2317" spans="1:56" ht="51" customHeight="1" x14ac:dyDescent="0.25">
      <c r="A2317" s="7" t="s">
        <v>58</v>
      </c>
      <c r="B2317" s="2" t="s">
        <v>28248</v>
      </c>
      <c r="C2317" s="2" t="s">
        <v>28249</v>
      </c>
      <c r="D2317" s="2" t="s">
        <v>28250</v>
      </c>
      <c r="F2317" s="3" t="s">
        <v>58</v>
      </c>
      <c r="G2317" s="3" t="s">
        <v>59</v>
      </c>
      <c r="H2317" s="3" t="s">
        <v>58</v>
      </c>
      <c r="I2317" s="3" t="s">
        <v>58</v>
      </c>
      <c r="J2317" s="3" t="s">
        <v>60</v>
      </c>
      <c r="L2317" s="2" t="s">
        <v>28251</v>
      </c>
      <c r="M2317" s="3" t="s">
        <v>2295</v>
      </c>
      <c r="N2317" s="2" t="s">
        <v>338</v>
      </c>
      <c r="O2317" s="3" t="s">
        <v>63</v>
      </c>
      <c r="P2317" s="3" t="s">
        <v>2061</v>
      </c>
      <c r="R2317" s="3" t="s">
        <v>65</v>
      </c>
      <c r="S2317" s="4">
        <v>3</v>
      </c>
      <c r="T2317" s="4">
        <v>3</v>
      </c>
      <c r="U2317" s="5" t="s">
        <v>5835</v>
      </c>
      <c r="V2317" s="5" t="s">
        <v>5835</v>
      </c>
      <c r="W2317" s="5" t="s">
        <v>28252</v>
      </c>
      <c r="X2317" s="5" t="s">
        <v>28252</v>
      </c>
      <c r="Y2317" s="4">
        <v>58</v>
      </c>
      <c r="Z2317" s="4">
        <v>47</v>
      </c>
      <c r="AA2317" s="4">
        <v>107</v>
      </c>
      <c r="AB2317" s="4">
        <v>1</v>
      </c>
      <c r="AC2317" s="4">
        <v>1</v>
      </c>
      <c r="AD2317" s="4">
        <v>2</v>
      </c>
      <c r="AE2317" s="4">
        <v>4</v>
      </c>
      <c r="AF2317" s="4">
        <v>0</v>
      </c>
      <c r="AG2317" s="4">
        <v>0</v>
      </c>
      <c r="AH2317" s="4">
        <v>0</v>
      </c>
      <c r="AI2317" s="4">
        <v>2</v>
      </c>
      <c r="AJ2317" s="4">
        <v>2</v>
      </c>
      <c r="AK2317" s="4">
        <v>4</v>
      </c>
      <c r="AL2317" s="4">
        <v>0</v>
      </c>
      <c r="AM2317" s="4">
        <v>0</v>
      </c>
      <c r="AN2317" s="4">
        <v>0</v>
      </c>
      <c r="AO2317" s="4">
        <v>0</v>
      </c>
      <c r="AP2317" s="3" t="s">
        <v>58</v>
      </c>
      <c r="AQ2317" s="3" t="s">
        <v>58</v>
      </c>
      <c r="AS2317" s="6" t="str">
        <f>HYPERLINK("https://creighton-primo.hosted.exlibrisgroup.com/primo-explore/search?tab=default_tab&amp;search_scope=EVERYTHING&amp;vid=01CRU&amp;lang=en_US&amp;offset=0&amp;query=any,contains,991004328919702656","Catalog Record")</f>
        <v>Catalog Record</v>
      </c>
      <c r="AT2317" s="6" t="str">
        <f>HYPERLINK("http://www.worldcat.org/oclc/54491940","WorldCat Record")</f>
        <v>WorldCat Record</v>
      </c>
      <c r="AU2317" s="3" t="s">
        <v>28253</v>
      </c>
      <c r="AV2317" s="3" t="s">
        <v>28254</v>
      </c>
      <c r="AW2317" s="3" t="s">
        <v>28255</v>
      </c>
      <c r="AX2317" s="3" t="s">
        <v>28255</v>
      </c>
      <c r="AY2317" s="3" t="s">
        <v>28256</v>
      </c>
      <c r="AZ2317" s="3" t="s">
        <v>73</v>
      </c>
      <c r="BB2317" s="3" t="s">
        <v>28257</v>
      </c>
      <c r="BC2317" s="3" t="s">
        <v>28258</v>
      </c>
      <c r="BD2317" s="3" t="s">
        <v>28259</v>
      </c>
    </row>
    <row r="2318" spans="1:56" ht="51" customHeight="1" x14ac:dyDescent="0.25">
      <c r="A2318" s="7" t="s">
        <v>58</v>
      </c>
      <c r="B2318" s="2" t="s">
        <v>28260</v>
      </c>
      <c r="C2318" s="2" t="s">
        <v>28261</v>
      </c>
      <c r="D2318" s="2" t="s">
        <v>28262</v>
      </c>
      <c r="F2318" s="3" t="s">
        <v>58</v>
      </c>
      <c r="G2318" s="3" t="s">
        <v>59</v>
      </c>
      <c r="H2318" s="3" t="s">
        <v>58</v>
      </c>
      <c r="I2318" s="3" t="s">
        <v>58</v>
      </c>
      <c r="J2318" s="3" t="s">
        <v>60</v>
      </c>
      <c r="K2318" s="2" t="s">
        <v>28263</v>
      </c>
      <c r="L2318" s="2" t="s">
        <v>28264</v>
      </c>
      <c r="M2318" s="3" t="s">
        <v>1061</v>
      </c>
      <c r="O2318" s="3" t="s">
        <v>63</v>
      </c>
      <c r="P2318" s="3" t="s">
        <v>584</v>
      </c>
      <c r="Q2318" s="2" t="s">
        <v>28265</v>
      </c>
      <c r="R2318" s="3" t="s">
        <v>65</v>
      </c>
      <c r="S2318" s="4">
        <v>5</v>
      </c>
      <c r="T2318" s="4">
        <v>5</v>
      </c>
      <c r="U2318" s="5" t="s">
        <v>4142</v>
      </c>
      <c r="V2318" s="5" t="s">
        <v>4142</v>
      </c>
      <c r="W2318" s="5" t="s">
        <v>8699</v>
      </c>
      <c r="X2318" s="5" t="s">
        <v>8699</v>
      </c>
      <c r="Y2318" s="4">
        <v>280</v>
      </c>
      <c r="Z2318" s="4">
        <v>207</v>
      </c>
      <c r="AA2318" s="4">
        <v>221</v>
      </c>
      <c r="AB2318" s="4">
        <v>3</v>
      </c>
      <c r="AC2318" s="4">
        <v>4</v>
      </c>
      <c r="AD2318" s="4">
        <v>15</v>
      </c>
      <c r="AE2318" s="4">
        <v>17</v>
      </c>
      <c r="AF2318" s="4">
        <v>4</v>
      </c>
      <c r="AG2318" s="4">
        <v>4</v>
      </c>
      <c r="AH2318" s="4">
        <v>4</v>
      </c>
      <c r="AI2318" s="4">
        <v>5</v>
      </c>
      <c r="AJ2318" s="4">
        <v>9</v>
      </c>
      <c r="AK2318" s="4">
        <v>9</v>
      </c>
      <c r="AL2318" s="4">
        <v>2</v>
      </c>
      <c r="AM2318" s="4">
        <v>3</v>
      </c>
      <c r="AN2318" s="4">
        <v>0</v>
      </c>
      <c r="AO2318" s="4">
        <v>0</v>
      </c>
      <c r="AP2318" s="3" t="s">
        <v>58</v>
      </c>
      <c r="AQ2318" s="3" t="s">
        <v>58</v>
      </c>
      <c r="AS2318" s="6" t="str">
        <f>HYPERLINK("https://creighton-primo.hosted.exlibrisgroup.com/primo-explore/search?tab=default_tab&amp;search_scope=EVERYTHING&amp;vid=01CRU&amp;lang=en_US&amp;offset=0&amp;query=any,contains,991002744169702656","Catalog Record")</f>
        <v>Catalog Record</v>
      </c>
      <c r="AT2318" s="6" t="str">
        <f>HYPERLINK("http://www.worldcat.org/oclc/36017229","WorldCat Record")</f>
        <v>WorldCat Record</v>
      </c>
      <c r="AU2318" s="3" t="s">
        <v>28266</v>
      </c>
      <c r="AV2318" s="3" t="s">
        <v>28267</v>
      </c>
      <c r="AW2318" s="3" t="s">
        <v>28268</v>
      </c>
      <c r="AX2318" s="3" t="s">
        <v>28268</v>
      </c>
      <c r="AY2318" s="3" t="s">
        <v>28269</v>
      </c>
      <c r="AZ2318" s="3" t="s">
        <v>73</v>
      </c>
      <c r="BB2318" s="3" t="s">
        <v>28270</v>
      </c>
      <c r="BC2318" s="3" t="s">
        <v>28271</v>
      </c>
      <c r="BD2318" s="3" t="s">
        <v>28272</v>
      </c>
    </row>
    <row r="2319" spans="1:56" ht="51" customHeight="1" x14ac:dyDescent="0.25">
      <c r="A2319" s="7" t="s">
        <v>58</v>
      </c>
      <c r="B2319" s="2" t="s">
        <v>28273</v>
      </c>
      <c r="C2319" s="2" t="s">
        <v>28274</v>
      </c>
      <c r="D2319" s="2" t="s">
        <v>28275</v>
      </c>
      <c r="F2319" s="3" t="s">
        <v>58</v>
      </c>
      <c r="G2319" s="3" t="s">
        <v>59</v>
      </c>
      <c r="H2319" s="3" t="s">
        <v>58</v>
      </c>
      <c r="I2319" s="3" t="s">
        <v>58</v>
      </c>
      <c r="J2319" s="3" t="s">
        <v>60</v>
      </c>
      <c r="K2319" s="2" t="s">
        <v>28276</v>
      </c>
      <c r="L2319" s="2" t="s">
        <v>28277</v>
      </c>
      <c r="M2319" s="3" t="s">
        <v>2186</v>
      </c>
      <c r="O2319" s="3" t="s">
        <v>63</v>
      </c>
      <c r="P2319" s="3" t="s">
        <v>510</v>
      </c>
      <c r="R2319" s="3" t="s">
        <v>65</v>
      </c>
      <c r="S2319" s="4">
        <v>1</v>
      </c>
      <c r="T2319" s="4">
        <v>1</v>
      </c>
      <c r="U2319" s="5" t="s">
        <v>28278</v>
      </c>
      <c r="V2319" s="5" t="s">
        <v>28278</v>
      </c>
      <c r="W2319" s="5" t="s">
        <v>28278</v>
      </c>
      <c r="X2319" s="5" t="s">
        <v>28278</v>
      </c>
      <c r="Y2319" s="4">
        <v>469</v>
      </c>
      <c r="Z2319" s="4">
        <v>411</v>
      </c>
      <c r="AA2319" s="4">
        <v>419</v>
      </c>
      <c r="AB2319" s="4">
        <v>1</v>
      </c>
      <c r="AC2319" s="4">
        <v>2</v>
      </c>
      <c r="AD2319" s="4">
        <v>5</v>
      </c>
      <c r="AE2319" s="4">
        <v>6</v>
      </c>
      <c r="AF2319" s="4">
        <v>1</v>
      </c>
      <c r="AG2319" s="4">
        <v>1</v>
      </c>
      <c r="AH2319" s="4">
        <v>2</v>
      </c>
      <c r="AI2319" s="4">
        <v>2</v>
      </c>
      <c r="AJ2319" s="4">
        <v>2</v>
      </c>
      <c r="AK2319" s="4">
        <v>2</v>
      </c>
      <c r="AL2319" s="4">
        <v>0</v>
      </c>
      <c r="AM2319" s="4">
        <v>1</v>
      </c>
      <c r="AN2319" s="4">
        <v>0</v>
      </c>
      <c r="AO2319" s="4">
        <v>0</v>
      </c>
      <c r="AP2319" s="3" t="s">
        <v>58</v>
      </c>
      <c r="AQ2319" s="3" t="s">
        <v>68</v>
      </c>
      <c r="AR2319" s="6" t="str">
        <f>HYPERLINK("http://catalog.hathitrust.org/Record/005563639","HathiTrust Record")</f>
        <v>HathiTrust Record</v>
      </c>
      <c r="AS2319" s="6" t="str">
        <f>HYPERLINK("https://creighton-primo.hosted.exlibrisgroup.com/primo-explore/search?tab=default_tab&amp;search_scope=EVERYTHING&amp;vid=01CRU&amp;lang=en_US&amp;offset=0&amp;query=any,contains,991005082239702656","Catalog Record")</f>
        <v>Catalog Record</v>
      </c>
      <c r="AT2319" s="6" t="str">
        <f>HYPERLINK("http://www.worldcat.org/oclc/70831061","WorldCat Record")</f>
        <v>WorldCat Record</v>
      </c>
      <c r="AU2319" s="3" t="s">
        <v>28279</v>
      </c>
      <c r="AV2319" s="3" t="s">
        <v>28280</v>
      </c>
      <c r="AW2319" s="3" t="s">
        <v>28281</v>
      </c>
      <c r="AX2319" s="3" t="s">
        <v>28281</v>
      </c>
      <c r="AY2319" s="3" t="s">
        <v>28282</v>
      </c>
      <c r="AZ2319" s="3" t="s">
        <v>73</v>
      </c>
      <c r="BB2319" s="3" t="s">
        <v>28283</v>
      </c>
      <c r="BC2319" s="3" t="s">
        <v>28284</v>
      </c>
      <c r="BD2319" s="3" t="s">
        <v>28285</v>
      </c>
    </row>
    <row r="2320" spans="1:56" ht="51" customHeight="1" x14ac:dyDescent="0.25">
      <c r="A2320" s="7" t="s">
        <v>58</v>
      </c>
      <c r="B2320" s="2" t="s">
        <v>28286</v>
      </c>
      <c r="C2320" s="2" t="s">
        <v>28287</v>
      </c>
      <c r="D2320" s="2" t="s">
        <v>28288</v>
      </c>
      <c r="F2320" s="3" t="s">
        <v>58</v>
      </c>
      <c r="G2320" s="3" t="s">
        <v>59</v>
      </c>
      <c r="H2320" s="3" t="s">
        <v>58</v>
      </c>
      <c r="I2320" s="3" t="s">
        <v>58</v>
      </c>
      <c r="J2320" s="3" t="s">
        <v>60</v>
      </c>
      <c r="K2320" s="2" t="s">
        <v>28289</v>
      </c>
      <c r="L2320" s="2" t="s">
        <v>28290</v>
      </c>
      <c r="M2320" s="3" t="s">
        <v>1399</v>
      </c>
      <c r="O2320" s="3" t="s">
        <v>63</v>
      </c>
      <c r="P2320" s="3" t="s">
        <v>816</v>
      </c>
      <c r="R2320" s="3" t="s">
        <v>65</v>
      </c>
      <c r="S2320" s="4">
        <v>3</v>
      </c>
      <c r="T2320" s="4">
        <v>3</v>
      </c>
      <c r="U2320" s="5" t="s">
        <v>28291</v>
      </c>
      <c r="V2320" s="5" t="s">
        <v>28291</v>
      </c>
      <c r="W2320" s="5" t="s">
        <v>26573</v>
      </c>
      <c r="X2320" s="5" t="s">
        <v>26573</v>
      </c>
      <c r="Y2320" s="4">
        <v>248</v>
      </c>
      <c r="Z2320" s="4">
        <v>245</v>
      </c>
      <c r="AA2320" s="4">
        <v>292</v>
      </c>
      <c r="AB2320" s="4">
        <v>1</v>
      </c>
      <c r="AC2320" s="4">
        <v>1</v>
      </c>
      <c r="AD2320" s="4">
        <v>0</v>
      </c>
      <c r="AE2320" s="4">
        <v>0</v>
      </c>
      <c r="AF2320" s="4">
        <v>0</v>
      </c>
      <c r="AG2320" s="4">
        <v>0</v>
      </c>
      <c r="AH2320" s="4">
        <v>0</v>
      </c>
      <c r="AI2320" s="4">
        <v>0</v>
      </c>
      <c r="AJ2320" s="4">
        <v>0</v>
      </c>
      <c r="AK2320" s="4">
        <v>0</v>
      </c>
      <c r="AL2320" s="4">
        <v>0</v>
      </c>
      <c r="AM2320" s="4">
        <v>0</v>
      </c>
      <c r="AN2320" s="4">
        <v>0</v>
      </c>
      <c r="AO2320" s="4">
        <v>0</v>
      </c>
      <c r="AP2320" s="3" t="s">
        <v>58</v>
      </c>
      <c r="AQ2320" s="3" t="s">
        <v>58</v>
      </c>
      <c r="AS2320" s="6" t="str">
        <f>HYPERLINK("https://creighton-primo.hosted.exlibrisgroup.com/primo-explore/search?tab=default_tab&amp;search_scope=EVERYTHING&amp;vid=01CRU&amp;lang=en_US&amp;offset=0&amp;query=any,contains,991001220849702656","Catalog Record")</f>
        <v>Catalog Record</v>
      </c>
      <c r="AT2320" s="6" t="str">
        <f>HYPERLINK("http://www.worldcat.org/oclc/17461122","WorldCat Record")</f>
        <v>WorldCat Record</v>
      </c>
      <c r="AU2320" s="3" t="s">
        <v>28292</v>
      </c>
      <c r="AV2320" s="3" t="s">
        <v>28293</v>
      </c>
      <c r="AW2320" s="3" t="s">
        <v>28294</v>
      </c>
      <c r="AX2320" s="3" t="s">
        <v>28294</v>
      </c>
      <c r="AY2320" s="3" t="s">
        <v>28295</v>
      </c>
      <c r="AZ2320" s="3" t="s">
        <v>73</v>
      </c>
      <c r="BB2320" s="3" t="s">
        <v>28296</v>
      </c>
      <c r="BC2320" s="3" t="s">
        <v>28297</v>
      </c>
      <c r="BD2320" s="3" t="s">
        <v>28298</v>
      </c>
    </row>
    <row r="2321" spans="1:56" ht="51" customHeight="1" x14ac:dyDescent="0.25">
      <c r="A2321" s="7" t="s">
        <v>58</v>
      </c>
      <c r="B2321" s="2" t="s">
        <v>28299</v>
      </c>
      <c r="C2321" s="2" t="s">
        <v>28300</v>
      </c>
      <c r="D2321" s="2" t="s">
        <v>28301</v>
      </c>
      <c r="F2321" s="3" t="s">
        <v>58</v>
      </c>
      <c r="G2321" s="3" t="s">
        <v>59</v>
      </c>
      <c r="H2321" s="3" t="s">
        <v>58</v>
      </c>
      <c r="I2321" s="3" t="s">
        <v>58</v>
      </c>
      <c r="J2321" s="3" t="s">
        <v>60</v>
      </c>
      <c r="K2321" s="2" t="s">
        <v>24708</v>
      </c>
      <c r="L2321" s="2" t="s">
        <v>28302</v>
      </c>
      <c r="M2321" s="3" t="s">
        <v>2757</v>
      </c>
      <c r="O2321" s="3" t="s">
        <v>63</v>
      </c>
      <c r="P2321" s="3" t="s">
        <v>2061</v>
      </c>
      <c r="Q2321" s="2" t="s">
        <v>28303</v>
      </c>
      <c r="R2321" s="3" t="s">
        <v>65</v>
      </c>
      <c r="S2321" s="4">
        <v>3</v>
      </c>
      <c r="T2321" s="4">
        <v>3</v>
      </c>
      <c r="U2321" s="5" t="s">
        <v>27464</v>
      </c>
      <c r="V2321" s="5" t="s">
        <v>27464</v>
      </c>
      <c r="W2321" s="5" t="s">
        <v>572</v>
      </c>
      <c r="X2321" s="5" t="s">
        <v>572</v>
      </c>
      <c r="Y2321" s="4">
        <v>764</v>
      </c>
      <c r="Z2321" s="4">
        <v>623</v>
      </c>
      <c r="AA2321" s="4">
        <v>667</v>
      </c>
      <c r="AB2321" s="4">
        <v>4</v>
      </c>
      <c r="AC2321" s="4">
        <v>4</v>
      </c>
      <c r="AD2321" s="4">
        <v>33</v>
      </c>
      <c r="AE2321" s="4">
        <v>35</v>
      </c>
      <c r="AF2321" s="4">
        <v>12</v>
      </c>
      <c r="AG2321" s="4">
        <v>13</v>
      </c>
      <c r="AH2321" s="4">
        <v>8</v>
      </c>
      <c r="AI2321" s="4">
        <v>8</v>
      </c>
      <c r="AJ2321" s="4">
        <v>18</v>
      </c>
      <c r="AK2321" s="4">
        <v>20</v>
      </c>
      <c r="AL2321" s="4">
        <v>3</v>
      </c>
      <c r="AM2321" s="4">
        <v>3</v>
      </c>
      <c r="AN2321" s="4">
        <v>0</v>
      </c>
      <c r="AO2321" s="4">
        <v>0</v>
      </c>
      <c r="AP2321" s="3" t="s">
        <v>58</v>
      </c>
      <c r="AQ2321" s="3" t="s">
        <v>68</v>
      </c>
      <c r="AR2321" s="6" t="str">
        <f>HYPERLINK("http://catalog.hathitrust.org/Record/001258919","HathiTrust Record")</f>
        <v>HathiTrust Record</v>
      </c>
      <c r="AS2321" s="6" t="str">
        <f>HYPERLINK("https://creighton-primo.hosted.exlibrisgroup.com/primo-explore/search?tab=default_tab&amp;search_scope=EVERYTHING&amp;vid=01CRU&amp;lang=en_US&amp;offset=0&amp;query=any,contains,991002717579702656","Catalog Record")</f>
        <v>Catalog Record</v>
      </c>
      <c r="AT2321" s="6" t="str">
        <f>HYPERLINK("http://www.worldcat.org/oclc/411706","WorldCat Record")</f>
        <v>WorldCat Record</v>
      </c>
      <c r="AU2321" s="3" t="s">
        <v>28304</v>
      </c>
      <c r="AV2321" s="3" t="s">
        <v>28305</v>
      </c>
      <c r="AW2321" s="3" t="s">
        <v>28306</v>
      </c>
      <c r="AX2321" s="3" t="s">
        <v>28306</v>
      </c>
      <c r="AY2321" s="3" t="s">
        <v>28307</v>
      </c>
      <c r="AZ2321" s="3" t="s">
        <v>73</v>
      </c>
      <c r="BC2321" s="3" t="s">
        <v>28308</v>
      </c>
      <c r="BD2321" s="3" t="s">
        <v>28309</v>
      </c>
    </row>
    <row r="2322" spans="1:56" ht="51" customHeight="1" x14ac:dyDescent="0.25">
      <c r="A2322" s="7" t="s">
        <v>58</v>
      </c>
      <c r="B2322" s="2" t="s">
        <v>28310</v>
      </c>
      <c r="C2322" s="2" t="s">
        <v>28311</v>
      </c>
      <c r="D2322" s="2" t="s">
        <v>28312</v>
      </c>
      <c r="F2322" s="3" t="s">
        <v>58</v>
      </c>
      <c r="G2322" s="3" t="s">
        <v>59</v>
      </c>
      <c r="H2322" s="3" t="s">
        <v>58</v>
      </c>
      <c r="I2322" s="3" t="s">
        <v>58</v>
      </c>
      <c r="J2322" s="3" t="s">
        <v>60</v>
      </c>
      <c r="K2322" s="2" t="s">
        <v>28313</v>
      </c>
      <c r="L2322" s="2" t="s">
        <v>28314</v>
      </c>
      <c r="M2322" s="3" t="s">
        <v>800</v>
      </c>
      <c r="O2322" s="3" t="s">
        <v>63</v>
      </c>
      <c r="P2322" s="3" t="s">
        <v>411</v>
      </c>
      <c r="R2322" s="3" t="s">
        <v>65</v>
      </c>
      <c r="S2322" s="4">
        <v>1</v>
      </c>
      <c r="T2322" s="4">
        <v>1</v>
      </c>
      <c r="U2322" s="5" t="s">
        <v>28315</v>
      </c>
      <c r="V2322" s="5" t="s">
        <v>28315</v>
      </c>
      <c r="W2322" s="5" t="s">
        <v>13484</v>
      </c>
      <c r="X2322" s="5" t="s">
        <v>13484</v>
      </c>
      <c r="Y2322" s="4">
        <v>25</v>
      </c>
      <c r="Z2322" s="4">
        <v>19</v>
      </c>
      <c r="AA2322" s="4">
        <v>42</v>
      </c>
      <c r="AB2322" s="4">
        <v>1</v>
      </c>
      <c r="AC2322" s="4">
        <v>1</v>
      </c>
      <c r="AD2322" s="4">
        <v>0</v>
      </c>
      <c r="AE2322" s="4">
        <v>1</v>
      </c>
      <c r="AF2322" s="4">
        <v>0</v>
      </c>
      <c r="AG2322" s="4">
        <v>1</v>
      </c>
      <c r="AH2322" s="4">
        <v>0</v>
      </c>
      <c r="AI2322" s="4">
        <v>0</v>
      </c>
      <c r="AJ2322" s="4">
        <v>0</v>
      </c>
      <c r="AK2322" s="4">
        <v>0</v>
      </c>
      <c r="AL2322" s="4">
        <v>0</v>
      </c>
      <c r="AM2322" s="4">
        <v>0</v>
      </c>
      <c r="AN2322" s="4">
        <v>0</v>
      </c>
      <c r="AO2322" s="4">
        <v>0</v>
      </c>
      <c r="AP2322" s="3" t="s">
        <v>58</v>
      </c>
      <c r="AQ2322" s="3" t="s">
        <v>58</v>
      </c>
      <c r="AS2322" s="6" t="str">
        <f>HYPERLINK("https://creighton-primo.hosted.exlibrisgroup.com/primo-explore/search?tab=default_tab&amp;search_scope=EVERYTHING&amp;vid=01CRU&amp;lang=en_US&amp;offset=0&amp;query=any,contains,991002572289702656","Catalog Record")</f>
        <v>Catalog Record</v>
      </c>
      <c r="AT2322" s="6" t="str">
        <f>HYPERLINK("http://www.worldcat.org/oclc/33439115","WorldCat Record")</f>
        <v>WorldCat Record</v>
      </c>
      <c r="AU2322" s="3" t="s">
        <v>28316</v>
      </c>
      <c r="AV2322" s="3" t="s">
        <v>28317</v>
      </c>
      <c r="AW2322" s="3" t="s">
        <v>28318</v>
      </c>
      <c r="AX2322" s="3" t="s">
        <v>28318</v>
      </c>
      <c r="AY2322" s="3" t="s">
        <v>28319</v>
      </c>
      <c r="AZ2322" s="3" t="s">
        <v>73</v>
      </c>
      <c r="BC2322" s="3" t="s">
        <v>28320</v>
      </c>
      <c r="BD2322" s="3" t="s">
        <v>28321</v>
      </c>
    </row>
    <row r="2323" spans="1:56" ht="51" customHeight="1" x14ac:dyDescent="0.25">
      <c r="A2323" s="7" t="s">
        <v>58</v>
      </c>
      <c r="B2323" s="2" t="s">
        <v>28322</v>
      </c>
      <c r="C2323" s="2" t="s">
        <v>28323</v>
      </c>
      <c r="D2323" s="2" t="s">
        <v>28324</v>
      </c>
      <c r="F2323" s="3" t="s">
        <v>58</v>
      </c>
      <c r="G2323" s="3" t="s">
        <v>59</v>
      </c>
      <c r="H2323" s="3" t="s">
        <v>58</v>
      </c>
      <c r="I2323" s="3" t="s">
        <v>58</v>
      </c>
      <c r="J2323" s="3" t="s">
        <v>60</v>
      </c>
      <c r="K2323" s="2" t="s">
        <v>28325</v>
      </c>
      <c r="L2323" s="2" t="s">
        <v>28326</v>
      </c>
      <c r="M2323" s="3" t="s">
        <v>479</v>
      </c>
      <c r="O2323" s="3" t="s">
        <v>63</v>
      </c>
      <c r="P2323" s="3" t="s">
        <v>760</v>
      </c>
      <c r="Q2323" s="2" t="s">
        <v>28327</v>
      </c>
      <c r="R2323" s="3" t="s">
        <v>65</v>
      </c>
      <c r="S2323" s="4">
        <v>3</v>
      </c>
      <c r="T2323" s="4">
        <v>3</v>
      </c>
      <c r="U2323" s="5" t="s">
        <v>28328</v>
      </c>
      <c r="V2323" s="5" t="s">
        <v>28328</v>
      </c>
      <c r="W2323" s="5" t="s">
        <v>11745</v>
      </c>
      <c r="X2323" s="5" t="s">
        <v>11745</v>
      </c>
      <c r="Y2323" s="4">
        <v>179</v>
      </c>
      <c r="Z2323" s="4">
        <v>129</v>
      </c>
      <c r="AA2323" s="4">
        <v>130</v>
      </c>
      <c r="AB2323" s="4">
        <v>2</v>
      </c>
      <c r="AC2323" s="4">
        <v>2</v>
      </c>
      <c r="AD2323" s="4">
        <v>6</v>
      </c>
      <c r="AE2323" s="4">
        <v>6</v>
      </c>
      <c r="AF2323" s="4">
        <v>2</v>
      </c>
      <c r="AG2323" s="4">
        <v>2</v>
      </c>
      <c r="AH2323" s="4">
        <v>2</v>
      </c>
      <c r="AI2323" s="4">
        <v>2</v>
      </c>
      <c r="AJ2323" s="4">
        <v>2</v>
      </c>
      <c r="AK2323" s="4">
        <v>2</v>
      </c>
      <c r="AL2323" s="4">
        <v>1</v>
      </c>
      <c r="AM2323" s="4">
        <v>1</v>
      </c>
      <c r="AN2323" s="4">
        <v>0</v>
      </c>
      <c r="AO2323" s="4">
        <v>0</v>
      </c>
      <c r="AP2323" s="3" t="s">
        <v>58</v>
      </c>
      <c r="AQ2323" s="3" t="s">
        <v>68</v>
      </c>
      <c r="AR2323" s="6" t="str">
        <f>HYPERLINK("http://catalog.hathitrust.org/Record/003019090","HathiTrust Record")</f>
        <v>HathiTrust Record</v>
      </c>
      <c r="AS2323" s="6" t="str">
        <f>HYPERLINK("https://creighton-primo.hosted.exlibrisgroup.com/primo-explore/search?tab=default_tab&amp;search_scope=EVERYTHING&amp;vid=01CRU&amp;lang=en_US&amp;offset=0&amp;query=any,contains,991002300659702656","Catalog Record")</f>
        <v>Catalog Record</v>
      </c>
      <c r="AT2323" s="6" t="str">
        <f>HYPERLINK("http://www.worldcat.org/oclc/29846194","WorldCat Record")</f>
        <v>WorldCat Record</v>
      </c>
      <c r="AU2323" s="3" t="s">
        <v>28329</v>
      </c>
      <c r="AV2323" s="3" t="s">
        <v>28330</v>
      </c>
      <c r="AW2323" s="3" t="s">
        <v>28331</v>
      </c>
      <c r="AX2323" s="3" t="s">
        <v>28331</v>
      </c>
      <c r="AY2323" s="3" t="s">
        <v>28332</v>
      </c>
      <c r="AZ2323" s="3" t="s">
        <v>73</v>
      </c>
      <c r="BB2323" s="3" t="s">
        <v>28333</v>
      </c>
      <c r="BC2323" s="3" t="s">
        <v>28334</v>
      </c>
      <c r="BD2323" s="3" t="s">
        <v>28335</v>
      </c>
    </row>
    <row r="2324" spans="1:56" ht="51" customHeight="1" x14ac:dyDescent="0.25">
      <c r="A2324" s="7" t="s">
        <v>58</v>
      </c>
      <c r="B2324" s="2" t="s">
        <v>28336</v>
      </c>
      <c r="C2324" s="2" t="s">
        <v>28337</v>
      </c>
      <c r="D2324" s="2" t="s">
        <v>28338</v>
      </c>
      <c r="F2324" s="3" t="s">
        <v>58</v>
      </c>
      <c r="G2324" s="3" t="s">
        <v>59</v>
      </c>
      <c r="H2324" s="3" t="s">
        <v>58</v>
      </c>
      <c r="I2324" s="3" t="s">
        <v>58</v>
      </c>
      <c r="J2324" s="3" t="s">
        <v>60</v>
      </c>
      <c r="L2324" s="2" t="s">
        <v>28339</v>
      </c>
      <c r="M2324" s="3" t="s">
        <v>1091</v>
      </c>
      <c r="O2324" s="3" t="s">
        <v>63</v>
      </c>
      <c r="P2324" s="3" t="s">
        <v>6817</v>
      </c>
      <c r="R2324" s="3" t="s">
        <v>65</v>
      </c>
      <c r="S2324" s="4">
        <v>1</v>
      </c>
      <c r="T2324" s="4">
        <v>1</v>
      </c>
      <c r="U2324" s="5" t="s">
        <v>14826</v>
      </c>
      <c r="V2324" s="5" t="s">
        <v>14826</v>
      </c>
      <c r="W2324" s="5" t="s">
        <v>28340</v>
      </c>
      <c r="X2324" s="5" t="s">
        <v>28340</v>
      </c>
      <c r="Y2324" s="4">
        <v>786</v>
      </c>
      <c r="Z2324" s="4">
        <v>677</v>
      </c>
      <c r="AA2324" s="4">
        <v>682</v>
      </c>
      <c r="AB2324" s="4">
        <v>5</v>
      </c>
      <c r="AC2324" s="4">
        <v>5</v>
      </c>
      <c r="AD2324" s="4">
        <v>25</v>
      </c>
      <c r="AE2324" s="4">
        <v>25</v>
      </c>
      <c r="AF2324" s="4">
        <v>9</v>
      </c>
      <c r="AG2324" s="4">
        <v>9</v>
      </c>
      <c r="AH2324" s="4">
        <v>6</v>
      </c>
      <c r="AI2324" s="4">
        <v>6</v>
      </c>
      <c r="AJ2324" s="4">
        <v>13</v>
      </c>
      <c r="AK2324" s="4">
        <v>13</v>
      </c>
      <c r="AL2324" s="4">
        <v>4</v>
      </c>
      <c r="AM2324" s="4">
        <v>4</v>
      </c>
      <c r="AN2324" s="4">
        <v>0</v>
      </c>
      <c r="AO2324" s="4">
        <v>0</v>
      </c>
      <c r="AP2324" s="3" t="s">
        <v>58</v>
      </c>
      <c r="AQ2324" s="3" t="s">
        <v>58</v>
      </c>
      <c r="AS2324" s="6" t="str">
        <f>HYPERLINK("https://creighton-primo.hosted.exlibrisgroup.com/primo-explore/search?tab=default_tab&amp;search_scope=EVERYTHING&amp;vid=01CRU&amp;lang=en_US&amp;offset=0&amp;query=any,contains,991003781889702656","Catalog Record")</f>
        <v>Catalog Record</v>
      </c>
      <c r="AT2324" s="6" t="str">
        <f>HYPERLINK("http://www.worldcat.org/oclc/45610099","WorldCat Record")</f>
        <v>WorldCat Record</v>
      </c>
      <c r="AU2324" s="3" t="s">
        <v>28341</v>
      </c>
      <c r="AV2324" s="3" t="s">
        <v>28342</v>
      </c>
      <c r="AW2324" s="3" t="s">
        <v>28343</v>
      </c>
      <c r="AX2324" s="3" t="s">
        <v>28343</v>
      </c>
      <c r="AY2324" s="3" t="s">
        <v>28344</v>
      </c>
      <c r="AZ2324" s="3" t="s">
        <v>73</v>
      </c>
      <c r="BB2324" s="3" t="s">
        <v>28345</v>
      </c>
      <c r="BC2324" s="3" t="s">
        <v>28346</v>
      </c>
      <c r="BD2324" s="3" t="s">
        <v>28347</v>
      </c>
    </row>
    <row r="2325" spans="1:56" ht="51" customHeight="1" x14ac:dyDescent="0.25">
      <c r="A2325" s="7" t="s">
        <v>58</v>
      </c>
      <c r="B2325" s="2" t="s">
        <v>28348</v>
      </c>
      <c r="C2325" s="2" t="s">
        <v>28349</v>
      </c>
      <c r="D2325" s="2" t="s">
        <v>28350</v>
      </c>
      <c r="F2325" s="3" t="s">
        <v>58</v>
      </c>
      <c r="G2325" s="3" t="s">
        <v>59</v>
      </c>
      <c r="H2325" s="3" t="s">
        <v>58</v>
      </c>
      <c r="I2325" s="3" t="s">
        <v>58</v>
      </c>
      <c r="J2325" s="3" t="s">
        <v>60</v>
      </c>
      <c r="K2325" s="2" t="s">
        <v>28351</v>
      </c>
      <c r="L2325" s="2" t="s">
        <v>28352</v>
      </c>
      <c r="M2325" s="3" t="s">
        <v>337</v>
      </c>
      <c r="N2325" s="2" t="s">
        <v>338</v>
      </c>
      <c r="O2325" s="3" t="s">
        <v>63</v>
      </c>
      <c r="P2325" s="3" t="s">
        <v>214</v>
      </c>
      <c r="R2325" s="3" t="s">
        <v>65</v>
      </c>
      <c r="S2325" s="4">
        <v>4</v>
      </c>
      <c r="T2325" s="4">
        <v>4</v>
      </c>
      <c r="U2325" s="5" t="s">
        <v>22866</v>
      </c>
      <c r="V2325" s="5" t="s">
        <v>22866</v>
      </c>
      <c r="W2325" s="5" t="s">
        <v>8037</v>
      </c>
      <c r="X2325" s="5" t="s">
        <v>8037</v>
      </c>
      <c r="Y2325" s="4">
        <v>651</v>
      </c>
      <c r="Z2325" s="4">
        <v>566</v>
      </c>
      <c r="AA2325" s="4">
        <v>632</v>
      </c>
      <c r="AB2325" s="4">
        <v>4</v>
      </c>
      <c r="AC2325" s="4">
        <v>4</v>
      </c>
      <c r="AD2325" s="4">
        <v>19</v>
      </c>
      <c r="AE2325" s="4">
        <v>21</v>
      </c>
      <c r="AF2325" s="4">
        <v>8</v>
      </c>
      <c r="AG2325" s="4">
        <v>10</v>
      </c>
      <c r="AH2325" s="4">
        <v>5</v>
      </c>
      <c r="AI2325" s="4">
        <v>5</v>
      </c>
      <c r="AJ2325" s="4">
        <v>9</v>
      </c>
      <c r="AK2325" s="4">
        <v>10</v>
      </c>
      <c r="AL2325" s="4">
        <v>3</v>
      </c>
      <c r="AM2325" s="4">
        <v>3</v>
      </c>
      <c r="AN2325" s="4">
        <v>0</v>
      </c>
      <c r="AO2325" s="4">
        <v>0</v>
      </c>
      <c r="AP2325" s="3" t="s">
        <v>58</v>
      </c>
      <c r="AQ2325" s="3" t="s">
        <v>58</v>
      </c>
      <c r="AS2325" s="6" t="str">
        <f>HYPERLINK("https://creighton-primo.hosted.exlibrisgroup.com/primo-explore/search?tab=default_tab&amp;search_scope=EVERYTHING&amp;vid=01CRU&amp;lang=en_US&amp;offset=0&amp;query=any,contains,991003943629702656","Catalog Record")</f>
        <v>Catalog Record</v>
      </c>
      <c r="AT2325" s="6" t="str">
        <f>HYPERLINK("http://www.worldcat.org/oclc/48777344","WorldCat Record")</f>
        <v>WorldCat Record</v>
      </c>
      <c r="AU2325" s="3" t="s">
        <v>28353</v>
      </c>
      <c r="AV2325" s="3" t="s">
        <v>28354</v>
      </c>
      <c r="AW2325" s="3" t="s">
        <v>28355</v>
      </c>
      <c r="AX2325" s="3" t="s">
        <v>28355</v>
      </c>
      <c r="AY2325" s="3" t="s">
        <v>28356</v>
      </c>
      <c r="AZ2325" s="3" t="s">
        <v>73</v>
      </c>
      <c r="BB2325" s="3" t="s">
        <v>28357</v>
      </c>
      <c r="BC2325" s="3" t="s">
        <v>28358</v>
      </c>
      <c r="BD2325" s="3" t="s">
        <v>28359</v>
      </c>
    </row>
    <row r="2326" spans="1:56" ht="51" customHeight="1" x14ac:dyDescent="0.25">
      <c r="A2326" s="7" t="s">
        <v>58</v>
      </c>
      <c r="B2326" s="2" t="s">
        <v>28360</v>
      </c>
      <c r="C2326" s="2" t="s">
        <v>28361</v>
      </c>
      <c r="D2326" s="2" t="s">
        <v>28362</v>
      </c>
      <c r="F2326" s="3" t="s">
        <v>58</v>
      </c>
      <c r="G2326" s="3" t="s">
        <v>59</v>
      </c>
      <c r="H2326" s="3" t="s">
        <v>58</v>
      </c>
      <c r="I2326" s="3" t="s">
        <v>58</v>
      </c>
      <c r="J2326" s="3" t="s">
        <v>60</v>
      </c>
      <c r="K2326" s="2" t="s">
        <v>28363</v>
      </c>
      <c r="L2326" s="2" t="s">
        <v>28364</v>
      </c>
      <c r="M2326" s="3" t="s">
        <v>382</v>
      </c>
      <c r="N2326" s="2" t="s">
        <v>338</v>
      </c>
      <c r="O2326" s="3" t="s">
        <v>63</v>
      </c>
      <c r="P2326" s="3" t="s">
        <v>2061</v>
      </c>
      <c r="R2326" s="3" t="s">
        <v>65</v>
      </c>
      <c r="S2326" s="4">
        <v>2</v>
      </c>
      <c r="T2326" s="4">
        <v>2</v>
      </c>
      <c r="U2326" s="5" t="s">
        <v>28291</v>
      </c>
      <c r="V2326" s="5" t="s">
        <v>28291</v>
      </c>
      <c r="W2326" s="5" t="s">
        <v>28365</v>
      </c>
      <c r="X2326" s="5" t="s">
        <v>28365</v>
      </c>
      <c r="Y2326" s="4">
        <v>351</v>
      </c>
      <c r="Z2326" s="4">
        <v>328</v>
      </c>
      <c r="AA2326" s="4">
        <v>330</v>
      </c>
      <c r="AB2326" s="4">
        <v>4</v>
      </c>
      <c r="AC2326" s="4">
        <v>4</v>
      </c>
      <c r="AD2326" s="4">
        <v>6</v>
      </c>
      <c r="AE2326" s="4">
        <v>6</v>
      </c>
      <c r="AF2326" s="4">
        <v>0</v>
      </c>
      <c r="AG2326" s="4">
        <v>0</v>
      </c>
      <c r="AH2326" s="4">
        <v>2</v>
      </c>
      <c r="AI2326" s="4">
        <v>2</v>
      </c>
      <c r="AJ2326" s="4">
        <v>4</v>
      </c>
      <c r="AK2326" s="4">
        <v>4</v>
      </c>
      <c r="AL2326" s="4">
        <v>1</v>
      </c>
      <c r="AM2326" s="4">
        <v>1</v>
      </c>
      <c r="AN2326" s="4">
        <v>0</v>
      </c>
      <c r="AO2326" s="4">
        <v>0</v>
      </c>
      <c r="AP2326" s="3" t="s">
        <v>58</v>
      </c>
      <c r="AQ2326" s="3" t="s">
        <v>68</v>
      </c>
      <c r="AR2326" s="6" t="str">
        <f>HYPERLINK("http://catalog.hathitrust.org/Record/004037550","HathiTrust Record")</f>
        <v>HathiTrust Record</v>
      </c>
      <c r="AS2326" s="6" t="str">
        <f>HYPERLINK("https://creighton-primo.hosted.exlibrisgroup.com/primo-explore/search?tab=default_tab&amp;search_scope=EVERYTHING&amp;vid=01CRU&amp;lang=en_US&amp;offset=0&amp;query=any,contains,991002964469702656","Catalog Record")</f>
        <v>Catalog Record</v>
      </c>
      <c r="AT2326" s="6" t="str">
        <f>HYPERLINK("http://www.worldcat.org/oclc/39659771","WorldCat Record")</f>
        <v>WorldCat Record</v>
      </c>
      <c r="AU2326" s="3" t="s">
        <v>28366</v>
      </c>
      <c r="AV2326" s="3" t="s">
        <v>28367</v>
      </c>
      <c r="AW2326" s="3" t="s">
        <v>28368</v>
      </c>
      <c r="AX2326" s="3" t="s">
        <v>28368</v>
      </c>
      <c r="AY2326" s="3" t="s">
        <v>28369</v>
      </c>
      <c r="AZ2326" s="3" t="s">
        <v>73</v>
      </c>
      <c r="BB2326" s="3" t="s">
        <v>28370</v>
      </c>
      <c r="BC2326" s="3" t="s">
        <v>28371</v>
      </c>
      <c r="BD2326" s="3" t="s">
        <v>28372</v>
      </c>
    </row>
    <row r="2327" spans="1:56" ht="51" customHeight="1" x14ac:dyDescent="0.25">
      <c r="A2327" s="7" t="s">
        <v>58</v>
      </c>
      <c r="B2327" s="2" t="s">
        <v>28373</v>
      </c>
      <c r="C2327" s="2" t="s">
        <v>28374</v>
      </c>
      <c r="D2327" s="2" t="s">
        <v>28375</v>
      </c>
      <c r="F2327" s="3" t="s">
        <v>58</v>
      </c>
      <c r="G2327" s="3" t="s">
        <v>59</v>
      </c>
      <c r="H2327" s="3" t="s">
        <v>58</v>
      </c>
      <c r="I2327" s="3" t="s">
        <v>58</v>
      </c>
      <c r="J2327" s="3" t="s">
        <v>60</v>
      </c>
      <c r="K2327" s="2" t="s">
        <v>28376</v>
      </c>
      <c r="L2327" s="2" t="s">
        <v>28377</v>
      </c>
      <c r="M2327" s="3" t="s">
        <v>1061</v>
      </c>
      <c r="O2327" s="3" t="s">
        <v>63</v>
      </c>
      <c r="P2327" s="3" t="s">
        <v>23392</v>
      </c>
      <c r="R2327" s="3" t="s">
        <v>65</v>
      </c>
      <c r="S2327" s="4">
        <v>2</v>
      </c>
      <c r="T2327" s="4">
        <v>2</v>
      </c>
      <c r="U2327" s="5" t="s">
        <v>22866</v>
      </c>
      <c r="V2327" s="5" t="s">
        <v>22866</v>
      </c>
      <c r="W2327" s="5" t="s">
        <v>1639</v>
      </c>
      <c r="X2327" s="5" t="s">
        <v>1639</v>
      </c>
      <c r="Y2327" s="4">
        <v>160</v>
      </c>
      <c r="Z2327" s="4">
        <v>120</v>
      </c>
      <c r="AA2327" s="4">
        <v>122</v>
      </c>
      <c r="AB2327" s="4">
        <v>1</v>
      </c>
      <c r="AC2327" s="4">
        <v>1</v>
      </c>
      <c r="AD2327" s="4">
        <v>5</v>
      </c>
      <c r="AE2327" s="4">
        <v>5</v>
      </c>
      <c r="AF2327" s="4">
        <v>1</v>
      </c>
      <c r="AG2327" s="4">
        <v>1</v>
      </c>
      <c r="AH2327" s="4">
        <v>1</v>
      </c>
      <c r="AI2327" s="4">
        <v>1</v>
      </c>
      <c r="AJ2327" s="4">
        <v>5</v>
      </c>
      <c r="AK2327" s="4">
        <v>5</v>
      </c>
      <c r="AL2327" s="4">
        <v>0</v>
      </c>
      <c r="AM2327" s="4">
        <v>0</v>
      </c>
      <c r="AN2327" s="4">
        <v>0</v>
      </c>
      <c r="AO2327" s="4">
        <v>0</v>
      </c>
      <c r="AP2327" s="3" t="s">
        <v>58</v>
      </c>
      <c r="AQ2327" s="3" t="s">
        <v>68</v>
      </c>
      <c r="AR2327" s="6" t="str">
        <f>HYPERLINK("http://catalog.hathitrust.org/Record/003953678","HathiTrust Record")</f>
        <v>HathiTrust Record</v>
      </c>
      <c r="AS2327" s="6" t="str">
        <f>HYPERLINK("https://creighton-primo.hosted.exlibrisgroup.com/primo-explore/search?tab=default_tab&amp;search_scope=EVERYTHING&amp;vid=01CRU&amp;lang=en_US&amp;offset=0&amp;query=any,contains,991002715199702656","Catalog Record")</f>
        <v>Catalog Record</v>
      </c>
      <c r="AT2327" s="6" t="str">
        <f>HYPERLINK("http://www.worldcat.org/oclc/35620412","WorldCat Record")</f>
        <v>WorldCat Record</v>
      </c>
      <c r="AU2327" s="3" t="s">
        <v>28378</v>
      </c>
      <c r="AV2327" s="3" t="s">
        <v>28379</v>
      </c>
      <c r="AW2327" s="3" t="s">
        <v>28380</v>
      </c>
      <c r="AX2327" s="3" t="s">
        <v>28380</v>
      </c>
      <c r="AY2327" s="3" t="s">
        <v>28381</v>
      </c>
      <c r="AZ2327" s="3" t="s">
        <v>73</v>
      </c>
      <c r="BB2327" s="3" t="s">
        <v>28382</v>
      </c>
      <c r="BC2327" s="3" t="s">
        <v>28383</v>
      </c>
      <c r="BD2327" s="3" t="s">
        <v>28384</v>
      </c>
    </row>
    <row r="2328" spans="1:56" ht="51" customHeight="1" x14ac:dyDescent="0.25">
      <c r="A2328" s="7" t="s">
        <v>58</v>
      </c>
      <c r="B2328" s="2" t="s">
        <v>28385</v>
      </c>
      <c r="C2328" s="2" t="s">
        <v>28386</v>
      </c>
      <c r="D2328" s="2" t="s">
        <v>28387</v>
      </c>
      <c r="F2328" s="3" t="s">
        <v>58</v>
      </c>
      <c r="G2328" s="3" t="s">
        <v>59</v>
      </c>
      <c r="H2328" s="3" t="s">
        <v>58</v>
      </c>
      <c r="I2328" s="3" t="s">
        <v>58</v>
      </c>
      <c r="J2328" s="3" t="s">
        <v>60</v>
      </c>
      <c r="K2328" s="2" t="s">
        <v>28388</v>
      </c>
      <c r="L2328" s="2" t="s">
        <v>28389</v>
      </c>
      <c r="M2328" s="3" t="s">
        <v>196</v>
      </c>
      <c r="N2328" s="2" t="s">
        <v>338</v>
      </c>
      <c r="O2328" s="3" t="s">
        <v>63</v>
      </c>
      <c r="P2328" s="3" t="s">
        <v>214</v>
      </c>
      <c r="R2328" s="3" t="s">
        <v>65</v>
      </c>
      <c r="S2328" s="4">
        <v>5</v>
      </c>
      <c r="T2328" s="4">
        <v>5</v>
      </c>
      <c r="U2328" s="5" t="s">
        <v>28390</v>
      </c>
      <c r="V2328" s="5" t="s">
        <v>28390</v>
      </c>
      <c r="W2328" s="5" t="s">
        <v>28391</v>
      </c>
      <c r="X2328" s="5" t="s">
        <v>28391</v>
      </c>
      <c r="Y2328" s="4">
        <v>790</v>
      </c>
      <c r="Z2328" s="4">
        <v>737</v>
      </c>
      <c r="AA2328" s="4">
        <v>979</v>
      </c>
      <c r="AB2328" s="4">
        <v>6</v>
      </c>
      <c r="AC2328" s="4">
        <v>9</v>
      </c>
      <c r="AD2328" s="4">
        <v>13</v>
      </c>
      <c r="AE2328" s="4">
        <v>18</v>
      </c>
      <c r="AF2328" s="4">
        <v>4</v>
      </c>
      <c r="AG2328" s="4">
        <v>6</v>
      </c>
      <c r="AH2328" s="4">
        <v>3</v>
      </c>
      <c r="AI2328" s="4">
        <v>3</v>
      </c>
      <c r="AJ2328" s="4">
        <v>7</v>
      </c>
      <c r="AK2328" s="4">
        <v>8</v>
      </c>
      <c r="AL2328" s="4">
        <v>2</v>
      </c>
      <c r="AM2328" s="4">
        <v>4</v>
      </c>
      <c r="AN2328" s="4">
        <v>1</v>
      </c>
      <c r="AO2328" s="4">
        <v>1</v>
      </c>
      <c r="AP2328" s="3" t="s">
        <v>58</v>
      </c>
      <c r="AQ2328" s="3" t="s">
        <v>58</v>
      </c>
      <c r="AS2328" s="6" t="str">
        <f>HYPERLINK("https://creighton-primo.hosted.exlibrisgroup.com/primo-explore/search?tab=default_tab&amp;search_scope=EVERYTHING&amp;vid=01CRU&amp;lang=en_US&amp;offset=0&amp;query=any,contains,991002625069702656","Catalog Record")</f>
        <v>Catalog Record</v>
      </c>
      <c r="AT2328" s="6" t="str">
        <f>HYPERLINK("http://www.worldcat.org/oclc/34411014","WorldCat Record")</f>
        <v>WorldCat Record</v>
      </c>
      <c r="AU2328" s="3" t="s">
        <v>28392</v>
      </c>
      <c r="AV2328" s="3" t="s">
        <v>28393</v>
      </c>
      <c r="AW2328" s="3" t="s">
        <v>28394</v>
      </c>
      <c r="AX2328" s="3" t="s">
        <v>28394</v>
      </c>
      <c r="AY2328" s="3" t="s">
        <v>28395</v>
      </c>
      <c r="AZ2328" s="3" t="s">
        <v>73</v>
      </c>
      <c r="BB2328" s="3" t="s">
        <v>28396</v>
      </c>
      <c r="BC2328" s="3" t="s">
        <v>28397</v>
      </c>
      <c r="BD2328" s="3" t="s">
        <v>28398</v>
      </c>
    </row>
    <row r="2329" spans="1:56" ht="51" customHeight="1" x14ac:dyDescent="0.25">
      <c r="A2329" s="7" t="s">
        <v>58</v>
      </c>
      <c r="B2329" s="2" t="s">
        <v>28399</v>
      </c>
      <c r="C2329" s="2" t="s">
        <v>28400</v>
      </c>
      <c r="D2329" s="2" t="s">
        <v>28401</v>
      </c>
      <c r="F2329" s="3" t="s">
        <v>58</v>
      </c>
      <c r="G2329" s="3" t="s">
        <v>59</v>
      </c>
      <c r="H2329" s="3" t="s">
        <v>58</v>
      </c>
      <c r="I2329" s="3" t="s">
        <v>58</v>
      </c>
      <c r="J2329" s="3" t="s">
        <v>60</v>
      </c>
      <c r="K2329" s="2" t="s">
        <v>28402</v>
      </c>
      <c r="L2329" s="2" t="s">
        <v>28403</v>
      </c>
      <c r="M2329" s="3" t="s">
        <v>815</v>
      </c>
      <c r="O2329" s="3" t="s">
        <v>63</v>
      </c>
      <c r="P2329" s="3" t="s">
        <v>816</v>
      </c>
      <c r="R2329" s="3" t="s">
        <v>65</v>
      </c>
      <c r="S2329" s="4">
        <v>1</v>
      </c>
      <c r="T2329" s="4">
        <v>1</v>
      </c>
      <c r="U2329" s="5" t="s">
        <v>18702</v>
      </c>
      <c r="V2329" s="5" t="s">
        <v>18702</v>
      </c>
      <c r="W2329" s="5" t="s">
        <v>18702</v>
      </c>
      <c r="X2329" s="5" t="s">
        <v>18702</v>
      </c>
      <c r="Y2329" s="4">
        <v>322</v>
      </c>
      <c r="Z2329" s="4">
        <v>229</v>
      </c>
      <c r="AA2329" s="4">
        <v>241</v>
      </c>
      <c r="AB2329" s="4">
        <v>2</v>
      </c>
      <c r="AC2329" s="4">
        <v>2</v>
      </c>
      <c r="AD2329" s="4">
        <v>12</v>
      </c>
      <c r="AE2329" s="4">
        <v>12</v>
      </c>
      <c r="AF2329" s="4">
        <v>6</v>
      </c>
      <c r="AG2329" s="4">
        <v>6</v>
      </c>
      <c r="AH2329" s="4">
        <v>2</v>
      </c>
      <c r="AI2329" s="4">
        <v>2</v>
      </c>
      <c r="AJ2329" s="4">
        <v>6</v>
      </c>
      <c r="AK2329" s="4">
        <v>6</v>
      </c>
      <c r="AL2329" s="4">
        <v>1</v>
      </c>
      <c r="AM2329" s="4">
        <v>1</v>
      </c>
      <c r="AN2329" s="4">
        <v>0</v>
      </c>
      <c r="AO2329" s="4">
        <v>0</v>
      </c>
      <c r="AP2329" s="3" t="s">
        <v>58</v>
      </c>
      <c r="AQ2329" s="3" t="s">
        <v>68</v>
      </c>
      <c r="AR2329" s="6" t="str">
        <f>HYPERLINK("http://catalog.hathitrust.org/Record/005814661","HathiTrust Record")</f>
        <v>HathiTrust Record</v>
      </c>
      <c r="AS2329" s="6" t="str">
        <f>HYPERLINK("https://creighton-primo.hosted.exlibrisgroup.com/primo-explore/search?tab=default_tab&amp;search_scope=EVERYTHING&amp;vid=01CRU&amp;lang=en_US&amp;offset=0&amp;query=any,contains,991005364479702656","Catalog Record")</f>
        <v>Catalog Record</v>
      </c>
      <c r="AT2329" s="6" t="str">
        <f>HYPERLINK("http://www.worldcat.org/oclc/173136229","WorldCat Record")</f>
        <v>WorldCat Record</v>
      </c>
      <c r="AU2329" s="3" t="s">
        <v>28404</v>
      </c>
      <c r="AV2329" s="3" t="s">
        <v>28405</v>
      </c>
      <c r="AW2329" s="3" t="s">
        <v>28406</v>
      </c>
      <c r="AX2329" s="3" t="s">
        <v>28406</v>
      </c>
      <c r="AY2329" s="3" t="s">
        <v>28407</v>
      </c>
      <c r="AZ2329" s="3" t="s">
        <v>73</v>
      </c>
      <c r="BB2329" s="3" t="s">
        <v>28408</v>
      </c>
      <c r="BC2329" s="3" t="s">
        <v>28409</v>
      </c>
      <c r="BD2329" s="3" t="s">
        <v>28410</v>
      </c>
    </row>
    <row r="2330" spans="1:56" ht="51" customHeight="1" x14ac:dyDescent="0.25">
      <c r="A2330" s="7" t="s">
        <v>58</v>
      </c>
      <c r="B2330" s="2" t="s">
        <v>28411</v>
      </c>
      <c r="C2330" s="2" t="s">
        <v>28412</v>
      </c>
      <c r="D2330" s="2" t="s">
        <v>28413</v>
      </c>
      <c r="F2330" s="3" t="s">
        <v>58</v>
      </c>
      <c r="G2330" s="3" t="s">
        <v>59</v>
      </c>
      <c r="H2330" s="3" t="s">
        <v>58</v>
      </c>
      <c r="I2330" s="3" t="s">
        <v>58</v>
      </c>
      <c r="J2330" s="3" t="s">
        <v>60</v>
      </c>
      <c r="K2330" s="2" t="s">
        <v>23254</v>
      </c>
      <c r="L2330" s="2" t="s">
        <v>28414</v>
      </c>
      <c r="M2330" s="3" t="s">
        <v>154</v>
      </c>
      <c r="N2330" s="2" t="s">
        <v>338</v>
      </c>
      <c r="O2330" s="3" t="s">
        <v>63</v>
      </c>
      <c r="P2330" s="3" t="s">
        <v>816</v>
      </c>
      <c r="R2330" s="3" t="s">
        <v>65</v>
      </c>
      <c r="S2330" s="4">
        <v>20</v>
      </c>
      <c r="T2330" s="4">
        <v>20</v>
      </c>
      <c r="U2330" s="5" t="s">
        <v>28415</v>
      </c>
      <c r="V2330" s="5" t="s">
        <v>28415</v>
      </c>
      <c r="W2330" s="5" t="s">
        <v>28416</v>
      </c>
      <c r="X2330" s="5" t="s">
        <v>28416</v>
      </c>
      <c r="Y2330" s="4">
        <v>1340</v>
      </c>
      <c r="Z2330" s="4">
        <v>1253</v>
      </c>
      <c r="AA2330" s="4">
        <v>1258</v>
      </c>
      <c r="AB2330" s="4">
        <v>10</v>
      </c>
      <c r="AC2330" s="4">
        <v>10</v>
      </c>
      <c r="AD2330" s="4">
        <v>27</v>
      </c>
      <c r="AE2330" s="4">
        <v>27</v>
      </c>
      <c r="AF2330" s="4">
        <v>10</v>
      </c>
      <c r="AG2330" s="4">
        <v>10</v>
      </c>
      <c r="AH2330" s="4">
        <v>7</v>
      </c>
      <c r="AI2330" s="4">
        <v>7</v>
      </c>
      <c r="AJ2330" s="4">
        <v>12</v>
      </c>
      <c r="AK2330" s="4">
        <v>12</v>
      </c>
      <c r="AL2330" s="4">
        <v>4</v>
      </c>
      <c r="AM2330" s="4">
        <v>4</v>
      </c>
      <c r="AN2330" s="4">
        <v>0</v>
      </c>
      <c r="AO2330" s="4">
        <v>0</v>
      </c>
      <c r="AP2330" s="3" t="s">
        <v>58</v>
      </c>
      <c r="AQ2330" s="3" t="s">
        <v>58</v>
      </c>
      <c r="AS2330" s="6" t="str">
        <f>HYPERLINK("https://creighton-primo.hosted.exlibrisgroup.com/primo-explore/search?tab=default_tab&amp;search_scope=EVERYTHING&amp;vid=01CRU&amp;lang=en_US&amp;offset=0&amp;query=any,contains,991001552339702656","Catalog Record")</f>
        <v>Catalog Record</v>
      </c>
      <c r="AT2330" s="6" t="str">
        <f>HYPERLINK("http://www.worldcat.org/oclc/20232053","WorldCat Record")</f>
        <v>WorldCat Record</v>
      </c>
      <c r="AU2330" s="3" t="s">
        <v>28417</v>
      </c>
      <c r="AV2330" s="3" t="s">
        <v>28418</v>
      </c>
      <c r="AW2330" s="3" t="s">
        <v>28419</v>
      </c>
      <c r="AX2330" s="3" t="s">
        <v>28419</v>
      </c>
      <c r="AY2330" s="3" t="s">
        <v>28420</v>
      </c>
      <c r="AZ2330" s="3" t="s">
        <v>73</v>
      </c>
      <c r="BB2330" s="3" t="s">
        <v>28421</v>
      </c>
      <c r="BC2330" s="3" t="s">
        <v>28422</v>
      </c>
      <c r="BD2330" s="3" t="s">
        <v>28423</v>
      </c>
    </row>
    <row r="2331" spans="1:56" ht="51" customHeight="1" x14ac:dyDescent="0.25">
      <c r="A2331" s="7" t="s">
        <v>58</v>
      </c>
      <c r="B2331" s="2" t="s">
        <v>28424</v>
      </c>
      <c r="C2331" s="2" t="s">
        <v>28425</v>
      </c>
      <c r="D2331" s="2" t="s">
        <v>28426</v>
      </c>
      <c r="F2331" s="3" t="s">
        <v>58</v>
      </c>
      <c r="G2331" s="3" t="s">
        <v>59</v>
      </c>
      <c r="H2331" s="3" t="s">
        <v>58</v>
      </c>
      <c r="I2331" s="3" t="s">
        <v>58</v>
      </c>
      <c r="J2331" s="3" t="s">
        <v>60</v>
      </c>
      <c r="K2331" s="2" t="s">
        <v>28427</v>
      </c>
      <c r="L2331" s="2" t="s">
        <v>28428</v>
      </c>
      <c r="M2331" s="3" t="s">
        <v>83</v>
      </c>
      <c r="O2331" s="3" t="s">
        <v>63</v>
      </c>
      <c r="P2331" s="3" t="s">
        <v>23392</v>
      </c>
      <c r="Q2331" s="2" t="s">
        <v>28429</v>
      </c>
      <c r="R2331" s="3" t="s">
        <v>65</v>
      </c>
      <c r="S2331" s="4">
        <v>3</v>
      </c>
      <c r="T2331" s="4">
        <v>3</v>
      </c>
      <c r="U2331" s="5" t="s">
        <v>28430</v>
      </c>
      <c r="V2331" s="5" t="s">
        <v>28430</v>
      </c>
      <c r="W2331" s="5" t="s">
        <v>2799</v>
      </c>
      <c r="X2331" s="5" t="s">
        <v>2799</v>
      </c>
      <c r="Y2331" s="4">
        <v>293</v>
      </c>
      <c r="Z2331" s="4">
        <v>213</v>
      </c>
      <c r="AA2331" s="4">
        <v>226</v>
      </c>
      <c r="AB2331" s="4">
        <v>2</v>
      </c>
      <c r="AC2331" s="4">
        <v>2</v>
      </c>
      <c r="AD2331" s="4">
        <v>7</v>
      </c>
      <c r="AE2331" s="4">
        <v>7</v>
      </c>
      <c r="AF2331" s="4">
        <v>1</v>
      </c>
      <c r="AG2331" s="4">
        <v>1</v>
      </c>
      <c r="AH2331" s="4">
        <v>3</v>
      </c>
      <c r="AI2331" s="4">
        <v>3</v>
      </c>
      <c r="AJ2331" s="4">
        <v>3</v>
      </c>
      <c r="AK2331" s="4">
        <v>3</v>
      </c>
      <c r="AL2331" s="4">
        <v>1</v>
      </c>
      <c r="AM2331" s="4">
        <v>1</v>
      </c>
      <c r="AN2331" s="4">
        <v>0</v>
      </c>
      <c r="AO2331" s="4">
        <v>0</v>
      </c>
      <c r="AP2331" s="3" t="s">
        <v>58</v>
      </c>
      <c r="AQ2331" s="3" t="s">
        <v>68</v>
      </c>
      <c r="AR2331" s="6" t="str">
        <f>HYPERLINK("http://catalog.hathitrust.org/Record/000299783","HathiTrust Record")</f>
        <v>HathiTrust Record</v>
      </c>
      <c r="AS2331" s="6" t="str">
        <f>HYPERLINK("https://creighton-primo.hosted.exlibrisgroup.com/primo-explore/search?tab=default_tab&amp;search_scope=EVERYTHING&amp;vid=01CRU&amp;lang=en_US&amp;offset=0&amp;query=any,contains,991004602879702656","Catalog Record")</f>
        <v>Catalog Record</v>
      </c>
      <c r="AT2331" s="6" t="str">
        <f>HYPERLINK("http://www.worldcat.org/oclc/4183099","WorldCat Record")</f>
        <v>WorldCat Record</v>
      </c>
      <c r="AU2331" s="3" t="s">
        <v>28431</v>
      </c>
      <c r="AV2331" s="3" t="s">
        <v>28432</v>
      </c>
      <c r="AW2331" s="3" t="s">
        <v>28433</v>
      </c>
      <c r="AX2331" s="3" t="s">
        <v>28433</v>
      </c>
      <c r="AY2331" s="3" t="s">
        <v>28434</v>
      </c>
      <c r="AZ2331" s="3" t="s">
        <v>73</v>
      </c>
      <c r="BB2331" s="3" t="s">
        <v>28435</v>
      </c>
      <c r="BC2331" s="3" t="s">
        <v>28436</v>
      </c>
      <c r="BD2331" s="3" t="s">
        <v>28437</v>
      </c>
    </row>
    <row r="2332" spans="1:56" ht="51" customHeight="1" x14ac:dyDescent="0.25">
      <c r="A2332" s="7" t="s">
        <v>58</v>
      </c>
      <c r="B2332" s="2" t="s">
        <v>28438</v>
      </c>
      <c r="C2332" s="2" t="s">
        <v>28439</v>
      </c>
      <c r="D2332" s="2" t="s">
        <v>28440</v>
      </c>
      <c r="F2332" s="3" t="s">
        <v>58</v>
      </c>
      <c r="G2332" s="3" t="s">
        <v>59</v>
      </c>
      <c r="H2332" s="3" t="s">
        <v>58</v>
      </c>
      <c r="I2332" s="3" t="s">
        <v>58</v>
      </c>
      <c r="J2332" s="3" t="s">
        <v>60</v>
      </c>
      <c r="L2332" s="2" t="s">
        <v>28441</v>
      </c>
      <c r="M2332" s="3" t="s">
        <v>382</v>
      </c>
      <c r="O2332" s="3" t="s">
        <v>63</v>
      </c>
      <c r="P2332" s="3" t="s">
        <v>3109</v>
      </c>
      <c r="R2332" s="3" t="s">
        <v>65</v>
      </c>
      <c r="S2332" s="4">
        <v>2</v>
      </c>
      <c r="T2332" s="4">
        <v>2</v>
      </c>
      <c r="U2332" s="5" t="s">
        <v>28442</v>
      </c>
      <c r="V2332" s="5" t="s">
        <v>28442</v>
      </c>
      <c r="W2332" s="5" t="s">
        <v>28442</v>
      </c>
      <c r="X2332" s="5" t="s">
        <v>28442</v>
      </c>
      <c r="Y2332" s="4">
        <v>185</v>
      </c>
      <c r="Z2332" s="4">
        <v>150</v>
      </c>
      <c r="AA2332" s="4">
        <v>153</v>
      </c>
      <c r="AB2332" s="4">
        <v>2</v>
      </c>
      <c r="AC2332" s="4">
        <v>2</v>
      </c>
      <c r="AD2332" s="4">
        <v>11</v>
      </c>
      <c r="AE2332" s="4">
        <v>11</v>
      </c>
      <c r="AF2332" s="4">
        <v>3</v>
      </c>
      <c r="AG2332" s="4">
        <v>3</v>
      </c>
      <c r="AH2332" s="4">
        <v>3</v>
      </c>
      <c r="AI2332" s="4">
        <v>3</v>
      </c>
      <c r="AJ2332" s="4">
        <v>8</v>
      </c>
      <c r="AK2332" s="4">
        <v>8</v>
      </c>
      <c r="AL2332" s="4">
        <v>1</v>
      </c>
      <c r="AM2332" s="4">
        <v>1</v>
      </c>
      <c r="AN2332" s="4">
        <v>0</v>
      </c>
      <c r="AO2332" s="4">
        <v>0</v>
      </c>
      <c r="AP2332" s="3" t="s">
        <v>58</v>
      </c>
      <c r="AQ2332" s="3" t="s">
        <v>68</v>
      </c>
      <c r="AR2332" s="6" t="str">
        <f>HYPERLINK("http://catalog.hathitrust.org/Record/004022343","HathiTrust Record")</f>
        <v>HathiTrust Record</v>
      </c>
      <c r="AS2332" s="6" t="str">
        <f>HYPERLINK("https://creighton-primo.hosted.exlibrisgroup.com/primo-explore/search?tab=default_tab&amp;search_scope=EVERYTHING&amp;vid=01CRU&amp;lang=en_US&amp;offset=0&amp;query=any,contains,991004187399702656","Catalog Record")</f>
        <v>Catalog Record</v>
      </c>
      <c r="AT2332" s="6" t="str">
        <f>HYPERLINK("http://www.worldcat.org/oclc/40043588","WorldCat Record")</f>
        <v>WorldCat Record</v>
      </c>
      <c r="AU2332" s="3" t="s">
        <v>28443</v>
      </c>
      <c r="AV2332" s="3" t="s">
        <v>28444</v>
      </c>
      <c r="AW2332" s="3" t="s">
        <v>28445</v>
      </c>
      <c r="AX2332" s="3" t="s">
        <v>28445</v>
      </c>
      <c r="AY2332" s="3" t="s">
        <v>28446</v>
      </c>
      <c r="AZ2332" s="3" t="s">
        <v>73</v>
      </c>
      <c r="BB2332" s="3" t="s">
        <v>28447</v>
      </c>
      <c r="BC2332" s="3" t="s">
        <v>28448</v>
      </c>
      <c r="BD2332" s="3" t="s">
        <v>28449</v>
      </c>
    </row>
    <row r="2333" spans="1:56" ht="51" customHeight="1" x14ac:dyDescent="0.25">
      <c r="A2333" s="7" t="s">
        <v>58</v>
      </c>
      <c r="B2333" s="2" t="s">
        <v>28450</v>
      </c>
      <c r="C2333" s="2" t="s">
        <v>28451</v>
      </c>
      <c r="D2333" s="2" t="s">
        <v>28452</v>
      </c>
      <c r="F2333" s="3" t="s">
        <v>58</v>
      </c>
      <c r="G2333" s="3" t="s">
        <v>59</v>
      </c>
      <c r="H2333" s="3" t="s">
        <v>58</v>
      </c>
      <c r="I2333" s="3" t="s">
        <v>58</v>
      </c>
      <c r="J2333" s="3" t="s">
        <v>60</v>
      </c>
      <c r="L2333" s="2" t="s">
        <v>28453</v>
      </c>
      <c r="M2333" s="3" t="s">
        <v>951</v>
      </c>
      <c r="O2333" s="3" t="s">
        <v>63</v>
      </c>
      <c r="P2333" s="3" t="s">
        <v>214</v>
      </c>
      <c r="R2333" s="3" t="s">
        <v>65</v>
      </c>
      <c r="S2333" s="4">
        <v>2</v>
      </c>
      <c r="T2333" s="4">
        <v>2</v>
      </c>
      <c r="U2333" s="5" t="s">
        <v>4169</v>
      </c>
      <c r="V2333" s="5" t="s">
        <v>4169</v>
      </c>
      <c r="W2333" s="5" t="s">
        <v>4169</v>
      </c>
      <c r="X2333" s="5" t="s">
        <v>4169</v>
      </c>
      <c r="Y2333" s="4">
        <v>358</v>
      </c>
      <c r="Z2333" s="4">
        <v>305</v>
      </c>
      <c r="AA2333" s="4">
        <v>311</v>
      </c>
      <c r="AB2333" s="4">
        <v>2</v>
      </c>
      <c r="AC2333" s="4">
        <v>2</v>
      </c>
      <c r="AD2333" s="4">
        <v>17</v>
      </c>
      <c r="AE2333" s="4">
        <v>17</v>
      </c>
      <c r="AF2333" s="4">
        <v>4</v>
      </c>
      <c r="AG2333" s="4">
        <v>4</v>
      </c>
      <c r="AH2333" s="4">
        <v>8</v>
      </c>
      <c r="AI2333" s="4">
        <v>8</v>
      </c>
      <c r="AJ2333" s="4">
        <v>9</v>
      </c>
      <c r="AK2333" s="4">
        <v>9</v>
      </c>
      <c r="AL2333" s="4">
        <v>1</v>
      </c>
      <c r="AM2333" s="4">
        <v>1</v>
      </c>
      <c r="AN2333" s="4">
        <v>0</v>
      </c>
      <c r="AO2333" s="4">
        <v>0</v>
      </c>
      <c r="AP2333" s="3" t="s">
        <v>58</v>
      </c>
      <c r="AQ2333" s="3" t="s">
        <v>58</v>
      </c>
      <c r="AS2333" s="6" t="str">
        <f>HYPERLINK("https://creighton-primo.hosted.exlibrisgroup.com/primo-explore/search?tab=default_tab&amp;search_scope=EVERYTHING&amp;vid=01CRU&amp;lang=en_US&amp;offset=0&amp;query=any,contains,991003890309702656","Catalog Record")</f>
        <v>Catalog Record</v>
      </c>
      <c r="AT2333" s="6" t="str">
        <f>HYPERLINK("http://www.worldcat.org/oclc/41892515","WorldCat Record")</f>
        <v>WorldCat Record</v>
      </c>
      <c r="AU2333" s="3" t="s">
        <v>28454</v>
      </c>
      <c r="AV2333" s="3" t="s">
        <v>28455</v>
      </c>
      <c r="AW2333" s="3" t="s">
        <v>28456</v>
      </c>
      <c r="AX2333" s="3" t="s">
        <v>28456</v>
      </c>
      <c r="AY2333" s="3" t="s">
        <v>28457</v>
      </c>
      <c r="AZ2333" s="3" t="s">
        <v>73</v>
      </c>
      <c r="BB2333" s="3" t="s">
        <v>28458</v>
      </c>
      <c r="BC2333" s="3" t="s">
        <v>28459</v>
      </c>
      <c r="BD2333" s="3" t="s">
        <v>28460</v>
      </c>
    </row>
    <row r="2334" spans="1:56" ht="51" customHeight="1" x14ac:dyDescent="0.25">
      <c r="A2334" s="7" t="s">
        <v>58</v>
      </c>
      <c r="B2334" s="2" t="s">
        <v>28461</v>
      </c>
      <c r="C2334" s="2" t="s">
        <v>28462</v>
      </c>
      <c r="D2334" s="2" t="s">
        <v>28463</v>
      </c>
      <c r="F2334" s="3" t="s">
        <v>58</v>
      </c>
      <c r="G2334" s="3" t="s">
        <v>59</v>
      </c>
      <c r="H2334" s="3" t="s">
        <v>58</v>
      </c>
      <c r="I2334" s="3" t="s">
        <v>58</v>
      </c>
      <c r="J2334" s="3" t="s">
        <v>60</v>
      </c>
      <c r="K2334" s="2" t="s">
        <v>28464</v>
      </c>
      <c r="L2334" s="2" t="s">
        <v>28465</v>
      </c>
      <c r="M2334" s="3" t="s">
        <v>196</v>
      </c>
      <c r="N2334" s="2" t="s">
        <v>28466</v>
      </c>
      <c r="O2334" s="3" t="s">
        <v>63</v>
      </c>
      <c r="P2334" s="3" t="s">
        <v>214</v>
      </c>
      <c r="R2334" s="3" t="s">
        <v>65</v>
      </c>
      <c r="S2334" s="4">
        <v>11</v>
      </c>
      <c r="T2334" s="4">
        <v>11</v>
      </c>
      <c r="U2334" s="5" t="s">
        <v>24267</v>
      </c>
      <c r="V2334" s="5" t="s">
        <v>24267</v>
      </c>
      <c r="W2334" s="5" t="s">
        <v>28467</v>
      </c>
      <c r="X2334" s="5" t="s">
        <v>28467</v>
      </c>
      <c r="Y2334" s="4">
        <v>260</v>
      </c>
      <c r="Z2334" s="4">
        <v>184</v>
      </c>
      <c r="AA2334" s="4">
        <v>572</v>
      </c>
      <c r="AB2334" s="4">
        <v>1</v>
      </c>
      <c r="AC2334" s="4">
        <v>4</v>
      </c>
      <c r="AD2334" s="4">
        <v>11</v>
      </c>
      <c r="AE2334" s="4">
        <v>22</v>
      </c>
      <c r="AF2334" s="4">
        <v>6</v>
      </c>
      <c r="AG2334" s="4">
        <v>8</v>
      </c>
      <c r="AH2334" s="4">
        <v>1</v>
      </c>
      <c r="AI2334" s="4">
        <v>5</v>
      </c>
      <c r="AJ2334" s="4">
        <v>7</v>
      </c>
      <c r="AK2334" s="4">
        <v>13</v>
      </c>
      <c r="AL2334" s="4">
        <v>0</v>
      </c>
      <c r="AM2334" s="4">
        <v>2</v>
      </c>
      <c r="AN2334" s="4">
        <v>0</v>
      </c>
      <c r="AO2334" s="4">
        <v>0</v>
      </c>
      <c r="AP2334" s="3" t="s">
        <v>58</v>
      </c>
      <c r="AQ2334" s="3" t="s">
        <v>68</v>
      </c>
      <c r="AR2334" s="6" t="str">
        <f>HYPERLINK("http://catalog.hathitrust.org/Record/007219525","HathiTrust Record")</f>
        <v>HathiTrust Record</v>
      </c>
      <c r="AS2334" s="6" t="str">
        <f>HYPERLINK("https://creighton-primo.hosted.exlibrisgroup.com/primo-explore/search?tab=default_tab&amp;search_scope=EVERYTHING&amp;vid=01CRU&amp;lang=en_US&amp;offset=0&amp;query=any,contains,991002650989702656","Catalog Record")</f>
        <v>Catalog Record</v>
      </c>
      <c r="AT2334" s="6" t="str">
        <f>HYPERLINK("http://www.worldcat.org/oclc/34669501","WorldCat Record")</f>
        <v>WorldCat Record</v>
      </c>
      <c r="AU2334" s="3" t="s">
        <v>28468</v>
      </c>
      <c r="AV2334" s="3" t="s">
        <v>28469</v>
      </c>
      <c r="AW2334" s="3" t="s">
        <v>28470</v>
      </c>
      <c r="AX2334" s="3" t="s">
        <v>28470</v>
      </c>
      <c r="AY2334" s="3" t="s">
        <v>28471</v>
      </c>
      <c r="AZ2334" s="3" t="s">
        <v>73</v>
      </c>
      <c r="BB2334" s="3" t="s">
        <v>28472</v>
      </c>
      <c r="BC2334" s="3" t="s">
        <v>28473</v>
      </c>
      <c r="BD2334" s="3" t="s">
        <v>28474</v>
      </c>
    </row>
    <row r="2335" spans="1:56" ht="51" customHeight="1" x14ac:dyDescent="0.25">
      <c r="A2335" s="7" t="s">
        <v>58</v>
      </c>
      <c r="B2335" s="2" t="s">
        <v>28475</v>
      </c>
      <c r="C2335" s="2" t="s">
        <v>28476</v>
      </c>
      <c r="D2335" s="2" t="s">
        <v>28477</v>
      </c>
      <c r="F2335" s="3" t="s">
        <v>58</v>
      </c>
      <c r="G2335" s="3" t="s">
        <v>59</v>
      </c>
      <c r="H2335" s="3" t="s">
        <v>58</v>
      </c>
      <c r="I2335" s="3" t="s">
        <v>58</v>
      </c>
      <c r="J2335" s="3" t="s">
        <v>60</v>
      </c>
      <c r="K2335" s="2" t="s">
        <v>28478</v>
      </c>
      <c r="L2335" s="2" t="s">
        <v>28479</v>
      </c>
      <c r="M2335" s="3" t="s">
        <v>800</v>
      </c>
      <c r="O2335" s="3" t="s">
        <v>63</v>
      </c>
      <c r="P2335" s="3" t="s">
        <v>2630</v>
      </c>
      <c r="R2335" s="3" t="s">
        <v>65</v>
      </c>
      <c r="S2335" s="4">
        <v>9</v>
      </c>
      <c r="T2335" s="4">
        <v>9</v>
      </c>
      <c r="U2335" s="5" t="s">
        <v>5998</v>
      </c>
      <c r="V2335" s="5" t="s">
        <v>5998</v>
      </c>
      <c r="W2335" s="5" t="s">
        <v>27045</v>
      </c>
      <c r="X2335" s="5" t="s">
        <v>27045</v>
      </c>
      <c r="Y2335" s="4">
        <v>450</v>
      </c>
      <c r="Z2335" s="4">
        <v>357</v>
      </c>
      <c r="AA2335" s="4">
        <v>364</v>
      </c>
      <c r="AB2335" s="4">
        <v>4</v>
      </c>
      <c r="AC2335" s="4">
        <v>4</v>
      </c>
      <c r="AD2335" s="4">
        <v>20</v>
      </c>
      <c r="AE2335" s="4">
        <v>20</v>
      </c>
      <c r="AF2335" s="4">
        <v>4</v>
      </c>
      <c r="AG2335" s="4">
        <v>4</v>
      </c>
      <c r="AH2335" s="4">
        <v>6</v>
      </c>
      <c r="AI2335" s="4">
        <v>6</v>
      </c>
      <c r="AJ2335" s="4">
        <v>10</v>
      </c>
      <c r="AK2335" s="4">
        <v>10</v>
      </c>
      <c r="AL2335" s="4">
        <v>3</v>
      </c>
      <c r="AM2335" s="4">
        <v>3</v>
      </c>
      <c r="AN2335" s="4">
        <v>0</v>
      </c>
      <c r="AO2335" s="4">
        <v>0</v>
      </c>
      <c r="AP2335" s="3" t="s">
        <v>58</v>
      </c>
      <c r="AQ2335" s="3" t="s">
        <v>58</v>
      </c>
      <c r="AS2335" s="6" t="str">
        <f>HYPERLINK("https://creighton-primo.hosted.exlibrisgroup.com/primo-explore/search?tab=default_tab&amp;search_scope=EVERYTHING&amp;vid=01CRU&amp;lang=en_US&amp;offset=0&amp;query=any,contains,991002500049702656","Catalog Record")</f>
        <v>Catalog Record</v>
      </c>
      <c r="AT2335" s="6" t="str">
        <f>HYPERLINK("http://www.worldcat.org/oclc/32510760","WorldCat Record")</f>
        <v>WorldCat Record</v>
      </c>
      <c r="AU2335" s="3" t="s">
        <v>28480</v>
      </c>
      <c r="AV2335" s="3" t="s">
        <v>28481</v>
      </c>
      <c r="AW2335" s="3" t="s">
        <v>28482</v>
      </c>
      <c r="AX2335" s="3" t="s">
        <v>28482</v>
      </c>
      <c r="AY2335" s="3" t="s">
        <v>28483</v>
      </c>
      <c r="AZ2335" s="3" t="s">
        <v>73</v>
      </c>
      <c r="BB2335" s="3" t="s">
        <v>28484</v>
      </c>
      <c r="BC2335" s="3" t="s">
        <v>28485</v>
      </c>
      <c r="BD2335" s="3" t="s">
        <v>28486</v>
      </c>
    </row>
    <row r="2336" spans="1:56" ht="51" customHeight="1" x14ac:dyDescent="0.25">
      <c r="A2336" s="7" t="s">
        <v>58</v>
      </c>
      <c r="B2336" s="2" t="s">
        <v>28487</v>
      </c>
      <c r="C2336" s="2" t="s">
        <v>28488</v>
      </c>
      <c r="D2336" s="2" t="s">
        <v>28489</v>
      </c>
      <c r="F2336" s="3" t="s">
        <v>58</v>
      </c>
      <c r="G2336" s="3" t="s">
        <v>59</v>
      </c>
      <c r="H2336" s="3" t="s">
        <v>58</v>
      </c>
      <c r="I2336" s="3" t="s">
        <v>58</v>
      </c>
      <c r="J2336" s="3" t="s">
        <v>60</v>
      </c>
      <c r="K2336" s="2" t="s">
        <v>27019</v>
      </c>
      <c r="L2336" s="2" t="s">
        <v>28490</v>
      </c>
      <c r="M2336" s="3" t="s">
        <v>196</v>
      </c>
      <c r="O2336" s="3" t="s">
        <v>63</v>
      </c>
      <c r="P2336" s="3" t="s">
        <v>214</v>
      </c>
      <c r="R2336" s="3" t="s">
        <v>65</v>
      </c>
      <c r="S2336" s="4">
        <v>7</v>
      </c>
      <c r="T2336" s="4">
        <v>7</v>
      </c>
      <c r="U2336" s="5" t="s">
        <v>17420</v>
      </c>
      <c r="V2336" s="5" t="s">
        <v>17420</v>
      </c>
      <c r="W2336" s="5" t="s">
        <v>14750</v>
      </c>
      <c r="X2336" s="5" t="s">
        <v>14750</v>
      </c>
      <c r="Y2336" s="4">
        <v>386</v>
      </c>
      <c r="Z2336" s="4">
        <v>225</v>
      </c>
      <c r="AA2336" s="4">
        <v>249</v>
      </c>
      <c r="AB2336" s="4">
        <v>2</v>
      </c>
      <c r="AC2336" s="4">
        <v>2</v>
      </c>
      <c r="AD2336" s="4">
        <v>11</v>
      </c>
      <c r="AE2336" s="4">
        <v>11</v>
      </c>
      <c r="AF2336" s="4">
        <v>3</v>
      </c>
      <c r="AG2336" s="4">
        <v>3</v>
      </c>
      <c r="AH2336" s="4">
        <v>3</v>
      </c>
      <c r="AI2336" s="4">
        <v>3</v>
      </c>
      <c r="AJ2336" s="4">
        <v>8</v>
      </c>
      <c r="AK2336" s="4">
        <v>8</v>
      </c>
      <c r="AL2336" s="4">
        <v>1</v>
      </c>
      <c r="AM2336" s="4">
        <v>1</v>
      </c>
      <c r="AN2336" s="4">
        <v>0</v>
      </c>
      <c r="AO2336" s="4">
        <v>0</v>
      </c>
      <c r="AP2336" s="3" t="s">
        <v>58</v>
      </c>
      <c r="AQ2336" s="3" t="s">
        <v>68</v>
      </c>
      <c r="AR2336" s="6" t="str">
        <f>HYPERLINK("http://catalog.hathitrust.org/Record/003082362","HathiTrust Record")</f>
        <v>HathiTrust Record</v>
      </c>
      <c r="AS2336" s="6" t="str">
        <f>HYPERLINK("https://creighton-primo.hosted.exlibrisgroup.com/primo-explore/search?tab=default_tab&amp;search_scope=EVERYTHING&amp;vid=01CRU&amp;lang=en_US&amp;offset=0&amp;query=any,contains,991002590529702656","Catalog Record")</f>
        <v>Catalog Record</v>
      </c>
      <c r="AT2336" s="6" t="str">
        <f>HYPERLINK("http://www.worldcat.org/oclc/33948079","WorldCat Record")</f>
        <v>WorldCat Record</v>
      </c>
      <c r="AU2336" s="3" t="s">
        <v>28491</v>
      </c>
      <c r="AV2336" s="3" t="s">
        <v>28492</v>
      </c>
      <c r="AW2336" s="3" t="s">
        <v>28493</v>
      </c>
      <c r="AX2336" s="3" t="s">
        <v>28493</v>
      </c>
      <c r="AY2336" s="3" t="s">
        <v>28494</v>
      </c>
      <c r="AZ2336" s="3" t="s">
        <v>73</v>
      </c>
      <c r="BB2336" s="3" t="s">
        <v>28495</v>
      </c>
      <c r="BC2336" s="3" t="s">
        <v>28496</v>
      </c>
      <c r="BD2336" s="3" t="s">
        <v>28497</v>
      </c>
    </row>
    <row r="2337" spans="1:56" ht="51" customHeight="1" x14ac:dyDescent="0.25">
      <c r="A2337" s="7" t="s">
        <v>58</v>
      </c>
      <c r="B2337" s="2" t="s">
        <v>28498</v>
      </c>
      <c r="C2337" s="2" t="s">
        <v>28499</v>
      </c>
      <c r="D2337" s="2" t="s">
        <v>28500</v>
      </c>
      <c r="F2337" s="3" t="s">
        <v>58</v>
      </c>
      <c r="G2337" s="3" t="s">
        <v>59</v>
      </c>
      <c r="H2337" s="3" t="s">
        <v>58</v>
      </c>
      <c r="I2337" s="3" t="s">
        <v>58</v>
      </c>
      <c r="J2337" s="3" t="s">
        <v>60</v>
      </c>
      <c r="K2337" s="2" t="s">
        <v>28501</v>
      </c>
      <c r="L2337" s="2" t="s">
        <v>4206</v>
      </c>
      <c r="M2337" s="3" t="s">
        <v>382</v>
      </c>
      <c r="O2337" s="3" t="s">
        <v>63</v>
      </c>
      <c r="P2337" s="3" t="s">
        <v>816</v>
      </c>
      <c r="R2337" s="3" t="s">
        <v>65</v>
      </c>
      <c r="S2337" s="4">
        <v>3</v>
      </c>
      <c r="T2337" s="4">
        <v>3</v>
      </c>
      <c r="U2337" s="5" t="s">
        <v>28502</v>
      </c>
      <c r="V2337" s="5" t="s">
        <v>28502</v>
      </c>
      <c r="W2337" s="5" t="s">
        <v>28503</v>
      </c>
      <c r="X2337" s="5" t="s">
        <v>28503</v>
      </c>
      <c r="Y2337" s="4">
        <v>593</v>
      </c>
      <c r="Z2337" s="4">
        <v>459</v>
      </c>
      <c r="AA2337" s="4">
        <v>462</v>
      </c>
      <c r="AB2337" s="4">
        <v>3</v>
      </c>
      <c r="AC2337" s="4">
        <v>3</v>
      </c>
      <c r="AD2337" s="4">
        <v>29</v>
      </c>
      <c r="AE2337" s="4">
        <v>30</v>
      </c>
      <c r="AF2337" s="4">
        <v>11</v>
      </c>
      <c r="AG2337" s="4">
        <v>12</v>
      </c>
      <c r="AH2337" s="4">
        <v>8</v>
      </c>
      <c r="AI2337" s="4">
        <v>8</v>
      </c>
      <c r="AJ2337" s="4">
        <v>16</v>
      </c>
      <c r="AK2337" s="4">
        <v>16</v>
      </c>
      <c r="AL2337" s="4">
        <v>2</v>
      </c>
      <c r="AM2337" s="4">
        <v>2</v>
      </c>
      <c r="AN2337" s="4">
        <v>0</v>
      </c>
      <c r="AO2337" s="4">
        <v>0</v>
      </c>
      <c r="AP2337" s="3" t="s">
        <v>58</v>
      </c>
      <c r="AQ2337" s="3" t="s">
        <v>68</v>
      </c>
      <c r="AR2337" s="6" t="str">
        <f>HYPERLINK("http://catalog.hathitrust.org/Record/004042169","HathiTrust Record")</f>
        <v>HathiTrust Record</v>
      </c>
      <c r="AS2337" s="6" t="str">
        <f>HYPERLINK("https://creighton-primo.hosted.exlibrisgroup.com/primo-explore/search?tab=default_tab&amp;search_scope=EVERYTHING&amp;vid=01CRU&amp;lang=en_US&amp;offset=0&amp;query=any,contains,991002990209702656","Catalog Record")</f>
        <v>Catalog Record</v>
      </c>
      <c r="AT2337" s="6" t="str">
        <f>HYPERLINK("http://www.worldcat.org/oclc/40354566","WorldCat Record")</f>
        <v>WorldCat Record</v>
      </c>
      <c r="AU2337" s="3" t="s">
        <v>28504</v>
      </c>
      <c r="AV2337" s="3" t="s">
        <v>28505</v>
      </c>
      <c r="AW2337" s="3" t="s">
        <v>28506</v>
      </c>
      <c r="AX2337" s="3" t="s">
        <v>28506</v>
      </c>
      <c r="AY2337" s="3" t="s">
        <v>28507</v>
      </c>
      <c r="AZ2337" s="3" t="s">
        <v>73</v>
      </c>
      <c r="BB2337" s="3" t="s">
        <v>28508</v>
      </c>
      <c r="BC2337" s="3" t="s">
        <v>28509</v>
      </c>
      <c r="BD2337" s="3" t="s">
        <v>28510</v>
      </c>
    </row>
    <row r="2338" spans="1:56" ht="51" customHeight="1" x14ac:dyDescent="0.25">
      <c r="A2338" s="7" t="s">
        <v>58</v>
      </c>
      <c r="B2338" s="2" t="s">
        <v>28511</v>
      </c>
      <c r="C2338" s="2" t="s">
        <v>28512</v>
      </c>
      <c r="D2338" s="2" t="s">
        <v>28513</v>
      </c>
      <c r="F2338" s="3" t="s">
        <v>58</v>
      </c>
      <c r="G2338" s="3" t="s">
        <v>59</v>
      </c>
      <c r="H2338" s="3" t="s">
        <v>58</v>
      </c>
      <c r="I2338" s="3" t="s">
        <v>58</v>
      </c>
      <c r="J2338" s="3" t="s">
        <v>60</v>
      </c>
      <c r="K2338" s="2" t="s">
        <v>28514</v>
      </c>
      <c r="L2338" s="2" t="s">
        <v>26634</v>
      </c>
      <c r="M2338" s="3" t="s">
        <v>1091</v>
      </c>
      <c r="N2338" s="2" t="s">
        <v>338</v>
      </c>
      <c r="O2338" s="3" t="s">
        <v>63</v>
      </c>
      <c r="P2338" s="3" t="s">
        <v>214</v>
      </c>
      <c r="R2338" s="3" t="s">
        <v>65</v>
      </c>
      <c r="S2338" s="4">
        <v>1</v>
      </c>
      <c r="T2338" s="4">
        <v>1</v>
      </c>
      <c r="U2338" s="5" t="s">
        <v>28515</v>
      </c>
      <c r="V2338" s="5" t="s">
        <v>28515</v>
      </c>
      <c r="W2338" s="5" t="s">
        <v>28516</v>
      </c>
      <c r="X2338" s="5" t="s">
        <v>28516</v>
      </c>
      <c r="Y2338" s="4">
        <v>544</v>
      </c>
      <c r="Z2338" s="4">
        <v>511</v>
      </c>
      <c r="AA2338" s="4">
        <v>556</v>
      </c>
      <c r="AB2338" s="4">
        <v>4</v>
      </c>
      <c r="AC2338" s="4">
        <v>4</v>
      </c>
      <c r="AD2338" s="4">
        <v>9</v>
      </c>
      <c r="AE2338" s="4">
        <v>9</v>
      </c>
      <c r="AF2338" s="4">
        <v>2</v>
      </c>
      <c r="AG2338" s="4">
        <v>2</v>
      </c>
      <c r="AH2338" s="4">
        <v>2</v>
      </c>
      <c r="AI2338" s="4">
        <v>2</v>
      </c>
      <c r="AJ2338" s="4">
        <v>5</v>
      </c>
      <c r="AK2338" s="4">
        <v>5</v>
      </c>
      <c r="AL2338" s="4">
        <v>2</v>
      </c>
      <c r="AM2338" s="4">
        <v>2</v>
      </c>
      <c r="AN2338" s="4">
        <v>0</v>
      </c>
      <c r="AO2338" s="4">
        <v>0</v>
      </c>
      <c r="AP2338" s="3" t="s">
        <v>58</v>
      </c>
      <c r="AQ2338" s="3" t="s">
        <v>68</v>
      </c>
      <c r="AR2338" s="6" t="str">
        <f>HYPERLINK("http://catalog.hathitrust.org/Record/004201090","HathiTrust Record")</f>
        <v>HathiTrust Record</v>
      </c>
      <c r="AS2338" s="6" t="str">
        <f>HYPERLINK("https://creighton-primo.hosted.exlibrisgroup.com/primo-explore/search?tab=default_tab&amp;search_scope=EVERYTHING&amp;vid=01CRU&amp;lang=en_US&amp;offset=0&amp;query=any,contains,991003593199702656","Catalog Record")</f>
        <v>Catalog Record</v>
      </c>
      <c r="AT2338" s="6" t="str">
        <f>HYPERLINK("http://www.worldcat.org/oclc/45835549","WorldCat Record")</f>
        <v>WorldCat Record</v>
      </c>
      <c r="AU2338" s="3" t="s">
        <v>28517</v>
      </c>
      <c r="AV2338" s="3" t="s">
        <v>28518</v>
      </c>
      <c r="AW2338" s="3" t="s">
        <v>28519</v>
      </c>
      <c r="AX2338" s="3" t="s">
        <v>28519</v>
      </c>
      <c r="AY2338" s="3" t="s">
        <v>28520</v>
      </c>
      <c r="AZ2338" s="3" t="s">
        <v>73</v>
      </c>
      <c r="BB2338" s="3" t="s">
        <v>28521</v>
      </c>
      <c r="BC2338" s="3" t="s">
        <v>28522</v>
      </c>
      <c r="BD2338" s="3" t="s">
        <v>28523</v>
      </c>
    </row>
    <row r="2339" spans="1:56" ht="51" customHeight="1" x14ac:dyDescent="0.25">
      <c r="A2339" s="7" t="s">
        <v>58</v>
      </c>
      <c r="B2339" s="2" t="s">
        <v>28524</v>
      </c>
      <c r="C2339" s="2" t="s">
        <v>28525</v>
      </c>
      <c r="D2339" s="2" t="s">
        <v>28526</v>
      </c>
      <c r="F2339" s="3" t="s">
        <v>58</v>
      </c>
      <c r="G2339" s="3" t="s">
        <v>59</v>
      </c>
      <c r="H2339" s="3" t="s">
        <v>58</v>
      </c>
      <c r="I2339" s="3" t="s">
        <v>68</v>
      </c>
      <c r="J2339" s="3" t="s">
        <v>60</v>
      </c>
      <c r="K2339" s="2" t="s">
        <v>26717</v>
      </c>
      <c r="L2339" s="2" t="s">
        <v>12418</v>
      </c>
      <c r="M2339" s="3" t="s">
        <v>552</v>
      </c>
      <c r="O2339" s="3" t="s">
        <v>63</v>
      </c>
      <c r="P2339" s="3" t="s">
        <v>2630</v>
      </c>
      <c r="Q2339" s="2" t="s">
        <v>20195</v>
      </c>
      <c r="R2339" s="3" t="s">
        <v>65</v>
      </c>
      <c r="S2339" s="4">
        <v>11</v>
      </c>
      <c r="T2339" s="4">
        <v>11</v>
      </c>
      <c r="U2339" s="5" t="s">
        <v>8063</v>
      </c>
      <c r="V2339" s="5" t="s">
        <v>8063</v>
      </c>
      <c r="W2339" s="5" t="s">
        <v>19637</v>
      </c>
      <c r="X2339" s="5" t="s">
        <v>19637</v>
      </c>
      <c r="Y2339" s="4">
        <v>489</v>
      </c>
      <c r="Z2339" s="4">
        <v>392</v>
      </c>
      <c r="AA2339" s="4">
        <v>1128</v>
      </c>
      <c r="AB2339" s="4">
        <v>1</v>
      </c>
      <c r="AC2339" s="4">
        <v>7</v>
      </c>
      <c r="AD2339" s="4">
        <v>11</v>
      </c>
      <c r="AE2339" s="4">
        <v>35</v>
      </c>
      <c r="AF2339" s="4">
        <v>4</v>
      </c>
      <c r="AG2339" s="4">
        <v>14</v>
      </c>
      <c r="AH2339" s="4">
        <v>5</v>
      </c>
      <c r="AI2339" s="4">
        <v>8</v>
      </c>
      <c r="AJ2339" s="4">
        <v>7</v>
      </c>
      <c r="AK2339" s="4">
        <v>15</v>
      </c>
      <c r="AL2339" s="4">
        <v>0</v>
      </c>
      <c r="AM2339" s="4">
        <v>6</v>
      </c>
      <c r="AN2339" s="4">
        <v>0</v>
      </c>
      <c r="AO2339" s="4">
        <v>0</v>
      </c>
      <c r="AP2339" s="3" t="s">
        <v>58</v>
      </c>
      <c r="AQ2339" s="3" t="s">
        <v>68</v>
      </c>
      <c r="AR2339" s="6" t="str">
        <f>HYPERLINK("http://catalog.hathitrust.org/Record/001837915","HathiTrust Record")</f>
        <v>HathiTrust Record</v>
      </c>
      <c r="AS2339" s="6" t="str">
        <f>HYPERLINK("https://creighton-primo.hosted.exlibrisgroup.com/primo-explore/search?tab=default_tab&amp;search_scope=EVERYTHING&amp;vid=01CRU&amp;lang=en_US&amp;offset=0&amp;query=any,contains,991001097759702656","Catalog Record")</f>
        <v>Catalog Record</v>
      </c>
      <c r="AT2339" s="6" t="str">
        <f>HYPERLINK("http://www.worldcat.org/oclc/16277266","WorldCat Record")</f>
        <v>WorldCat Record</v>
      </c>
      <c r="AU2339" s="3" t="s">
        <v>28527</v>
      </c>
      <c r="AV2339" s="3" t="s">
        <v>28528</v>
      </c>
      <c r="AW2339" s="3" t="s">
        <v>28529</v>
      </c>
      <c r="AX2339" s="3" t="s">
        <v>28529</v>
      </c>
      <c r="AY2339" s="3" t="s">
        <v>28530</v>
      </c>
      <c r="AZ2339" s="3" t="s">
        <v>73</v>
      </c>
      <c r="BB2339" s="3" t="s">
        <v>28531</v>
      </c>
      <c r="BC2339" s="3" t="s">
        <v>28532</v>
      </c>
      <c r="BD2339" s="3" t="s">
        <v>28533</v>
      </c>
    </row>
    <row r="2340" spans="1:56" ht="51" customHeight="1" x14ac:dyDescent="0.25">
      <c r="A2340" s="7" t="s">
        <v>58</v>
      </c>
      <c r="B2340" s="2" t="s">
        <v>28534</v>
      </c>
      <c r="C2340" s="2" t="s">
        <v>28535</v>
      </c>
      <c r="D2340" s="2" t="s">
        <v>28536</v>
      </c>
      <c r="F2340" s="3" t="s">
        <v>58</v>
      </c>
      <c r="G2340" s="3" t="s">
        <v>59</v>
      </c>
      <c r="H2340" s="3" t="s">
        <v>58</v>
      </c>
      <c r="I2340" s="3" t="s">
        <v>58</v>
      </c>
      <c r="J2340" s="3" t="s">
        <v>60</v>
      </c>
      <c r="K2340" s="2" t="s">
        <v>28537</v>
      </c>
      <c r="L2340" s="2" t="s">
        <v>28538</v>
      </c>
      <c r="M2340" s="3" t="s">
        <v>368</v>
      </c>
      <c r="O2340" s="3" t="s">
        <v>63</v>
      </c>
      <c r="P2340" s="3" t="s">
        <v>584</v>
      </c>
      <c r="Q2340" s="2" t="s">
        <v>28539</v>
      </c>
      <c r="R2340" s="3" t="s">
        <v>65</v>
      </c>
      <c r="S2340" s="4">
        <v>1</v>
      </c>
      <c r="T2340" s="4">
        <v>1</v>
      </c>
      <c r="U2340" s="5" t="s">
        <v>26220</v>
      </c>
      <c r="V2340" s="5" t="s">
        <v>26220</v>
      </c>
      <c r="W2340" s="5" t="s">
        <v>23293</v>
      </c>
      <c r="X2340" s="5" t="s">
        <v>23293</v>
      </c>
      <c r="Y2340" s="4">
        <v>237</v>
      </c>
      <c r="Z2340" s="4">
        <v>128</v>
      </c>
      <c r="AA2340" s="4">
        <v>128</v>
      </c>
      <c r="AB2340" s="4">
        <v>2</v>
      </c>
      <c r="AC2340" s="4">
        <v>2</v>
      </c>
      <c r="AD2340" s="4">
        <v>4</v>
      </c>
      <c r="AE2340" s="4">
        <v>4</v>
      </c>
      <c r="AF2340" s="4">
        <v>0</v>
      </c>
      <c r="AG2340" s="4">
        <v>0</v>
      </c>
      <c r="AH2340" s="4">
        <v>1</v>
      </c>
      <c r="AI2340" s="4">
        <v>1</v>
      </c>
      <c r="AJ2340" s="4">
        <v>3</v>
      </c>
      <c r="AK2340" s="4">
        <v>3</v>
      </c>
      <c r="AL2340" s="4">
        <v>1</v>
      </c>
      <c r="AM2340" s="4">
        <v>1</v>
      </c>
      <c r="AN2340" s="4">
        <v>0</v>
      </c>
      <c r="AO2340" s="4">
        <v>0</v>
      </c>
      <c r="AP2340" s="3" t="s">
        <v>58</v>
      </c>
      <c r="AQ2340" s="3" t="s">
        <v>58</v>
      </c>
      <c r="AS2340" s="6" t="str">
        <f>HYPERLINK("https://creighton-primo.hosted.exlibrisgroup.com/primo-explore/search?tab=default_tab&amp;search_scope=EVERYTHING&amp;vid=01CRU&amp;lang=en_US&amp;offset=0&amp;query=any,contains,991004333479702656","Catalog Record")</f>
        <v>Catalog Record</v>
      </c>
      <c r="AT2340" s="6" t="str">
        <f>HYPERLINK("http://www.worldcat.org/oclc/3069540","WorldCat Record")</f>
        <v>WorldCat Record</v>
      </c>
      <c r="AU2340" s="3" t="s">
        <v>28540</v>
      </c>
      <c r="AV2340" s="3" t="s">
        <v>28541</v>
      </c>
      <c r="AW2340" s="3" t="s">
        <v>28542</v>
      </c>
      <c r="AX2340" s="3" t="s">
        <v>28542</v>
      </c>
      <c r="AY2340" s="3" t="s">
        <v>28543</v>
      </c>
      <c r="AZ2340" s="3" t="s">
        <v>73</v>
      </c>
      <c r="BB2340" s="3" t="s">
        <v>28544</v>
      </c>
      <c r="BC2340" s="3" t="s">
        <v>28545</v>
      </c>
      <c r="BD2340" s="3" t="s">
        <v>28546</v>
      </c>
    </row>
    <row r="2341" spans="1:56" ht="51" customHeight="1" x14ac:dyDescent="0.25">
      <c r="A2341" s="7" t="s">
        <v>58</v>
      </c>
      <c r="B2341" s="2" t="s">
        <v>28547</v>
      </c>
      <c r="C2341" s="2" t="s">
        <v>28548</v>
      </c>
      <c r="D2341" s="2" t="s">
        <v>28549</v>
      </c>
      <c r="F2341" s="3" t="s">
        <v>58</v>
      </c>
      <c r="G2341" s="3" t="s">
        <v>59</v>
      </c>
      <c r="H2341" s="3" t="s">
        <v>58</v>
      </c>
      <c r="I2341" s="3" t="s">
        <v>58</v>
      </c>
      <c r="J2341" s="3" t="s">
        <v>60</v>
      </c>
      <c r="L2341" s="2" t="s">
        <v>28550</v>
      </c>
      <c r="M2341" s="3" t="s">
        <v>382</v>
      </c>
      <c r="O2341" s="3" t="s">
        <v>63</v>
      </c>
      <c r="P2341" s="3" t="s">
        <v>214</v>
      </c>
      <c r="R2341" s="3" t="s">
        <v>65</v>
      </c>
      <c r="S2341" s="4">
        <v>8</v>
      </c>
      <c r="T2341" s="4">
        <v>8</v>
      </c>
      <c r="U2341" s="5" t="s">
        <v>6312</v>
      </c>
      <c r="V2341" s="5" t="s">
        <v>6312</v>
      </c>
      <c r="W2341" s="5" t="s">
        <v>2382</v>
      </c>
      <c r="X2341" s="5" t="s">
        <v>2382</v>
      </c>
      <c r="Y2341" s="4">
        <v>230</v>
      </c>
      <c r="Z2341" s="4">
        <v>170</v>
      </c>
      <c r="AA2341" s="4">
        <v>202</v>
      </c>
      <c r="AB2341" s="4">
        <v>2</v>
      </c>
      <c r="AC2341" s="4">
        <v>2</v>
      </c>
      <c r="AD2341" s="4">
        <v>9</v>
      </c>
      <c r="AE2341" s="4">
        <v>9</v>
      </c>
      <c r="AF2341" s="4">
        <v>4</v>
      </c>
      <c r="AG2341" s="4">
        <v>4</v>
      </c>
      <c r="AH2341" s="4">
        <v>3</v>
      </c>
      <c r="AI2341" s="4">
        <v>3</v>
      </c>
      <c r="AJ2341" s="4">
        <v>5</v>
      </c>
      <c r="AK2341" s="4">
        <v>5</v>
      </c>
      <c r="AL2341" s="4">
        <v>1</v>
      </c>
      <c r="AM2341" s="4">
        <v>1</v>
      </c>
      <c r="AN2341" s="4">
        <v>0</v>
      </c>
      <c r="AO2341" s="4">
        <v>0</v>
      </c>
      <c r="AP2341" s="3" t="s">
        <v>58</v>
      </c>
      <c r="AQ2341" s="3" t="s">
        <v>58</v>
      </c>
      <c r="AS2341" s="6" t="str">
        <f>HYPERLINK("https://creighton-primo.hosted.exlibrisgroup.com/primo-explore/search?tab=default_tab&amp;search_scope=EVERYTHING&amp;vid=01CRU&amp;lang=en_US&amp;offset=0&amp;query=any,contains,991003029369702656","Catalog Record")</f>
        <v>Catalog Record</v>
      </c>
      <c r="AT2341" s="6" t="str">
        <f>HYPERLINK("http://www.worldcat.org/oclc/41467819","WorldCat Record")</f>
        <v>WorldCat Record</v>
      </c>
      <c r="AU2341" s="3" t="s">
        <v>28551</v>
      </c>
      <c r="AV2341" s="3" t="s">
        <v>28552</v>
      </c>
      <c r="AW2341" s="3" t="s">
        <v>28553</v>
      </c>
      <c r="AX2341" s="3" t="s">
        <v>28553</v>
      </c>
      <c r="AY2341" s="3" t="s">
        <v>28554</v>
      </c>
      <c r="AZ2341" s="3" t="s">
        <v>73</v>
      </c>
      <c r="BB2341" s="3" t="s">
        <v>28555</v>
      </c>
      <c r="BC2341" s="3" t="s">
        <v>28556</v>
      </c>
      <c r="BD2341" s="3" t="s">
        <v>28557</v>
      </c>
    </row>
    <row r="2342" spans="1:56" ht="51" customHeight="1" x14ac:dyDescent="0.25">
      <c r="A2342" s="7" t="s">
        <v>58</v>
      </c>
      <c r="B2342" s="2" t="s">
        <v>28558</v>
      </c>
      <c r="C2342" s="2" t="s">
        <v>28559</v>
      </c>
      <c r="D2342" s="2" t="s">
        <v>28560</v>
      </c>
      <c r="F2342" s="3" t="s">
        <v>58</v>
      </c>
      <c r="G2342" s="3" t="s">
        <v>59</v>
      </c>
      <c r="H2342" s="3" t="s">
        <v>58</v>
      </c>
      <c r="I2342" s="3" t="s">
        <v>58</v>
      </c>
      <c r="J2342" s="3" t="s">
        <v>60</v>
      </c>
      <c r="K2342" s="2" t="s">
        <v>28561</v>
      </c>
      <c r="L2342" s="2" t="s">
        <v>28562</v>
      </c>
      <c r="M2342" s="3" t="s">
        <v>898</v>
      </c>
      <c r="O2342" s="3" t="s">
        <v>63</v>
      </c>
      <c r="P2342" s="3" t="s">
        <v>3109</v>
      </c>
      <c r="R2342" s="3" t="s">
        <v>65</v>
      </c>
      <c r="S2342" s="4">
        <v>3</v>
      </c>
      <c r="T2342" s="4">
        <v>3</v>
      </c>
      <c r="U2342" s="5" t="s">
        <v>19155</v>
      </c>
      <c r="V2342" s="5" t="s">
        <v>19155</v>
      </c>
      <c r="W2342" s="5" t="s">
        <v>20428</v>
      </c>
      <c r="X2342" s="5" t="s">
        <v>20428</v>
      </c>
      <c r="Y2342" s="4">
        <v>173</v>
      </c>
      <c r="Z2342" s="4">
        <v>125</v>
      </c>
      <c r="AA2342" s="4">
        <v>128</v>
      </c>
      <c r="AB2342" s="4">
        <v>1</v>
      </c>
      <c r="AC2342" s="4">
        <v>1</v>
      </c>
      <c r="AD2342" s="4">
        <v>4</v>
      </c>
      <c r="AE2342" s="4">
        <v>4</v>
      </c>
      <c r="AF2342" s="4">
        <v>1</v>
      </c>
      <c r="AG2342" s="4">
        <v>1</v>
      </c>
      <c r="AH2342" s="4">
        <v>2</v>
      </c>
      <c r="AI2342" s="4">
        <v>2</v>
      </c>
      <c r="AJ2342" s="4">
        <v>2</v>
      </c>
      <c r="AK2342" s="4">
        <v>2</v>
      </c>
      <c r="AL2342" s="4">
        <v>0</v>
      </c>
      <c r="AM2342" s="4">
        <v>0</v>
      </c>
      <c r="AN2342" s="4">
        <v>0</v>
      </c>
      <c r="AO2342" s="4">
        <v>0</v>
      </c>
      <c r="AP2342" s="3" t="s">
        <v>58</v>
      </c>
      <c r="AQ2342" s="3" t="s">
        <v>68</v>
      </c>
      <c r="AR2342" s="6" t="str">
        <f>HYPERLINK("http://catalog.hathitrust.org/Record/005272147","HathiTrust Record")</f>
        <v>HathiTrust Record</v>
      </c>
      <c r="AS2342" s="6" t="str">
        <f>HYPERLINK("https://creighton-primo.hosted.exlibrisgroup.com/primo-explore/search?tab=default_tab&amp;search_scope=EVERYTHING&amp;vid=01CRU&amp;lang=en_US&amp;offset=0&amp;query=any,contains,991004902329702656","Catalog Record")</f>
        <v>Catalog Record</v>
      </c>
      <c r="AT2342" s="6" t="str">
        <f>HYPERLINK("http://www.worldcat.org/oclc/123817322","WorldCat Record")</f>
        <v>WorldCat Record</v>
      </c>
      <c r="AU2342" s="3" t="s">
        <v>28563</v>
      </c>
      <c r="AV2342" s="3" t="s">
        <v>28564</v>
      </c>
      <c r="AW2342" s="3" t="s">
        <v>28565</v>
      </c>
      <c r="AX2342" s="3" t="s">
        <v>28565</v>
      </c>
      <c r="AY2342" s="3" t="s">
        <v>28566</v>
      </c>
      <c r="AZ2342" s="3" t="s">
        <v>73</v>
      </c>
      <c r="BB2342" s="3" t="s">
        <v>28567</v>
      </c>
      <c r="BC2342" s="3" t="s">
        <v>28568</v>
      </c>
      <c r="BD2342" s="3" t="s">
        <v>28569</v>
      </c>
    </row>
    <row r="2343" spans="1:56" ht="51" customHeight="1" x14ac:dyDescent="0.25">
      <c r="A2343" s="7" t="s">
        <v>58</v>
      </c>
      <c r="B2343" s="2" t="s">
        <v>28570</v>
      </c>
      <c r="C2343" s="2" t="s">
        <v>28571</v>
      </c>
      <c r="D2343" s="2" t="s">
        <v>28572</v>
      </c>
      <c r="F2343" s="3" t="s">
        <v>58</v>
      </c>
      <c r="G2343" s="3" t="s">
        <v>59</v>
      </c>
      <c r="H2343" s="3" t="s">
        <v>58</v>
      </c>
      <c r="I2343" s="3" t="s">
        <v>58</v>
      </c>
      <c r="J2343" s="3" t="s">
        <v>60</v>
      </c>
      <c r="L2343" s="2" t="s">
        <v>28573</v>
      </c>
      <c r="M2343" s="3" t="s">
        <v>1091</v>
      </c>
      <c r="O2343" s="3" t="s">
        <v>63</v>
      </c>
      <c r="P2343" s="3" t="s">
        <v>584</v>
      </c>
      <c r="Q2343" s="2" t="s">
        <v>28574</v>
      </c>
      <c r="R2343" s="3" t="s">
        <v>65</v>
      </c>
      <c r="S2343" s="4">
        <v>3</v>
      </c>
      <c r="T2343" s="4">
        <v>3</v>
      </c>
      <c r="U2343" s="5" t="s">
        <v>28575</v>
      </c>
      <c r="V2343" s="5" t="s">
        <v>28575</v>
      </c>
      <c r="W2343" s="5" t="s">
        <v>3310</v>
      </c>
      <c r="X2343" s="5" t="s">
        <v>3310</v>
      </c>
      <c r="Y2343" s="4">
        <v>233</v>
      </c>
      <c r="Z2343" s="4">
        <v>145</v>
      </c>
      <c r="AA2343" s="4">
        <v>146</v>
      </c>
      <c r="AB2343" s="4">
        <v>1</v>
      </c>
      <c r="AC2343" s="4">
        <v>1</v>
      </c>
      <c r="AD2343" s="4">
        <v>7</v>
      </c>
      <c r="AE2343" s="4">
        <v>7</v>
      </c>
      <c r="AF2343" s="4">
        <v>3</v>
      </c>
      <c r="AG2343" s="4">
        <v>3</v>
      </c>
      <c r="AH2343" s="4">
        <v>4</v>
      </c>
      <c r="AI2343" s="4">
        <v>4</v>
      </c>
      <c r="AJ2343" s="4">
        <v>3</v>
      </c>
      <c r="AK2343" s="4">
        <v>3</v>
      </c>
      <c r="AL2343" s="4">
        <v>0</v>
      </c>
      <c r="AM2343" s="4">
        <v>0</v>
      </c>
      <c r="AN2343" s="4">
        <v>0</v>
      </c>
      <c r="AO2343" s="4">
        <v>0</v>
      </c>
      <c r="AP2343" s="3" t="s">
        <v>58</v>
      </c>
      <c r="AQ2343" s="3" t="s">
        <v>58</v>
      </c>
      <c r="AS2343" s="6" t="str">
        <f>HYPERLINK("https://creighton-primo.hosted.exlibrisgroup.com/primo-explore/search?tab=default_tab&amp;search_scope=EVERYTHING&amp;vid=01CRU&amp;lang=en_US&amp;offset=0&amp;query=any,contains,991003999729702656","Catalog Record")</f>
        <v>Catalog Record</v>
      </c>
      <c r="AT2343" s="6" t="str">
        <f>HYPERLINK("http://www.worldcat.org/oclc/45909180","WorldCat Record")</f>
        <v>WorldCat Record</v>
      </c>
      <c r="AU2343" s="3" t="s">
        <v>28576</v>
      </c>
      <c r="AV2343" s="3" t="s">
        <v>28577</v>
      </c>
      <c r="AW2343" s="3" t="s">
        <v>28578</v>
      </c>
      <c r="AX2343" s="3" t="s">
        <v>28578</v>
      </c>
      <c r="AY2343" s="3" t="s">
        <v>28579</v>
      </c>
      <c r="AZ2343" s="3" t="s">
        <v>73</v>
      </c>
      <c r="BB2343" s="3" t="s">
        <v>28580</v>
      </c>
      <c r="BC2343" s="3" t="s">
        <v>28581</v>
      </c>
      <c r="BD2343" s="3" t="s">
        <v>28582</v>
      </c>
    </row>
    <row r="2344" spans="1:56" ht="51" customHeight="1" x14ac:dyDescent="0.25">
      <c r="A2344" s="7" t="s">
        <v>58</v>
      </c>
      <c r="B2344" s="2" t="s">
        <v>28583</v>
      </c>
      <c r="C2344" s="2" t="s">
        <v>28584</v>
      </c>
      <c r="D2344" s="2" t="s">
        <v>28585</v>
      </c>
      <c r="F2344" s="3" t="s">
        <v>58</v>
      </c>
      <c r="G2344" s="3" t="s">
        <v>59</v>
      </c>
      <c r="H2344" s="3" t="s">
        <v>58</v>
      </c>
      <c r="I2344" s="3" t="s">
        <v>58</v>
      </c>
      <c r="J2344" s="3" t="s">
        <v>60</v>
      </c>
      <c r="K2344" s="2" t="s">
        <v>28586</v>
      </c>
      <c r="L2344" s="2" t="s">
        <v>4088</v>
      </c>
      <c r="M2344" s="3" t="s">
        <v>2326</v>
      </c>
      <c r="O2344" s="3" t="s">
        <v>63</v>
      </c>
      <c r="P2344" s="3" t="s">
        <v>3109</v>
      </c>
      <c r="R2344" s="3" t="s">
        <v>65</v>
      </c>
      <c r="S2344" s="4">
        <v>1</v>
      </c>
      <c r="T2344" s="4">
        <v>1</v>
      </c>
      <c r="U2344" s="5" t="s">
        <v>4089</v>
      </c>
      <c r="V2344" s="5" t="s">
        <v>4089</v>
      </c>
      <c r="W2344" s="5" t="s">
        <v>4089</v>
      </c>
      <c r="X2344" s="5" t="s">
        <v>4089</v>
      </c>
      <c r="Y2344" s="4">
        <v>96</v>
      </c>
      <c r="Z2344" s="4">
        <v>67</v>
      </c>
      <c r="AA2344" s="4">
        <v>84</v>
      </c>
      <c r="AB2344" s="4">
        <v>1</v>
      </c>
      <c r="AC2344" s="4">
        <v>1</v>
      </c>
      <c r="AD2344" s="4">
        <v>0</v>
      </c>
      <c r="AE2344" s="4">
        <v>1</v>
      </c>
      <c r="AF2344" s="4">
        <v>0</v>
      </c>
      <c r="AG2344" s="4">
        <v>1</v>
      </c>
      <c r="AH2344" s="4">
        <v>0</v>
      </c>
      <c r="AI2344" s="4">
        <v>1</v>
      </c>
      <c r="AJ2344" s="4">
        <v>0</v>
      </c>
      <c r="AK2344" s="4">
        <v>0</v>
      </c>
      <c r="AL2344" s="4">
        <v>0</v>
      </c>
      <c r="AM2344" s="4">
        <v>0</v>
      </c>
      <c r="AN2344" s="4">
        <v>0</v>
      </c>
      <c r="AO2344" s="4">
        <v>0</v>
      </c>
      <c r="AP2344" s="3" t="s">
        <v>58</v>
      </c>
      <c r="AQ2344" s="3" t="s">
        <v>68</v>
      </c>
      <c r="AR2344" s="6" t="str">
        <f>HYPERLINK("http://catalog.hathitrust.org/Record/006836055","HathiTrust Record")</f>
        <v>HathiTrust Record</v>
      </c>
      <c r="AS2344" s="6" t="str">
        <f>HYPERLINK("https://creighton-primo.hosted.exlibrisgroup.com/primo-explore/search?tab=default_tab&amp;search_scope=EVERYTHING&amp;vid=01CRU&amp;lang=en_US&amp;offset=0&amp;query=any,contains,991005374569702656","Catalog Record")</f>
        <v>Catalog Record</v>
      </c>
      <c r="AT2344" s="6" t="str">
        <f>HYPERLINK("http://www.worldcat.org/oclc/297206834","WorldCat Record")</f>
        <v>WorldCat Record</v>
      </c>
      <c r="AU2344" s="3" t="s">
        <v>28587</v>
      </c>
      <c r="AV2344" s="3" t="s">
        <v>28588</v>
      </c>
      <c r="AW2344" s="3" t="s">
        <v>28589</v>
      </c>
      <c r="AX2344" s="3" t="s">
        <v>28589</v>
      </c>
      <c r="AY2344" s="3" t="s">
        <v>28590</v>
      </c>
      <c r="AZ2344" s="3" t="s">
        <v>73</v>
      </c>
      <c r="BB2344" s="3" t="s">
        <v>28591</v>
      </c>
      <c r="BC2344" s="3" t="s">
        <v>28592</v>
      </c>
      <c r="BD2344" s="3" t="s">
        <v>28593</v>
      </c>
    </row>
    <row r="2345" spans="1:56" ht="51" customHeight="1" x14ac:dyDescent="0.25">
      <c r="A2345" s="7" t="s">
        <v>58</v>
      </c>
      <c r="B2345" s="2" t="s">
        <v>28594</v>
      </c>
      <c r="C2345" s="2" t="s">
        <v>28595</v>
      </c>
      <c r="D2345" s="2" t="s">
        <v>28596</v>
      </c>
      <c r="F2345" s="3" t="s">
        <v>58</v>
      </c>
      <c r="G2345" s="3" t="s">
        <v>59</v>
      </c>
      <c r="H2345" s="3" t="s">
        <v>58</v>
      </c>
      <c r="I2345" s="3" t="s">
        <v>58</v>
      </c>
      <c r="J2345" s="3" t="s">
        <v>60</v>
      </c>
      <c r="L2345" s="2" t="s">
        <v>28597</v>
      </c>
      <c r="M2345" s="3" t="s">
        <v>759</v>
      </c>
      <c r="O2345" s="3" t="s">
        <v>63</v>
      </c>
      <c r="P2345" s="3" t="s">
        <v>214</v>
      </c>
      <c r="R2345" s="3" t="s">
        <v>65</v>
      </c>
      <c r="S2345" s="4">
        <v>3</v>
      </c>
      <c r="T2345" s="4">
        <v>3</v>
      </c>
      <c r="U2345" s="5" t="s">
        <v>28598</v>
      </c>
      <c r="V2345" s="5" t="s">
        <v>28598</v>
      </c>
      <c r="W2345" s="5" t="s">
        <v>26573</v>
      </c>
      <c r="X2345" s="5" t="s">
        <v>26573</v>
      </c>
      <c r="Y2345" s="4">
        <v>231</v>
      </c>
      <c r="Z2345" s="4">
        <v>185</v>
      </c>
      <c r="AA2345" s="4">
        <v>199</v>
      </c>
      <c r="AB2345" s="4">
        <v>2</v>
      </c>
      <c r="AC2345" s="4">
        <v>2</v>
      </c>
      <c r="AD2345" s="4">
        <v>6</v>
      </c>
      <c r="AE2345" s="4">
        <v>6</v>
      </c>
      <c r="AF2345" s="4">
        <v>1</v>
      </c>
      <c r="AG2345" s="4">
        <v>1</v>
      </c>
      <c r="AH2345" s="4">
        <v>2</v>
      </c>
      <c r="AI2345" s="4">
        <v>2</v>
      </c>
      <c r="AJ2345" s="4">
        <v>3</v>
      </c>
      <c r="AK2345" s="4">
        <v>3</v>
      </c>
      <c r="AL2345" s="4">
        <v>1</v>
      </c>
      <c r="AM2345" s="4">
        <v>1</v>
      </c>
      <c r="AN2345" s="4">
        <v>0</v>
      </c>
      <c r="AO2345" s="4">
        <v>0</v>
      </c>
      <c r="AP2345" s="3" t="s">
        <v>58</v>
      </c>
      <c r="AQ2345" s="3" t="s">
        <v>68</v>
      </c>
      <c r="AR2345" s="6" t="str">
        <f>HYPERLINK("http://catalog.hathitrust.org/Record/004502180","HathiTrust Record")</f>
        <v>HathiTrust Record</v>
      </c>
      <c r="AS2345" s="6" t="str">
        <f>HYPERLINK("https://creighton-primo.hosted.exlibrisgroup.com/primo-explore/search?tab=default_tab&amp;search_scope=EVERYTHING&amp;vid=01CRU&amp;lang=en_US&amp;offset=0&amp;query=any,contains,991004988729702656","Catalog Record")</f>
        <v>Catalog Record</v>
      </c>
      <c r="AT2345" s="6" t="str">
        <f>HYPERLINK("http://www.worldcat.org/oclc/6483055","WorldCat Record")</f>
        <v>WorldCat Record</v>
      </c>
      <c r="AU2345" s="3" t="s">
        <v>28599</v>
      </c>
      <c r="AV2345" s="3" t="s">
        <v>28600</v>
      </c>
      <c r="AW2345" s="3" t="s">
        <v>28601</v>
      </c>
      <c r="AX2345" s="3" t="s">
        <v>28601</v>
      </c>
      <c r="AY2345" s="3" t="s">
        <v>28602</v>
      </c>
      <c r="AZ2345" s="3" t="s">
        <v>73</v>
      </c>
      <c r="BB2345" s="3" t="s">
        <v>28603</v>
      </c>
      <c r="BC2345" s="3" t="s">
        <v>28604</v>
      </c>
      <c r="BD2345" s="3" t="s">
        <v>28605</v>
      </c>
    </row>
    <row r="2346" spans="1:56" ht="51" customHeight="1" x14ac:dyDescent="0.25">
      <c r="A2346" s="7" t="s">
        <v>58</v>
      </c>
      <c r="B2346" s="2" t="s">
        <v>28606</v>
      </c>
      <c r="C2346" s="2" t="s">
        <v>28607</v>
      </c>
      <c r="D2346" s="2" t="s">
        <v>28608</v>
      </c>
      <c r="F2346" s="3" t="s">
        <v>58</v>
      </c>
      <c r="G2346" s="3" t="s">
        <v>59</v>
      </c>
      <c r="H2346" s="3" t="s">
        <v>58</v>
      </c>
      <c r="I2346" s="3" t="s">
        <v>58</v>
      </c>
      <c r="J2346" s="3" t="s">
        <v>60</v>
      </c>
      <c r="K2346" s="2" t="s">
        <v>28609</v>
      </c>
      <c r="L2346" s="2" t="s">
        <v>28610</v>
      </c>
      <c r="M2346" s="3" t="s">
        <v>423</v>
      </c>
      <c r="O2346" s="3" t="s">
        <v>63</v>
      </c>
      <c r="P2346" s="3" t="s">
        <v>584</v>
      </c>
      <c r="R2346" s="3" t="s">
        <v>65</v>
      </c>
      <c r="S2346" s="4">
        <v>3</v>
      </c>
      <c r="T2346" s="4">
        <v>3</v>
      </c>
      <c r="U2346" s="5" t="s">
        <v>28611</v>
      </c>
      <c r="V2346" s="5" t="s">
        <v>28611</v>
      </c>
      <c r="W2346" s="5" t="s">
        <v>3788</v>
      </c>
      <c r="X2346" s="5" t="s">
        <v>3788</v>
      </c>
      <c r="Y2346" s="4">
        <v>251</v>
      </c>
      <c r="Z2346" s="4">
        <v>181</v>
      </c>
      <c r="AA2346" s="4">
        <v>182</v>
      </c>
      <c r="AB2346" s="4">
        <v>1</v>
      </c>
      <c r="AC2346" s="4">
        <v>1</v>
      </c>
      <c r="AD2346" s="4">
        <v>7</v>
      </c>
      <c r="AE2346" s="4">
        <v>7</v>
      </c>
      <c r="AF2346" s="4">
        <v>1</v>
      </c>
      <c r="AG2346" s="4">
        <v>1</v>
      </c>
      <c r="AH2346" s="4">
        <v>4</v>
      </c>
      <c r="AI2346" s="4">
        <v>4</v>
      </c>
      <c r="AJ2346" s="4">
        <v>5</v>
      </c>
      <c r="AK2346" s="4">
        <v>5</v>
      </c>
      <c r="AL2346" s="4">
        <v>0</v>
      </c>
      <c r="AM2346" s="4">
        <v>0</v>
      </c>
      <c r="AN2346" s="4">
        <v>0</v>
      </c>
      <c r="AO2346" s="4">
        <v>0</v>
      </c>
      <c r="AP2346" s="3" t="s">
        <v>58</v>
      </c>
      <c r="AQ2346" s="3" t="s">
        <v>68</v>
      </c>
      <c r="AR2346" s="6" t="str">
        <f>HYPERLINK("http://catalog.hathitrust.org/Record/003998990","HathiTrust Record")</f>
        <v>HathiTrust Record</v>
      </c>
      <c r="AS2346" s="6" t="str">
        <f>HYPERLINK("https://creighton-primo.hosted.exlibrisgroup.com/primo-explore/search?tab=default_tab&amp;search_scope=EVERYTHING&amp;vid=01CRU&amp;lang=en_US&amp;offset=0&amp;query=any,contains,991003876069702656","Catalog Record")</f>
        <v>Catalog Record</v>
      </c>
      <c r="AT2346" s="6" t="str">
        <f>HYPERLINK("http://www.worldcat.org/oclc/39291674","WorldCat Record")</f>
        <v>WorldCat Record</v>
      </c>
      <c r="AU2346" s="3" t="s">
        <v>28612</v>
      </c>
      <c r="AV2346" s="3" t="s">
        <v>28613</v>
      </c>
      <c r="AW2346" s="3" t="s">
        <v>28614</v>
      </c>
      <c r="AX2346" s="3" t="s">
        <v>28614</v>
      </c>
      <c r="AY2346" s="3" t="s">
        <v>28615</v>
      </c>
      <c r="AZ2346" s="3" t="s">
        <v>73</v>
      </c>
      <c r="BB2346" s="3" t="s">
        <v>28616</v>
      </c>
      <c r="BC2346" s="3" t="s">
        <v>28617</v>
      </c>
      <c r="BD2346" s="3" t="s">
        <v>28618</v>
      </c>
    </row>
    <row r="2347" spans="1:56" ht="51" customHeight="1" x14ac:dyDescent="0.25">
      <c r="A2347" s="7" t="s">
        <v>58</v>
      </c>
      <c r="B2347" s="2" t="s">
        <v>28619</v>
      </c>
      <c r="C2347" s="2" t="s">
        <v>28620</v>
      </c>
      <c r="D2347" s="2" t="s">
        <v>28621</v>
      </c>
      <c r="F2347" s="3" t="s">
        <v>58</v>
      </c>
      <c r="G2347" s="3" t="s">
        <v>59</v>
      </c>
      <c r="H2347" s="3" t="s">
        <v>58</v>
      </c>
      <c r="I2347" s="3" t="s">
        <v>58</v>
      </c>
      <c r="J2347" s="3" t="s">
        <v>60</v>
      </c>
      <c r="K2347" s="2" t="s">
        <v>28622</v>
      </c>
      <c r="L2347" s="2" t="s">
        <v>16111</v>
      </c>
      <c r="M2347" s="3" t="s">
        <v>951</v>
      </c>
      <c r="O2347" s="3" t="s">
        <v>63</v>
      </c>
      <c r="P2347" s="3" t="s">
        <v>816</v>
      </c>
      <c r="R2347" s="3" t="s">
        <v>65</v>
      </c>
      <c r="S2347" s="4">
        <v>3</v>
      </c>
      <c r="T2347" s="4">
        <v>3</v>
      </c>
      <c r="U2347" s="5" t="s">
        <v>28623</v>
      </c>
      <c r="V2347" s="5" t="s">
        <v>28623</v>
      </c>
      <c r="W2347" s="5" t="s">
        <v>4972</v>
      </c>
      <c r="X2347" s="5" t="s">
        <v>4972</v>
      </c>
      <c r="Y2347" s="4">
        <v>624</v>
      </c>
      <c r="Z2347" s="4">
        <v>526</v>
      </c>
      <c r="AA2347" s="4">
        <v>533</v>
      </c>
      <c r="AB2347" s="4">
        <v>3</v>
      </c>
      <c r="AC2347" s="4">
        <v>3</v>
      </c>
      <c r="AD2347" s="4">
        <v>28</v>
      </c>
      <c r="AE2347" s="4">
        <v>28</v>
      </c>
      <c r="AF2347" s="4">
        <v>10</v>
      </c>
      <c r="AG2347" s="4">
        <v>10</v>
      </c>
      <c r="AH2347" s="4">
        <v>8</v>
      </c>
      <c r="AI2347" s="4">
        <v>8</v>
      </c>
      <c r="AJ2347" s="4">
        <v>14</v>
      </c>
      <c r="AK2347" s="4">
        <v>14</v>
      </c>
      <c r="AL2347" s="4">
        <v>2</v>
      </c>
      <c r="AM2347" s="4">
        <v>2</v>
      </c>
      <c r="AN2347" s="4">
        <v>2</v>
      </c>
      <c r="AO2347" s="4">
        <v>2</v>
      </c>
      <c r="AP2347" s="3" t="s">
        <v>58</v>
      </c>
      <c r="AQ2347" s="3" t="s">
        <v>68</v>
      </c>
      <c r="AR2347" s="6" t="str">
        <f>HYPERLINK("http://catalog.hathitrust.org/Record/004129968","HathiTrust Record")</f>
        <v>HathiTrust Record</v>
      </c>
      <c r="AS2347" s="6" t="str">
        <f>HYPERLINK("https://creighton-primo.hosted.exlibrisgroup.com/primo-explore/search?tab=default_tab&amp;search_scope=EVERYTHING&amp;vid=01CRU&amp;lang=en_US&amp;offset=0&amp;query=any,contains,991003696309702656","Catalog Record")</f>
        <v>Catalog Record</v>
      </c>
      <c r="AT2347" s="6" t="str">
        <f>HYPERLINK("http://www.worldcat.org/oclc/43708530","WorldCat Record")</f>
        <v>WorldCat Record</v>
      </c>
      <c r="AU2347" s="3" t="s">
        <v>28624</v>
      </c>
      <c r="AV2347" s="3" t="s">
        <v>28625</v>
      </c>
      <c r="AW2347" s="3" t="s">
        <v>28626</v>
      </c>
      <c r="AX2347" s="3" t="s">
        <v>28626</v>
      </c>
      <c r="AY2347" s="3" t="s">
        <v>28627</v>
      </c>
      <c r="AZ2347" s="3" t="s">
        <v>73</v>
      </c>
      <c r="BB2347" s="3" t="s">
        <v>28628</v>
      </c>
      <c r="BC2347" s="3" t="s">
        <v>28629</v>
      </c>
      <c r="BD2347" s="3" t="s">
        <v>28630</v>
      </c>
    </row>
    <row r="2348" spans="1:56" ht="51" customHeight="1" x14ac:dyDescent="0.25">
      <c r="A2348" s="7" t="s">
        <v>58</v>
      </c>
      <c r="B2348" s="2" t="s">
        <v>28631</v>
      </c>
      <c r="C2348" s="2" t="s">
        <v>28632</v>
      </c>
      <c r="D2348" s="2" t="s">
        <v>28633</v>
      </c>
      <c r="F2348" s="3" t="s">
        <v>58</v>
      </c>
      <c r="G2348" s="3" t="s">
        <v>59</v>
      </c>
      <c r="H2348" s="3" t="s">
        <v>58</v>
      </c>
      <c r="I2348" s="3" t="s">
        <v>58</v>
      </c>
      <c r="J2348" s="3" t="s">
        <v>60</v>
      </c>
      <c r="K2348" s="2" t="s">
        <v>28634</v>
      </c>
      <c r="L2348" s="2" t="s">
        <v>28635</v>
      </c>
      <c r="M2348" s="3" t="s">
        <v>1091</v>
      </c>
      <c r="O2348" s="3" t="s">
        <v>63</v>
      </c>
      <c r="P2348" s="3" t="s">
        <v>20170</v>
      </c>
      <c r="R2348" s="3" t="s">
        <v>65</v>
      </c>
      <c r="S2348" s="4">
        <v>5</v>
      </c>
      <c r="T2348" s="4">
        <v>5</v>
      </c>
      <c r="U2348" s="5" t="s">
        <v>28611</v>
      </c>
      <c r="V2348" s="5" t="s">
        <v>28611</v>
      </c>
      <c r="W2348" s="5" t="s">
        <v>19221</v>
      </c>
      <c r="X2348" s="5" t="s">
        <v>19221</v>
      </c>
      <c r="Y2348" s="4">
        <v>159</v>
      </c>
      <c r="Z2348" s="4">
        <v>115</v>
      </c>
      <c r="AA2348" s="4">
        <v>360</v>
      </c>
      <c r="AB2348" s="4">
        <v>2</v>
      </c>
      <c r="AC2348" s="4">
        <v>3</v>
      </c>
      <c r="AD2348" s="4">
        <v>8</v>
      </c>
      <c r="AE2348" s="4">
        <v>14</v>
      </c>
      <c r="AF2348" s="4">
        <v>2</v>
      </c>
      <c r="AG2348" s="4">
        <v>3</v>
      </c>
      <c r="AH2348" s="4">
        <v>3</v>
      </c>
      <c r="AI2348" s="4">
        <v>5</v>
      </c>
      <c r="AJ2348" s="4">
        <v>6</v>
      </c>
      <c r="AK2348" s="4">
        <v>9</v>
      </c>
      <c r="AL2348" s="4">
        <v>1</v>
      </c>
      <c r="AM2348" s="4">
        <v>2</v>
      </c>
      <c r="AN2348" s="4">
        <v>0</v>
      </c>
      <c r="AO2348" s="4">
        <v>0</v>
      </c>
      <c r="AP2348" s="3" t="s">
        <v>58</v>
      </c>
      <c r="AQ2348" s="3" t="s">
        <v>58</v>
      </c>
      <c r="AS2348" s="6" t="str">
        <f>HYPERLINK("https://creighton-primo.hosted.exlibrisgroup.com/primo-explore/search?tab=default_tab&amp;search_scope=EVERYTHING&amp;vid=01CRU&amp;lang=en_US&amp;offset=0&amp;query=any,contains,991003538319702656","Catalog Record")</f>
        <v>Catalog Record</v>
      </c>
      <c r="AT2348" s="6" t="str">
        <f>HYPERLINK("http://www.worldcat.org/oclc/45945321","WorldCat Record")</f>
        <v>WorldCat Record</v>
      </c>
      <c r="AU2348" s="3" t="s">
        <v>28636</v>
      </c>
      <c r="AV2348" s="3" t="s">
        <v>28637</v>
      </c>
      <c r="AW2348" s="3" t="s">
        <v>28638</v>
      </c>
      <c r="AX2348" s="3" t="s">
        <v>28638</v>
      </c>
      <c r="AY2348" s="3" t="s">
        <v>28639</v>
      </c>
      <c r="AZ2348" s="3" t="s">
        <v>73</v>
      </c>
      <c r="BB2348" s="3" t="s">
        <v>28640</v>
      </c>
      <c r="BC2348" s="3" t="s">
        <v>28641</v>
      </c>
      <c r="BD2348" s="3" t="s">
        <v>28642</v>
      </c>
    </row>
    <row r="2349" spans="1:56" ht="51" customHeight="1" x14ac:dyDescent="0.25">
      <c r="A2349" s="7" t="s">
        <v>58</v>
      </c>
      <c r="B2349" s="2" t="s">
        <v>28643</v>
      </c>
      <c r="C2349" s="2" t="s">
        <v>28644</v>
      </c>
      <c r="D2349" s="2" t="s">
        <v>28645</v>
      </c>
      <c r="F2349" s="3" t="s">
        <v>58</v>
      </c>
      <c r="G2349" s="3" t="s">
        <v>59</v>
      </c>
      <c r="H2349" s="3" t="s">
        <v>58</v>
      </c>
      <c r="I2349" s="3" t="s">
        <v>58</v>
      </c>
      <c r="J2349" s="3" t="s">
        <v>60</v>
      </c>
      <c r="K2349" s="2" t="s">
        <v>26717</v>
      </c>
      <c r="L2349" s="2" t="s">
        <v>28646</v>
      </c>
      <c r="M2349" s="3" t="s">
        <v>382</v>
      </c>
      <c r="O2349" s="3" t="s">
        <v>63</v>
      </c>
      <c r="P2349" s="3" t="s">
        <v>3109</v>
      </c>
      <c r="R2349" s="3" t="s">
        <v>65</v>
      </c>
      <c r="S2349" s="4">
        <v>4</v>
      </c>
      <c r="T2349" s="4">
        <v>4</v>
      </c>
      <c r="U2349" s="5" t="s">
        <v>28647</v>
      </c>
      <c r="V2349" s="5" t="s">
        <v>28647</v>
      </c>
      <c r="W2349" s="5" t="s">
        <v>26925</v>
      </c>
      <c r="X2349" s="5" t="s">
        <v>26925</v>
      </c>
      <c r="Y2349" s="4">
        <v>147</v>
      </c>
      <c r="Z2349" s="4">
        <v>119</v>
      </c>
      <c r="AA2349" s="4">
        <v>121</v>
      </c>
      <c r="AB2349" s="4">
        <v>2</v>
      </c>
      <c r="AC2349" s="4">
        <v>2</v>
      </c>
      <c r="AD2349" s="4">
        <v>7</v>
      </c>
      <c r="AE2349" s="4">
        <v>7</v>
      </c>
      <c r="AF2349" s="4">
        <v>1</v>
      </c>
      <c r="AG2349" s="4">
        <v>1</v>
      </c>
      <c r="AH2349" s="4">
        <v>2</v>
      </c>
      <c r="AI2349" s="4">
        <v>2</v>
      </c>
      <c r="AJ2349" s="4">
        <v>5</v>
      </c>
      <c r="AK2349" s="4">
        <v>5</v>
      </c>
      <c r="AL2349" s="4">
        <v>1</v>
      </c>
      <c r="AM2349" s="4">
        <v>1</v>
      </c>
      <c r="AN2349" s="4">
        <v>0</v>
      </c>
      <c r="AO2349" s="4">
        <v>0</v>
      </c>
      <c r="AP2349" s="3" t="s">
        <v>58</v>
      </c>
      <c r="AQ2349" s="3" t="s">
        <v>68</v>
      </c>
      <c r="AR2349" s="6" t="str">
        <f>HYPERLINK("http://catalog.hathitrust.org/Record/004102426","HathiTrust Record")</f>
        <v>HathiTrust Record</v>
      </c>
      <c r="AS2349" s="6" t="str">
        <f>HYPERLINK("https://creighton-primo.hosted.exlibrisgroup.com/primo-explore/search?tab=default_tab&amp;search_scope=EVERYTHING&amp;vid=01CRU&amp;lang=en_US&amp;offset=0&amp;query=any,contains,991003777269702656","Catalog Record")</f>
        <v>Catalog Record</v>
      </c>
      <c r="AT2349" s="6" t="str">
        <f>HYPERLINK("http://www.worldcat.org/oclc/41278474","WorldCat Record")</f>
        <v>WorldCat Record</v>
      </c>
      <c r="AU2349" s="3" t="s">
        <v>28648</v>
      </c>
      <c r="AV2349" s="3" t="s">
        <v>28649</v>
      </c>
      <c r="AW2349" s="3" t="s">
        <v>28650</v>
      </c>
      <c r="AX2349" s="3" t="s">
        <v>28650</v>
      </c>
      <c r="AY2349" s="3" t="s">
        <v>28651</v>
      </c>
      <c r="AZ2349" s="3" t="s">
        <v>73</v>
      </c>
      <c r="BB2349" s="3" t="s">
        <v>28652</v>
      </c>
      <c r="BC2349" s="3" t="s">
        <v>28653</v>
      </c>
      <c r="BD2349" s="3" t="s">
        <v>28654</v>
      </c>
    </row>
    <row r="2350" spans="1:56" ht="51" customHeight="1" x14ac:dyDescent="0.25">
      <c r="A2350" s="7" t="s">
        <v>58</v>
      </c>
      <c r="B2350" s="2" t="s">
        <v>28655</v>
      </c>
      <c r="C2350" s="2" t="s">
        <v>28656</v>
      </c>
      <c r="D2350" s="2" t="s">
        <v>28657</v>
      </c>
      <c r="F2350" s="3" t="s">
        <v>58</v>
      </c>
      <c r="G2350" s="3" t="s">
        <v>59</v>
      </c>
      <c r="H2350" s="3" t="s">
        <v>58</v>
      </c>
      <c r="I2350" s="3" t="s">
        <v>58</v>
      </c>
      <c r="J2350" s="3" t="s">
        <v>60</v>
      </c>
      <c r="K2350" s="2" t="s">
        <v>28658</v>
      </c>
      <c r="L2350" s="2" t="s">
        <v>28659</v>
      </c>
      <c r="M2350" s="3" t="s">
        <v>1061</v>
      </c>
      <c r="O2350" s="3" t="s">
        <v>63</v>
      </c>
      <c r="P2350" s="3" t="s">
        <v>2630</v>
      </c>
      <c r="R2350" s="3" t="s">
        <v>65</v>
      </c>
      <c r="S2350" s="4">
        <v>4</v>
      </c>
      <c r="T2350" s="4">
        <v>4</v>
      </c>
      <c r="U2350" s="5" t="s">
        <v>4221</v>
      </c>
      <c r="V2350" s="5" t="s">
        <v>4221</v>
      </c>
      <c r="W2350" s="5" t="s">
        <v>17547</v>
      </c>
      <c r="X2350" s="5" t="s">
        <v>17547</v>
      </c>
      <c r="Y2350" s="4">
        <v>253</v>
      </c>
      <c r="Z2350" s="4">
        <v>188</v>
      </c>
      <c r="AA2350" s="4">
        <v>188</v>
      </c>
      <c r="AB2350" s="4">
        <v>3</v>
      </c>
      <c r="AC2350" s="4">
        <v>3</v>
      </c>
      <c r="AD2350" s="4">
        <v>10</v>
      </c>
      <c r="AE2350" s="4">
        <v>10</v>
      </c>
      <c r="AF2350" s="4">
        <v>0</v>
      </c>
      <c r="AG2350" s="4">
        <v>0</v>
      </c>
      <c r="AH2350" s="4">
        <v>4</v>
      </c>
      <c r="AI2350" s="4">
        <v>4</v>
      </c>
      <c r="AJ2350" s="4">
        <v>6</v>
      </c>
      <c r="AK2350" s="4">
        <v>6</v>
      </c>
      <c r="AL2350" s="4">
        <v>2</v>
      </c>
      <c r="AM2350" s="4">
        <v>2</v>
      </c>
      <c r="AN2350" s="4">
        <v>0</v>
      </c>
      <c r="AO2350" s="4">
        <v>0</v>
      </c>
      <c r="AP2350" s="3" t="s">
        <v>58</v>
      </c>
      <c r="AQ2350" s="3" t="s">
        <v>58</v>
      </c>
      <c r="AS2350" s="6" t="str">
        <f>HYPERLINK("https://creighton-primo.hosted.exlibrisgroup.com/primo-explore/search?tab=default_tab&amp;search_scope=EVERYTHING&amp;vid=01CRU&amp;lang=en_US&amp;offset=0&amp;query=any,contains,991002696269702656","Catalog Record")</f>
        <v>Catalog Record</v>
      </c>
      <c r="AT2350" s="6" t="str">
        <f>HYPERLINK("http://www.worldcat.org/oclc/35198745","WorldCat Record")</f>
        <v>WorldCat Record</v>
      </c>
      <c r="AU2350" s="3" t="s">
        <v>28660</v>
      </c>
      <c r="AV2350" s="3" t="s">
        <v>28661</v>
      </c>
      <c r="AW2350" s="3" t="s">
        <v>28662</v>
      </c>
      <c r="AX2350" s="3" t="s">
        <v>28662</v>
      </c>
      <c r="AY2350" s="3" t="s">
        <v>28663</v>
      </c>
      <c r="AZ2350" s="3" t="s">
        <v>73</v>
      </c>
      <c r="BB2350" s="3" t="s">
        <v>28664</v>
      </c>
      <c r="BC2350" s="3" t="s">
        <v>28665</v>
      </c>
      <c r="BD2350" s="3" t="s">
        <v>28666</v>
      </c>
    </row>
    <row r="2351" spans="1:56" ht="51" customHeight="1" x14ac:dyDescent="0.25">
      <c r="A2351" s="7" t="s">
        <v>58</v>
      </c>
      <c r="B2351" s="2" t="s">
        <v>28667</v>
      </c>
      <c r="C2351" s="2" t="s">
        <v>28668</v>
      </c>
      <c r="D2351" s="2" t="s">
        <v>28669</v>
      </c>
      <c r="F2351" s="3" t="s">
        <v>58</v>
      </c>
      <c r="G2351" s="3" t="s">
        <v>59</v>
      </c>
      <c r="H2351" s="3" t="s">
        <v>58</v>
      </c>
      <c r="I2351" s="3" t="s">
        <v>58</v>
      </c>
      <c r="J2351" s="3" t="s">
        <v>60</v>
      </c>
      <c r="K2351" s="2" t="s">
        <v>28670</v>
      </c>
      <c r="L2351" s="2" t="s">
        <v>28671</v>
      </c>
      <c r="M2351" s="3" t="s">
        <v>1091</v>
      </c>
      <c r="O2351" s="3" t="s">
        <v>63</v>
      </c>
      <c r="P2351" s="3" t="s">
        <v>3109</v>
      </c>
      <c r="R2351" s="3" t="s">
        <v>65</v>
      </c>
      <c r="S2351" s="4">
        <v>1</v>
      </c>
      <c r="T2351" s="4">
        <v>1</v>
      </c>
      <c r="U2351" s="5" t="s">
        <v>28672</v>
      </c>
      <c r="V2351" s="5" t="s">
        <v>28672</v>
      </c>
      <c r="W2351" s="5" t="s">
        <v>28672</v>
      </c>
      <c r="X2351" s="5" t="s">
        <v>28672</v>
      </c>
      <c r="Y2351" s="4">
        <v>126</v>
      </c>
      <c r="Z2351" s="4">
        <v>109</v>
      </c>
      <c r="AA2351" s="4">
        <v>111</v>
      </c>
      <c r="AB2351" s="4">
        <v>3</v>
      </c>
      <c r="AC2351" s="4">
        <v>3</v>
      </c>
      <c r="AD2351" s="4">
        <v>8</v>
      </c>
      <c r="AE2351" s="4">
        <v>8</v>
      </c>
      <c r="AF2351" s="4">
        <v>0</v>
      </c>
      <c r="AG2351" s="4">
        <v>0</v>
      </c>
      <c r="AH2351" s="4">
        <v>3</v>
      </c>
      <c r="AI2351" s="4">
        <v>3</v>
      </c>
      <c r="AJ2351" s="4">
        <v>5</v>
      </c>
      <c r="AK2351" s="4">
        <v>5</v>
      </c>
      <c r="AL2351" s="4">
        <v>2</v>
      </c>
      <c r="AM2351" s="4">
        <v>2</v>
      </c>
      <c r="AN2351" s="4">
        <v>0</v>
      </c>
      <c r="AO2351" s="4">
        <v>0</v>
      </c>
      <c r="AP2351" s="3" t="s">
        <v>58</v>
      </c>
      <c r="AQ2351" s="3" t="s">
        <v>68</v>
      </c>
      <c r="AR2351" s="6" t="str">
        <f>HYPERLINK("http://catalog.hathitrust.org/Record/004206748","HathiTrust Record")</f>
        <v>HathiTrust Record</v>
      </c>
      <c r="AS2351" s="6" t="str">
        <f>HYPERLINK("https://creighton-primo.hosted.exlibrisgroup.com/primo-explore/search?tab=default_tab&amp;search_scope=EVERYTHING&amp;vid=01CRU&amp;lang=en_US&amp;offset=0&amp;query=any,contains,991004187249702656","Catalog Record")</f>
        <v>Catalog Record</v>
      </c>
      <c r="AT2351" s="6" t="str">
        <f>HYPERLINK("http://www.worldcat.org/oclc/46969929","WorldCat Record")</f>
        <v>WorldCat Record</v>
      </c>
      <c r="AU2351" s="3" t="s">
        <v>28673</v>
      </c>
      <c r="AV2351" s="3" t="s">
        <v>28674</v>
      </c>
      <c r="AW2351" s="3" t="s">
        <v>28675</v>
      </c>
      <c r="AX2351" s="3" t="s">
        <v>28675</v>
      </c>
      <c r="AY2351" s="3" t="s">
        <v>28676</v>
      </c>
      <c r="AZ2351" s="3" t="s">
        <v>73</v>
      </c>
      <c r="BB2351" s="3" t="s">
        <v>28677</v>
      </c>
      <c r="BC2351" s="3" t="s">
        <v>28678</v>
      </c>
      <c r="BD2351" s="3" t="s">
        <v>28679</v>
      </c>
    </row>
    <row r="2352" spans="1:56" ht="51" customHeight="1" x14ac:dyDescent="0.25">
      <c r="A2352" s="7" t="s">
        <v>58</v>
      </c>
      <c r="B2352" s="2" t="s">
        <v>28680</v>
      </c>
      <c r="C2352" s="2" t="s">
        <v>28681</v>
      </c>
      <c r="D2352" s="2" t="s">
        <v>28682</v>
      </c>
      <c r="F2352" s="3" t="s">
        <v>58</v>
      </c>
      <c r="G2352" s="3" t="s">
        <v>59</v>
      </c>
      <c r="H2352" s="3" t="s">
        <v>58</v>
      </c>
      <c r="I2352" s="3" t="s">
        <v>58</v>
      </c>
      <c r="J2352" s="3" t="s">
        <v>60</v>
      </c>
      <c r="K2352" s="2" t="s">
        <v>28683</v>
      </c>
      <c r="L2352" s="2" t="s">
        <v>28684</v>
      </c>
      <c r="M2352" s="3" t="s">
        <v>337</v>
      </c>
      <c r="O2352" s="3" t="s">
        <v>63</v>
      </c>
      <c r="P2352" s="3" t="s">
        <v>3109</v>
      </c>
      <c r="R2352" s="3" t="s">
        <v>65</v>
      </c>
      <c r="S2352" s="4">
        <v>2</v>
      </c>
      <c r="T2352" s="4">
        <v>2</v>
      </c>
      <c r="U2352" s="5" t="s">
        <v>28611</v>
      </c>
      <c r="V2352" s="5" t="s">
        <v>28611</v>
      </c>
      <c r="W2352" s="5" t="s">
        <v>15310</v>
      </c>
      <c r="X2352" s="5" t="s">
        <v>15310</v>
      </c>
      <c r="Y2352" s="4">
        <v>116</v>
      </c>
      <c r="Z2352" s="4">
        <v>87</v>
      </c>
      <c r="AA2352" s="4">
        <v>92</v>
      </c>
      <c r="AB2352" s="4">
        <v>2</v>
      </c>
      <c r="AC2352" s="4">
        <v>2</v>
      </c>
      <c r="AD2352" s="4">
        <v>6</v>
      </c>
      <c r="AE2352" s="4">
        <v>6</v>
      </c>
      <c r="AF2352" s="4">
        <v>1</v>
      </c>
      <c r="AG2352" s="4">
        <v>1</v>
      </c>
      <c r="AH2352" s="4">
        <v>3</v>
      </c>
      <c r="AI2352" s="4">
        <v>3</v>
      </c>
      <c r="AJ2352" s="4">
        <v>4</v>
      </c>
      <c r="AK2352" s="4">
        <v>4</v>
      </c>
      <c r="AL2352" s="4">
        <v>1</v>
      </c>
      <c r="AM2352" s="4">
        <v>1</v>
      </c>
      <c r="AN2352" s="4">
        <v>0</v>
      </c>
      <c r="AO2352" s="4">
        <v>0</v>
      </c>
      <c r="AP2352" s="3" t="s">
        <v>58</v>
      </c>
      <c r="AQ2352" s="3" t="s">
        <v>68</v>
      </c>
      <c r="AR2352" s="6" t="str">
        <f>HYPERLINK("http://catalog.hathitrust.org/Record/004219550","HathiTrust Record")</f>
        <v>HathiTrust Record</v>
      </c>
      <c r="AS2352" s="6" t="str">
        <f>HYPERLINK("https://creighton-primo.hosted.exlibrisgroup.com/primo-explore/search?tab=default_tab&amp;search_scope=EVERYTHING&amp;vid=01CRU&amp;lang=en_US&amp;offset=0&amp;query=any,contains,991003768329702656","Catalog Record")</f>
        <v>Catalog Record</v>
      </c>
      <c r="AT2352" s="6" t="str">
        <f>HYPERLINK("http://www.worldcat.org/oclc/48053894","WorldCat Record")</f>
        <v>WorldCat Record</v>
      </c>
      <c r="AU2352" s="3" t="s">
        <v>28685</v>
      </c>
      <c r="AV2352" s="3" t="s">
        <v>28686</v>
      </c>
      <c r="AW2352" s="3" t="s">
        <v>28687</v>
      </c>
      <c r="AX2352" s="3" t="s">
        <v>28687</v>
      </c>
      <c r="AY2352" s="3" t="s">
        <v>28688</v>
      </c>
      <c r="AZ2352" s="3" t="s">
        <v>73</v>
      </c>
      <c r="BB2352" s="3" t="s">
        <v>28689</v>
      </c>
      <c r="BC2352" s="3" t="s">
        <v>28690</v>
      </c>
      <c r="BD2352" s="3" t="s">
        <v>28691</v>
      </c>
    </row>
    <row r="2353" spans="1:56" ht="51" customHeight="1" x14ac:dyDescent="0.25">
      <c r="A2353" s="7" t="s">
        <v>58</v>
      </c>
      <c r="B2353" s="2" t="s">
        <v>28692</v>
      </c>
      <c r="C2353" s="2" t="s">
        <v>28693</v>
      </c>
      <c r="D2353" s="2" t="s">
        <v>28694</v>
      </c>
      <c r="F2353" s="3" t="s">
        <v>58</v>
      </c>
      <c r="G2353" s="3" t="s">
        <v>59</v>
      </c>
      <c r="H2353" s="3" t="s">
        <v>58</v>
      </c>
      <c r="I2353" s="3" t="s">
        <v>58</v>
      </c>
      <c r="J2353" s="3" t="s">
        <v>60</v>
      </c>
      <c r="K2353" s="2" t="s">
        <v>28695</v>
      </c>
      <c r="L2353" s="2" t="s">
        <v>28696</v>
      </c>
      <c r="M2353" s="3" t="s">
        <v>353</v>
      </c>
      <c r="O2353" s="3" t="s">
        <v>63</v>
      </c>
      <c r="P2353" s="3" t="s">
        <v>2061</v>
      </c>
      <c r="R2353" s="3" t="s">
        <v>65</v>
      </c>
      <c r="S2353" s="4">
        <v>3</v>
      </c>
      <c r="T2353" s="4">
        <v>3</v>
      </c>
      <c r="U2353" s="5" t="s">
        <v>6183</v>
      </c>
      <c r="V2353" s="5" t="s">
        <v>6183</v>
      </c>
      <c r="W2353" s="5" t="s">
        <v>26573</v>
      </c>
      <c r="X2353" s="5" t="s">
        <v>26573</v>
      </c>
      <c r="Y2353" s="4">
        <v>380</v>
      </c>
      <c r="Z2353" s="4">
        <v>288</v>
      </c>
      <c r="AA2353" s="4">
        <v>288</v>
      </c>
      <c r="AB2353" s="4">
        <v>3</v>
      </c>
      <c r="AC2353" s="4">
        <v>3</v>
      </c>
      <c r="AD2353" s="4">
        <v>13</v>
      </c>
      <c r="AE2353" s="4">
        <v>13</v>
      </c>
      <c r="AF2353" s="4">
        <v>5</v>
      </c>
      <c r="AG2353" s="4">
        <v>5</v>
      </c>
      <c r="AH2353" s="4">
        <v>3</v>
      </c>
      <c r="AI2353" s="4">
        <v>3</v>
      </c>
      <c r="AJ2353" s="4">
        <v>9</v>
      </c>
      <c r="AK2353" s="4">
        <v>9</v>
      </c>
      <c r="AL2353" s="4">
        <v>2</v>
      </c>
      <c r="AM2353" s="4">
        <v>2</v>
      </c>
      <c r="AN2353" s="4">
        <v>0</v>
      </c>
      <c r="AO2353" s="4">
        <v>0</v>
      </c>
      <c r="AP2353" s="3" t="s">
        <v>58</v>
      </c>
      <c r="AQ2353" s="3" t="s">
        <v>58</v>
      </c>
      <c r="AS2353" s="6" t="str">
        <f>HYPERLINK("https://creighton-primo.hosted.exlibrisgroup.com/primo-explore/search?tab=default_tab&amp;search_scope=EVERYTHING&amp;vid=01CRU&amp;lang=en_US&amp;offset=0&amp;query=any,contains,991000952329702656","Catalog Record")</f>
        <v>Catalog Record</v>
      </c>
      <c r="AT2353" s="6" t="str">
        <f>HYPERLINK("http://www.worldcat.org/oclc/14692039","WorldCat Record")</f>
        <v>WorldCat Record</v>
      </c>
      <c r="AU2353" s="3" t="s">
        <v>28697</v>
      </c>
      <c r="AV2353" s="3" t="s">
        <v>28698</v>
      </c>
      <c r="AW2353" s="3" t="s">
        <v>28699</v>
      </c>
      <c r="AX2353" s="3" t="s">
        <v>28699</v>
      </c>
      <c r="AY2353" s="3" t="s">
        <v>28700</v>
      </c>
      <c r="AZ2353" s="3" t="s">
        <v>73</v>
      </c>
      <c r="BB2353" s="3" t="s">
        <v>28701</v>
      </c>
      <c r="BC2353" s="3" t="s">
        <v>28702</v>
      </c>
      <c r="BD2353" s="3" t="s">
        <v>28703</v>
      </c>
    </row>
    <row r="2354" spans="1:56" ht="51" customHeight="1" x14ac:dyDescent="0.25">
      <c r="A2354" s="7" t="s">
        <v>58</v>
      </c>
      <c r="B2354" s="2" t="s">
        <v>28704</v>
      </c>
      <c r="C2354" s="2" t="s">
        <v>28705</v>
      </c>
      <c r="D2354" s="2" t="s">
        <v>28706</v>
      </c>
      <c r="F2354" s="3" t="s">
        <v>58</v>
      </c>
      <c r="G2354" s="3" t="s">
        <v>59</v>
      </c>
      <c r="H2354" s="3" t="s">
        <v>58</v>
      </c>
      <c r="I2354" s="3" t="s">
        <v>58</v>
      </c>
      <c r="J2354" s="3" t="s">
        <v>60</v>
      </c>
      <c r="K2354" s="2" t="s">
        <v>28707</v>
      </c>
      <c r="L2354" s="2" t="s">
        <v>28708</v>
      </c>
      <c r="M2354" s="3" t="s">
        <v>626</v>
      </c>
      <c r="O2354" s="3" t="s">
        <v>63</v>
      </c>
      <c r="P2354" s="3" t="s">
        <v>2630</v>
      </c>
      <c r="Q2354" s="2" t="s">
        <v>28709</v>
      </c>
      <c r="R2354" s="3" t="s">
        <v>65</v>
      </c>
      <c r="S2354" s="4">
        <v>6</v>
      </c>
      <c r="T2354" s="4">
        <v>6</v>
      </c>
      <c r="U2354" s="5" t="s">
        <v>28710</v>
      </c>
      <c r="V2354" s="5" t="s">
        <v>28710</v>
      </c>
      <c r="W2354" s="5" t="s">
        <v>17640</v>
      </c>
      <c r="X2354" s="5" t="s">
        <v>17640</v>
      </c>
      <c r="Y2354" s="4">
        <v>908</v>
      </c>
      <c r="Z2354" s="4">
        <v>756</v>
      </c>
      <c r="AA2354" s="4">
        <v>784</v>
      </c>
      <c r="AB2354" s="4">
        <v>4</v>
      </c>
      <c r="AC2354" s="4">
        <v>4</v>
      </c>
      <c r="AD2354" s="4">
        <v>25</v>
      </c>
      <c r="AE2354" s="4">
        <v>25</v>
      </c>
      <c r="AF2354" s="4">
        <v>12</v>
      </c>
      <c r="AG2354" s="4">
        <v>12</v>
      </c>
      <c r="AH2354" s="4">
        <v>6</v>
      </c>
      <c r="AI2354" s="4">
        <v>6</v>
      </c>
      <c r="AJ2354" s="4">
        <v>12</v>
      </c>
      <c r="AK2354" s="4">
        <v>12</v>
      </c>
      <c r="AL2354" s="4">
        <v>3</v>
      </c>
      <c r="AM2354" s="4">
        <v>3</v>
      </c>
      <c r="AN2354" s="4">
        <v>0</v>
      </c>
      <c r="AO2354" s="4">
        <v>0</v>
      </c>
      <c r="AP2354" s="3" t="s">
        <v>58</v>
      </c>
      <c r="AQ2354" s="3" t="s">
        <v>68</v>
      </c>
      <c r="AR2354" s="6" t="str">
        <f>HYPERLINK("http://catalog.hathitrust.org/Record/000239421","HathiTrust Record")</f>
        <v>HathiTrust Record</v>
      </c>
      <c r="AS2354" s="6" t="str">
        <f>HYPERLINK("https://creighton-primo.hosted.exlibrisgroup.com/primo-explore/search?tab=default_tab&amp;search_scope=EVERYTHING&amp;vid=01CRU&amp;lang=en_US&amp;offset=0&amp;query=any,contains,991000104739702656","Catalog Record")</f>
        <v>Catalog Record</v>
      </c>
      <c r="AT2354" s="6" t="str">
        <f>HYPERLINK("http://www.worldcat.org/oclc/8974799","WorldCat Record")</f>
        <v>WorldCat Record</v>
      </c>
      <c r="AU2354" s="3" t="s">
        <v>28711</v>
      </c>
      <c r="AV2354" s="3" t="s">
        <v>28712</v>
      </c>
      <c r="AW2354" s="3" t="s">
        <v>28713</v>
      </c>
      <c r="AX2354" s="3" t="s">
        <v>28713</v>
      </c>
      <c r="AY2354" s="3" t="s">
        <v>28714</v>
      </c>
      <c r="AZ2354" s="3" t="s">
        <v>73</v>
      </c>
      <c r="BB2354" s="3" t="s">
        <v>28715</v>
      </c>
      <c r="BC2354" s="3" t="s">
        <v>28716</v>
      </c>
      <c r="BD2354" s="3" t="s">
        <v>28717</v>
      </c>
    </row>
    <row r="2355" spans="1:56" ht="51" customHeight="1" x14ac:dyDescent="0.25">
      <c r="A2355" s="7" t="s">
        <v>58</v>
      </c>
      <c r="B2355" s="2" t="s">
        <v>28718</v>
      </c>
      <c r="C2355" s="2" t="s">
        <v>28719</v>
      </c>
      <c r="D2355" s="2" t="s">
        <v>28720</v>
      </c>
      <c r="F2355" s="3" t="s">
        <v>58</v>
      </c>
      <c r="G2355" s="3" t="s">
        <v>59</v>
      </c>
      <c r="H2355" s="3" t="s">
        <v>58</v>
      </c>
      <c r="I2355" s="3" t="s">
        <v>58</v>
      </c>
      <c r="J2355" s="3" t="s">
        <v>60</v>
      </c>
      <c r="K2355" s="2" t="s">
        <v>28721</v>
      </c>
      <c r="L2355" s="2" t="s">
        <v>28722</v>
      </c>
      <c r="M2355" s="3" t="s">
        <v>138</v>
      </c>
      <c r="O2355" s="3" t="s">
        <v>2030</v>
      </c>
      <c r="P2355" s="3" t="s">
        <v>2031</v>
      </c>
      <c r="Q2355" s="2" t="s">
        <v>28723</v>
      </c>
      <c r="R2355" s="3" t="s">
        <v>65</v>
      </c>
      <c r="S2355" s="4">
        <v>1</v>
      </c>
      <c r="T2355" s="4">
        <v>1</v>
      </c>
      <c r="U2355" s="5" t="s">
        <v>28724</v>
      </c>
      <c r="V2355" s="5" t="s">
        <v>28724</v>
      </c>
      <c r="W2355" s="5" t="s">
        <v>17640</v>
      </c>
      <c r="X2355" s="5" t="s">
        <v>17640</v>
      </c>
      <c r="Y2355" s="4">
        <v>85</v>
      </c>
      <c r="Z2355" s="4">
        <v>44</v>
      </c>
      <c r="AA2355" s="4">
        <v>45</v>
      </c>
      <c r="AB2355" s="4">
        <v>1</v>
      </c>
      <c r="AC2355" s="4">
        <v>1</v>
      </c>
      <c r="AD2355" s="4">
        <v>1</v>
      </c>
      <c r="AE2355" s="4">
        <v>1</v>
      </c>
      <c r="AF2355" s="4">
        <v>0</v>
      </c>
      <c r="AG2355" s="4">
        <v>0</v>
      </c>
      <c r="AH2355" s="4">
        <v>0</v>
      </c>
      <c r="AI2355" s="4">
        <v>0</v>
      </c>
      <c r="AJ2355" s="4">
        <v>1</v>
      </c>
      <c r="AK2355" s="4">
        <v>1</v>
      </c>
      <c r="AL2355" s="4">
        <v>0</v>
      </c>
      <c r="AM2355" s="4">
        <v>0</v>
      </c>
      <c r="AN2355" s="4">
        <v>0</v>
      </c>
      <c r="AO2355" s="4">
        <v>0</v>
      </c>
      <c r="AP2355" s="3" t="s">
        <v>58</v>
      </c>
      <c r="AQ2355" s="3" t="s">
        <v>68</v>
      </c>
      <c r="AR2355" s="6" t="str">
        <f>HYPERLINK("http://catalog.hathitrust.org/Record/008509944","HathiTrust Record")</f>
        <v>HathiTrust Record</v>
      </c>
      <c r="AS2355" s="6" t="str">
        <f>HYPERLINK("https://creighton-primo.hosted.exlibrisgroup.com/primo-explore/search?tab=default_tab&amp;search_scope=EVERYTHING&amp;vid=01CRU&amp;lang=en_US&amp;offset=0&amp;query=any,contains,991000099369702656","Catalog Record")</f>
        <v>Catalog Record</v>
      </c>
      <c r="AT2355" s="6" t="str">
        <f>HYPERLINK("http://www.worldcat.org/oclc/8942775","WorldCat Record")</f>
        <v>WorldCat Record</v>
      </c>
      <c r="AU2355" s="3" t="s">
        <v>28725</v>
      </c>
      <c r="AV2355" s="3" t="s">
        <v>28726</v>
      </c>
      <c r="AW2355" s="3" t="s">
        <v>28727</v>
      </c>
      <c r="AX2355" s="3" t="s">
        <v>28727</v>
      </c>
      <c r="AY2355" s="3" t="s">
        <v>28728</v>
      </c>
      <c r="AZ2355" s="3" t="s">
        <v>73</v>
      </c>
      <c r="BB2355" s="3" t="s">
        <v>28729</v>
      </c>
      <c r="BC2355" s="3" t="s">
        <v>28730</v>
      </c>
      <c r="BD2355" s="3" t="s">
        <v>28731</v>
      </c>
    </row>
    <row r="2356" spans="1:56" ht="51" customHeight="1" x14ac:dyDescent="0.25">
      <c r="A2356" s="7" t="s">
        <v>58</v>
      </c>
      <c r="B2356" s="2" t="s">
        <v>28732</v>
      </c>
      <c r="C2356" s="2" t="s">
        <v>28733</v>
      </c>
      <c r="D2356" s="2" t="s">
        <v>28734</v>
      </c>
      <c r="F2356" s="3" t="s">
        <v>58</v>
      </c>
      <c r="G2356" s="3" t="s">
        <v>59</v>
      </c>
      <c r="H2356" s="3" t="s">
        <v>58</v>
      </c>
      <c r="I2356" s="3" t="s">
        <v>58</v>
      </c>
      <c r="J2356" s="3" t="s">
        <v>60</v>
      </c>
      <c r="K2356" s="2" t="s">
        <v>28735</v>
      </c>
      <c r="L2356" s="2" t="s">
        <v>28736</v>
      </c>
      <c r="M2356" s="3" t="s">
        <v>353</v>
      </c>
      <c r="N2356" s="2" t="s">
        <v>338</v>
      </c>
      <c r="O2356" s="3" t="s">
        <v>63</v>
      </c>
      <c r="P2356" s="3" t="s">
        <v>1120</v>
      </c>
      <c r="Q2356" s="2" t="s">
        <v>28737</v>
      </c>
      <c r="R2356" s="3" t="s">
        <v>65</v>
      </c>
      <c r="S2356" s="4">
        <v>2</v>
      </c>
      <c r="T2356" s="4">
        <v>2</v>
      </c>
      <c r="U2356" s="5" t="s">
        <v>11875</v>
      </c>
      <c r="V2356" s="5" t="s">
        <v>11875</v>
      </c>
      <c r="W2356" s="5" t="s">
        <v>28738</v>
      </c>
      <c r="X2356" s="5" t="s">
        <v>28738</v>
      </c>
      <c r="Y2356" s="4">
        <v>631</v>
      </c>
      <c r="Z2356" s="4">
        <v>522</v>
      </c>
      <c r="AA2356" s="4">
        <v>664</v>
      </c>
      <c r="AB2356" s="4">
        <v>3</v>
      </c>
      <c r="AC2356" s="4">
        <v>4</v>
      </c>
      <c r="AD2356" s="4">
        <v>26</v>
      </c>
      <c r="AE2356" s="4">
        <v>35</v>
      </c>
      <c r="AF2356" s="4">
        <v>12</v>
      </c>
      <c r="AG2356" s="4">
        <v>17</v>
      </c>
      <c r="AH2356" s="4">
        <v>7</v>
      </c>
      <c r="AI2356" s="4">
        <v>9</v>
      </c>
      <c r="AJ2356" s="4">
        <v>14</v>
      </c>
      <c r="AK2356" s="4">
        <v>18</v>
      </c>
      <c r="AL2356" s="4">
        <v>2</v>
      </c>
      <c r="AM2356" s="4">
        <v>3</v>
      </c>
      <c r="AN2356" s="4">
        <v>0</v>
      </c>
      <c r="AO2356" s="4">
        <v>0</v>
      </c>
      <c r="AP2356" s="3" t="s">
        <v>58</v>
      </c>
      <c r="AQ2356" s="3" t="s">
        <v>68</v>
      </c>
      <c r="AR2356" s="6" t="str">
        <f>HYPERLINK("http://catalog.hathitrust.org/Record/000860111","HathiTrust Record")</f>
        <v>HathiTrust Record</v>
      </c>
      <c r="AS2356" s="6" t="str">
        <f>HYPERLINK("https://creighton-primo.hosted.exlibrisgroup.com/primo-explore/search?tab=default_tab&amp;search_scope=EVERYTHING&amp;vid=01CRU&amp;lang=en_US&amp;offset=0&amp;query=any,contains,991000944599702656","Catalog Record")</f>
        <v>Catalog Record</v>
      </c>
      <c r="AT2356" s="6" t="str">
        <f>HYPERLINK("http://www.worldcat.org/oclc/14519484","WorldCat Record")</f>
        <v>WorldCat Record</v>
      </c>
      <c r="AU2356" s="3" t="s">
        <v>28739</v>
      </c>
      <c r="AV2356" s="3" t="s">
        <v>28740</v>
      </c>
      <c r="AW2356" s="3" t="s">
        <v>28741</v>
      </c>
      <c r="AX2356" s="3" t="s">
        <v>28741</v>
      </c>
      <c r="AY2356" s="3" t="s">
        <v>28742</v>
      </c>
      <c r="AZ2356" s="3" t="s">
        <v>73</v>
      </c>
      <c r="BB2356" s="3" t="s">
        <v>28743</v>
      </c>
      <c r="BC2356" s="3" t="s">
        <v>28744</v>
      </c>
      <c r="BD2356" s="3" t="s">
        <v>28745</v>
      </c>
    </row>
    <row r="2357" spans="1:56" ht="51" customHeight="1" x14ac:dyDescent="0.25">
      <c r="A2357" s="7" t="s">
        <v>58</v>
      </c>
      <c r="B2357" s="2" t="s">
        <v>28746</v>
      </c>
      <c r="C2357" s="2" t="s">
        <v>28747</v>
      </c>
      <c r="D2357" s="2" t="s">
        <v>28748</v>
      </c>
      <c r="F2357" s="3" t="s">
        <v>58</v>
      </c>
      <c r="G2357" s="3" t="s">
        <v>59</v>
      </c>
      <c r="H2357" s="3" t="s">
        <v>58</v>
      </c>
      <c r="I2357" s="3" t="s">
        <v>58</v>
      </c>
      <c r="J2357" s="3" t="s">
        <v>60</v>
      </c>
      <c r="K2357" s="2" t="s">
        <v>3148</v>
      </c>
      <c r="L2357" s="2" t="s">
        <v>28749</v>
      </c>
      <c r="M2357" s="3" t="s">
        <v>397</v>
      </c>
      <c r="O2357" s="3" t="s">
        <v>63</v>
      </c>
      <c r="P2357" s="3" t="s">
        <v>584</v>
      </c>
      <c r="Q2357" s="2" t="s">
        <v>20545</v>
      </c>
      <c r="R2357" s="3" t="s">
        <v>65</v>
      </c>
      <c r="S2357" s="4">
        <v>9</v>
      </c>
      <c r="T2357" s="4">
        <v>9</v>
      </c>
      <c r="U2357" s="5" t="s">
        <v>28750</v>
      </c>
      <c r="V2357" s="5" t="s">
        <v>28750</v>
      </c>
      <c r="W2357" s="5" t="s">
        <v>17640</v>
      </c>
      <c r="X2357" s="5" t="s">
        <v>17640</v>
      </c>
      <c r="Y2357" s="4">
        <v>206</v>
      </c>
      <c r="Z2357" s="4">
        <v>85</v>
      </c>
      <c r="AA2357" s="4">
        <v>607</v>
      </c>
      <c r="AB2357" s="4">
        <v>2</v>
      </c>
      <c r="AC2357" s="4">
        <v>5</v>
      </c>
      <c r="AD2357" s="4">
        <v>1</v>
      </c>
      <c r="AE2357" s="4">
        <v>24</v>
      </c>
      <c r="AF2357" s="4">
        <v>0</v>
      </c>
      <c r="AG2357" s="4">
        <v>9</v>
      </c>
      <c r="AH2357" s="4">
        <v>0</v>
      </c>
      <c r="AI2357" s="4">
        <v>5</v>
      </c>
      <c r="AJ2357" s="4">
        <v>0</v>
      </c>
      <c r="AK2357" s="4">
        <v>12</v>
      </c>
      <c r="AL2357" s="4">
        <v>1</v>
      </c>
      <c r="AM2357" s="4">
        <v>4</v>
      </c>
      <c r="AN2357" s="4">
        <v>0</v>
      </c>
      <c r="AO2357" s="4">
        <v>0</v>
      </c>
      <c r="AP2357" s="3" t="s">
        <v>58</v>
      </c>
      <c r="AQ2357" s="3" t="s">
        <v>68</v>
      </c>
      <c r="AR2357" s="6" t="str">
        <f>HYPERLINK("http://catalog.hathitrust.org/Record/000430728","HathiTrust Record")</f>
        <v>HathiTrust Record</v>
      </c>
      <c r="AS2357" s="6" t="str">
        <f>HYPERLINK("https://creighton-primo.hosted.exlibrisgroup.com/primo-explore/search?tab=default_tab&amp;search_scope=EVERYTHING&amp;vid=01CRU&amp;lang=en_US&amp;offset=0&amp;query=any,contains,991000697399702656","Catalog Record")</f>
        <v>Catalog Record</v>
      </c>
      <c r="AT2357" s="6" t="str">
        <f>HYPERLINK("http://www.worldcat.org/oclc/14412165","WorldCat Record")</f>
        <v>WorldCat Record</v>
      </c>
      <c r="AU2357" s="3" t="s">
        <v>28751</v>
      </c>
      <c r="AV2357" s="3" t="s">
        <v>28752</v>
      </c>
      <c r="AW2357" s="3" t="s">
        <v>28753</v>
      </c>
      <c r="AX2357" s="3" t="s">
        <v>28753</v>
      </c>
      <c r="AY2357" s="3" t="s">
        <v>28754</v>
      </c>
      <c r="AZ2357" s="3" t="s">
        <v>73</v>
      </c>
      <c r="BB2357" s="3" t="s">
        <v>28755</v>
      </c>
      <c r="BC2357" s="3" t="s">
        <v>28756</v>
      </c>
      <c r="BD2357" s="3" t="s">
        <v>28757</v>
      </c>
    </row>
    <row r="2358" spans="1:56" ht="51" customHeight="1" x14ac:dyDescent="0.25">
      <c r="A2358" s="7" t="s">
        <v>58</v>
      </c>
      <c r="B2358" s="2" t="s">
        <v>28758</v>
      </c>
      <c r="C2358" s="2" t="s">
        <v>28759</v>
      </c>
      <c r="D2358" s="2" t="s">
        <v>28760</v>
      </c>
      <c r="F2358" s="3" t="s">
        <v>58</v>
      </c>
      <c r="G2358" s="3" t="s">
        <v>59</v>
      </c>
      <c r="H2358" s="3" t="s">
        <v>58</v>
      </c>
      <c r="I2358" s="3" t="s">
        <v>58</v>
      </c>
      <c r="J2358" s="3" t="s">
        <v>60</v>
      </c>
      <c r="K2358" s="2" t="s">
        <v>11849</v>
      </c>
      <c r="L2358" s="2" t="s">
        <v>9320</v>
      </c>
      <c r="M2358" s="3" t="s">
        <v>249</v>
      </c>
      <c r="O2358" s="3" t="s">
        <v>63</v>
      </c>
      <c r="P2358" s="3" t="s">
        <v>584</v>
      </c>
      <c r="R2358" s="3" t="s">
        <v>65</v>
      </c>
      <c r="S2358" s="4">
        <v>9</v>
      </c>
      <c r="T2358" s="4">
        <v>9</v>
      </c>
      <c r="U2358" s="5" t="s">
        <v>28761</v>
      </c>
      <c r="V2358" s="5" t="s">
        <v>28761</v>
      </c>
      <c r="W2358" s="5" t="s">
        <v>28762</v>
      </c>
      <c r="X2358" s="5" t="s">
        <v>28762</v>
      </c>
      <c r="Y2358" s="4">
        <v>646</v>
      </c>
      <c r="Z2358" s="4">
        <v>541</v>
      </c>
      <c r="AA2358" s="4">
        <v>572</v>
      </c>
      <c r="AB2358" s="4">
        <v>3</v>
      </c>
      <c r="AC2358" s="4">
        <v>3</v>
      </c>
      <c r="AD2358" s="4">
        <v>23</v>
      </c>
      <c r="AE2358" s="4">
        <v>24</v>
      </c>
      <c r="AF2358" s="4">
        <v>9</v>
      </c>
      <c r="AG2358" s="4">
        <v>10</v>
      </c>
      <c r="AH2358" s="4">
        <v>6</v>
      </c>
      <c r="AI2358" s="4">
        <v>6</v>
      </c>
      <c r="AJ2358" s="4">
        <v>11</v>
      </c>
      <c r="AK2358" s="4">
        <v>12</v>
      </c>
      <c r="AL2358" s="4">
        <v>2</v>
      </c>
      <c r="AM2358" s="4">
        <v>2</v>
      </c>
      <c r="AN2358" s="4">
        <v>0</v>
      </c>
      <c r="AO2358" s="4">
        <v>0</v>
      </c>
      <c r="AP2358" s="3" t="s">
        <v>58</v>
      </c>
      <c r="AQ2358" s="3" t="s">
        <v>68</v>
      </c>
      <c r="AR2358" s="6" t="str">
        <f>HYPERLINK("http://catalog.hathitrust.org/Record/001241692","HathiTrust Record")</f>
        <v>HathiTrust Record</v>
      </c>
      <c r="AS2358" s="6" t="str">
        <f>HYPERLINK("https://creighton-primo.hosted.exlibrisgroup.com/primo-explore/search?tab=default_tab&amp;search_scope=EVERYTHING&amp;vid=01CRU&amp;lang=en_US&amp;offset=0&amp;query=any,contains,991003713159702656","Catalog Record")</f>
        <v>Catalog Record</v>
      </c>
      <c r="AT2358" s="6" t="str">
        <f>HYPERLINK("http://www.worldcat.org/oclc/1355530","WorldCat Record")</f>
        <v>WorldCat Record</v>
      </c>
      <c r="AU2358" s="3" t="s">
        <v>28763</v>
      </c>
      <c r="AV2358" s="3" t="s">
        <v>28764</v>
      </c>
      <c r="AW2358" s="3" t="s">
        <v>28765</v>
      </c>
      <c r="AX2358" s="3" t="s">
        <v>28765</v>
      </c>
      <c r="AY2358" s="3" t="s">
        <v>28766</v>
      </c>
      <c r="AZ2358" s="3" t="s">
        <v>73</v>
      </c>
      <c r="BC2358" s="3" t="s">
        <v>28767</v>
      </c>
      <c r="BD2358" s="3" t="s">
        <v>28768</v>
      </c>
    </row>
    <row r="2359" spans="1:56" ht="51" customHeight="1" x14ac:dyDescent="0.25">
      <c r="A2359" s="7" t="s">
        <v>58</v>
      </c>
      <c r="B2359" s="2" t="s">
        <v>28769</v>
      </c>
      <c r="C2359" s="2" t="s">
        <v>28770</v>
      </c>
      <c r="D2359" s="2" t="s">
        <v>28771</v>
      </c>
      <c r="E2359" s="3" t="s">
        <v>223</v>
      </c>
      <c r="F2359" s="3" t="s">
        <v>58</v>
      </c>
      <c r="G2359" s="3" t="s">
        <v>59</v>
      </c>
      <c r="H2359" s="3" t="s">
        <v>58</v>
      </c>
      <c r="I2359" s="3" t="s">
        <v>58</v>
      </c>
      <c r="J2359" s="3" t="s">
        <v>60</v>
      </c>
      <c r="K2359" s="2" t="s">
        <v>28772</v>
      </c>
      <c r="L2359" s="2" t="s">
        <v>28773</v>
      </c>
      <c r="M2359" s="3" t="s">
        <v>1385</v>
      </c>
      <c r="N2359" s="2" t="s">
        <v>1470</v>
      </c>
      <c r="O2359" s="3" t="s">
        <v>63</v>
      </c>
      <c r="P2359" s="3" t="s">
        <v>214</v>
      </c>
      <c r="Q2359" s="2" t="s">
        <v>28774</v>
      </c>
      <c r="R2359" s="3" t="s">
        <v>65</v>
      </c>
      <c r="S2359" s="4">
        <v>2</v>
      </c>
      <c r="T2359" s="4">
        <v>2</v>
      </c>
      <c r="U2359" s="5" t="s">
        <v>7819</v>
      </c>
      <c r="V2359" s="5" t="s">
        <v>7819</v>
      </c>
      <c r="W2359" s="5" t="s">
        <v>28775</v>
      </c>
      <c r="X2359" s="5" t="s">
        <v>28775</v>
      </c>
      <c r="Y2359" s="4">
        <v>587</v>
      </c>
      <c r="Z2359" s="4">
        <v>522</v>
      </c>
      <c r="AA2359" s="4">
        <v>542</v>
      </c>
      <c r="AB2359" s="4">
        <v>2</v>
      </c>
      <c r="AC2359" s="4">
        <v>2</v>
      </c>
      <c r="AD2359" s="4">
        <v>21</v>
      </c>
      <c r="AE2359" s="4">
        <v>23</v>
      </c>
      <c r="AF2359" s="4">
        <v>9</v>
      </c>
      <c r="AG2359" s="4">
        <v>10</v>
      </c>
      <c r="AH2359" s="4">
        <v>6</v>
      </c>
      <c r="AI2359" s="4">
        <v>7</v>
      </c>
      <c r="AJ2359" s="4">
        <v>12</v>
      </c>
      <c r="AK2359" s="4">
        <v>12</v>
      </c>
      <c r="AL2359" s="4">
        <v>1</v>
      </c>
      <c r="AM2359" s="4">
        <v>1</v>
      </c>
      <c r="AN2359" s="4">
        <v>0</v>
      </c>
      <c r="AO2359" s="4">
        <v>0</v>
      </c>
      <c r="AP2359" s="3" t="s">
        <v>58</v>
      </c>
      <c r="AQ2359" s="3" t="s">
        <v>68</v>
      </c>
      <c r="AR2359" s="6" t="str">
        <f>HYPERLINK("http://catalog.hathitrust.org/Record/001606386","HathiTrust Record")</f>
        <v>HathiTrust Record</v>
      </c>
      <c r="AS2359" s="6" t="str">
        <f>HYPERLINK("https://creighton-primo.hosted.exlibrisgroup.com/primo-explore/search?tab=default_tab&amp;search_scope=EVERYTHING&amp;vid=01CRU&amp;lang=en_US&amp;offset=0&amp;query=any,contains,991003154929702656","Catalog Record")</f>
        <v>Catalog Record</v>
      </c>
      <c r="AT2359" s="6" t="str">
        <f>HYPERLINK("http://www.worldcat.org/oclc/693936","WorldCat Record")</f>
        <v>WorldCat Record</v>
      </c>
      <c r="AU2359" s="3" t="s">
        <v>28776</v>
      </c>
      <c r="AV2359" s="3" t="s">
        <v>28777</v>
      </c>
      <c r="AW2359" s="3" t="s">
        <v>28778</v>
      </c>
      <c r="AX2359" s="3" t="s">
        <v>28778</v>
      </c>
      <c r="AY2359" s="3" t="s">
        <v>28779</v>
      </c>
      <c r="AZ2359" s="3" t="s">
        <v>73</v>
      </c>
      <c r="BB2359" s="3" t="s">
        <v>28780</v>
      </c>
      <c r="BC2359" s="3" t="s">
        <v>28781</v>
      </c>
      <c r="BD2359" s="3" t="s">
        <v>28782</v>
      </c>
    </row>
    <row r="2360" spans="1:56" ht="51" customHeight="1" x14ac:dyDescent="0.25">
      <c r="A2360" s="7" t="s">
        <v>58</v>
      </c>
      <c r="B2360" s="2" t="s">
        <v>28783</v>
      </c>
      <c r="C2360" s="2" t="s">
        <v>28784</v>
      </c>
      <c r="D2360" s="2" t="s">
        <v>28785</v>
      </c>
      <c r="E2360" s="3" t="s">
        <v>210</v>
      </c>
      <c r="F2360" s="3" t="s">
        <v>58</v>
      </c>
      <c r="G2360" s="3" t="s">
        <v>59</v>
      </c>
      <c r="H2360" s="3" t="s">
        <v>58</v>
      </c>
      <c r="I2360" s="3" t="s">
        <v>58</v>
      </c>
      <c r="J2360" s="3" t="s">
        <v>60</v>
      </c>
      <c r="K2360" s="2" t="s">
        <v>28772</v>
      </c>
      <c r="L2360" s="2" t="s">
        <v>28786</v>
      </c>
      <c r="M2360" s="3" t="s">
        <v>1385</v>
      </c>
      <c r="N2360" s="2" t="s">
        <v>1470</v>
      </c>
      <c r="O2360" s="3" t="s">
        <v>63</v>
      </c>
      <c r="P2360" s="3" t="s">
        <v>214</v>
      </c>
      <c r="Q2360" s="2" t="s">
        <v>28774</v>
      </c>
      <c r="R2360" s="3" t="s">
        <v>65</v>
      </c>
      <c r="S2360" s="4">
        <v>6</v>
      </c>
      <c r="T2360" s="4">
        <v>6</v>
      </c>
      <c r="U2360" s="5" t="s">
        <v>27790</v>
      </c>
      <c r="V2360" s="5" t="s">
        <v>27790</v>
      </c>
      <c r="W2360" s="5" t="s">
        <v>2646</v>
      </c>
      <c r="X2360" s="5" t="s">
        <v>2646</v>
      </c>
      <c r="Y2360" s="4">
        <v>574</v>
      </c>
      <c r="Z2360" s="4">
        <v>521</v>
      </c>
      <c r="AA2360" s="4">
        <v>535</v>
      </c>
      <c r="AB2360" s="4">
        <v>4</v>
      </c>
      <c r="AC2360" s="4">
        <v>4</v>
      </c>
      <c r="AD2360" s="4">
        <v>28</v>
      </c>
      <c r="AE2360" s="4">
        <v>30</v>
      </c>
      <c r="AF2360" s="4">
        <v>13</v>
      </c>
      <c r="AG2360" s="4">
        <v>14</v>
      </c>
      <c r="AH2360" s="4">
        <v>6</v>
      </c>
      <c r="AI2360" s="4">
        <v>7</v>
      </c>
      <c r="AJ2360" s="4">
        <v>16</v>
      </c>
      <c r="AK2360" s="4">
        <v>16</v>
      </c>
      <c r="AL2360" s="4">
        <v>3</v>
      </c>
      <c r="AM2360" s="4">
        <v>3</v>
      </c>
      <c r="AN2360" s="4">
        <v>0</v>
      </c>
      <c r="AO2360" s="4">
        <v>0</v>
      </c>
      <c r="AP2360" s="3" t="s">
        <v>58</v>
      </c>
      <c r="AQ2360" s="3" t="s">
        <v>68</v>
      </c>
      <c r="AR2360" s="6" t="str">
        <f>HYPERLINK("http://catalog.hathitrust.org/Record/001606503","HathiTrust Record")</f>
        <v>HathiTrust Record</v>
      </c>
      <c r="AS2360" s="6" t="str">
        <f>HYPERLINK("https://creighton-primo.hosted.exlibrisgroup.com/primo-explore/search?tab=default_tab&amp;search_scope=EVERYTHING&amp;vid=01CRU&amp;lang=en_US&amp;offset=0&amp;query=any,contains,991003154969702656","Catalog Record")</f>
        <v>Catalog Record</v>
      </c>
      <c r="AT2360" s="6" t="str">
        <f>HYPERLINK("http://www.worldcat.org/oclc/693940","WorldCat Record")</f>
        <v>WorldCat Record</v>
      </c>
      <c r="AU2360" s="3" t="s">
        <v>28787</v>
      </c>
      <c r="AV2360" s="3" t="s">
        <v>28788</v>
      </c>
      <c r="AW2360" s="3" t="s">
        <v>28789</v>
      </c>
      <c r="AX2360" s="3" t="s">
        <v>28789</v>
      </c>
      <c r="AY2360" s="3" t="s">
        <v>28790</v>
      </c>
      <c r="AZ2360" s="3" t="s">
        <v>73</v>
      </c>
      <c r="BB2360" s="3" t="s">
        <v>28791</v>
      </c>
      <c r="BC2360" s="3" t="s">
        <v>28792</v>
      </c>
      <c r="BD2360" s="3" t="s">
        <v>28793</v>
      </c>
    </row>
    <row r="2361" spans="1:56" ht="51" customHeight="1" x14ac:dyDescent="0.25">
      <c r="A2361" s="7" t="s">
        <v>58</v>
      </c>
      <c r="B2361" s="2" t="s">
        <v>28794</v>
      </c>
      <c r="C2361" s="2" t="s">
        <v>28795</v>
      </c>
      <c r="D2361" s="2" t="s">
        <v>28796</v>
      </c>
      <c r="F2361" s="3" t="s">
        <v>58</v>
      </c>
      <c r="G2361" s="3" t="s">
        <v>59</v>
      </c>
      <c r="H2361" s="3" t="s">
        <v>58</v>
      </c>
      <c r="I2361" s="3" t="s">
        <v>58</v>
      </c>
      <c r="J2361" s="3" t="s">
        <v>60</v>
      </c>
      <c r="K2361" s="2" t="s">
        <v>28797</v>
      </c>
      <c r="L2361" s="2" t="s">
        <v>28798</v>
      </c>
      <c r="M2361" s="3" t="s">
        <v>598</v>
      </c>
      <c r="O2361" s="3" t="s">
        <v>63</v>
      </c>
      <c r="P2361" s="3" t="s">
        <v>214</v>
      </c>
      <c r="R2361" s="3" t="s">
        <v>65</v>
      </c>
      <c r="S2361" s="4">
        <v>2</v>
      </c>
      <c r="T2361" s="4">
        <v>2</v>
      </c>
      <c r="U2361" s="5" t="s">
        <v>28799</v>
      </c>
      <c r="V2361" s="5" t="s">
        <v>28799</v>
      </c>
      <c r="W2361" s="5" t="s">
        <v>22066</v>
      </c>
      <c r="X2361" s="5" t="s">
        <v>22066</v>
      </c>
      <c r="Y2361" s="4">
        <v>392</v>
      </c>
      <c r="Z2361" s="4">
        <v>346</v>
      </c>
      <c r="AA2361" s="4">
        <v>352</v>
      </c>
      <c r="AB2361" s="4">
        <v>4</v>
      </c>
      <c r="AC2361" s="4">
        <v>4</v>
      </c>
      <c r="AD2361" s="4">
        <v>17</v>
      </c>
      <c r="AE2361" s="4">
        <v>17</v>
      </c>
      <c r="AF2361" s="4">
        <v>7</v>
      </c>
      <c r="AG2361" s="4">
        <v>7</v>
      </c>
      <c r="AH2361" s="4">
        <v>4</v>
      </c>
      <c r="AI2361" s="4">
        <v>4</v>
      </c>
      <c r="AJ2361" s="4">
        <v>11</v>
      </c>
      <c r="AK2361" s="4">
        <v>11</v>
      </c>
      <c r="AL2361" s="4">
        <v>3</v>
      </c>
      <c r="AM2361" s="4">
        <v>3</v>
      </c>
      <c r="AN2361" s="4">
        <v>0</v>
      </c>
      <c r="AO2361" s="4">
        <v>0</v>
      </c>
      <c r="AP2361" s="3" t="s">
        <v>58</v>
      </c>
      <c r="AQ2361" s="3" t="s">
        <v>58</v>
      </c>
      <c r="AR2361" s="6" t="str">
        <f>HYPERLINK("http://catalog.hathitrust.org/Record/001259081","HathiTrust Record")</f>
        <v>HathiTrust Record</v>
      </c>
      <c r="AS2361" s="6" t="str">
        <f>HYPERLINK("https://creighton-primo.hosted.exlibrisgroup.com/primo-explore/search?tab=default_tab&amp;search_scope=EVERYTHING&amp;vid=01CRU&amp;lang=en_US&amp;offset=0&amp;query=any,contains,991003558339702656","Catalog Record")</f>
        <v>Catalog Record</v>
      </c>
      <c r="AT2361" s="6" t="str">
        <f>HYPERLINK("http://www.worldcat.org/oclc/1127491","WorldCat Record")</f>
        <v>WorldCat Record</v>
      </c>
      <c r="AU2361" s="3" t="s">
        <v>28800</v>
      </c>
      <c r="AV2361" s="3" t="s">
        <v>28801</v>
      </c>
      <c r="AW2361" s="3" t="s">
        <v>28802</v>
      </c>
      <c r="AX2361" s="3" t="s">
        <v>28802</v>
      </c>
      <c r="AY2361" s="3" t="s">
        <v>28803</v>
      </c>
      <c r="AZ2361" s="3" t="s">
        <v>73</v>
      </c>
      <c r="BC2361" s="3" t="s">
        <v>28804</v>
      </c>
      <c r="BD2361" s="3" t="s">
        <v>28805</v>
      </c>
    </row>
    <row r="2362" spans="1:56" ht="51" customHeight="1" x14ac:dyDescent="0.25">
      <c r="A2362" s="7" t="s">
        <v>58</v>
      </c>
      <c r="B2362" s="2" t="s">
        <v>28806</v>
      </c>
      <c r="C2362" s="2" t="s">
        <v>28807</v>
      </c>
      <c r="D2362" s="2" t="s">
        <v>28808</v>
      </c>
      <c r="F2362" s="3" t="s">
        <v>58</v>
      </c>
      <c r="G2362" s="3" t="s">
        <v>59</v>
      </c>
      <c r="H2362" s="3" t="s">
        <v>58</v>
      </c>
      <c r="I2362" s="3" t="s">
        <v>58</v>
      </c>
      <c r="J2362" s="3" t="s">
        <v>60</v>
      </c>
      <c r="K2362" s="2" t="s">
        <v>28809</v>
      </c>
      <c r="L2362" s="2" t="s">
        <v>11782</v>
      </c>
      <c r="M2362" s="3" t="s">
        <v>842</v>
      </c>
      <c r="O2362" s="3" t="s">
        <v>63</v>
      </c>
      <c r="P2362" s="3" t="s">
        <v>2630</v>
      </c>
      <c r="Q2362" s="2" t="s">
        <v>15803</v>
      </c>
      <c r="R2362" s="3" t="s">
        <v>65</v>
      </c>
      <c r="S2362" s="4">
        <v>2</v>
      </c>
      <c r="T2362" s="4">
        <v>2</v>
      </c>
      <c r="U2362" s="5" t="s">
        <v>28810</v>
      </c>
      <c r="V2362" s="5" t="s">
        <v>28810</v>
      </c>
      <c r="W2362" s="5" t="s">
        <v>26573</v>
      </c>
      <c r="X2362" s="5" t="s">
        <v>26573</v>
      </c>
      <c r="Y2362" s="4">
        <v>746</v>
      </c>
      <c r="Z2362" s="4">
        <v>621</v>
      </c>
      <c r="AA2362" s="4">
        <v>625</v>
      </c>
      <c r="AB2362" s="4">
        <v>6</v>
      </c>
      <c r="AC2362" s="4">
        <v>6</v>
      </c>
      <c r="AD2362" s="4">
        <v>24</v>
      </c>
      <c r="AE2362" s="4">
        <v>24</v>
      </c>
      <c r="AF2362" s="4">
        <v>8</v>
      </c>
      <c r="AG2362" s="4">
        <v>8</v>
      </c>
      <c r="AH2362" s="4">
        <v>5</v>
      </c>
      <c r="AI2362" s="4">
        <v>5</v>
      </c>
      <c r="AJ2362" s="4">
        <v>14</v>
      </c>
      <c r="AK2362" s="4">
        <v>14</v>
      </c>
      <c r="AL2362" s="4">
        <v>5</v>
      </c>
      <c r="AM2362" s="4">
        <v>5</v>
      </c>
      <c r="AN2362" s="4">
        <v>0</v>
      </c>
      <c r="AO2362" s="4">
        <v>0</v>
      </c>
      <c r="AP2362" s="3" t="s">
        <v>58</v>
      </c>
      <c r="AQ2362" s="3" t="s">
        <v>68</v>
      </c>
      <c r="AR2362" s="6" t="str">
        <f>HYPERLINK("http://catalog.hathitrust.org/Record/000129512","HathiTrust Record")</f>
        <v>HathiTrust Record</v>
      </c>
      <c r="AS2362" s="6" t="str">
        <f>HYPERLINK("https://creighton-primo.hosted.exlibrisgroup.com/primo-explore/search?tab=default_tab&amp;search_scope=EVERYTHING&amp;vid=01CRU&amp;lang=en_US&amp;offset=0&amp;query=any,contains,991004948529702656","Catalog Record")</f>
        <v>Catalog Record</v>
      </c>
      <c r="AT2362" s="6" t="str">
        <f>HYPERLINK("http://www.worldcat.org/oclc/6223369","WorldCat Record")</f>
        <v>WorldCat Record</v>
      </c>
      <c r="AU2362" s="3" t="s">
        <v>28811</v>
      </c>
      <c r="AV2362" s="3" t="s">
        <v>28812</v>
      </c>
      <c r="AW2362" s="3" t="s">
        <v>28813</v>
      </c>
      <c r="AX2362" s="3" t="s">
        <v>28813</v>
      </c>
      <c r="AY2362" s="3" t="s">
        <v>28814</v>
      </c>
      <c r="AZ2362" s="3" t="s">
        <v>73</v>
      </c>
      <c r="BB2362" s="3" t="s">
        <v>28815</v>
      </c>
      <c r="BC2362" s="3" t="s">
        <v>28816</v>
      </c>
      <c r="BD2362" s="3" t="s">
        <v>28817</v>
      </c>
    </row>
    <row r="2363" spans="1:56" ht="51" customHeight="1" x14ac:dyDescent="0.25">
      <c r="A2363" s="7" t="s">
        <v>58</v>
      </c>
      <c r="B2363" s="2" t="s">
        <v>28818</v>
      </c>
      <c r="C2363" s="2" t="s">
        <v>28819</v>
      </c>
      <c r="D2363" s="2" t="s">
        <v>28820</v>
      </c>
      <c r="E2363" s="3" t="s">
        <v>20526</v>
      </c>
      <c r="F2363" s="3" t="s">
        <v>58</v>
      </c>
      <c r="G2363" s="3" t="s">
        <v>59</v>
      </c>
      <c r="H2363" s="3" t="s">
        <v>58</v>
      </c>
      <c r="I2363" s="3" t="s">
        <v>58</v>
      </c>
      <c r="J2363" s="3" t="s">
        <v>60</v>
      </c>
      <c r="L2363" s="2" t="s">
        <v>28821</v>
      </c>
      <c r="M2363" s="3" t="s">
        <v>1385</v>
      </c>
      <c r="O2363" s="3" t="s">
        <v>63</v>
      </c>
      <c r="P2363" s="3" t="s">
        <v>10900</v>
      </c>
      <c r="R2363" s="3" t="s">
        <v>65</v>
      </c>
      <c r="S2363" s="4">
        <v>1</v>
      </c>
      <c r="T2363" s="4">
        <v>1</v>
      </c>
      <c r="U2363" s="5" t="s">
        <v>28822</v>
      </c>
      <c r="V2363" s="5" t="s">
        <v>28822</v>
      </c>
      <c r="W2363" s="5" t="s">
        <v>26573</v>
      </c>
      <c r="X2363" s="5" t="s">
        <v>26573</v>
      </c>
      <c r="Y2363" s="4">
        <v>189</v>
      </c>
      <c r="Z2363" s="4">
        <v>135</v>
      </c>
      <c r="AA2363" s="4">
        <v>137</v>
      </c>
      <c r="AB2363" s="4">
        <v>2</v>
      </c>
      <c r="AC2363" s="4">
        <v>2</v>
      </c>
      <c r="AD2363" s="4">
        <v>6</v>
      </c>
      <c r="AE2363" s="4">
        <v>6</v>
      </c>
      <c r="AF2363" s="4">
        <v>1</v>
      </c>
      <c r="AG2363" s="4">
        <v>1</v>
      </c>
      <c r="AH2363" s="4">
        <v>2</v>
      </c>
      <c r="AI2363" s="4">
        <v>2</v>
      </c>
      <c r="AJ2363" s="4">
        <v>4</v>
      </c>
      <c r="AK2363" s="4">
        <v>4</v>
      </c>
      <c r="AL2363" s="4">
        <v>1</v>
      </c>
      <c r="AM2363" s="4">
        <v>1</v>
      </c>
      <c r="AN2363" s="4">
        <v>0</v>
      </c>
      <c r="AO2363" s="4">
        <v>0</v>
      </c>
      <c r="AP2363" s="3" t="s">
        <v>58</v>
      </c>
      <c r="AQ2363" s="3" t="s">
        <v>68</v>
      </c>
      <c r="AR2363" s="6" t="str">
        <f>HYPERLINK("http://catalog.hathitrust.org/Record/009053289","HathiTrust Record")</f>
        <v>HathiTrust Record</v>
      </c>
      <c r="AS2363" s="6" t="str">
        <f>HYPERLINK("https://creighton-primo.hosted.exlibrisgroup.com/primo-explore/search?tab=default_tab&amp;search_scope=EVERYTHING&amp;vid=01CRU&amp;lang=en_US&amp;offset=0&amp;query=any,contains,991003858909702656","Catalog Record")</f>
        <v>Catalog Record</v>
      </c>
      <c r="AT2363" s="6" t="str">
        <f>HYPERLINK("http://www.worldcat.org/oclc/44663262","WorldCat Record")</f>
        <v>WorldCat Record</v>
      </c>
      <c r="AU2363" s="3" t="s">
        <v>28823</v>
      </c>
      <c r="AV2363" s="3" t="s">
        <v>28824</v>
      </c>
      <c r="AW2363" s="3" t="s">
        <v>28825</v>
      </c>
      <c r="AX2363" s="3" t="s">
        <v>28825</v>
      </c>
      <c r="AY2363" s="3" t="s">
        <v>28826</v>
      </c>
      <c r="AZ2363" s="3" t="s">
        <v>73</v>
      </c>
      <c r="BC2363" s="3" t="s">
        <v>28827</v>
      </c>
      <c r="BD2363" s="3" t="s">
        <v>28828</v>
      </c>
    </row>
    <row r="2364" spans="1:56" ht="51" customHeight="1" x14ac:dyDescent="0.25">
      <c r="A2364" s="7" t="s">
        <v>58</v>
      </c>
      <c r="B2364" s="2" t="s">
        <v>28829</v>
      </c>
      <c r="C2364" s="2" t="s">
        <v>28830</v>
      </c>
      <c r="D2364" s="2" t="s">
        <v>28831</v>
      </c>
      <c r="F2364" s="3" t="s">
        <v>58</v>
      </c>
      <c r="G2364" s="3" t="s">
        <v>59</v>
      </c>
      <c r="H2364" s="3" t="s">
        <v>58</v>
      </c>
      <c r="I2364" s="3" t="s">
        <v>58</v>
      </c>
      <c r="J2364" s="3" t="s">
        <v>60</v>
      </c>
      <c r="K2364" s="2" t="s">
        <v>25329</v>
      </c>
      <c r="L2364" s="2" t="s">
        <v>2280</v>
      </c>
      <c r="M2364" s="3" t="s">
        <v>759</v>
      </c>
      <c r="O2364" s="3" t="s">
        <v>63</v>
      </c>
      <c r="P2364" s="3" t="s">
        <v>354</v>
      </c>
      <c r="Q2364" s="2" t="s">
        <v>28832</v>
      </c>
      <c r="R2364" s="3" t="s">
        <v>65</v>
      </c>
      <c r="S2364" s="4">
        <v>8</v>
      </c>
      <c r="T2364" s="4">
        <v>8</v>
      </c>
      <c r="U2364" s="5" t="s">
        <v>25573</v>
      </c>
      <c r="V2364" s="5" t="s">
        <v>25573</v>
      </c>
      <c r="W2364" s="5" t="s">
        <v>26573</v>
      </c>
      <c r="X2364" s="5" t="s">
        <v>26573</v>
      </c>
      <c r="Y2364" s="4">
        <v>883</v>
      </c>
      <c r="Z2364" s="4">
        <v>713</v>
      </c>
      <c r="AA2364" s="4">
        <v>760</v>
      </c>
      <c r="AB2364" s="4">
        <v>5</v>
      </c>
      <c r="AC2364" s="4">
        <v>5</v>
      </c>
      <c r="AD2364" s="4">
        <v>29</v>
      </c>
      <c r="AE2364" s="4">
        <v>29</v>
      </c>
      <c r="AF2364" s="4">
        <v>10</v>
      </c>
      <c r="AG2364" s="4">
        <v>10</v>
      </c>
      <c r="AH2364" s="4">
        <v>8</v>
      </c>
      <c r="AI2364" s="4">
        <v>8</v>
      </c>
      <c r="AJ2364" s="4">
        <v>17</v>
      </c>
      <c r="AK2364" s="4">
        <v>17</v>
      </c>
      <c r="AL2364" s="4">
        <v>4</v>
      </c>
      <c r="AM2364" s="4">
        <v>4</v>
      </c>
      <c r="AN2364" s="4">
        <v>0</v>
      </c>
      <c r="AO2364" s="4">
        <v>0</v>
      </c>
      <c r="AP2364" s="3" t="s">
        <v>58</v>
      </c>
      <c r="AQ2364" s="3" t="s">
        <v>58</v>
      </c>
      <c r="AS2364" s="6" t="str">
        <f>HYPERLINK("https://creighton-primo.hosted.exlibrisgroup.com/primo-explore/search?tab=default_tab&amp;search_scope=EVERYTHING&amp;vid=01CRU&amp;lang=en_US&amp;offset=0&amp;query=any,contains,991005039419702656","Catalog Record")</f>
        <v>Catalog Record</v>
      </c>
      <c r="AT2364" s="6" t="str">
        <f>HYPERLINK("http://www.worldcat.org/oclc/6788082","WorldCat Record")</f>
        <v>WorldCat Record</v>
      </c>
      <c r="AU2364" s="3" t="s">
        <v>28833</v>
      </c>
      <c r="AV2364" s="3" t="s">
        <v>28834</v>
      </c>
      <c r="AW2364" s="3" t="s">
        <v>28835</v>
      </c>
      <c r="AX2364" s="3" t="s">
        <v>28835</v>
      </c>
      <c r="AY2364" s="3" t="s">
        <v>28836</v>
      </c>
      <c r="AZ2364" s="3" t="s">
        <v>73</v>
      </c>
      <c r="BB2364" s="3" t="s">
        <v>28837</v>
      </c>
      <c r="BC2364" s="3" t="s">
        <v>28838</v>
      </c>
      <c r="BD2364" s="3" t="s">
        <v>28839</v>
      </c>
    </row>
    <row r="2365" spans="1:56" ht="51" customHeight="1" x14ac:dyDescent="0.25">
      <c r="A2365" s="7" t="s">
        <v>58</v>
      </c>
      <c r="B2365" s="2" t="s">
        <v>28840</v>
      </c>
      <c r="C2365" s="2" t="s">
        <v>28841</v>
      </c>
      <c r="D2365" s="2" t="s">
        <v>28842</v>
      </c>
      <c r="F2365" s="3" t="s">
        <v>58</v>
      </c>
      <c r="G2365" s="3" t="s">
        <v>59</v>
      </c>
      <c r="H2365" s="3" t="s">
        <v>58</v>
      </c>
      <c r="I2365" s="3" t="s">
        <v>58</v>
      </c>
      <c r="J2365" s="3" t="s">
        <v>60</v>
      </c>
      <c r="K2365" s="2" t="s">
        <v>28843</v>
      </c>
      <c r="L2365" s="2" t="s">
        <v>28844</v>
      </c>
      <c r="M2365" s="3" t="s">
        <v>2214</v>
      </c>
      <c r="O2365" s="3" t="s">
        <v>63</v>
      </c>
      <c r="P2365" s="3" t="s">
        <v>1933</v>
      </c>
      <c r="R2365" s="3" t="s">
        <v>65</v>
      </c>
      <c r="S2365" s="4">
        <v>5</v>
      </c>
      <c r="T2365" s="4">
        <v>5</v>
      </c>
      <c r="U2365" s="5" t="s">
        <v>28845</v>
      </c>
      <c r="V2365" s="5" t="s">
        <v>28845</v>
      </c>
      <c r="W2365" s="5" t="s">
        <v>28846</v>
      </c>
      <c r="X2365" s="5" t="s">
        <v>28846</v>
      </c>
      <c r="Y2365" s="4">
        <v>787</v>
      </c>
      <c r="Z2365" s="4">
        <v>677</v>
      </c>
      <c r="AA2365" s="4">
        <v>1178</v>
      </c>
      <c r="AB2365" s="4">
        <v>3</v>
      </c>
      <c r="AC2365" s="4">
        <v>5</v>
      </c>
      <c r="AD2365" s="4">
        <v>29</v>
      </c>
      <c r="AE2365" s="4">
        <v>37</v>
      </c>
      <c r="AF2365" s="4">
        <v>15</v>
      </c>
      <c r="AG2365" s="4">
        <v>19</v>
      </c>
      <c r="AH2365" s="4">
        <v>7</v>
      </c>
      <c r="AI2365" s="4">
        <v>8</v>
      </c>
      <c r="AJ2365" s="4">
        <v>14</v>
      </c>
      <c r="AK2365" s="4">
        <v>17</v>
      </c>
      <c r="AL2365" s="4">
        <v>2</v>
      </c>
      <c r="AM2365" s="4">
        <v>4</v>
      </c>
      <c r="AN2365" s="4">
        <v>0</v>
      </c>
      <c r="AO2365" s="4">
        <v>0</v>
      </c>
      <c r="AP2365" s="3" t="s">
        <v>58</v>
      </c>
      <c r="AQ2365" s="3" t="s">
        <v>68</v>
      </c>
      <c r="AR2365" s="6" t="str">
        <f>HYPERLINK("http://catalog.hathitrust.org/Record/009928577","HathiTrust Record")</f>
        <v>HathiTrust Record</v>
      </c>
      <c r="AS2365" s="6" t="str">
        <f>HYPERLINK("https://creighton-primo.hosted.exlibrisgroup.com/primo-explore/search?tab=default_tab&amp;search_scope=EVERYTHING&amp;vid=01CRU&amp;lang=en_US&amp;offset=0&amp;query=any,contains,991004856849702656","Catalog Record")</f>
        <v>Catalog Record</v>
      </c>
      <c r="AT2365" s="6" t="str">
        <f>HYPERLINK("http://www.worldcat.org/oclc/56422090","WorldCat Record")</f>
        <v>WorldCat Record</v>
      </c>
      <c r="AU2365" s="3" t="s">
        <v>28847</v>
      </c>
      <c r="AV2365" s="3" t="s">
        <v>28848</v>
      </c>
      <c r="AW2365" s="3" t="s">
        <v>28849</v>
      </c>
      <c r="AX2365" s="3" t="s">
        <v>28849</v>
      </c>
      <c r="AY2365" s="3" t="s">
        <v>28850</v>
      </c>
      <c r="AZ2365" s="3" t="s">
        <v>73</v>
      </c>
      <c r="BB2365" s="3" t="s">
        <v>28851</v>
      </c>
      <c r="BC2365" s="3" t="s">
        <v>28852</v>
      </c>
      <c r="BD2365" s="3" t="s">
        <v>28853</v>
      </c>
    </row>
    <row r="2366" spans="1:56" ht="51" customHeight="1" x14ac:dyDescent="0.25">
      <c r="A2366" s="7" t="s">
        <v>58</v>
      </c>
      <c r="B2366" s="2" t="s">
        <v>28854</v>
      </c>
      <c r="C2366" s="2" t="s">
        <v>28855</v>
      </c>
      <c r="D2366" s="2" t="s">
        <v>28856</v>
      </c>
      <c r="F2366" s="3" t="s">
        <v>58</v>
      </c>
      <c r="G2366" s="3" t="s">
        <v>59</v>
      </c>
      <c r="H2366" s="3" t="s">
        <v>58</v>
      </c>
      <c r="I2366" s="3" t="s">
        <v>58</v>
      </c>
      <c r="J2366" s="3" t="s">
        <v>60</v>
      </c>
      <c r="K2366" s="2" t="s">
        <v>28857</v>
      </c>
      <c r="L2366" s="2" t="s">
        <v>28858</v>
      </c>
      <c r="M2366" s="3" t="s">
        <v>138</v>
      </c>
      <c r="N2366" s="2" t="s">
        <v>28859</v>
      </c>
      <c r="O2366" s="3" t="s">
        <v>63</v>
      </c>
      <c r="P2366" s="3" t="s">
        <v>10900</v>
      </c>
      <c r="R2366" s="3" t="s">
        <v>65</v>
      </c>
      <c r="S2366" s="4">
        <v>4</v>
      </c>
      <c r="T2366" s="4">
        <v>4</v>
      </c>
      <c r="U2366" s="5" t="s">
        <v>28860</v>
      </c>
      <c r="V2366" s="5" t="s">
        <v>28860</v>
      </c>
      <c r="W2366" s="5" t="s">
        <v>26573</v>
      </c>
      <c r="X2366" s="5" t="s">
        <v>26573</v>
      </c>
      <c r="Y2366" s="4">
        <v>278</v>
      </c>
      <c r="Z2366" s="4">
        <v>222</v>
      </c>
      <c r="AA2366" s="4">
        <v>224</v>
      </c>
      <c r="AB2366" s="4">
        <v>2</v>
      </c>
      <c r="AC2366" s="4">
        <v>2</v>
      </c>
      <c r="AD2366" s="4">
        <v>9</v>
      </c>
      <c r="AE2366" s="4">
        <v>9</v>
      </c>
      <c r="AF2366" s="4">
        <v>3</v>
      </c>
      <c r="AG2366" s="4">
        <v>3</v>
      </c>
      <c r="AH2366" s="4">
        <v>3</v>
      </c>
      <c r="AI2366" s="4">
        <v>3</v>
      </c>
      <c r="AJ2366" s="4">
        <v>4</v>
      </c>
      <c r="AK2366" s="4">
        <v>4</v>
      </c>
      <c r="AL2366" s="4">
        <v>1</v>
      </c>
      <c r="AM2366" s="4">
        <v>1</v>
      </c>
      <c r="AN2366" s="4">
        <v>0</v>
      </c>
      <c r="AO2366" s="4">
        <v>0</v>
      </c>
      <c r="AP2366" s="3" t="s">
        <v>58</v>
      </c>
      <c r="AQ2366" s="3" t="s">
        <v>68</v>
      </c>
      <c r="AR2366" s="6" t="str">
        <f>HYPERLINK("http://catalog.hathitrust.org/Record/000574034","HathiTrust Record")</f>
        <v>HathiTrust Record</v>
      </c>
      <c r="AS2366" s="6" t="str">
        <f>HYPERLINK("https://creighton-primo.hosted.exlibrisgroup.com/primo-explore/search?tab=default_tab&amp;search_scope=EVERYTHING&amp;vid=01CRU&amp;lang=en_US&amp;offset=0&amp;query=any,contains,991000189589702656","Catalog Record")</f>
        <v>Catalog Record</v>
      </c>
      <c r="AT2366" s="6" t="str">
        <f>HYPERLINK("http://www.worldcat.org/oclc/9410629","WorldCat Record")</f>
        <v>WorldCat Record</v>
      </c>
      <c r="AU2366" s="3" t="s">
        <v>28861</v>
      </c>
      <c r="AV2366" s="3" t="s">
        <v>28862</v>
      </c>
      <c r="AW2366" s="3" t="s">
        <v>28863</v>
      </c>
      <c r="AX2366" s="3" t="s">
        <v>28863</v>
      </c>
      <c r="AY2366" s="3" t="s">
        <v>28864</v>
      </c>
      <c r="AZ2366" s="3" t="s">
        <v>73</v>
      </c>
      <c r="BB2366" s="3" t="s">
        <v>28865</v>
      </c>
      <c r="BC2366" s="3" t="s">
        <v>28866</v>
      </c>
      <c r="BD2366" s="3" t="s">
        <v>28867</v>
      </c>
    </row>
    <row r="2367" spans="1:56" ht="51" customHeight="1" x14ac:dyDescent="0.25">
      <c r="A2367" s="7" t="s">
        <v>58</v>
      </c>
      <c r="B2367" s="2" t="s">
        <v>28868</v>
      </c>
      <c r="C2367" s="2" t="s">
        <v>28869</v>
      </c>
      <c r="D2367" s="2" t="s">
        <v>28870</v>
      </c>
      <c r="F2367" s="3" t="s">
        <v>58</v>
      </c>
      <c r="G2367" s="3" t="s">
        <v>59</v>
      </c>
      <c r="H2367" s="3" t="s">
        <v>58</v>
      </c>
      <c r="I2367" s="3" t="s">
        <v>58</v>
      </c>
      <c r="J2367" s="3" t="s">
        <v>60</v>
      </c>
      <c r="K2367" s="2" t="s">
        <v>28871</v>
      </c>
      <c r="L2367" s="2" t="s">
        <v>28872</v>
      </c>
      <c r="M2367" s="3" t="s">
        <v>183</v>
      </c>
      <c r="O2367" s="3" t="s">
        <v>63</v>
      </c>
      <c r="P2367" s="3" t="s">
        <v>816</v>
      </c>
      <c r="R2367" s="3" t="s">
        <v>65</v>
      </c>
      <c r="S2367" s="4">
        <v>10</v>
      </c>
      <c r="T2367" s="4">
        <v>10</v>
      </c>
      <c r="U2367" s="5" t="s">
        <v>28799</v>
      </c>
      <c r="V2367" s="5" t="s">
        <v>28799</v>
      </c>
      <c r="W2367" s="5" t="s">
        <v>17959</v>
      </c>
      <c r="X2367" s="5" t="s">
        <v>17959</v>
      </c>
      <c r="Y2367" s="4">
        <v>1821</v>
      </c>
      <c r="Z2367" s="4">
        <v>1620</v>
      </c>
      <c r="AA2367" s="4">
        <v>1786</v>
      </c>
      <c r="AB2367" s="4">
        <v>17</v>
      </c>
      <c r="AC2367" s="4">
        <v>17</v>
      </c>
      <c r="AD2367" s="4">
        <v>50</v>
      </c>
      <c r="AE2367" s="4">
        <v>55</v>
      </c>
      <c r="AF2367" s="4">
        <v>19</v>
      </c>
      <c r="AG2367" s="4">
        <v>23</v>
      </c>
      <c r="AH2367" s="4">
        <v>9</v>
      </c>
      <c r="AI2367" s="4">
        <v>9</v>
      </c>
      <c r="AJ2367" s="4">
        <v>22</v>
      </c>
      <c r="AK2367" s="4">
        <v>24</v>
      </c>
      <c r="AL2367" s="4">
        <v>11</v>
      </c>
      <c r="AM2367" s="4">
        <v>11</v>
      </c>
      <c r="AN2367" s="4">
        <v>0</v>
      </c>
      <c r="AO2367" s="4">
        <v>1</v>
      </c>
      <c r="AP2367" s="3" t="s">
        <v>58</v>
      </c>
      <c r="AQ2367" s="3" t="s">
        <v>68</v>
      </c>
      <c r="AR2367" s="6" t="str">
        <f>HYPERLINK("http://catalog.hathitrust.org/Record/000169653","HathiTrust Record")</f>
        <v>HathiTrust Record</v>
      </c>
      <c r="AS2367" s="6" t="str">
        <f>HYPERLINK("https://creighton-primo.hosted.exlibrisgroup.com/primo-explore/search?tab=default_tab&amp;search_scope=EVERYTHING&amp;vid=01CRU&amp;lang=en_US&amp;offset=0&amp;query=any,contains,991004201739702656","Catalog Record")</f>
        <v>Catalog Record</v>
      </c>
      <c r="AT2367" s="6" t="str">
        <f>HYPERLINK("http://www.worldcat.org/oclc/2655444","WorldCat Record")</f>
        <v>WorldCat Record</v>
      </c>
      <c r="AU2367" s="3" t="s">
        <v>28873</v>
      </c>
      <c r="AV2367" s="3" t="s">
        <v>28874</v>
      </c>
      <c r="AW2367" s="3" t="s">
        <v>28875</v>
      </c>
      <c r="AX2367" s="3" t="s">
        <v>28875</v>
      </c>
      <c r="AY2367" s="3" t="s">
        <v>28876</v>
      </c>
      <c r="AZ2367" s="3" t="s">
        <v>73</v>
      </c>
      <c r="BB2367" s="3" t="s">
        <v>28877</v>
      </c>
      <c r="BC2367" s="3" t="s">
        <v>28878</v>
      </c>
      <c r="BD2367" s="3" t="s">
        <v>28879</v>
      </c>
    </row>
    <row r="2368" spans="1:56" ht="51" customHeight="1" x14ac:dyDescent="0.25">
      <c r="A2368" s="7" t="s">
        <v>58</v>
      </c>
      <c r="B2368" s="2" t="s">
        <v>28880</v>
      </c>
      <c r="C2368" s="2" t="s">
        <v>28881</v>
      </c>
      <c r="D2368" s="2" t="s">
        <v>28882</v>
      </c>
      <c r="F2368" s="3" t="s">
        <v>58</v>
      </c>
      <c r="G2368" s="3" t="s">
        <v>59</v>
      </c>
      <c r="H2368" s="3" t="s">
        <v>58</v>
      </c>
      <c r="I2368" s="3" t="s">
        <v>58</v>
      </c>
      <c r="J2368" s="3" t="s">
        <v>60</v>
      </c>
      <c r="K2368" s="2" t="s">
        <v>28883</v>
      </c>
      <c r="L2368" s="2" t="s">
        <v>28884</v>
      </c>
      <c r="M2368" s="3" t="s">
        <v>1091</v>
      </c>
      <c r="O2368" s="3" t="s">
        <v>63</v>
      </c>
      <c r="P2368" s="3" t="s">
        <v>584</v>
      </c>
      <c r="R2368" s="3" t="s">
        <v>65</v>
      </c>
      <c r="S2368" s="4">
        <v>2</v>
      </c>
      <c r="T2368" s="4">
        <v>2</v>
      </c>
      <c r="U2368" s="5" t="s">
        <v>28885</v>
      </c>
      <c r="V2368" s="5" t="s">
        <v>28885</v>
      </c>
      <c r="W2368" s="5" t="s">
        <v>28886</v>
      </c>
      <c r="X2368" s="5" t="s">
        <v>28886</v>
      </c>
      <c r="Y2368" s="4">
        <v>131</v>
      </c>
      <c r="Z2368" s="4">
        <v>91</v>
      </c>
      <c r="AA2368" s="4">
        <v>113</v>
      </c>
      <c r="AB2368" s="4">
        <v>2</v>
      </c>
      <c r="AC2368" s="4">
        <v>2</v>
      </c>
      <c r="AD2368" s="4">
        <v>2</v>
      </c>
      <c r="AE2368" s="4">
        <v>2</v>
      </c>
      <c r="AF2368" s="4">
        <v>0</v>
      </c>
      <c r="AG2368" s="4">
        <v>0</v>
      </c>
      <c r="AH2368" s="4">
        <v>0</v>
      </c>
      <c r="AI2368" s="4">
        <v>0</v>
      </c>
      <c r="AJ2368" s="4">
        <v>1</v>
      </c>
      <c r="AK2368" s="4">
        <v>1</v>
      </c>
      <c r="AL2368" s="4">
        <v>1</v>
      </c>
      <c r="AM2368" s="4">
        <v>1</v>
      </c>
      <c r="AN2368" s="4">
        <v>0</v>
      </c>
      <c r="AO2368" s="4">
        <v>0</v>
      </c>
      <c r="AP2368" s="3" t="s">
        <v>58</v>
      </c>
      <c r="AQ2368" s="3" t="s">
        <v>58</v>
      </c>
      <c r="AS2368" s="6" t="str">
        <f>HYPERLINK("https://creighton-primo.hosted.exlibrisgroup.com/primo-explore/search?tab=default_tab&amp;search_scope=EVERYTHING&amp;vid=01CRU&amp;lang=en_US&amp;offset=0&amp;query=any,contains,991003453389702656","Catalog Record")</f>
        <v>Catalog Record</v>
      </c>
      <c r="AT2368" s="6" t="str">
        <f>HYPERLINK("http://www.worldcat.org/oclc/42579480","WorldCat Record")</f>
        <v>WorldCat Record</v>
      </c>
      <c r="AU2368" s="3" t="s">
        <v>28887</v>
      </c>
      <c r="AV2368" s="3" t="s">
        <v>28888</v>
      </c>
      <c r="AW2368" s="3" t="s">
        <v>28889</v>
      </c>
      <c r="AX2368" s="3" t="s">
        <v>28889</v>
      </c>
      <c r="AY2368" s="3" t="s">
        <v>28890</v>
      </c>
      <c r="AZ2368" s="3" t="s">
        <v>73</v>
      </c>
      <c r="BB2368" s="3" t="s">
        <v>28891</v>
      </c>
      <c r="BC2368" s="3" t="s">
        <v>28892</v>
      </c>
      <c r="BD2368" s="3" t="s">
        <v>28893</v>
      </c>
    </row>
    <row r="2369" spans="1:56" ht="51" customHeight="1" x14ac:dyDescent="0.25">
      <c r="A2369" s="7" t="s">
        <v>58</v>
      </c>
      <c r="B2369" s="2" t="s">
        <v>28894</v>
      </c>
      <c r="C2369" s="2" t="s">
        <v>28895</v>
      </c>
      <c r="D2369" s="2" t="s">
        <v>28896</v>
      </c>
      <c r="F2369" s="3" t="s">
        <v>58</v>
      </c>
      <c r="G2369" s="3" t="s">
        <v>59</v>
      </c>
      <c r="H2369" s="3" t="s">
        <v>58</v>
      </c>
      <c r="I2369" s="3" t="s">
        <v>58</v>
      </c>
      <c r="J2369" s="3" t="s">
        <v>60</v>
      </c>
      <c r="K2369" s="2" t="s">
        <v>28897</v>
      </c>
      <c r="L2369" s="2" t="s">
        <v>28898</v>
      </c>
      <c r="M2369" s="3" t="s">
        <v>4851</v>
      </c>
      <c r="O2369" s="3" t="s">
        <v>63</v>
      </c>
      <c r="P2369" s="3" t="s">
        <v>214</v>
      </c>
      <c r="Q2369" s="2" t="s">
        <v>28899</v>
      </c>
      <c r="R2369" s="3" t="s">
        <v>65</v>
      </c>
      <c r="S2369" s="4">
        <v>7</v>
      </c>
      <c r="T2369" s="4">
        <v>7</v>
      </c>
      <c r="U2369" s="5" t="s">
        <v>28900</v>
      </c>
      <c r="V2369" s="5" t="s">
        <v>28900</v>
      </c>
      <c r="W2369" s="5" t="s">
        <v>14024</v>
      </c>
      <c r="X2369" s="5" t="s">
        <v>14024</v>
      </c>
      <c r="Y2369" s="4">
        <v>946</v>
      </c>
      <c r="Z2369" s="4">
        <v>917</v>
      </c>
      <c r="AA2369" s="4">
        <v>1233</v>
      </c>
      <c r="AB2369" s="4">
        <v>6</v>
      </c>
      <c r="AC2369" s="4">
        <v>8</v>
      </c>
      <c r="AD2369" s="4">
        <v>17</v>
      </c>
      <c r="AE2369" s="4">
        <v>28</v>
      </c>
      <c r="AF2369" s="4">
        <v>7</v>
      </c>
      <c r="AG2369" s="4">
        <v>14</v>
      </c>
      <c r="AH2369" s="4">
        <v>2</v>
      </c>
      <c r="AI2369" s="4">
        <v>5</v>
      </c>
      <c r="AJ2369" s="4">
        <v>10</v>
      </c>
      <c r="AK2369" s="4">
        <v>14</v>
      </c>
      <c r="AL2369" s="4">
        <v>4</v>
      </c>
      <c r="AM2369" s="4">
        <v>4</v>
      </c>
      <c r="AN2369" s="4">
        <v>0</v>
      </c>
      <c r="AO2369" s="4">
        <v>0</v>
      </c>
      <c r="AP2369" s="3" t="s">
        <v>58</v>
      </c>
      <c r="AQ2369" s="3" t="s">
        <v>68</v>
      </c>
      <c r="AR2369" s="6" t="str">
        <f>HYPERLINK("http://catalog.hathitrust.org/Record/001259094","HathiTrust Record")</f>
        <v>HathiTrust Record</v>
      </c>
      <c r="AS2369" s="6" t="str">
        <f>HYPERLINK("https://creighton-primo.hosted.exlibrisgroup.com/primo-explore/search?tab=default_tab&amp;search_scope=EVERYTHING&amp;vid=01CRU&amp;lang=en_US&amp;offset=0&amp;query=any,contains,991003213699702656","Catalog Record")</f>
        <v>Catalog Record</v>
      </c>
      <c r="AT2369" s="6" t="str">
        <f>HYPERLINK("http://www.worldcat.org/oclc/740096","WorldCat Record")</f>
        <v>WorldCat Record</v>
      </c>
      <c r="AU2369" s="3" t="s">
        <v>28901</v>
      </c>
      <c r="AV2369" s="3" t="s">
        <v>28902</v>
      </c>
      <c r="AW2369" s="3" t="s">
        <v>28903</v>
      </c>
      <c r="AX2369" s="3" t="s">
        <v>28903</v>
      </c>
      <c r="AY2369" s="3" t="s">
        <v>28904</v>
      </c>
      <c r="AZ2369" s="3" t="s">
        <v>73</v>
      </c>
      <c r="BC2369" s="3" t="s">
        <v>28905</v>
      </c>
      <c r="BD2369" s="3" t="s">
        <v>28906</v>
      </c>
    </row>
    <row r="2370" spans="1:56" ht="51" customHeight="1" x14ac:dyDescent="0.25">
      <c r="A2370" s="7" t="s">
        <v>58</v>
      </c>
      <c r="B2370" s="2" t="s">
        <v>28907</v>
      </c>
      <c r="C2370" s="2" t="s">
        <v>28908</v>
      </c>
      <c r="D2370" s="2" t="s">
        <v>28909</v>
      </c>
      <c r="F2370" s="3" t="s">
        <v>58</v>
      </c>
      <c r="G2370" s="3" t="s">
        <v>59</v>
      </c>
      <c r="H2370" s="3" t="s">
        <v>58</v>
      </c>
      <c r="I2370" s="3" t="s">
        <v>58</v>
      </c>
      <c r="J2370" s="3" t="s">
        <v>60</v>
      </c>
      <c r="K2370" s="2" t="s">
        <v>28910</v>
      </c>
      <c r="L2370" s="2" t="s">
        <v>28911</v>
      </c>
      <c r="M2370" s="3" t="s">
        <v>1399</v>
      </c>
      <c r="N2370" s="2" t="s">
        <v>1009</v>
      </c>
      <c r="O2370" s="3" t="s">
        <v>63</v>
      </c>
      <c r="P2370" s="3" t="s">
        <v>214</v>
      </c>
      <c r="R2370" s="3" t="s">
        <v>65</v>
      </c>
      <c r="S2370" s="4">
        <v>6</v>
      </c>
      <c r="T2370" s="4">
        <v>6</v>
      </c>
      <c r="U2370" s="5" t="s">
        <v>12419</v>
      </c>
      <c r="V2370" s="5" t="s">
        <v>12419</v>
      </c>
      <c r="W2370" s="5" t="s">
        <v>26573</v>
      </c>
      <c r="X2370" s="5" t="s">
        <v>26573</v>
      </c>
      <c r="Y2370" s="4">
        <v>668</v>
      </c>
      <c r="Z2370" s="4">
        <v>615</v>
      </c>
      <c r="AA2370" s="4">
        <v>631</v>
      </c>
      <c r="AB2370" s="4">
        <v>5</v>
      </c>
      <c r="AC2370" s="4">
        <v>5</v>
      </c>
      <c r="AD2370" s="4">
        <v>20</v>
      </c>
      <c r="AE2370" s="4">
        <v>22</v>
      </c>
      <c r="AF2370" s="4">
        <v>11</v>
      </c>
      <c r="AG2370" s="4">
        <v>12</v>
      </c>
      <c r="AH2370" s="4">
        <v>2</v>
      </c>
      <c r="AI2370" s="4">
        <v>3</v>
      </c>
      <c r="AJ2370" s="4">
        <v>11</v>
      </c>
      <c r="AK2370" s="4">
        <v>11</v>
      </c>
      <c r="AL2370" s="4">
        <v>3</v>
      </c>
      <c r="AM2370" s="4">
        <v>3</v>
      </c>
      <c r="AN2370" s="4">
        <v>0</v>
      </c>
      <c r="AO2370" s="4">
        <v>0</v>
      </c>
      <c r="AP2370" s="3" t="s">
        <v>58</v>
      </c>
      <c r="AQ2370" s="3" t="s">
        <v>68</v>
      </c>
      <c r="AR2370" s="6" t="str">
        <f>HYPERLINK("http://catalog.hathitrust.org/Record/007167369","HathiTrust Record")</f>
        <v>HathiTrust Record</v>
      </c>
      <c r="AS2370" s="6" t="str">
        <f>HYPERLINK("https://creighton-primo.hosted.exlibrisgroup.com/primo-explore/search?tab=default_tab&amp;search_scope=EVERYTHING&amp;vid=01CRU&amp;lang=en_US&amp;offset=0&amp;query=any,contains,991001165929702656","Catalog Record")</f>
        <v>Catalog Record</v>
      </c>
      <c r="AT2370" s="6" t="str">
        <f>HYPERLINK("http://www.worldcat.org/oclc/16923391","WorldCat Record")</f>
        <v>WorldCat Record</v>
      </c>
      <c r="AU2370" s="3" t="s">
        <v>28912</v>
      </c>
      <c r="AV2370" s="3" t="s">
        <v>28913</v>
      </c>
      <c r="AW2370" s="3" t="s">
        <v>28914</v>
      </c>
      <c r="AX2370" s="3" t="s">
        <v>28914</v>
      </c>
      <c r="AY2370" s="3" t="s">
        <v>28915</v>
      </c>
      <c r="AZ2370" s="3" t="s">
        <v>73</v>
      </c>
      <c r="BB2370" s="3" t="s">
        <v>28916</v>
      </c>
      <c r="BC2370" s="3" t="s">
        <v>28917</v>
      </c>
      <c r="BD2370" s="3" t="s">
        <v>28918</v>
      </c>
    </row>
    <row r="2371" spans="1:56" ht="51" customHeight="1" x14ac:dyDescent="0.25">
      <c r="A2371" s="7" t="s">
        <v>58</v>
      </c>
      <c r="B2371" s="2" t="s">
        <v>28919</v>
      </c>
      <c r="C2371" s="2" t="s">
        <v>28920</v>
      </c>
      <c r="D2371" s="2" t="s">
        <v>28921</v>
      </c>
      <c r="F2371" s="3" t="s">
        <v>58</v>
      </c>
      <c r="G2371" s="3" t="s">
        <v>59</v>
      </c>
      <c r="H2371" s="3" t="s">
        <v>58</v>
      </c>
      <c r="I2371" s="3" t="s">
        <v>58</v>
      </c>
      <c r="J2371" s="3" t="s">
        <v>60</v>
      </c>
      <c r="K2371" s="2" t="s">
        <v>28922</v>
      </c>
      <c r="L2371" s="2" t="s">
        <v>28923</v>
      </c>
      <c r="M2371" s="3" t="s">
        <v>1385</v>
      </c>
      <c r="O2371" s="3" t="s">
        <v>63</v>
      </c>
      <c r="P2371" s="3" t="s">
        <v>981</v>
      </c>
      <c r="R2371" s="3" t="s">
        <v>65</v>
      </c>
      <c r="S2371" s="4">
        <v>4</v>
      </c>
      <c r="T2371" s="4">
        <v>4</v>
      </c>
      <c r="U2371" s="5" t="s">
        <v>20803</v>
      </c>
      <c r="V2371" s="5" t="s">
        <v>20803</v>
      </c>
      <c r="W2371" s="5" t="s">
        <v>28924</v>
      </c>
      <c r="X2371" s="5" t="s">
        <v>28924</v>
      </c>
      <c r="Y2371" s="4">
        <v>237</v>
      </c>
      <c r="Z2371" s="4">
        <v>202</v>
      </c>
      <c r="AA2371" s="4">
        <v>236</v>
      </c>
      <c r="AB2371" s="4">
        <v>2</v>
      </c>
      <c r="AC2371" s="4">
        <v>3</v>
      </c>
      <c r="AD2371" s="4">
        <v>8</v>
      </c>
      <c r="AE2371" s="4">
        <v>10</v>
      </c>
      <c r="AF2371" s="4">
        <v>3</v>
      </c>
      <c r="AG2371" s="4">
        <v>4</v>
      </c>
      <c r="AH2371" s="4">
        <v>3</v>
      </c>
      <c r="AI2371" s="4">
        <v>3</v>
      </c>
      <c r="AJ2371" s="4">
        <v>5</v>
      </c>
      <c r="AK2371" s="4">
        <v>5</v>
      </c>
      <c r="AL2371" s="4">
        <v>1</v>
      </c>
      <c r="AM2371" s="4">
        <v>2</v>
      </c>
      <c r="AN2371" s="4">
        <v>0</v>
      </c>
      <c r="AO2371" s="4">
        <v>0</v>
      </c>
      <c r="AP2371" s="3" t="s">
        <v>58</v>
      </c>
      <c r="AQ2371" s="3" t="s">
        <v>68</v>
      </c>
      <c r="AR2371" s="6" t="str">
        <f>HYPERLINK("http://catalog.hathitrust.org/Record/001259102","HathiTrust Record")</f>
        <v>HathiTrust Record</v>
      </c>
      <c r="AS2371" s="6" t="str">
        <f>HYPERLINK("https://creighton-primo.hosted.exlibrisgroup.com/primo-explore/search?tab=default_tab&amp;search_scope=EVERYTHING&amp;vid=01CRU&amp;lang=en_US&amp;offset=0&amp;query=any,contains,991003645429702656","Catalog Record")</f>
        <v>Catalog Record</v>
      </c>
      <c r="AT2371" s="6" t="str">
        <f>HYPERLINK("http://www.worldcat.org/oclc/1245889","WorldCat Record")</f>
        <v>WorldCat Record</v>
      </c>
      <c r="AU2371" s="3" t="s">
        <v>28925</v>
      </c>
      <c r="AV2371" s="3" t="s">
        <v>28926</v>
      </c>
      <c r="AW2371" s="3" t="s">
        <v>28927</v>
      </c>
      <c r="AX2371" s="3" t="s">
        <v>28927</v>
      </c>
      <c r="AY2371" s="3" t="s">
        <v>28928</v>
      </c>
      <c r="AZ2371" s="3" t="s">
        <v>73</v>
      </c>
      <c r="BB2371" s="3" t="s">
        <v>28929</v>
      </c>
      <c r="BC2371" s="3" t="s">
        <v>28930</v>
      </c>
      <c r="BD2371" s="3" t="s">
        <v>28931</v>
      </c>
    </row>
    <row r="2372" spans="1:56" ht="51" customHeight="1" x14ac:dyDescent="0.25">
      <c r="A2372" s="7" t="s">
        <v>58</v>
      </c>
      <c r="B2372" s="2" t="s">
        <v>28932</v>
      </c>
      <c r="C2372" s="2" t="s">
        <v>28933</v>
      </c>
      <c r="D2372" s="2" t="s">
        <v>28934</v>
      </c>
      <c r="F2372" s="3" t="s">
        <v>58</v>
      </c>
      <c r="G2372" s="3" t="s">
        <v>59</v>
      </c>
      <c r="H2372" s="3" t="s">
        <v>58</v>
      </c>
      <c r="I2372" s="3" t="s">
        <v>58</v>
      </c>
      <c r="J2372" s="3" t="s">
        <v>60</v>
      </c>
      <c r="K2372" s="2" t="s">
        <v>28935</v>
      </c>
      <c r="L2372" s="2" t="s">
        <v>12191</v>
      </c>
      <c r="M2372" s="3" t="s">
        <v>249</v>
      </c>
      <c r="O2372" s="3" t="s">
        <v>63</v>
      </c>
      <c r="P2372" s="3" t="s">
        <v>2061</v>
      </c>
      <c r="Q2372" s="2" t="s">
        <v>28936</v>
      </c>
      <c r="R2372" s="3" t="s">
        <v>65</v>
      </c>
      <c r="S2372" s="4">
        <v>1</v>
      </c>
      <c r="T2372" s="4">
        <v>1</v>
      </c>
      <c r="U2372" s="5" t="s">
        <v>28937</v>
      </c>
      <c r="V2372" s="5" t="s">
        <v>28937</v>
      </c>
      <c r="W2372" s="5" t="s">
        <v>25126</v>
      </c>
      <c r="X2372" s="5" t="s">
        <v>25126</v>
      </c>
      <c r="Y2372" s="4">
        <v>786</v>
      </c>
      <c r="Z2372" s="4">
        <v>694</v>
      </c>
      <c r="AA2372" s="4">
        <v>839</v>
      </c>
      <c r="AB2372" s="4">
        <v>8</v>
      </c>
      <c r="AC2372" s="4">
        <v>11</v>
      </c>
      <c r="AD2372" s="4">
        <v>37</v>
      </c>
      <c r="AE2372" s="4">
        <v>47</v>
      </c>
      <c r="AF2372" s="4">
        <v>13</v>
      </c>
      <c r="AG2372" s="4">
        <v>18</v>
      </c>
      <c r="AH2372" s="4">
        <v>9</v>
      </c>
      <c r="AI2372" s="4">
        <v>10</v>
      </c>
      <c r="AJ2372" s="4">
        <v>18</v>
      </c>
      <c r="AK2372" s="4">
        <v>21</v>
      </c>
      <c r="AL2372" s="4">
        <v>7</v>
      </c>
      <c r="AM2372" s="4">
        <v>10</v>
      </c>
      <c r="AN2372" s="4">
        <v>0</v>
      </c>
      <c r="AO2372" s="4">
        <v>0</v>
      </c>
      <c r="AP2372" s="3" t="s">
        <v>58</v>
      </c>
      <c r="AQ2372" s="3" t="s">
        <v>68</v>
      </c>
      <c r="AR2372" s="6" t="str">
        <f>HYPERLINK("http://catalog.hathitrust.org/Record/001259103","HathiTrust Record")</f>
        <v>HathiTrust Record</v>
      </c>
      <c r="AS2372" s="6" t="str">
        <f>HYPERLINK("https://creighton-primo.hosted.exlibrisgroup.com/primo-explore/search?tab=default_tab&amp;search_scope=EVERYTHING&amp;vid=01CRU&amp;lang=en_US&amp;offset=0&amp;query=any,contains,991002872049702656","Catalog Record")</f>
        <v>Catalog Record</v>
      </c>
      <c r="AT2372" s="6" t="str">
        <f>HYPERLINK("http://www.worldcat.org/oclc/500169","WorldCat Record")</f>
        <v>WorldCat Record</v>
      </c>
      <c r="AU2372" s="3" t="s">
        <v>28938</v>
      </c>
      <c r="AV2372" s="3" t="s">
        <v>28939</v>
      </c>
      <c r="AW2372" s="3" t="s">
        <v>28940</v>
      </c>
      <c r="AX2372" s="3" t="s">
        <v>28940</v>
      </c>
      <c r="AY2372" s="3" t="s">
        <v>28941</v>
      </c>
      <c r="AZ2372" s="3" t="s">
        <v>73</v>
      </c>
      <c r="BC2372" s="3" t="s">
        <v>28942</v>
      </c>
      <c r="BD2372" s="3" t="s">
        <v>28943</v>
      </c>
    </row>
    <row r="2373" spans="1:56" ht="51" customHeight="1" x14ac:dyDescent="0.25">
      <c r="A2373" s="7" t="s">
        <v>58</v>
      </c>
      <c r="B2373" s="2" t="s">
        <v>28944</v>
      </c>
      <c r="C2373" s="2" t="s">
        <v>28945</v>
      </c>
      <c r="D2373" s="2" t="s">
        <v>28946</v>
      </c>
      <c r="F2373" s="3" t="s">
        <v>58</v>
      </c>
      <c r="G2373" s="3" t="s">
        <v>59</v>
      </c>
      <c r="H2373" s="3" t="s">
        <v>58</v>
      </c>
      <c r="I2373" s="3" t="s">
        <v>58</v>
      </c>
      <c r="J2373" s="3" t="s">
        <v>60</v>
      </c>
      <c r="K2373" s="2" t="s">
        <v>28947</v>
      </c>
      <c r="L2373" s="2" t="s">
        <v>28948</v>
      </c>
      <c r="M2373" s="3" t="s">
        <v>138</v>
      </c>
      <c r="N2373" s="2" t="s">
        <v>338</v>
      </c>
      <c r="O2373" s="3" t="s">
        <v>63</v>
      </c>
      <c r="P2373" s="3" t="s">
        <v>214</v>
      </c>
      <c r="R2373" s="3" t="s">
        <v>65</v>
      </c>
      <c r="S2373" s="4">
        <v>3</v>
      </c>
      <c r="T2373" s="4">
        <v>3</v>
      </c>
      <c r="U2373" s="5" t="s">
        <v>28949</v>
      </c>
      <c r="V2373" s="5" t="s">
        <v>28949</v>
      </c>
      <c r="W2373" s="5" t="s">
        <v>28950</v>
      </c>
      <c r="X2373" s="5" t="s">
        <v>28950</v>
      </c>
      <c r="Y2373" s="4">
        <v>457</v>
      </c>
      <c r="Z2373" s="4">
        <v>358</v>
      </c>
      <c r="AA2373" s="4">
        <v>360</v>
      </c>
      <c r="AB2373" s="4">
        <v>3</v>
      </c>
      <c r="AC2373" s="4">
        <v>3</v>
      </c>
      <c r="AD2373" s="4">
        <v>7</v>
      </c>
      <c r="AE2373" s="4">
        <v>7</v>
      </c>
      <c r="AF2373" s="4">
        <v>1</v>
      </c>
      <c r="AG2373" s="4">
        <v>1</v>
      </c>
      <c r="AH2373" s="4">
        <v>1</v>
      </c>
      <c r="AI2373" s="4">
        <v>1</v>
      </c>
      <c r="AJ2373" s="4">
        <v>5</v>
      </c>
      <c r="AK2373" s="4">
        <v>5</v>
      </c>
      <c r="AL2373" s="4">
        <v>2</v>
      </c>
      <c r="AM2373" s="4">
        <v>2</v>
      </c>
      <c r="AN2373" s="4">
        <v>0</v>
      </c>
      <c r="AO2373" s="4">
        <v>0</v>
      </c>
      <c r="AP2373" s="3" t="s">
        <v>58</v>
      </c>
      <c r="AQ2373" s="3" t="s">
        <v>68</v>
      </c>
      <c r="AR2373" s="6" t="str">
        <f>HYPERLINK("http://catalog.hathitrust.org/Record/005789514","HathiTrust Record")</f>
        <v>HathiTrust Record</v>
      </c>
      <c r="AS2373" s="6" t="str">
        <f>HYPERLINK("https://creighton-primo.hosted.exlibrisgroup.com/primo-explore/search?tab=default_tab&amp;search_scope=EVERYTHING&amp;vid=01CRU&amp;lang=en_US&amp;offset=0&amp;query=any,contains,991003687449702656","Catalog Record")</f>
        <v>Catalog Record</v>
      </c>
      <c r="AT2373" s="6" t="str">
        <f>HYPERLINK("http://www.worldcat.org/oclc/8222775","WorldCat Record")</f>
        <v>WorldCat Record</v>
      </c>
      <c r="AU2373" s="3" t="s">
        <v>28951</v>
      </c>
      <c r="AV2373" s="3" t="s">
        <v>28952</v>
      </c>
      <c r="AW2373" s="3" t="s">
        <v>28953</v>
      </c>
      <c r="AX2373" s="3" t="s">
        <v>28953</v>
      </c>
      <c r="AY2373" s="3" t="s">
        <v>28954</v>
      </c>
      <c r="AZ2373" s="3" t="s">
        <v>73</v>
      </c>
      <c r="BB2373" s="3" t="s">
        <v>28955</v>
      </c>
      <c r="BC2373" s="3" t="s">
        <v>28956</v>
      </c>
      <c r="BD2373" s="3" t="s">
        <v>28957</v>
      </c>
    </row>
    <row r="2374" spans="1:56" ht="51" customHeight="1" x14ac:dyDescent="0.25">
      <c r="A2374" s="7" t="s">
        <v>58</v>
      </c>
      <c r="B2374" s="2" t="s">
        <v>28958</v>
      </c>
      <c r="C2374" s="2" t="s">
        <v>28959</v>
      </c>
      <c r="D2374" s="2" t="s">
        <v>28960</v>
      </c>
      <c r="F2374" s="3" t="s">
        <v>58</v>
      </c>
      <c r="G2374" s="3" t="s">
        <v>59</v>
      </c>
      <c r="H2374" s="3" t="s">
        <v>58</v>
      </c>
      <c r="I2374" s="3" t="s">
        <v>58</v>
      </c>
      <c r="J2374" s="3" t="s">
        <v>60</v>
      </c>
      <c r="K2374" s="2" t="s">
        <v>28961</v>
      </c>
      <c r="L2374" s="2" t="s">
        <v>28962</v>
      </c>
      <c r="M2374" s="3" t="s">
        <v>1544</v>
      </c>
      <c r="O2374" s="3" t="s">
        <v>63</v>
      </c>
      <c r="P2374" s="3" t="s">
        <v>354</v>
      </c>
      <c r="R2374" s="3" t="s">
        <v>65</v>
      </c>
      <c r="S2374" s="4">
        <v>3</v>
      </c>
      <c r="T2374" s="4">
        <v>3</v>
      </c>
      <c r="U2374" s="5" t="s">
        <v>27914</v>
      </c>
      <c r="V2374" s="5" t="s">
        <v>27914</v>
      </c>
      <c r="W2374" s="5" t="s">
        <v>25307</v>
      </c>
      <c r="X2374" s="5" t="s">
        <v>25307</v>
      </c>
      <c r="Y2374" s="4">
        <v>477</v>
      </c>
      <c r="Z2374" s="4">
        <v>390</v>
      </c>
      <c r="AA2374" s="4">
        <v>397</v>
      </c>
      <c r="AB2374" s="4">
        <v>4</v>
      </c>
      <c r="AC2374" s="4">
        <v>4</v>
      </c>
      <c r="AD2374" s="4">
        <v>17</v>
      </c>
      <c r="AE2374" s="4">
        <v>17</v>
      </c>
      <c r="AF2374" s="4">
        <v>7</v>
      </c>
      <c r="AG2374" s="4">
        <v>7</v>
      </c>
      <c r="AH2374" s="4">
        <v>3</v>
      </c>
      <c r="AI2374" s="4">
        <v>3</v>
      </c>
      <c r="AJ2374" s="4">
        <v>10</v>
      </c>
      <c r="AK2374" s="4">
        <v>10</v>
      </c>
      <c r="AL2374" s="4">
        <v>3</v>
      </c>
      <c r="AM2374" s="4">
        <v>3</v>
      </c>
      <c r="AN2374" s="4">
        <v>0</v>
      </c>
      <c r="AO2374" s="4">
        <v>0</v>
      </c>
      <c r="AP2374" s="3" t="s">
        <v>58</v>
      </c>
      <c r="AQ2374" s="3" t="s">
        <v>58</v>
      </c>
      <c r="AS2374" s="6" t="str">
        <f>HYPERLINK("https://creighton-primo.hosted.exlibrisgroup.com/primo-explore/search?tab=default_tab&amp;search_scope=EVERYTHING&amp;vid=01CRU&amp;lang=en_US&amp;offset=0&amp;query=any,contains,991001947889702656","Catalog Record")</f>
        <v>Catalog Record</v>
      </c>
      <c r="AT2374" s="6" t="str">
        <f>HYPERLINK("http://www.worldcat.org/oclc/24627694","WorldCat Record")</f>
        <v>WorldCat Record</v>
      </c>
      <c r="AU2374" s="3" t="s">
        <v>28963</v>
      </c>
      <c r="AV2374" s="3" t="s">
        <v>28964</v>
      </c>
      <c r="AW2374" s="3" t="s">
        <v>28965</v>
      </c>
      <c r="AX2374" s="3" t="s">
        <v>28965</v>
      </c>
      <c r="AY2374" s="3" t="s">
        <v>28966</v>
      </c>
      <c r="AZ2374" s="3" t="s">
        <v>73</v>
      </c>
      <c r="BB2374" s="3" t="s">
        <v>28967</v>
      </c>
      <c r="BC2374" s="3" t="s">
        <v>28968</v>
      </c>
      <c r="BD2374" s="3" t="s">
        <v>28969</v>
      </c>
    </row>
    <row r="2375" spans="1:56" ht="51" customHeight="1" x14ac:dyDescent="0.25">
      <c r="A2375" s="7" t="s">
        <v>58</v>
      </c>
      <c r="B2375" s="2" t="s">
        <v>28970</v>
      </c>
      <c r="C2375" s="2" t="s">
        <v>28971</v>
      </c>
      <c r="D2375" s="2" t="s">
        <v>28972</v>
      </c>
      <c r="F2375" s="3" t="s">
        <v>58</v>
      </c>
      <c r="G2375" s="3" t="s">
        <v>59</v>
      </c>
      <c r="H2375" s="3" t="s">
        <v>58</v>
      </c>
      <c r="I2375" s="3" t="s">
        <v>58</v>
      </c>
      <c r="J2375" s="3" t="s">
        <v>60</v>
      </c>
      <c r="K2375" s="2" t="s">
        <v>28973</v>
      </c>
      <c r="L2375" s="2" t="s">
        <v>28974</v>
      </c>
      <c r="M2375" s="3" t="s">
        <v>368</v>
      </c>
      <c r="O2375" s="3" t="s">
        <v>63</v>
      </c>
      <c r="P2375" s="3" t="s">
        <v>981</v>
      </c>
      <c r="R2375" s="3" t="s">
        <v>65</v>
      </c>
      <c r="S2375" s="4">
        <v>2</v>
      </c>
      <c r="T2375" s="4">
        <v>2</v>
      </c>
      <c r="U2375" s="5" t="s">
        <v>28975</v>
      </c>
      <c r="V2375" s="5" t="s">
        <v>28975</v>
      </c>
      <c r="W2375" s="5" t="s">
        <v>28924</v>
      </c>
      <c r="X2375" s="5" t="s">
        <v>28924</v>
      </c>
      <c r="Y2375" s="4">
        <v>138</v>
      </c>
      <c r="Z2375" s="4">
        <v>97</v>
      </c>
      <c r="AA2375" s="4">
        <v>826</v>
      </c>
      <c r="AB2375" s="4">
        <v>2</v>
      </c>
      <c r="AC2375" s="4">
        <v>8</v>
      </c>
      <c r="AD2375" s="4">
        <v>5</v>
      </c>
      <c r="AE2375" s="4">
        <v>37</v>
      </c>
      <c r="AF2375" s="4">
        <v>2</v>
      </c>
      <c r="AG2375" s="4">
        <v>14</v>
      </c>
      <c r="AH2375" s="4">
        <v>3</v>
      </c>
      <c r="AI2375" s="4">
        <v>8</v>
      </c>
      <c r="AJ2375" s="4">
        <v>2</v>
      </c>
      <c r="AK2375" s="4">
        <v>20</v>
      </c>
      <c r="AL2375" s="4">
        <v>1</v>
      </c>
      <c r="AM2375" s="4">
        <v>6</v>
      </c>
      <c r="AN2375" s="4">
        <v>0</v>
      </c>
      <c r="AO2375" s="4">
        <v>0</v>
      </c>
      <c r="AP2375" s="3" t="s">
        <v>58</v>
      </c>
      <c r="AQ2375" s="3" t="s">
        <v>68</v>
      </c>
      <c r="AR2375" s="6" t="str">
        <f>HYPERLINK("http://catalog.hathitrust.org/Record/101806605","HathiTrust Record")</f>
        <v>HathiTrust Record</v>
      </c>
      <c r="AS2375" s="6" t="str">
        <f>HYPERLINK("https://creighton-primo.hosted.exlibrisgroup.com/primo-explore/search?tab=default_tab&amp;search_scope=EVERYTHING&amp;vid=01CRU&amp;lang=en_US&amp;offset=0&amp;query=any,contains,991004386619702656","Catalog Record")</f>
        <v>Catalog Record</v>
      </c>
      <c r="AT2375" s="6" t="str">
        <f>HYPERLINK("http://www.worldcat.org/oclc/3242352","WorldCat Record")</f>
        <v>WorldCat Record</v>
      </c>
      <c r="AU2375" s="3" t="s">
        <v>28976</v>
      </c>
      <c r="AV2375" s="3" t="s">
        <v>28977</v>
      </c>
      <c r="AW2375" s="3" t="s">
        <v>28978</v>
      </c>
      <c r="AX2375" s="3" t="s">
        <v>28978</v>
      </c>
      <c r="AY2375" s="3" t="s">
        <v>28979</v>
      </c>
      <c r="AZ2375" s="3" t="s">
        <v>73</v>
      </c>
      <c r="BB2375" s="3" t="s">
        <v>28980</v>
      </c>
      <c r="BC2375" s="3" t="s">
        <v>28981</v>
      </c>
      <c r="BD2375" s="3" t="s">
        <v>28982</v>
      </c>
    </row>
    <row r="2376" spans="1:56" ht="51" customHeight="1" x14ac:dyDescent="0.25">
      <c r="A2376" s="7" t="s">
        <v>58</v>
      </c>
      <c r="B2376" s="2" t="s">
        <v>28983</v>
      </c>
      <c r="C2376" s="2" t="s">
        <v>28984</v>
      </c>
      <c r="D2376" s="2" t="s">
        <v>28985</v>
      </c>
      <c r="F2376" s="3" t="s">
        <v>58</v>
      </c>
      <c r="G2376" s="3" t="s">
        <v>59</v>
      </c>
      <c r="H2376" s="3" t="s">
        <v>58</v>
      </c>
      <c r="I2376" s="3" t="s">
        <v>58</v>
      </c>
      <c r="J2376" s="3" t="s">
        <v>60</v>
      </c>
      <c r="L2376" s="2" t="s">
        <v>28986</v>
      </c>
      <c r="M2376" s="3" t="s">
        <v>1153</v>
      </c>
      <c r="O2376" s="3" t="s">
        <v>63</v>
      </c>
      <c r="P2376" s="3" t="s">
        <v>981</v>
      </c>
      <c r="Q2376" s="2" t="s">
        <v>28987</v>
      </c>
      <c r="R2376" s="3" t="s">
        <v>65</v>
      </c>
      <c r="S2376" s="4">
        <v>12</v>
      </c>
      <c r="T2376" s="4">
        <v>12</v>
      </c>
      <c r="U2376" s="5" t="s">
        <v>4688</v>
      </c>
      <c r="V2376" s="5" t="s">
        <v>4688</v>
      </c>
      <c r="W2376" s="5" t="s">
        <v>28924</v>
      </c>
      <c r="X2376" s="5" t="s">
        <v>28924</v>
      </c>
      <c r="Y2376" s="4">
        <v>271</v>
      </c>
      <c r="Z2376" s="4">
        <v>207</v>
      </c>
      <c r="AA2376" s="4">
        <v>222</v>
      </c>
      <c r="AB2376" s="4">
        <v>1</v>
      </c>
      <c r="AC2376" s="4">
        <v>1</v>
      </c>
      <c r="AD2376" s="4">
        <v>7</v>
      </c>
      <c r="AE2376" s="4">
        <v>7</v>
      </c>
      <c r="AF2376" s="4">
        <v>4</v>
      </c>
      <c r="AG2376" s="4">
        <v>4</v>
      </c>
      <c r="AH2376" s="4">
        <v>2</v>
      </c>
      <c r="AI2376" s="4">
        <v>2</v>
      </c>
      <c r="AJ2376" s="4">
        <v>4</v>
      </c>
      <c r="AK2376" s="4">
        <v>4</v>
      </c>
      <c r="AL2376" s="4">
        <v>0</v>
      </c>
      <c r="AM2376" s="4">
        <v>0</v>
      </c>
      <c r="AN2376" s="4">
        <v>0</v>
      </c>
      <c r="AO2376" s="4">
        <v>0</v>
      </c>
      <c r="AP2376" s="3" t="s">
        <v>58</v>
      </c>
      <c r="AQ2376" s="3" t="s">
        <v>68</v>
      </c>
      <c r="AR2376" s="6" t="str">
        <f>HYPERLINK("http://catalog.hathitrust.org/Record/007114441","HathiTrust Record")</f>
        <v>HathiTrust Record</v>
      </c>
      <c r="AS2376" s="6" t="str">
        <f>HYPERLINK("https://creighton-primo.hosted.exlibrisgroup.com/primo-explore/search?tab=default_tab&amp;search_scope=EVERYTHING&amp;vid=01CRU&amp;lang=en_US&amp;offset=0&amp;query=any,contains,991003085939702656","Catalog Record")</f>
        <v>Catalog Record</v>
      </c>
      <c r="AT2376" s="6" t="str">
        <f>HYPERLINK("http://www.worldcat.org/oclc/636365","WorldCat Record")</f>
        <v>WorldCat Record</v>
      </c>
      <c r="AU2376" s="3" t="s">
        <v>28988</v>
      </c>
      <c r="AV2376" s="3" t="s">
        <v>28989</v>
      </c>
      <c r="AW2376" s="3" t="s">
        <v>28990</v>
      </c>
      <c r="AX2376" s="3" t="s">
        <v>28990</v>
      </c>
      <c r="AY2376" s="3" t="s">
        <v>28991</v>
      </c>
      <c r="AZ2376" s="3" t="s">
        <v>73</v>
      </c>
      <c r="BB2376" s="3" t="s">
        <v>28992</v>
      </c>
      <c r="BC2376" s="3" t="s">
        <v>28993</v>
      </c>
      <c r="BD2376" s="3" t="s">
        <v>28994</v>
      </c>
    </row>
    <row r="2377" spans="1:56" ht="51" customHeight="1" x14ac:dyDescent="0.25">
      <c r="A2377" s="7" t="s">
        <v>58</v>
      </c>
      <c r="B2377" s="2" t="s">
        <v>28995</v>
      </c>
      <c r="C2377" s="2" t="s">
        <v>28996</v>
      </c>
      <c r="D2377" s="2" t="s">
        <v>28997</v>
      </c>
      <c r="F2377" s="3" t="s">
        <v>58</v>
      </c>
      <c r="G2377" s="3" t="s">
        <v>59</v>
      </c>
      <c r="H2377" s="3" t="s">
        <v>58</v>
      </c>
      <c r="I2377" s="3" t="s">
        <v>58</v>
      </c>
      <c r="J2377" s="3" t="s">
        <v>60</v>
      </c>
      <c r="K2377" s="2" t="s">
        <v>28998</v>
      </c>
      <c r="L2377" s="2" t="s">
        <v>28999</v>
      </c>
      <c r="M2377" s="3" t="s">
        <v>196</v>
      </c>
      <c r="N2377" s="2" t="s">
        <v>19140</v>
      </c>
      <c r="O2377" s="3" t="s">
        <v>63</v>
      </c>
      <c r="P2377" s="3" t="s">
        <v>214</v>
      </c>
      <c r="R2377" s="3" t="s">
        <v>65</v>
      </c>
      <c r="S2377" s="4">
        <v>7</v>
      </c>
      <c r="T2377" s="4">
        <v>7</v>
      </c>
      <c r="U2377" s="5" t="s">
        <v>29000</v>
      </c>
      <c r="V2377" s="5" t="s">
        <v>29000</v>
      </c>
      <c r="W2377" s="5" t="s">
        <v>29001</v>
      </c>
      <c r="X2377" s="5" t="s">
        <v>29001</v>
      </c>
      <c r="Y2377" s="4">
        <v>422</v>
      </c>
      <c r="Z2377" s="4">
        <v>295</v>
      </c>
      <c r="AA2377" s="4">
        <v>429</v>
      </c>
      <c r="AB2377" s="4">
        <v>4</v>
      </c>
      <c r="AC2377" s="4">
        <v>4</v>
      </c>
      <c r="AD2377" s="4">
        <v>15</v>
      </c>
      <c r="AE2377" s="4">
        <v>22</v>
      </c>
      <c r="AF2377" s="4">
        <v>5</v>
      </c>
      <c r="AG2377" s="4">
        <v>8</v>
      </c>
      <c r="AH2377" s="4">
        <v>2</v>
      </c>
      <c r="AI2377" s="4">
        <v>5</v>
      </c>
      <c r="AJ2377" s="4">
        <v>10</v>
      </c>
      <c r="AK2377" s="4">
        <v>15</v>
      </c>
      <c r="AL2377" s="4">
        <v>3</v>
      </c>
      <c r="AM2377" s="4">
        <v>3</v>
      </c>
      <c r="AN2377" s="4">
        <v>0</v>
      </c>
      <c r="AO2377" s="4">
        <v>0</v>
      </c>
      <c r="AP2377" s="3" t="s">
        <v>58</v>
      </c>
      <c r="AQ2377" s="3" t="s">
        <v>58</v>
      </c>
      <c r="AS2377" s="6" t="str">
        <f>HYPERLINK("https://creighton-primo.hosted.exlibrisgroup.com/primo-explore/search?tab=default_tab&amp;search_scope=EVERYTHING&amp;vid=01CRU&amp;lang=en_US&amp;offset=0&amp;query=any,contains,991001998449702656","Catalog Record")</f>
        <v>Catalog Record</v>
      </c>
      <c r="AT2377" s="6" t="str">
        <f>HYPERLINK("http://www.worldcat.org/oclc/25409347","WorldCat Record")</f>
        <v>WorldCat Record</v>
      </c>
      <c r="AU2377" s="3" t="s">
        <v>29002</v>
      </c>
      <c r="AV2377" s="3" t="s">
        <v>29003</v>
      </c>
      <c r="AW2377" s="3" t="s">
        <v>29004</v>
      </c>
      <c r="AX2377" s="3" t="s">
        <v>29004</v>
      </c>
      <c r="AY2377" s="3" t="s">
        <v>29005</v>
      </c>
      <c r="AZ2377" s="3" t="s">
        <v>73</v>
      </c>
      <c r="BB2377" s="3" t="s">
        <v>29006</v>
      </c>
      <c r="BC2377" s="3" t="s">
        <v>29007</v>
      </c>
      <c r="BD2377" s="3" t="s">
        <v>29008</v>
      </c>
    </row>
    <row r="2378" spans="1:56" ht="51" customHeight="1" x14ac:dyDescent="0.25">
      <c r="A2378" s="7" t="s">
        <v>58</v>
      </c>
      <c r="B2378" s="2" t="s">
        <v>29009</v>
      </c>
      <c r="C2378" s="2" t="s">
        <v>29010</v>
      </c>
      <c r="D2378" s="2" t="s">
        <v>29011</v>
      </c>
      <c r="F2378" s="3" t="s">
        <v>58</v>
      </c>
      <c r="G2378" s="3" t="s">
        <v>59</v>
      </c>
      <c r="H2378" s="3" t="s">
        <v>58</v>
      </c>
      <c r="I2378" s="3" t="s">
        <v>58</v>
      </c>
      <c r="J2378" s="3" t="s">
        <v>60</v>
      </c>
      <c r="K2378" s="2" t="s">
        <v>29012</v>
      </c>
      <c r="L2378" s="2" t="s">
        <v>29013</v>
      </c>
      <c r="M2378" s="3" t="s">
        <v>1720</v>
      </c>
      <c r="N2378" s="2" t="s">
        <v>2811</v>
      </c>
      <c r="O2378" s="3" t="s">
        <v>63</v>
      </c>
      <c r="P2378" s="3" t="s">
        <v>584</v>
      </c>
      <c r="Q2378" s="2" t="s">
        <v>29014</v>
      </c>
      <c r="R2378" s="3" t="s">
        <v>65</v>
      </c>
      <c r="S2378" s="4">
        <v>6</v>
      </c>
      <c r="T2378" s="4">
        <v>6</v>
      </c>
      <c r="U2378" s="5" t="s">
        <v>29000</v>
      </c>
      <c r="V2378" s="5" t="s">
        <v>29000</v>
      </c>
      <c r="W2378" s="5" t="s">
        <v>28762</v>
      </c>
      <c r="X2378" s="5" t="s">
        <v>28762</v>
      </c>
      <c r="Y2378" s="4">
        <v>119</v>
      </c>
      <c r="Z2378" s="4">
        <v>40</v>
      </c>
      <c r="AA2378" s="4">
        <v>1205</v>
      </c>
      <c r="AB2378" s="4">
        <v>1</v>
      </c>
      <c r="AC2378" s="4">
        <v>9</v>
      </c>
      <c r="AD2378" s="4">
        <v>0</v>
      </c>
      <c r="AE2378" s="4">
        <v>44</v>
      </c>
      <c r="AF2378" s="4">
        <v>0</v>
      </c>
      <c r="AG2378" s="4">
        <v>20</v>
      </c>
      <c r="AH2378" s="4">
        <v>0</v>
      </c>
      <c r="AI2378" s="4">
        <v>8</v>
      </c>
      <c r="AJ2378" s="4">
        <v>0</v>
      </c>
      <c r="AK2378" s="4">
        <v>21</v>
      </c>
      <c r="AL2378" s="4">
        <v>0</v>
      </c>
      <c r="AM2378" s="4">
        <v>6</v>
      </c>
      <c r="AN2378" s="4">
        <v>0</v>
      </c>
      <c r="AO2378" s="4">
        <v>0</v>
      </c>
      <c r="AP2378" s="3" t="s">
        <v>58</v>
      </c>
      <c r="AQ2378" s="3" t="s">
        <v>58</v>
      </c>
      <c r="AS2378" s="6" t="str">
        <f>HYPERLINK("https://creighton-primo.hosted.exlibrisgroup.com/primo-explore/search?tab=default_tab&amp;search_scope=EVERYTHING&amp;vid=01CRU&amp;lang=en_US&amp;offset=0&amp;query=any,contains,991003901959702656","Catalog Record")</f>
        <v>Catalog Record</v>
      </c>
      <c r="AT2378" s="6" t="str">
        <f>HYPERLINK("http://www.worldcat.org/oclc/1827303","WorldCat Record")</f>
        <v>WorldCat Record</v>
      </c>
      <c r="AU2378" s="3" t="s">
        <v>29015</v>
      </c>
      <c r="AV2378" s="3" t="s">
        <v>29016</v>
      </c>
      <c r="AW2378" s="3" t="s">
        <v>29017</v>
      </c>
      <c r="AX2378" s="3" t="s">
        <v>29017</v>
      </c>
      <c r="AY2378" s="3" t="s">
        <v>29018</v>
      </c>
      <c r="AZ2378" s="3" t="s">
        <v>73</v>
      </c>
      <c r="BC2378" s="3" t="s">
        <v>29019</v>
      </c>
      <c r="BD2378" s="3" t="s">
        <v>29020</v>
      </c>
    </row>
    <row r="2379" spans="1:56" ht="51" customHeight="1" x14ac:dyDescent="0.25">
      <c r="A2379" s="7" t="s">
        <v>58</v>
      </c>
      <c r="B2379" s="2" t="s">
        <v>29021</v>
      </c>
      <c r="C2379" s="2" t="s">
        <v>29022</v>
      </c>
      <c r="D2379" s="2" t="s">
        <v>29023</v>
      </c>
      <c r="F2379" s="3" t="s">
        <v>58</v>
      </c>
      <c r="G2379" s="3" t="s">
        <v>59</v>
      </c>
      <c r="H2379" s="3" t="s">
        <v>58</v>
      </c>
      <c r="I2379" s="3" t="s">
        <v>58</v>
      </c>
      <c r="J2379" s="3" t="s">
        <v>60</v>
      </c>
      <c r="K2379" s="2" t="s">
        <v>29024</v>
      </c>
      <c r="L2379" s="2" t="s">
        <v>29025</v>
      </c>
      <c r="M2379" s="3" t="s">
        <v>261</v>
      </c>
      <c r="O2379" s="3" t="s">
        <v>63</v>
      </c>
      <c r="P2379" s="3" t="s">
        <v>214</v>
      </c>
      <c r="R2379" s="3" t="s">
        <v>65</v>
      </c>
      <c r="S2379" s="4">
        <v>3</v>
      </c>
      <c r="T2379" s="4">
        <v>3</v>
      </c>
      <c r="U2379" s="5" t="s">
        <v>29000</v>
      </c>
      <c r="V2379" s="5" t="s">
        <v>29000</v>
      </c>
      <c r="W2379" s="5" t="s">
        <v>20416</v>
      </c>
      <c r="X2379" s="5" t="s">
        <v>20416</v>
      </c>
      <c r="Y2379" s="4">
        <v>1223</v>
      </c>
      <c r="Z2379" s="4">
        <v>1172</v>
      </c>
      <c r="AA2379" s="4">
        <v>1226</v>
      </c>
      <c r="AB2379" s="4">
        <v>13</v>
      </c>
      <c r="AC2379" s="4">
        <v>13</v>
      </c>
      <c r="AD2379" s="4">
        <v>39</v>
      </c>
      <c r="AE2379" s="4">
        <v>40</v>
      </c>
      <c r="AF2379" s="4">
        <v>15</v>
      </c>
      <c r="AG2379" s="4">
        <v>15</v>
      </c>
      <c r="AH2379" s="4">
        <v>8</v>
      </c>
      <c r="AI2379" s="4">
        <v>9</v>
      </c>
      <c r="AJ2379" s="4">
        <v>15</v>
      </c>
      <c r="AK2379" s="4">
        <v>15</v>
      </c>
      <c r="AL2379" s="4">
        <v>9</v>
      </c>
      <c r="AM2379" s="4">
        <v>9</v>
      </c>
      <c r="AN2379" s="4">
        <v>0</v>
      </c>
      <c r="AO2379" s="4">
        <v>0</v>
      </c>
      <c r="AP2379" s="3" t="s">
        <v>58</v>
      </c>
      <c r="AQ2379" s="3" t="s">
        <v>68</v>
      </c>
      <c r="AR2379" s="6" t="str">
        <f>HYPERLINK("http://catalog.hathitrust.org/Record/000038825","HathiTrust Record")</f>
        <v>HathiTrust Record</v>
      </c>
      <c r="AS2379" s="6" t="str">
        <f>HYPERLINK("https://creighton-primo.hosted.exlibrisgroup.com/primo-explore/search?tab=default_tab&amp;search_scope=EVERYTHING&amp;vid=01CRU&amp;lang=en_US&amp;offset=0&amp;query=any,contains,991003792039702656","Catalog Record")</f>
        <v>Catalog Record</v>
      </c>
      <c r="AT2379" s="6" t="str">
        <f>HYPERLINK("http://www.worldcat.org/oclc/1511125","WorldCat Record")</f>
        <v>WorldCat Record</v>
      </c>
      <c r="AU2379" s="3" t="s">
        <v>29026</v>
      </c>
      <c r="AV2379" s="3" t="s">
        <v>29027</v>
      </c>
      <c r="AW2379" s="3" t="s">
        <v>29028</v>
      </c>
      <c r="AX2379" s="3" t="s">
        <v>29028</v>
      </c>
      <c r="AY2379" s="3" t="s">
        <v>29029</v>
      </c>
      <c r="AZ2379" s="3" t="s">
        <v>73</v>
      </c>
      <c r="BB2379" s="3" t="s">
        <v>29030</v>
      </c>
      <c r="BC2379" s="3" t="s">
        <v>29031</v>
      </c>
      <c r="BD2379" s="3" t="s">
        <v>29032</v>
      </c>
    </row>
    <row r="2380" spans="1:56" ht="51" customHeight="1" x14ac:dyDescent="0.25">
      <c r="A2380" s="7" t="s">
        <v>58</v>
      </c>
      <c r="B2380" s="2" t="s">
        <v>29033</v>
      </c>
      <c r="C2380" s="2" t="s">
        <v>29034</v>
      </c>
      <c r="D2380" s="2" t="s">
        <v>29035</v>
      </c>
      <c r="F2380" s="3" t="s">
        <v>58</v>
      </c>
      <c r="G2380" s="3" t="s">
        <v>59</v>
      </c>
      <c r="H2380" s="3" t="s">
        <v>58</v>
      </c>
      <c r="I2380" s="3" t="s">
        <v>58</v>
      </c>
      <c r="J2380" s="3" t="s">
        <v>60</v>
      </c>
      <c r="K2380" s="2" t="s">
        <v>29036</v>
      </c>
      <c r="L2380" s="2" t="s">
        <v>29037</v>
      </c>
      <c r="M2380" s="3" t="s">
        <v>570</v>
      </c>
      <c r="O2380" s="3" t="s">
        <v>63</v>
      </c>
      <c r="P2380" s="3" t="s">
        <v>214</v>
      </c>
      <c r="R2380" s="3" t="s">
        <v>65</v>
      </c>
      <c r="S2380" s="4">
        <v>5</v>
      </c>
      <c r="T2380" s="4">
        <v>5</v>
      </c>
      <c r="U2380" s="5" t="s">
        <v>25573</v>
      </c>
      <c r="V2380" s="5" t="s">
        <v>25573</v>
      </c>
      <c r="W2380" s="5" t="s">
        <v>572</v>
      </c>
      <c r="X2380" s="5" t="s">
        <v>572</v>
      </c>
      <c r="Y2380" s="4">
        <v>374</v>
      </c>
      <c r="Z2380" s="4">
        <v>337</v>
      </c>
      <c r="AA2380" s="4">
        <v>410</v>
      </c>
      <c r="AB2380" s="4">
        <v>5</v>
      </c>
      <c r="AC2380" s="4">
        <v>5</v>
      </c>
      <c r="AD2380" s="4">
        <v>19</v>
      </c>
      <c r="AE2380" s="4">
        <v>22</v>
      </c>
      <c r="AF2380" s="4">
        <v>6</v>
      </c>
      <c r="AG2380" s="4">
        <v>7</v>
      </c>
      <c r="AH2380" s="4">
        <v>3</v>
      </c>
      <c r="AI2380" s="4">
        <v>5</v>
      </c>
      <c r="AJ2380" s="4">
        <v>8</v>
      </c>
      <c r="AK2380" s="4">
        <v>9</v>
      </c>
      <c r="AL2380" s="4">
        <v>4</v>
      </c>
      <c r="AM2380" s="4">
        <v>4</v>
      </c>
      <c r="AN2380" s="4">
        <v>0</v>
      </c>
      <c r="AO2380" s="4">
        <v>0</v>
      </c>
      <c r="AP2380" s="3" t="s">
        <v>68</v>
      </c>
      <c r="AQ2380" s="3" t="s">
        <v>58</v>
      </c>
      <c r="AR2380" s="6" t="str">
        <f>HYPERLINK("http://catalog.hathitrust.org/Record/001259092","HathiTrust Record")</f>
        <v>HathiTrust Record</v>
      </c>
      <c r="AS2380" s="6" t="str">
        <f>HYPERLINK("https://creighton-primo.hosted.exlibrisgroup.com/primo-explore/search?tab=default_tab&amp;search_scope=EVERYTHING&amp;vid=01CRU&amp;lang=en_US&amp;offset=0&amp;query=any,contains,991003782599702656","Catalog Record")</f>
        <v>Catalog Record</v>
      </c>
      <c r="AT2380" s="6" t="str">
        <f>HYPERLINK("http://www.worldcat.org/oclc/1496867","WorldCat Record")</f>
        <v>WorldCat Record</v>
      </c>
      <c r="AU2380" s="3" t="s">
        <v>29038</v>
      </c>
      <c r="AV2380" s="3" t="s">
        <v>29039</v>
      </c>
      <c r="AW2380" s="3" t="s">
        <v>29040</v>
      </c>
      <c r="AX2380" s="3" t="s">
        <v>29040</v>
      </c>
      <c r="AY2380" s="3" t="s">
        <v>29041</v>
      </c>
      <c r="AZ2380" s="3" t="s">
        <v>73</v>
      </c>
      <c r="BC2380" s="3" t="s">
        <v>29042</v>
      </c>
      <c r="BD2380" s="3" t="s">
        <v>29043</v>
      </c>
    </row>
    <row r="2381" spans="1:56" ht="51" customHeight="1" x14ac:dyDescent="0.25">
      <c r="A2381" s="7" t="s">
        <v>58</v>
      </c>
      <c r="B2381" s="2" t="s">
        <v>29044</v>
      </c>
      <c r="C2381" s="2" t="s">
        <v>29045</v>
      </c>
      <c r="D2381" s="2" t="s">
        <v>29046</v>
      </c>
      <c r="F2381" s="3" t="s">
        <v>58</v>
      </c>
      <c r="G2381" s="3" t="s">
        <v>59</v>
      </c>
      <c r="H2381" s="3" t="s">
        <v>58</v>
      </c>
      <c r="I2381" s="3" t="s">
        <v>58</v>
      </c>
      <c r="J2381" s="3" t="s">
        <v>60</v>
      </c>
      <c r="K2381" s="2" t="s">
        <v>29047</v>
      </c>
      <c r="L2381" s="2" t="s">
        <v>29048</v>
      </c>
      <c r="M2381" s="3" t="s">
        <v>4851</v>
      </c>
      <c r="O2381" s="3" t="s">
        <v>63</v>
      </c>
      <c r="P2381" s="3" t="s">
        <v>1917</v>
      </c>
      <c r="Q2381" s="2" t="s">
        <v>29049</v>
      </c>
      <c r="R2381" s="3" t="s">
        <v>65</v>
      </c>
      <c r="S2381" s="4">
        <v>1</v>
      </c>
      <c r="T2381" s="4">
        <v>1</v>
      </c>
      <c r="U2381" s="5" t="s">
        <v>29050</v>
      </c>
      <c r="V2381" s="5" t="s">
        <v>29050</v>
      </c>
      <c r="W2381" s="5" t="s">
        <v>572</v>
      </c>
      <c r="X2381" s="5" t="s">
        <v>572</v>
      </c>
      <c r="Y2381" s="4">
        <v>281</v>
      </c>
      <c r="Z2381" s="4">
        <v>271</v>
      </c>
      <c r="AA2381" s="4">
        <v>273</v>
      </c>
      <c r="AB2381" s="4">
        <v>3</v>
      </c>
      <c r="AC2381" s="4">
        <v>3</v>
      </c>
      <c r="AD2381" s="4">
        <v>21</v>
      </c>
      <c r="AE2381" s="4">
        <v>21</v>
      </c>
      <c r="AF2381" s="4">
        <v>9</v>
      </c>
      <c r="AG2381" s="4">
        <v>9</v>
      </c>
      <c r="AH2381" s="4">
        <v>3</v>
      </c>
      <c r="AI2381" s="4">
        <v>3</v>
      </c>
      <c r="AJ2381" s="4">
        <v>12</v>
      </c>
      <c r="AK2381" s="4">
        <v>12</v>
      </c>
      <c r="AL2381" s="4">
        <v>2</v>
      </c>
      <c r="AM2381" s="4">
        <v>2</v>
      </c>
      <c r="AN2381" s="4">
        <v>0</v>
      </c>
      <c r="AO2381" s="4">
        <v>0</v>
      </c>
      <c r="AP2381" s="3" t="s">
        <v>58</v>
      </c>
      <c r="AQ2381" s="3" t="s">
        <v>58</v>
      </c>
      <c r="AR2381" s="6" t="str">
        <f>HYPERLINK("http://catalog.hathitrust.org/Record/002369616","HathiTrust Record")</f>
        <v>HathiTrust Record</v>
      </c>
      <c r="AS2381" s="6" t="str">
        <f>HYPERLINK("https://creighton-primo.hosted.exlibrisgroup.com/primo-explore/search?tab=default_tab&amp;search_scope=EVERYTHING&amp;vid=01CRU&amp;lang=en_US&amp;offset=0&amp;query=any,contains,991003874019702656","Catalog Record")</f>
        <v>Catalog Record</v>
      </c>
      <c r="AT2381" s="6" t="str">
        <f>HYPERLINK("http://www.worldcat.org/oclc/1701319","WorldCat Record")</f>
        <v>WorldCat Record</v>
      </c>
      <c r="AU2381" s="3" t="s">
        <v>29051</v>
      </c>
      <c r="AV2381" s="3" t="s">
        <v>29052</v>
      </c>
      <c r="AW2381" s="3" t="s">
        <v>29053</v>
      </c>
      <c r="AX2381" s="3" t="s">
        <v>29053</v>
      </c>
      <c r="AY2381" s="3" t="s">
        <v>29054</v>
      </c>
      <c r="AZ2381" s="3" t="s">
        <v>73</v>
      </c>
      <c r="BC2381" s="3" t="s">
        <v>29055</v>
      </c>
      <c r="BD2381" s="3" t="s">
        <v>29056</v>
      </c>
    </row>
    <row r="2382" spans="1:56" ht="51" customHeight="1" x14ac:dyDescent="0.25">
      <c r="A2382" s="7" t="s">
        <v>58</v>
      </c>
      <c r="B2382" s="2" t="s">
        <v>29057</v>
      </c>
      <c r="C2382" s="2" t="s">
        <v>29058</v>
      </c>
      <c r="D2382" s="2" t="s">
        <v>29059</v>
      </c>
      <c r="F2382" s="3" t="s">
        <v>58</v>
      </c>
      <c r="G2382" s="3" t="s">
        <v>59</v>
      </c>
      <c r="H2382" s="3" t="s">
        <v>58</v>
      </c>
      <c r="I2382" s="3" t="s">
        <v>58</v>
      </c>
      <c r="J2382" s="3" t="s">
        <v>60</v>
      </c>
      <c r="K2382" s="2" t="s">
        <v>29060</v>
      </c>
      <c r="L2382" s="2" t="s">
        <v>29061</v>
      </c>
      <c r="M2382" s="3" t="s">
        <v>83</v>
      </c>
      <c r="O2382" s="3" t="s">
        <v>63</v>
      </c>
      <c r="P2382" s="3" t="s">
        <v>10900</v>
      </c>
      <c r="R2382" s="3" t="s">
        <v>65</v>
      </c>
      <c r="S2382" s="4">
        <v>4</v>
      </c>
      <c r="T2382" s="4">
        <v>4</v>
      </c>
      <c r="U2382" s="5" t="s">
        <v>29062</v>
      </c>
      <c r="V2382" s="5" t="s">
        <v>29062</v>
      </c>
      <c r="W2382" s="5" t="s">
        <v>2799</v>
      </c>
      <c r="X2382" s="5" t="s">
        <v>2799</v>
      </c>
      <c r="Y2382" s="4">
        <v>226</v>
      </c>
      <c r="Z2382" s="4">
        <v>183</v>
      </c>
      <c r="AA2382" s="4">
        <v>186</v>
      </c>
      <c r="AB2382" s="4">
        <v>1</v>
      </c>
      <c r="AC2382" s="4">
        <v>1</v>
      </c>
      <c r="AD2382" s="4">
        <v>2</v>
      </c>
      <c r="AE2382" s="4">
        <v>2</v>
      </c>
      <c r="AF2382" s="4">
        <v>0</v>
      </c>
      <c r="AG2382" s="4">
        <v>0</v>
      </c>
      <c r="AH2382" s="4">
        <v>1</v>
      </c>
      <c r="AI2382" s="4">
        <v>1</v>
      </c>
      <c r="AJ2382" s="4">
        <v>2</v>
      </c>
      <c r="AK2382" s="4">
        <v>2</v>
      </c>
      <c r="AL2382" s="4">
        <v>0</v>
      </c>
      <c r="AM2382" s="4">
        <v>0</v>
      </c>
      <c r="AN2382" s="4">
        <v>0</v>
      </c>
      <c r="AO2382" s="4">
        <v>0</v>
      </c>
      <c r="AP2382" s="3" t="s">
        <v>58</v>
      </c>
      <c r="AQ2382" s="3" t="s">
        <v>68</v>
      </c>
      <c r="AR2382" s="6" t="str">
        <f>HYPERLINK("http://catalog.hathitrust.org/Record/000259423","HathiTrust Record")</f>
        <v>HathiTrust Record</v>
      </c>
      <c r="AS2382" s="6" t="str">
        <f>HYPERLINK("https://creighton-primo.hosted.exlibrisgroup.com/primo-explore/search?tab=default_tab&amp;search_scope=EVERYTHING&amp;vid=01CRU&amp;lang=en_US&amp;offset=0&amp;query=any,contains,991004689099702656","Catalog Record")</f>
        <v>Catalog Record</v>
      </c>
      <c r="AT2382" s="6" t="str">
        <f>HYPERLINK("http://www.worldcat.org/oclc/4597053","WorldCat Record")</f>
        <v>WorldCat Record</v>
      </c>
      <c r="AU2382" s="3" t="s">
        <v>29063</v>
      </c>
      <c r="AV2382" s="3" t="s">
        <v>29064</v>
      </c>
      <c r="AW2382" s="3" t="s">
        <v>29065</v>
      </c>
      <c r="AX2382" s="3" t="s">
        <v>29065</v>
      </c>
      <c r="AY2382" s="3" t="s">
        <v>29066</v>
      </c>
      <c r="AZ2382" s="3" t="s">
        <v>73</v>
      </c>
      <c r="BB2382" s="3" t="s">
        <v>29067</v>
      </c>
      <c r="BC2382" s="3" t="s">
        <v>29068</v>
      </c>
      <c r="BD2382" s="3" t="s">
        <v>29069</v>
      </c>
    </row>
    <row r="2383" spans="1:56" ht="51" customHeight="1" x14ac:dyDescent="0.25">
      <c r="A2383" s="7" t="s">
        <v>58</v>
      </c>
      <c r="B2383" s="2" t="s">
        <v>29070</v>
      </c>
      <c r="C2383" s="2" t="s">
        <v>29071</v>
      </c>
      <c r="D2383" s="2" t="s">
        <v>29072</v>
      </c>
      <c r="F2383" s="3" t="s">
        <v>58</v>
      </c>
      <c r="G2383" s="3" t="s">
        <v>59</v>
      </c>
      <c r="H2383" s="3" t="s">
        <v>58</v>
      </c>
      <c r="I2383" s="3" t="s">
        <v>58</v>
      </c>
      <c r="J2383" s="3" t="s">
        <v>60</v>
      </c>
      <c r="L2383" s="2" t="s">
        <v>29073</v>
      </c>
      <c r="M2383" s="3" t="s">
        <v>83</v>
      </c>
      <c r="N2383" s="2" t="s">
        <v>338</v>
      </c>
      <c r="O2383" s="3" t="s">
        <v>63</v>
      </c>
      <c r="P2383" s="3" t="s">
        <v>571</v>
      </c>
      <c r="R2383" s="3" t="s">
        <v>65</v>
      </c>
      <c r="S2383" s="4">
        <v>7</v>
      </c>
      <c r="T2383" s="4">
        <v>7</v>
      </c>
      <c r="U2383" s="5" t="s">
        <v>14877</v>
      </c>
      <c r="V2383" s="5" t="s">
        <v>14877</v>
      </c>
      <c r="W2383" s="5" t="s">
        <v>28924</v>
      </c>
      <c r="X2383" s="5" t="s">
        <v>28924</v>
      </c>
      <c r="Y2383" s="4">
        <v>491</v>
      </c>
      <c r="Z2383" s="4">
        <v>426</v>
      </c>
      <c r="AA2383" s="4">
        <v>714</v>
      </c>
      <c r="AB2383" s="4">
        <v>5</v>
      </c>
      <c r="AC2383" s="4">
        <v>7</v>
      </c>
      <c r="AD2383" s="4">
        <v>7</v>
      </c>
      <c r="AE2383" s="4">
        <v>11</v>
      </c>
      <c r="AF2383" s="4">
        <v>3</v>
      </c>
      <c r="AG2383" s="4">
        <v>5</v>
      </c>
      <c r="AH2383" s="4">
        <v>2</v>
      </c>
      <c r="AI2383" s="4">
        <v>2</v>
      </c>
      <c r="AJ2383" s="4">
        <v>3</v>
      </c>
      <c r="AK2383" s="4">
        <v>5</v>
      </c>
      <c r="AL2383" s="4">
        <v>2</v>
      </c>
      <c r="AM2383" s="4">
        <v>2</v>
      </c>
      <c r="AN2383" s="4">
        <v>0</v>
      </c>
      <c r="AO2383" s="4">
        <v>0</v>
      </c>
      <c r="AP2383" s="3" t="s">
        <v>58</v>
      </c>
      <c r="AQ2383" s="3" t="s">
        <v>58</v>
      </c>
      <c r="AS2383" s="6" t="str">
        <f>HYPERLINK("https://creighton-primo.hosted.exlibrisgroup.com/primo-explore/search?tab=default_tab&amp;search_scope=EVERYTHING&amp;vid=01CRU&amp;lang=en_US&amp;offset=0&amp;query=any,contains,991004569589702656","Catalog Record")</f>
        <v>Catalog Record</v>
      </c>
      <c r="AT2383" s="6" t="str">
        <f>HYPERLINK("http://www.worldcat.org/oclc/4210923","WorldCat Record")</f>
        <v>WorldCat Record</v>
      </c>
      <c r="AU2383" s="3" t="s">
        <v>29074</v>
      </c>
      <c r="AV2383" s="3" t="s">
        <v>29075</v>
      </c>
      <c r="AW2383" s="3" t="s">
        <v>29076</v>
      </c>
      <c r="AX2383" s="3" t="s">
        <v>29076</v>
      </c>
      <c r="AY2383" s="3" t="s">
        <v>29077</v>
      </c>
      <c r="AZ2383" s="3" t="s">
        <v>73</v>
      </c>
      <c r="BB2383" s="3" t="s">
        <v>29078</v>
      </c>
      <c r="BC2383" s="3" t="s">
        <v>29079</v>
      </c>
      <c r="BD2383" s="3" t="s">
        <v>29080</v>
      </c>
    </row>
    <row r="2384" spans="1:56" ht="51" customHeight="1" x14ac:dyDescent="0.25">
      <c r="A2384" s="7" t="s">
        <v>58</v>
      </c>
      <c r="B2384" s="2" t="s">
        <v>29081</v>
      </c>
      <c r="C2384" s="2" t="s">
        <v>29082</v>
      </c>
      <c r="D2384" s="2" t="s">
        <v>29083</v>
      </c>
      <c r="F2384" s="3" t="s">
        <v>58</v>
      </c>
      <c r="G2384" s="3" t="s">
        <v>59</v>
      </c>
      <c r="H2384" s="3" t="s">
        <v>58</v>
      </c>
      <c r="I2384" s="3" t="s">
        <v>58</v>
      </c>
      <c r="J2384" s="3" t="s">
        <v>60</v>
      </c>
      <c r="K2384" s="2" t="s">
        <v>29084</v>
      </c>
      <c r="L2384" s="2" t="s">
        <v>29085</v>
      </c>
      <c r="M2384" s="3" t="s">
        <v>138</v>
      </c>
      <c r="O2384" s="3" t="s">
        <v>63</v>
      </c>
      <c r="P2384" s="3" t="s">
        <v>2061</v>
      </c>
      <c r="R2384" s="3" t="s">
        <v>65</v>
      </c>
      <c r="S2384" s="4">
        <v>6</v>
      </c>
      <c r="T2384" s="4">
        <v>6</v>
      </c>
      <c r="U2384" s="5" t="s">
        <v>29062</v>
      </c>
      <c r="V2384" s="5" t="s">
        <v>29062</v>
      </c>
      <c r="W2384" s="5" t="s">
        <v>28924</v>
      </c>
      <c r="X2384" s="5" t="s">
        <v>28924</v>
      </c>
      <c r="Y2384" s="4">
        <v>10</v>
      </c>
      <c r="Z2384" s="4">
        <v>10</v>
      </c>
      <c r="AA2384" s="4">
        <v>15</v>
      </c>
      <c r="AB2384" s="4">
        <v>1</v>
      </c>
      <c r="AC2384" s="4">
        <v>1</v>
      </c>
      <c r="AD2384" s="4">
        <v>0</v>
      </c>
      <c r="AE2384" s="4">
        <v>0</v>
      </c>
      <c r="AF2384" s="4">
        <v>0</v>
      </c>
      <c r="AG2384" s="4">
        <v>0</v>
      </c>
      <c r="AH2384" s="4">
        <v>0</v>
      </c>
      <c r="AI2384" s="4">
        <v>0</v>
      </c>
      <c r="AJ2384" s="4">
        <v>0</v>
      </c>
      <c r="AK2384" s="4">
        <v>0</v>
      </c>
      <c r="AL2384" s="4">
        <v>0</v>
      </c>
      <c r="AM2384" s="4">
        <v>0</v>
      </c>
      <c r="AN2384" s="4">
        <v>0</v>
      </c>
      <c r="AO2384" s="4">
        <v>0</v>
      </c>
      <c r="AP2384" s="3" t="s">
        <v>58</v>
      </c>
      <c r="AQ2384" s="3" t="s">
        <v>58</v>
      </c>
      <c r="AS2384" s="6" t="str">
        <f>HYPERLINK("https://creighton-primo.hosted.exlibrisgroup.com/primo-explore/search?tab=default_tab&amp;search_scope=EVERYTHING&amp;vid=01CRU&amp;lang=en_US&amp;offset=0&amp;query=any,contains,991000230419702656","Catalog Record")</f>
        <v>Catalog Record</v>
      </c>
      <c r="AT2384" s="6" t="str">
        <f>HYPERLINK("http://www.worldcat.org/oclc/9636960","WorldCat Record")</f>
        <v>WorldCat Record</v>
      </c>
      <c r="AU2384" s="3" t="s">
        <v>29086</v>
      </c>
      <c r="AV2384" s="3" t="s">
        <v>29087</v>
      </c>
      <c r="AW2384" s="3" t="s">
        <v>29088</v>
      </c>
      <c r="AX2384" s="3" t="s">
        <v>29088</v>
      </c>
      <c r="AY2384" s="3" t="s">
        <v>29089</v>
      </c>
      <c r="AZ2384" s="3" t="s">
        <v>73</v>
      </c>
      <c r="BB2384" s="3" t="s">
        <v>29090</v>
      </c>
      <c r="BC2384" s="3" t="s">
        <v>29091</v>
      </c>
      <c r="BD2384" s="3" t="s">
        <v>29092</v>
      </c>
    </row>
    <row r="2385" spans="1:56" ht="51" customHeight="1" x14ac:dyDescent="0.25">
      <c r="A2385" s="7" t="s">
        <v>58</v>
      </c>
      <c r="B2385" s="2" t="s">
        <v>29093</v>
      </c>
      <c r="C2385" s="2" t="s">
        <v>29094</v>
      </c>
      <c r="D2385" s="2" t="s">
        <v>29095</v>
      </c>
      <c r="F2385" s="3" t="s">
        <v>58</v>
      </c>
      <c r="G2385" s="3" t="s">
        <v>59</v>
      </c>
      <c r="H2385" s="3" t="s">
        <v>58</v>
      </c>
      <c r="I2385" s="3" t="s">
        <v>58</v>
      </c>
      <c r="J2385" s="3" t="s">
        <v>60</v>
      </c>
      <c r="K2385" s="2" t="s">
        <v>29096</v>
      </c>
      <c r="L2385" s="2" t="s">
        <v>29097</v>
      </c>
      <c r="M2385" s="3" t="s">
        <v>249</v>
      </c>
      <c r="O2385" s="3" t="s">
        <v>63</v>
      </c>
      <c r="P2385" s="3" t="s">
        <v>2575</v>
      </c>
      <c r="R2385" s="3" t="s">
        <v>65</v>
      </c>
      <c r="S2385" s="4">
        <v>5</v>
      </c>
      <c r="T2385" s="4">
        <v>5</v>
      </c>
      <c r="U2385" s="5" t="s">
        <v>29098</v>
      </c>
      <c r="V2385" s="5" t="s">
        <v>29098</v>
      </c>
      <c r="W2385" s="5" t="s">
        <v>13394</v>
      </c>
      <c r="X2385" s="5" t="s">
        <v>13394</v>
      </c>
      <c r="Y2385" s="4">
        <v>1109</v>
      </c>
      <c r="Z2385" s="4">
        <v>974</v>
      </c>
      <c r="AA2385" s="4">
        <v>1034</v>
      </c>
      <c r="AB2385" s="4">
        <v>10</v>
      </c>
      <c r="AC2385" s="4">
        <v>10</v>
      </c>
      <c r="AD2385" s="4">
        <v>41</v>
      </c>
      <c r="AE2385" s="4">
        <v>41</v>
      </c>
      <c r="AF2385" s="4">
        <v>17</v>
      </c>
      <c r="AG2385" s="4">
        <v>17</v>
      </c>
      <c r="AH2385" s="4">
        <v>8</v>
      </c>
      <c r="AI2385" s="4">
        <v>8</v>
      </c>
      <c r="AJ2385" s="4">
        <v>16</v>
      </c>
      <c r="AK2385" s="4">
        <v>16</v>
      </c>
      <c r="AL2385" s="4">
        <v>9</v>
      </c>
      <c r="AM2385" s="4">
        <v>9</v>
      </c>
      <c r="AN2385" s="4">
        <v>0</v>
      </c>
      <c r="AO2385" s="4">
        <v>0</v>
      </c>
      <c r="AP2385" s="3" t="s">
        <v>58</v>
      </c>
      <c r="AQ2385" s="3" t="s">
        <v>68</v>
      </c>
      <c r="AR2385" s="6" t="str">
        <f>HYPERLINK("http://catalog.hathitrust.org/Record/001259181","HathiTrust Record")</f>
        <v>HathiTrust Record</v>
      </c>
      <c r="AS2385" s="6" t="str">
        <f>HYPERLINK("https://creighton-primo.hosted.exlibrisgroup.com/primo-explore/search?tab=default_tab&amp;search_scope=EVERYTHING&amp;vid=01CRU&amp;lang=en_US&amp;offset=0&amp;query=any,contains,991001228359702656","Catalog Record")</f>
        <v>Catalog Record</v>
      </c>
      <c r="AT2385" s="6" t="str">
        <f>HYPERLINK("http://www.worldcat.org/oclc/17516778","WorldCat Record")</f>
        <v>WorldCat Record</v>
      </c>
      <c r="AU2385" s="3" t="s">
        <v>29099</v>
      </c>
      <c r="AV2385" s="3" t="s">
        <v>29100</v>
      </c>
      <c r="AW2385" s="3" t="s">
        <v>29101</v>
      </c>
      <c r="AX2385" s="3" t="s">
        <v>29101</v>
      </c>
      <c r="AY2385" s="3" t="s">
        <v>29102</v>
      </c>
      <c r="AZ2385" s="3" t="s">
        <v>73</v>
      </c>
      <c r="BB2385" s="3" t="s">
        <v>29103</v>
      </c>
      <c r="BC2385" s="3" t="s">
        <v>29104</v>
      </c>
      <c r="BD2385" s="3" t="s">
        <v>29105</v>
      </c>
    </row>
    <row r="2386" spans="1:56" ht="51" customHeight="1" x14ac:dyDescent="0.25">
      <c r="A2386" s="7" t="s">
        <v>58</v>
      </c>
      <c r="B2386" s="2" t="s">
        <v>29106</v>
      </c>
      <c r="C2386" s="2" t="s">
        <v>29107</v>
      </c>
      <c r="D2386" s="2" t="s">
        <v>29108</v>
      </c>
      <c r="F2386" s="3" t="s">
        <v>58</v>
      </c>
      <c r="G2386" s="3" t="s">
        <v>59</v>
      </c>
      <c r="H2386" s="3" t="s">
        <v>58</v>
      </c>
      <c r="I2386" s="3" t="s">
        <v>58</v>
      </c>
      <c r="J2386" s="3" t="s">
        <v>60</v>
      </c>
      <c r="K2386" s="2" t="s">
        <v>29109</v>
      </c>
      <c r="L2386" s="2" t="s">
        <v>29110</v>
      </c>
      <c r="M2386" s="3" t="s">
        <v>479</v>
      </c>
      <c r="O2386" s="3" t="s">
        <v>63</v>
      </c>
      <c r="P2386" s="3" t="s">
        <v>584</v>
      </c>
      <c r="R2386" s="3" t="s">
        <v>65</v>
      </c>
      <c r="S2386" s="4">
        <v>3</v>
      </c>
      <c r="T2386" s="4">
        <v>3</v>
      </c>
      <c r="U2386" s="5" t="s">
        <v>23510</v>
      </c>
      <c r="V2386" s="5" t="s">
        <v>23510</v>
      </c>
      <c r="W2386" s="5" t="s">
        <v>7844</v>
      </c>
      <c r="X2386" s="5" t="s">
        <v>7844</v>
      </c>
      <c r="Y2386" s="4">
        <v>207</v>
      </c>
      <c r="Z2386" s="4">
        <v>140</v>
      </c>
      <c r="AA2386" s="4">
        <v>145</v>
      </c>
      <c r="AB2386" s="4">
        <v>1</v>
      </c>
      <c r="AC2386" s="4">
        <v>1</v>
      </c>
      <c r="AD2386" s="4">
        <v>2</v>
      </c>
      <c r="AE2386" s="4">
        <v>2</v>
      </c>
      <c r="AF2386" s="4">
        <v>1</v>
      </c>
      <c r="AG2386" s="4">
        <v>1</v>
      </c>
      <c r="AH2386" s="4">
        <v>0</v>
      </c>
      <c r="AI2386" s="4">
        <v>0</v>
      </c>
      <c r="AJ2386" s="4">
        <v>2</v>
      </c>
      <c r="AK2386" s="4">
        <v>2</v>
      </c>
      <c r="AL2386" s="4">
        <v>0</v>
      </c>
      <c r="AM2386" s="4">
        <v>0</v>
      </c>
      <c r="AN2386" s="4">
        <v>0</v>
      </c>
      <c r="AO2386" s="4">
        <v>0</v>
      </c>
      <c r="AP2386" s="3" t="s">
        <v>58</v>
      </c>
      <c r="AQ2386" s="3" t="s">
        <v>58</v>
      </c>
      <c r="AS2386" s="6" t="str">
        <f>HYPERLINK("https://creighton-primo.hosted.exlibrisgroup.com/primo-explore/search?tab=default_tab&amp;search_scope=EVERYTHING&amp;vid=01CRU&amp;lang=en_US&amp;offset=0&amp;query=any,contains,991002398169702656","Catalog Record")</f>
        <v>Catalog Record</v>
      </c>
      <c r="AT2386" s="6" t="str">
        <f>HYPERLINK("http://www.worldcat.org/oclc/41713050","WorldCat Record")</f>
        <v>WorldCat Record</v>
      </c>
      <c r="AU2386" s="3" t="s">
        <v>29111</v>
      </c>
      <c r="AV2386" s="3" t="s">
        <v>29112</v>
      </c>
      <c r="AW2386" s="3" t="s">
        <v>29113</v>
      </c>
      <c r="AX2386" s="3" t="s">
        <v>29113</v>
      </c>
      <c r="AY2386" s="3" t="s">
        <v>29114</v>
      </c>
      <c r="AZ2386" s="3" t="s">
        <v>73</v>
      </c>
      <c r="BB2386" s="3" t="s">
        <v>29115</v>
      </c>
      <c r="BC2386" s="3" t="s">
        <v>29116</v>
      </c>
      <c r="BD2386" s="3" t="s">
        <v>29117</v>
      </c>
    </row>
    <row r="2387" spans="1:56" ht="51" customHeight="1" x14ac:dyDescent="0.25">
      <c r="A2387" s="7" t="s">
        <v>58</v>
      </c>
      <c r="B2387" s="2" t="s">
        <v>29118</v>
      </c>
      <c r="C2387" s="2" t="s">
        <v>29119</v>
      </c>
      <c r="D2387" s="2" t="s">
        <v>29120</v>
      </c>
      <c r="F2387" s="3" t="s">
        <v>58</v>
      </c>
      <c r="G2387" s="3" t="s">
        <v>59</v>
      </c>
      <c r="H2387" s="3" t="s">
        <v>58</v>
      </c>
      <c r="I2387" s="3" t="s">
        <v>58</v>
      </c>
      <c r="J2387" s="3" t="s">
        <v>60</v>
      </c>
      <c r="K2387" s="2" t="s">
        <v>29121</v>
      </c>
      <c r="L2387" s="2" t="s">
        <v>29122</v>
      </c>
      <c r="M2387" s="3" t="s">
        <v>196</v>
      </c>
      <c r="O2387" s="3" t="s">
        <v>63</v>
      </c>
      <c r="P2387" s="3" t="s">
        <v>10900</v>
      </c>
      <c r="R2387" s="3" t="s">
        <v>65</v>
      </c>
      <c r="S2387" s="4">
        <v>4</v>
      </c>
      <c r="T2387" s="4">
        <v>4</v>
      </c>
      <c r="U2387" s="5" t="s">
        <v>14877</v>
      </c>
      <c r="V2387" s="5" t="s">
        <v>14877</v>
      </c>
      <c r="W2387" s="5" t="s">
        <v>29123</v>
      </c>
      <c r="X2387" s="5" t="s">
        <v>29123</v>
      </c>
      <c r="Y2387" s="4">
        <v>109</v>
      </c>
      <c r="Z2387" s="4">
        <v>101</v>
      </c>
      <c r="AA2387" s="4">
        <v>103</v>
      </c>
      <c r="AB2387" s="4">
        <v>2</v>
      </c>
      <c r="AC2387" s="4">
        <v>2</v>
      </c>
      <c r="AD2387" s="4">
        <v>6</v>
      </c>
      <c r="AE2387" s="4">
        <v>6</v>
      </c>
      <c r="AF2387" s="4">
        <v>2</v>
      </c>
      <c r="AG2387" s="4">
        <v>2</v>
      </c>
      <c r="AH2387" s="4">
        <v>2</v>
      </c>
      <c r="AI2387" s="4">
        <v>2</v>
      </c>
      <c r="AJ2387" s="4">
        <v>3</v>
      </c>
      <c r="AK2387" s="4">
        <v>3</v>
      </c>
      <c r="AL2387" s="4">
        <v>1</v>
      </c>
      <c r="AM2387" s="4">
        <v>1</v>
      </c>
      <c r="AN2387" s="4">
        <v>0</v>
      </c>
      <c r="AO2387" s="4">
        <v>0</v>
      </c>
      <c r="AP2387" s="3" t="s">
        <v>58</v>
      </c>
      <c r="AQ2387" s="3" t="s">
        <v>68</v>
      </c>
      <c r="AR2387" s="6" t="str">
        <f>HYPERLINK("http://catalog.hathitrust.org/Record/003345990","HathiTrust Record")</f>
        <v>HathiTrust Record</v>
      </c>
      <c r="AS2387" s="6" t="str">
        <f>HYPERLINK("https://creighton-primo.hosted.exlibrisgroup.com/primo-explore/search?tab=default_tab&amp;search_scope=EVERYTHING&amp;vid=01CRU&amp;lang=en_US&amp;offset=0&amp;query=any,contains,991002711319702656","Catalog Record")</f>
        <v>Catalog Record</v>
      </c>
      <c r="AT2387" s="6" t="str">
        <f>HYPERLINK("http://www.worldcat.org/oclc/35554502","WorldCat Record")</f>
        <v>WorldCat Record</v>
      </c>
      <c r="AU2387" s="3" t="s">
        <v>29124</v>
      </c>
      <c r="AV2387" s="3" t="s">
        <v>29125</v>
      </c>
      <c r="AW2387" s="3" t="s">
        <v>29126</v>
      </c>
      <c r="AX2387" s="3" t="s">
        <v>29126</v>
      </c>
      <c r="AY2387" s="3" t="s">
        <v>29127</v>
      </c>
      <c r="AZ2387" s="3" t="s">
        <v>73</v>
      </c>
      <c r="BB2387" s="3" t="s">
        <v>29128</v>
      </c>
      <c r="BC2387" s="3" t="s">
        <v>29129</v>
      </c>
      <c r="BD2387" s="3" t="s">
        <v>29130</v>
      </c>
    </row>
    <row r="2388" spans="1:56" ht="51" customHeight="1" x14ac:dyDescent="0.25">
      <c r="A2388" s="7" t="s">
        <v>58</v>
      </c>
      <c r="B2388" s="2" t="s">
        <v>29131</v>
      </c>
      <c r="C2388" s="2" t="s">
        <v>29132</v>
      </c>
      <c r="D2388" s="2" t="s">
        <v>29133</v>
      </c>
      <c r="F2388" s="3" t="s">
        <v>58</v>
      </c>
      <c r="G2388" s="3" t="s">
        <v>59</v>
      </c>
      <c r="H2388" s="3" t="s">
        <v>58</v>
      </c>
      <c r="I2388" s="3" t="s">
        <v>58</v>
      </c>
      <c r="J2388" s="3" t="s">
        <v>60</v>
      </c>
      <c r="K2388" s="2" t="s">
        <v>29134</v>
      </c>
      <c r="L2388" s="2" t="s">
        <v>29135</v>
      </c>
      <c r="M2388" s="3" t="s">
        <v>62</v>
      </c>
      <c r="O2388" s="3" t="s">
        <v>63</v>
      </c>
      <c r="P2388" s="3" t="s">
        <v>214</v>
      </c>
      <c r="R2388" s="3" t="s">
        <v>65</v>
      </c>
      <c r="S2388" s="4">
        <v>3</v>
      </c>
      <c r="T2388" s="4">
        <v>3</v>
      </c>
      <c r="U2388" s="5" t="s">
        <v>21927</v>
      </c>
      <c r="V2388" s="5" t="s">
        <v>21927</v>
      </c>
      <c r="W2388" s="5" t="s">
        <v>28924</v>
      </c>
      <c r="X2388" s="5" t="s">
        <v>28924</v>
      </c>
      <c r="Y2388" s="4">
        <v>107</v>
      </c>
      <c r="Z2388" s="4">
        <v>95</v>
      </c>
      <c r="AA2388" s="4">
        <v>190</v>
      </c>
      <c r="AB2388" s="4">
        <v>2</v>
      </c>
      <c r="AC2388" s="4">
        <v>3</v>
      </c>
      <c r="AD2388" s="4">
        <v>4</v>
      </c>
      <c r="AE2388" s="4">
        <v>6</v>
      </c>
      <c r="AF2388" s="4">
        <v>0</v>
      </c>
      <c r="AG2388" s="4">
        <v>0</v>
      </c>
      <c r="AH2388" s="4">
        <v>1</v>
      </c>
      <c r="AI2388" s="4">
        <v>1</v>
      </c>
      <c r="AJ2388" s="4">
        <v>3</v>
      </c>
      <c r="AK2388" s="4">
        <v>4</v>
      </c>
      <c r="AL2388" s="4">
        <v>1</v>
      </c>
      <c r="AM2388" s="4">
        <v>2</v>
      </c>
      <c r="AN2388" s="4">
        <v>0</v>
      </c>
      <c r="AO2388" s="4">
        <v>0</v>
      </c>
      <c r="AP2388" s="3" t="s">
        <v>58</v>
      </c>
      <c r="AQ2388" s="3" t="s">
        <v>68</v>
      </c>
      <c r="AR2388" s="6" t="str">
        <f>HYPERLINK("http://catalog.hathitrust.org/Record/006035341","HathiTrust Record")</f>
        <v>HathiTrust Record</v>
      </c>
      <c r="AS2388" s="6" t="str">
        <f>HYPERLINK("https://creighton-primo.hosted.exlibrisgroup.com/primo-explore/search?tab=default_tab&amp;search_scope=EVERYTHING&amp;vid=01CRU&amp;lang=en_US&amp;offset=0&amp;query=any,contains,991002273039702656","Catalog Record")</f>
        <v>Catalog Record</v>
      </c>
      <c r="AT2388" s="6" t="str">
        <f>HYPERLINK("http://www.worldcat.org/oclc/309063","WorldCat Record")</f>
        <v>WorldCat Record</v>
      </c>
      <c r="AU2388" s="3" t="s">
        <v>29136</v>
      </c>
      <c r="AV2388" s="3" t="s">
        <v>29137</v>
      </c>
      <c r="AW2388" s="3" t="s">
        <v>29138</v>
      </c>
      <c r="AX2388" s="3" t="s">
        <v>29138</v>
      </c>
      <c r="AY2388" s="3" t="s">
        <v>29139</v>
      </c>
      <c r="AZ2388" s="3" t="s">
        <v>73</v>
      </c>
      <c r="BC2388" s="3" t="s">
        <v>29140</v>
      </c>
      <c r="BD2388" s="3" t="s">
        <v>29141</v>
      </c>
    </row>
    <row r="2389" spans="1:56" ht="51" customHeight="1" x14ac:dyDescent="0.25">
      <c r="A2389" s="7" t="s">
        <v>58</v>
      </c>
      <c r="B2389" s="2" t="s">
        <v>29142</v>
      </c>
      <c r="C2389" s="2" t="s">
        <v>29143</v>
      </c>
      <c r="D2389" s="2" t="s">
        <v>29144</v>
      </c>
      <c r="F2389" s="3" t="s">
        <v>58</v>
      </c>
      <c r="G2389" s="3" t="s">
        <v>59</v>
      </c>
      <c r="H2389" s="3" t="s">
        <v>58</v>
      </c>
      <c r="I2389" s="3" t="s">
        <v>58</v>
      </c>
      <c r="J2389" s="3" t="s">
        <v>60</v>
      </c>
      <c r="K2389" s="2" t="s">
        <v>29145</v>
      </c>
      <c r="L2389" s="2" t="s">
        <v>29146</v>
      </c>
      <c r="M2389" s="3" t="s">
        <v>1153</v>
      </c>
      <c r="N2389" s="2" t="s">
        <v>29147</v>
      </c>
      <c r="O2389" s="3" t="s">
        <v>63</v>
      </c>
      <c r="P2389" s="3" t="s">
        <v>571</v>
      </c>
      <c r="R2389" s="3" t="s">
        <v>65</v>
      </c>
      <c r="S2389" s="4">
        <v>6</v>
      </c>
      <c r="T2389" s="4">
        <v>6</v>
      </c>
      <c r="U2389" s="5" t="s">
        <v>29148</v>
      </c>
      <c r="V2389" s="5" t="s">
        <v>29148</v>
      </c>
      <c r="W2389" s="5" t="s">
        <v>18602</v>
      </c>
      <c r="X2389" s="5" t="s">
        <v>18602</v>
      </c>
      <c r="Y2389" s="4">
        <v>25</v>
      </c>
      <c r="Z2389" s="4">
        <v>15</v>
      </c>
      <c r="AA2389" s="4">
        <v>2334</v>
      </c>
      <c r="AB2389" s="4">
        <v>1</v>
      </c>
      <c r="AC2389" s="4">
        <v>15</v>
      </c>
      <c r="AD2389" s="4">
        <v>0</v>
      </c>
      <c r="AE2389" s="4">
        <v>64</v>
      </c>
      <c r="AF2389" s="4">
        <v>0</v>
      </c>
      <c r="AG2389" s="4">
        <v>26</v>
      </c>
      <c r="AH2389" s="4">
        <v>0</v>
      </c>
      <c r="AI2389" s="4">
        <v>11</v>
      </c>
      <c r="AJ2389" s="4">
        <v>0</v>
      </c>
      <c r="AK2389" s="4">
        <v>27</v>
      </c>
      <c r="AL2389" s="4">
        <v>0</v>
      </c>
      <c r="AM2389" s="4">
        <v>13</v>
      </c>
      <c r="AN2389" s="4">
        <v>0</v>
      </c>
      <c r="AO2389" s="4">
        <v>1</v>
      </c>
      <c r="AP2389" s="3" t="s">
        <v>58</v>
      </c>
      <c r="AQ2389" s="3" t="s">
        <v>68</v>
      </c>
      <c r="AR2389" s="6" t="str">
        <f>HYPERLINK("http://catalog.hathitrust.org/Record/102066531","HathiTrust Record")</f>
        <v>HathiTrust Record</v>
      </c>
      <c r="AS2389" s="6" t="str">
        <f>HYPERLINK("https://creighton-primo.hosted.exlibrisgroup.com/primo-explore/search?tab=default_tab&amp;search_scope=EVERYTHING&amp;vid=01CRU&amp;lang=en_US&amp;offset=0&amp;query=any,contains,991003923849702656","Catalog Record")</f>
        <v>Catalog Record</v>
      </c>
      <c r="AT2389" s="6" t="str">
        <f>HYPERLINK("http://www.worldcat.org/oclc/1878123","WorldCat Record")</f>
        <v>WorldCat Record</v>
      </c>
      <c r="AU2389" s="3" t="s">
        <v>29149</v>
      </c>
      <c r="AV2389" s="3" t="s">
        <v>29150</v>
      </c>
      <c r="AW2389" s="3" t="s">
        <v>29151</v>
      </c>
      <c r="AX2389" s="3" t="s">
        <v>29151</v>
      </c>
      <c r="AY2389" s="3" t="s">
        <v>29152</v>
      </c>
      <c r="AZ2389" s="3" t="s">
        <v>73</v>
      </c>
      <c r="BC2389" s="3" t="s">
        <v>29153</v>
      </c>
      <c r="BD2389" s="3" t="s">
        <v>29154</v>
      </c>
    </row>
    <row r="2390" spans="1:56" ht="51" customHeight="1" x14ac:dyDescent="0.25">
      <c r="A2390" s="7" t="s">
        <v>58</v>
      </c>
      <c r="B2390" s="2" t="s">
        <v>29155</v>
      </c>
      <c r="C2390" s="2" t="s">
        <v>29156</v>
      </c>
      <c r="D2390" s="2" t="s">
        <v>29157</v>
      </c>
      <c r="F2390" s="3" t="s">
        <v>58</v>
      </c>
      <c r="G2390" s="3" t="s">
        <v>59</v>
      </c>
      <c r="H2390" s="3" t="s">
        <v>58</v>
      </c>
      <c r="I2390" s="3" t="s">
        <v>58</v>
      </c>
      <c r="J2390" s="3" t="s">
        <v>60</v>
      </c>
      <c r="K2390" s="2" t="s">
        <v>26633</v>
      </c>
      <c r="L2390" s="2" t="s">
        <v>29158</v>
      </c>
      <c r="M2390" s="3" t="s">
        <v>101</v>
      </c>
      <c r="N2390" s="2" t="s">
        <v>1009</v>
      </c>
      <c r="O2390" s="3" t="s">
        <v>63</v>
      </c>
      <c r="P2390" s="3" t="s">
        <v>214</v>
      </c>
      <c r="R2390" s="3" t="s">
        <v>65</v>
      </c>
      <c r="S2390" s="4">
        <v>1</v>
      </c>
      <c r="T2390" s="4">
        <v>1</v>
      </c>
      <c r="U2390" s="5" t="s">
        <v>29159</v>
      </c>
      <c r="V2390" s="5" t="s">
        <v>29159</v>
      </c>
      <c r="W2390" s="5" t="s">
        <v>29159</v>
      </c>
      <c r="X2390" s="5" t="s">
        <v>29159</v>
      </c>
      <c r="Y2390" s="4">
        <v>382</v>
      </c>
      <c r="Z2390" s="4">
        <v>348</v>
      </c>
      <c r="AA2390" s="4">
        <v>558</v>
      </c>
      <c r="AB2390" s="4">
        <v>3</v>
      </c>
      <c r="AC2390" s="4">
        <v>5</v>
      </c>
      <c r="AD2390" s="4">
        <v>12</v>
      </c>
      <c r="AE2390" s="4">
        <v>23</v>
      </c>
      <c r="AF2390" s="4">
        <v>4</v>
      </c>
      <c r="AG2390" s="4">
        <v>12</v>
      </c>
      <c r="AH2390" s="4">
        <v>4</v>
      </c>
      <c r="AI2390" s="4">
        <v>4</v>
      </c>
      <c r="AJ2390" s="4">
        <v>7</v>
      </c>
      <c r="AK2390" s="4">
        <v>13</v>
      </c>
      <c r="AL2390" s="4">
        <v>2</v>
      </c>
      <c r="AM2390" s="4">
        <v>3</v>
      </c>
      <c r="AN2390" s="4">
        <v>0</v>
      </c>
      <c r="AO2390" s="4">
        <v>0</v>
      </c>
      <c r="AP2390" s="3" t="s">
        <v>58</v>
      </c>
      <c r="AQ2390" s="3" t="s">
        <v>68</v>
      </c>
      <c r="AR2390" s="6" t="str">
        <f>HYPERLINK("http://catalog.hathitrust.org/Record/007118978","HathiTrust Record")</f>
        <v>HathiTrust Record</v>
      </c>
      <c r="AS2390" s="6" t="str">
        <f>HYPERLINK("https://creighton-primo.hosted.exlibrisgroup.com/primo-explore/search?tab=default_tab&amp;search_scope=EVERYTHING&amp;vid=01CRU&amp;lang=en_US&amp;offset=0&amp;query=any,contains,991005081329702656","Catalog Record")</f>
        <v>Catalog Record</v>
      </c>
      <c r="AT2390" s="6" t="str">
        <f>HYPERLINK("http://www.worldcat.org/oclc/10207702","WorldCat Record")</f>
        <v>WorldCat Record</v>
      </c>
      <c r="AU2390" s="3" t="s">
        <v>29160</v>
      </c>
      <c r="AV2390" s="3" t="s">
        <v>29161</v>
      </c>
      <c r="AW2390" s="3" t="s">
        <v>29162</v>
      </c>
      <c r="AX2390" s="3" t="s">
        <v>29162</v>
      </c>
      <c r="AY2390" s="3" t="s">
        <v>29163</v>
      </c>
      <c r="AZ2390" s="3" t="s">
        <v>73</v>
      </c>
      <c r="BB2390" s="3" t="s">
        <v>29164</v>
      </c>
      <c r="BC2390" s="3" t="s">
        <v>29165</v>
      </c>
      <c r="BD2390" s="3" t="s">
        <v>29166</v>
      </c>
    </row>
    <row r="2391" spans="1:56" ht="51" customHeight="1" x14ac:dyDescent="0.25">
      <c r="A2391" s="7" t="s">
        <v>58</v>
      </c>
      <c r="B2391" s="2" t="s">
        <v>29167</v>
      </c>
      <c r="C2391" s="2" t="s">
        <v>29168</v>
      </c>
      <c r="D2391" s="2" t="s">
        <v>29169</v>
      </c>
      <c r="F2391" s="3" t="s">
        <v>58</v>
      </c>
      <c r="G2391" s="3" t="s">
        <v>59</v>
      </c>
      <c r="H2391" s="3" t="s">
        <v>58</v>
      </c>
      <c r="I2391" s="3" t="s">
        <v>58</v>
      </c>
      <c r="J2391" s="3" t="s">
        <v>60</v>
      </c>
      <c r="K2391" s="2" t="s">
        <v>29170</v>
      </c>
      <c r="L2391" s="2" t="s">
        <v>29171</v>
      </c>
      <c r="M2391" s="3" t="s">
        <v>626</v>
      </c>
      <c r="O2391" s="3" t="s">
        <v>63</v>
      </c>
      <c r="P2391" s="3" t="s">
        <v>214</v>
      </c>
      <c r="R2391" s="3" t="s">
        <v>65</v>
      </c>
      <c r="S2391" s="4">
        <v>5</v>
      </c>
      <c r="T2391" s="4">
        <v>5</v>
      </c>
      <c r="U2391" s="5" t="s">
        <v>29172</v>
      </c>
      <c r="V2391" s="5" t="s">
        <v>29172</v>
      </c>
      <c r="W2391" s="5" t="s">
        <v>16218</v>
      </c>
      <c r="X2391" s="5" t="s">
        <v>16218</v>
      </c>
      <c r="Y2391" s="4">
        <v>1540</v>
      </c>
      <c r="Z2391" s="4">
        <v>1404</v>
      </c>
      <c r="AA2391" s="4">
        <v>1657</v>
      </c>
      <c r="AB2391" s="4">
        <v>5</v>
      </c>
      <c r="AC2391" s="4">
        <v>10</v>
      </c>
      <c r="AD2391" s="4">
        <v>37</v>
      </c>
      <c r="AE2391" s="4">
        <v>48</v>
      </c>
      <c r="AF2391" s="4">
        <v>18</v>
      </c>
      <c r="AG2391" s="4">
        <v>23</v>
      </c>
      <c r="AH2391" s="4">
        <v>7</v>
      </c>
      <c r="AI2391" s="4">
        <v>9</v>
      </c>
      <c r="AJ2391" s="4">
        <v>19</v>
      </c>
      <c r="AK2391" s="4">
        <v>23</v>
      </c>
      <c r="AL2391" s="4">
        <v>3</v>
      </c>
      <c r="AM2391" s="4">
        <v>6</v>
      </c>
      <c r="AN2391" s="4">
        <v>0</v>
      </c>
      <c r="AO2391" s="4">
        <v>0</v>
      </c>
      <c r="AP2391" s="3" t="s">
        <v>58</v>
      </c>
      <c r="AQ2391" s="3" t="s">
        <v>68</v>
      </c>
      <c r="AR2391" s="6" t="str">
        <f>HYPERLINK("http://catalog.hathitrust.org/Record/000234682","HathiTrust Record")</f>
        <v>HathiTrust Record</v>
      </c>
      <c r="AS2391" s="6" t="str">
        <f>HYPERLINK("https://creighton-primo.hosted.exlibrisgroup.com/primo-explore/search?tab=default_tab&amp;search_scope=EVERYTHING&amp;vid=01CRU&amp;lang=en_US&amp;offset=0&amp;query=any,contains,991000144999702656","Catalog Record")</f>
        <v>Catalog Record</v>
      </c>
      <c r="AT2391" s="6" t="str">
        <f>HYPERLINK("http://www.worldcat.org/oclc/9193926","WorldCat Record")</f>
        <v>WorldCat Record</v>
      </c>
      <c r="AU2391" s="3" t="s">
        <v>29173</v>
      </c>
      <c r="AV2391" s="3" t="s">
        <v>29174</v>
      </c>
      <c r="AW2391" s="3" t="s">
        <v>29175</v>
      </c>
      <c r="AX2391" s="3" t="s">
        <v>29175</v>
      </c>
      <c r="AY2391" s="3" t="s">
        <v>29176</v>
      </c>
      <c r="AZ2391" s="3" t="s">
        <v>73</v>
      </c>
      <c r="BB2391" s="3" t="s">
        <v>29177</v>
      </c>
      <c r="BC2391" s="3" t="s">
        <v>29178</v>
      </c>
      <c r="BD2391" s="3" t="s">
        <v>29179</v>
      </c>
    </row>
    <row r="2392" spans="1:56" ht="51" customHeight="1" x14ac:dyDescent="0.25">
      <c r="A2392" s="7" t="s">
        <v>58</v>
      </c>
      <c r="B2392" s="2" t="s">
        <v>29180</v>
      </c>
      <c r="C2392" s="2" t="s">
        <v>29181</v>
      </c>
      <c r="D2392" s="2" t="s">
        <v>29182</v>
      </c>
      <c r="F2392" s="3" t="s">
        <v>58</v>
      </c>
      <c r="G2392" s="3" t="s">
        <v>59</v>
      </c>
      <c r="H2392" s="3" t="s">
        <v>58</v>
      </c>
      <c r="I2392" s="3" t="s">
        <v>58</v>
      </c>
      <c r="J2392" s="3" t="s">
        <v>60</v>
      </c>
      <c r="K2392" s="2" t="s">
        <v>29183</v>
      </c>
      <c r="L2392" s="2" t="s">
        <v>29184</v>
      </c>
      <c r="M2392" s="3" t="s">
        <v>83</v>
      </c>
      <c r="N2392" s="2" t="s">
        <v>29147</v>
      </c>
      <c r="O2392" s="3" t="s">
        <v>63</v>
      </c>
      <c r="P2392" s="3" t="s">
        <v>10900</v>
      </c>
      <c r="Q2392" s="2" t="s">
        <v>29185</v>
      </c>
      <c r="R2392" s="3" t="s">
        <v>65</v>
      </c>
      <c r="S2392" s="4">
        <v>8</v>
      </c>
      <c r="T2392" s="4">
        <v>8</v>
      </c>
      <c r="U2392" s="5" t="s">
        <v>2159</v>
      </c>
      <c r="V2392" s="5" t="s">
        <v>2159</v>
      </c>
      <c r="W2392" s="5" t="s">
        <v>17812</v>
      </c>
      <c r="X2392" s="5" t="s">
        <v>17812</v>
      </c>
      <c r="Y2392" s="4">
        <v>35</v>
      </c>
      <c r="Z2392" s="4">
        <v>22</v>
      </c>
      <c r="AA2392" s="4">
        <v>899</v>
      </c>
      <c r="AB2392" s="4">
        <v>1</v>
      </c>
      <c r="AC2392" s="4">
        <v>8</v>
      </c>
      <c r="AD2392" s="4">
        <v>3</v>
      </c>
      <c r="AE2392" s="4">
        <v>44</v>
      </c>
      <c r="AF2392" s="4">
        <v>3</v>
      </c>
      <c r="AG2392" s="4">
        <v>19</v>
      </c>
      <c r="AH2392" s="4">
        <v>0</v>
      </c>
      <c r="AI2392" s="4">
        <v>9</v>
      </c>
      <c r="AJ2392" s="4">
        <v>1</v>
      </c>
      <c r="AK2392" s="4">
        <v>18</v>
      </c>
      <c r="AL2392" s="4">
        <v>0</v>
      </c>
      <c r="AM2392" s="4">
        <v>7</v>
      </c>
      <c r="AN2392" s="4">
        <v>0</v>
      </c>
      <c r="AO2392" s="4">
        <v>1</v>
      </c>
      <c r="AP2392" s="3" t="s">
        <v>58</v>
      </c>
      <c r="AQ2392" s="3" t="s">
        <v>58</v>
      </c>
      <c r="AS2392" s="6" t="str">
        <f>HYPERLINK("https://creighton-primo.hosted.exlibrisgroup.com/primo-explore/search?tab=default_tab&amp;search_scope=EVERYTHING&amp;vid=01CRU&amp;lang=en_US&amp;offset=0&amp;query=any,contains,991005201019702656","Catalog Record")</f>
        <v>Catalog Record</v>
      </c>
      <c r="AT2392" s="6" t="str">
        <f>HYPERLINK("http://www.worldcat.org/oclc/8078082","WorldCat Record")</f>
        <v>WorldCat Record</v>
      </c>
      <c r="AU2392" s="3" t="s">
        <v>29186</v>
      </c>
      <c r="AV2392" s="3" t="s">
        <v>29187</v>
      </c>
      <c r="AW2392" s="3" t="s">
        <v>29188</v>
      </c>
      <c r="AX2392" s="3" t="s">
        <v>29188</v>
      </c>
      <c r="AY2392" s="3" t="s">
        <v>29189</v>
      </c>
      <c r="AZ2392" s="3" t="s">
        <v>73</v>
      </c>
      <c r="BC2392" s="3" t="s">
        <v>29190</v>
      </c>
      <c r="BD2392" s="3" t="s">
        <v>29191</v>
      </c>
    </row>
    <row r="2393" spans="1:56" ht="51" customHeight="1" x14ac:dyDescent="0.25">
      <c r="A2393" s="7" t="s">
        <v>58</v>
      </c>
      <c r="B2393" s="2" t="s">
        <v>29192</v>
      </c>
      <c r="C2393" s="2" t="s">
        <v>29193</v>
      </c>
      <c r="D2393" s="2" t="s">
        <v>29194</v>
      </c>
      <c r="F2393" s="3" t="s">
        <v>58</v>
      </c>
      <c r="G2393" s="3" t="s">
        <v>59</v>
      </c>
      <c r="H2393" s="3" t="s">
        <v>58</v>
      </c>
      <c r="I2393" s="3" t="s">
        <v>58</v>
      </c>
      <c r="J2393" s="3" t="s">
        <v>60</v>
      </c>
      <c r="K2393" s="2" t="s">
        <v>29195</v>
      </c>
      <c r="L2393" s="2" t="s">
        <v>29196</v>
      </c>
      <c r="M2393" s="3" t="s">
        <v>1399</v>
      </c>
      <c r="O2393" s="3" t="s">
        <v>63</v>
      </c>
      <c r="P2393" s="3" t="s">
        <v>214</v>
      </c>
      <c r="R2393" s="3" t="s">
        <v>65</v>
      </c>
      <c r="S2393" s="4">
        <v>5</v>
      </c>
      <c r="T2393" s="4">
        <v>5</v>
      </c>
      <c r="U2393" s="5" t="s">
        <v>29197</v>
      </c>
      <c r="V2393" s="5" t="s">
        <v>29197</v>
      </c>
      <c r="W2393" s="5" t="s">
        <v>2449</v>
      </c>
      <c r="X2393" s="5" t="s">
        <v>2449</v>
      </c>
      <c r="Y2393" s="4">
        <v>1577</v>
      </c>
      <c r="Z2393" s="4">
        <v>1403</v>
      </c>
      <c r="AA2393" s="4">
        <v>1452</v>
      </c>
      <c r="AB2393" s="4">
        <v>16</v>
      </c>
      <c r="AC2393" s="4">
        <v>16</v>
      </c>
      <c r="AD2393" s="4">
        <v>42</v>
      </c>
      <c r="AE2393" s="4">
        <v>42</v>
      </c>
      <c r="AF2393" s="4">
        <v>14</v>
      </c>
      <c r="AG2393" s="4">
        <v>14</v>
      </c>
      <c r="AH2393" s="4">
        <v>8</v>
      </c>
      <c r="AI2393" s="4">
        <v>8</v>
      </c>
      <c r="AJ2393" s="4">
        <v>16</v>
      </c>
      <c r="AK2393" s="4">
        <v>16</v>
      </c>
      <c r="AL2393" s="4">
        <v>11</v>
      </c>
      <c r="AM2393" s="4">
        <v>11</v>
      </c>
      <c r="AN2393" s="4">
        <v>0</v>
      </c>
      <c r="AO2393" s="4">
        <v>0</v>
      </c>
      <c r="AP2393" s="3" t="s">
        <v>58</v>
      </c>
      <c r="AQ2393" s="3" t="s">
        <v>58</v>
      </c>
      <c r="AS2393" s="6" t="str">
        <f>HYPERLINK("https://creighton-primo.hosted.exlibrisgroup.com/primo-explore/search?tab=default_tab&amp;search_scope=EVERYTHING&amp;vid=01CRU&amp;lang=en_US&amp;offset=0&amp;query=any,contains,991001236869702656","Catalog Record")</f>
        <v>Catalog Record</v>
      </c>
      <c r="AT2393" s="6" t="str">
        <f>HYPERLINK("http://www.worldcat.org/oclc/17551659","WorldCat Record")</f>
        <v>WorldCat Record</v>
      </c>
      <c r="AU2393" s="3" t="s">
        <v>29198</v>
      </c>
      <c r="AV2393" s="3" t="s">
        <v>29199</v>
      </c>
      <c r="AW2393" s="3" t="s">
        <v>29200</v>
      </c>
      <c r="AX2393" s="3" t="s">
        <v>29200</v>
      </c>
      <c r="AY2393" s="3" t="s">
        <v>29201</v>
      </c>
      <c r="AZ2393" s="3" t="s">
        <v>73</v>
      </c>
      <c r="BB2393" s="3" t="s">
        <v>29202</v>
      </c>
      <c r="BC2393" s="3" t="s">
        <v>29203</v>
      </c>
      <c r="BD2393" s="3" t="s">
        <v>29204</v>
      </c>
    </row>
    <row r="2394" spans="1:56" ht="51" customHeight="1" x14ac:dyDescent="0.25">
      <c r="A2394" s="7" t="s">
        <v>58</v>
      </c>
      <c r="B2394" s="2" t="s">
        <v>29205</v>
      </c>
      <c r="C2394" s="2" t="s">
        <v>29206</v>
      </c>
      <c r="D2394" s="2" t="s">
        <v>29207</v>
      </c>
      <c r="F2394" s="3" t="s">
        <v>58</v>
      </c>
      <c r="G2394" s="3" t="s">
        <v>59</v>
      </c>
      <c r="H2394" s="3" t="s">
        <v>58</v>
      </c>
      <c r="I2394" s="3" t="s">
        <v>58</v>
      </c>
      <c r="J2394" s="3" t="s">
        <v>60</v>
      </c>
      <c r="K2394" s="2" t="s">
        <v>29208</v>
      </c>
      <c r="L2394" s="2" t="s">
        <v>29209</v>
      </c>
      <c r="M2394" s="3" t="s">
        <v>101</v>
      </c>
      <c r="O2394" s="3" t="s">
        <v>63</v>
      </c>
      <c r="P2394" s="3" t="s">
        <v>11582</v>
      </c>
      <c r="Q2394" s="2" t="s">
        <v>29210</v>
      </c>
      <c r="R2394" s="3" t="s">
        <v>65</v>
      </c>
      <c r="S2394" s="4">
        <v>23</v>
      </c>
      <c r="T2394" s="4">
        <v>23</v>
      </c>
      <c r="U2394" s="5" t="s">
        <v>29211</v>
      </c>
      <c r="V2394" s="5" t="s">
        <v>29211</v>
      </c>
      <c r="W2394" s="5" t="s">
        <v>3723</v>
      </c>
      <c r="X2394" s="5" t="s">
        <v>3723</v>
      </c>
      <c r="Y2394" s="4">
        <v>803</v>
      </c>
      <c r="Z2394" s="4">
        <v>723</v>
      </c>
      <c r="AA2394" s="4">
        <v>995</v>
      </c>
      <c r="AB2394" s="4">
        <v>7</v>
      </c>
      <c r="AC2394" s="4">
        <v>8</v>
      </c>
      <c r="AD2394" s="4">
        <v>31</v>
      </c>
      <c r="AE2394" s="4">
        <v>33</v>
      </c>
      <c r="AF2394" s="4">
        <v>14</v>
      </c>
      <c r="AG2394" s="4">
        <v>15</v>
      </c>
      <c r="AH2394" s="4">
        <v>5</v>
      </c>
      <c r="AI2394" s="4">
        <v>5</v>
      </c>
      <c r="AJ2394" s="4">
        <v>13</v>
      </c>
      <c r="AK2394" s="4">
        <v>14</v>
      </c>
      <c r="AL2394" s="4">
        <v>5</v>
      </c>
      <c r="AM2394" s="4">
        <v>6</v>
      </c>
      <c r="AN2394" s="4">
        <v>1</v>
      </c>
      <c r="AO2394" s="4">
        <v>1</v>
      </c>
      <c r="AP2394" s="3" t="s">
        <v>58</v>
      </c>
      <c r="AQ2394" s="3" t="s">
        <v>68</v>
      </c>
      <c r="AR2394" s="6" t="str">
        <f>HYPERLINK("http://catalog.hathitrust.org/Record/007173643","HathiTrust Record")</f>
        <v>HathiTrust Record</v>
      </c>
      <c r="AS2394" s="6" t="str">
        <f>HYPERLINK("https://creighton-primo.hosted.exlibrisgroup.com/primo-explore/search?tab=default_tab&amp;search_scope=EVERYTHING&amp;vid=01CRU&amp;lang=en_US&amp;offset=0&amp;query=any,contains,991000544229702656","Catalog Record")</f>
        <v>Catalog Record</v>
      </c>
      <c r="AT2394" s="6" t="str">
        <f>HYPERLINK("http://www.worldcat.org/oclc/11504809","WorldCat Record")</f>
        <v>WorldCat Record</v>
      </c>
      <c r="AU2394" s="3" t="s">
        <v>29212</v>
      </c>
      <c r="AV2394" s="3" t="s">
        <v>29213</v>
      </c>
      <c r="AW2394" s="3" t="s">
        <v>29214</v>
      </c>
      <c r="AX2394" s="3" t="s">
        <v>29214</v>
      </c>
      <c r="AY2394" s="3" t="s">
        <v>29215</v>
      </c>
      <c r="AZ2394" s="3" t="s">
        <v>73</v>
      </c>
      <c r="BB2394" s="3" t="s">
        <v>29216</v>
      </c>
      <c r="BC2394" s="3" t="s">
        <v>29217</v>
      </c>
      <c r="BD2394" s="3" t="s">
        <v>29218</v>
      </c>
    </row>
    <row r="2395" spans="1:56" ht="51" customHeight="1" x14ac:dyDescent="0.25">
      <c r="A2395" s="7" t="s">
        <v>58</v>
      </c>
      <c r="B2395" s="2" t="s">
        <v>29219</v>
      </c>
      <c r="C2395" s="2" t="s">
        <v>29220</v>
      </c>
      <c r="D2395" s="2" t="s">
        <v>29221</v>
      </c>
      <c r="F2395" s="3" t="s">
        <v>58</v>
      </c>
      <c r="G2395" s="3" t="s">
        <v>59</v>
      </c>
      <c r="H2395" s="3" t="s">
        <v>58</v>
      </c>
      <c r="I2395" s="3" t="s">
        <v>58</v>
      </c>
      <c r="J2395" s="3" t="s">
        <v>60</v>
      </c>
      <c r="L2395" s="2" t="s">
        <v>29222</v>
      </c>
      <c r="M2395" s="3" t="s">
        <v>626</v>
      </c>
      <c r="O2395" s="3" t="s">
        <v>63</v>
      </c>
      <c r="P2395" s="3" t="s">
        <v>10900</v>
      </c>
      <c r="R2395" s="3" t="s">
        <v>65</v>
      </c>
      <c r="S2395" s="4">
        <v>8</v>
      </c>
      <c r="T2395" s="4">
        <v>8</v>
      </c>
      <c r="U2395" s="5" t="s">
        <v>29223</v>
      </c>
      <c r="V2395" s="5" t="s">
        <v>29223</v>
      </c>
      <c r="W2395" s="5" t="s">
        <v>17812</v>
      </c>
      <c r="X2395" s="5" t="s">
        <v>17812</v>
      </c>
      <c r="Y2395" s="4">
        <v>596</v>
      </c>
      <c r="Z2395" s="4">
        <v>506</v>
      </c>
      <c r="AA2395" s="4">
        <v>511</v>
      </c>
      <c r="AB2395" s="4">
        <v>6</v>
      </c>
      <c r="AC2395" s="4">
        <v>6</v>
      </c>
      <c r="AD2395" s="4">
        <v>18</v>
      </c>
      <c r="AE2395" s="4">
        <v>18</v>
      </c>
      <c r="AF2395" s="4">
        <v>5</v>
      </c>
      <c r="AG2395" s="4">
        <v>5</v>
      </c>
      <c r="AH2395" s="4">
        <v>7</v>
      </c>
      <c r="AI2395" s="4">
        <v>7</v>
      </c>
      <c r="AJ2395" s="4">
        <v>6</v>
      </c>
      <c r="AK2395" s="4">
        <v>6</v>
      </c>
      <c r="AL2395" s="4">
        <v>4</v>
      </c>
      <c r="AM2395" s="4">
        <v>4</v>
      </c>
      <c r="AN2395" s="4">
        <v>0</v>
      </c>
      <c r="AO2395" s="4">
        <v>0</v>
      </c>
      <c r="AP2395" s="3" t="s">
        <v>58</v>
      </c>
      <c r="AQ2395" s="3" t="s">
        <v>68</v>
      </c>
      <c r="AR2395" s="6" t="str">
        <f>HYPERLINK("http://catalog.hathitrust.org/Record/000166901","HathiTrust Record")</f>
        <v>HathiTrust Record</v>
      </c>
      <c r="AS2395" s="6" t="str">
        <f>HYPERLINK("https://creighton-primo.hosted.exlibrisgroup.com/primo-explore/search?tab=default_tab&amp;search_scope=EVERYTHING&amp;vid=01CRU&amp;lang=en_US&amp;offset=0&amp;query=any,contains,991000340169702656","Catalog Record")</f>
        <v>Catalog Record</v>
      </c>
      <c r="AT2395" s="6" t="str">
        <f>HYPERLINK("http://www.worldcat.org/oclc/11089818","WorldCat Record")</f>
        <v>WorldCat Record</v>
      </c>
      <c r="AU2395" s="3" t="s">
        <v>29224</v>
      </c>
      <c r="AV2395" s="3" t="s">
        <v>29225</v>
      </c>
      <c r="AW2395" s="3" t="s">
        <v>29226</v>
      </c>
      <c r="AX2395" s="3" t="s">
        <v>29226</v>
      </c>
      <c r="AY2395" s="3" t="s">
        <v>29227</v>
      </c>
      <c r="AZ2395" s="3" t="s">
        <v>73</v>
      </c>
      <c r="BC2395" s="3" t="s">
        <v>29228</v>
      </c>
      <c r="BD2395" s="3" t="s">
        <v>29229</v>
      </c>
    </row>
    <row r="2396" spans="1:56" ht="51" customHeight="1" x14ac:dyDescent="0.25">
      <c r="A2396" s="7" t="s">
        <v>58</v>
      </c>
      <c r="B2396" s="2" t="s">
        <v>29230</v>
      </c>
      <c r="C2396" s="2" t="s">
        <v>29231</v>
      </c>
      <c r="D2396" s="2" t="s">
        <v>29232</v>
      </c>
      <c r="F2396" s="3" t="s">
        <v>58</v>
      </c>
      <c r="G2396" s="3" t="s">
        <v>59</v>
      </c>
      <c r="H2396" s="3" t="s">
        <v>58</v>
      </c>
      <c r="I2396" s="3" t="s">
        <v>58</v>
      </c>
      <c r="J2396" s="3" t="s">
        <v>60</v>
      </c>
      <c r="K2396" s="2" t="s">
        <v>29233</v>
      </c>
      <c r="L2396" s="2" t="s">
        <v>29234</v>
      </c>
      <c r="M2396" s="3" t="s">
        <v>196</v>
      </c>
      <c r="O2396" s="3" t="s">
        <v>63</v>
      </c>
      <c r="P2396" s="3" t="s">
        <v>411</v>
      </c>
      <c r="R2396" s="3" t="s">
        <v>65</v>
      </c>
      <c r="S2396" s="4">
        <v>7</v>
      </c>
      <c r="T2396" s="4">
        <v>7</v>
      </c>
      <c r="U2396" s="5" t="s">
        <v>29235</v>
      </c>
      <c r="V2396" s="5" t="s">
        <v>29235</v>
      </c>
      <c r="W2396" s="5" t="s">
        <v>29236</v>
      </c>
      <c r="X2396" s="5" t="s">
        <v>29236</v>
      </c>
      <c r="Y2396" s="4">
        <v>698</v>
      </c>
      <c r="Z2396" s="4">
        <v>545</v>
      </c>
      <c r="AA2396" s="4">
        <v>545</v>
      </c>
      <c r="AB2396" s="4">
        <v>6</v>
      </c>
      <c r="AC2396" s="4">
        <v>6</v>
      </c>
      <c r="AD2396" s="4">
        <v>31</v>
      </c>
      <c r="AE2396" s="4">
        <v>31</v>
      </c>
      <c r="AF2396" s="4">
        <v>9</v>
      </c>
      <c r="AG2396" s="4">
        <v>9</v>
      </c>
      <c r="AH2396" s="4">
        <v>8</v>
      </c>
      <c r="AI2396" s="4">
        <v>8</v>
      </c>
      <c r="AJ2396" s="4">
        <v>16</v>
      </c>
      <c r="AK2396" s="4">
        <v>16</v>
      </c>
      <c r="AL2396" s="4">
        <v>5</v>
      </c>
      <c r="AM2396" s="4">
        <v>5</v>
      </c>
      <c r="AN2396" s="4">
        <v>0</v>
      </c>
      <c r="AO2396" s="4">
        <v>0</v>
      </c>
      <c r="AP2396" s="3" t="s">
        <v>58</v>
      </c>
      <c r="AQ2396" s="3" t="s">
        <v>58</v>
      </c>
      <c r="AS2396" s="6" t="str">
        <f>HYPERLINK("https://creighton-primo.hosted.exlibrisgroup.com/primo-explore/search?tab=default_tab&amp;search_scope=EVERYTHING&amp;vid=01CRU&amp;lang=en_US&amp;offset=0&amp;query=any,contains,991002607529702656","Catalog Record")</f>
        <v>Catalog Record</v>
      </c>
      <c r="AT2396" s="6" t="str">
        <f>HYPERLINK("http://www.worldcat.org/oclc/34150660","WorldCat Record")</f>
        <v>WorldCat Record</v>
      </c>
      <c r="AU2396" s="3" t="s">
        <v>29237</v>
      </c>
      <c r="AV2396" s="3" t="s">
        <v>29238</v>
      </c>
      <c r="AW2396" s="3" t="s">
        <v>29239</v>
      </c>
      <c r="AX2396" s="3" t="s">
        <v>29239</v>
      </c>
      <c r="AY2396" s="3" t="s">
        <v>29240</v>
      </c>
      <c r="AZ2396" s="3" t="s">
        <v>73</v>
      </c>
      <c r="BB2396" s="3" t="s">
        <v>29241</v>
      </c>
      <c r="BC2396" s="3" t="s">
        <v>29242</v>
      </c>
      <c r="BD2396" s="3" t="s">
        <v>29243</v>
      </c>
    </row>
    <row r="2397" spans="1:56" ht="51" customHeight="1" x14ac:dyDescent="0.25">
      <c r="A2397" s="7" t="s">
        <v>58</v>
      </c>
      <c r="B2397" s="2" t="s">
        <v>29244</v>
      </c>
      <c r="C2397" s="2" t="s">
        <v>29245</v>
      </c>
      <c r="D2397" s="2" t="s">
        <v>29246</v>
      </c>
      <c r="F2397" s="3" t="s">
        <v>58</v>
      </c>
      <c r="G2397" s="3" t="s">
        <v>59</v>
      </c>
      <c r="H2397" s="3" t="s">
        <v>58</v>
      </c>
      <c r="I2397" s="3" t="s">
        <v>58</v>
      </c>
      <c r="J2397" s="3" t="s">
        <v>60</v>
      </c>
      <c r="K2397" s="2" t="s">
        <v>29247</v>
      </c>
      <c r="L2397" s="2" t="s">
        <v>29248</v>
      </c>
      <c r="M2397" s="3" t="s">
        <v>1784</v>
      </c>
      <c r="N2397" s="2" t="s">
        <v>2091</v>
      </c>
      <c r="O2397" s="3" t="s">
        <v>63</v>
      </c>
      <c r="P2397" s="3" t="s">
        <v>10900</v>
      </c>
      <c r="Q2397" s="2" t="s">
        <v>29185</v>
      </c>
      <c r="R2397" s="3" t="s">
        <v>65</v>
      </c>
      <c r="S2397" s="4">
        <v>9</v>
      </c>
      <c r="T2397" s="4">
        <v>9</v>
      </c>
      <c r="U2397" s="5" t="s">
        <v>383</v>
      </c>
      <c r="V2397" s="5" t="s">
        <v>383</v>
      </c>
      <c r="W2397" s="5" t="s">
        <v>28924</v>
      </c>
      <c r="X2397" s="5" t="s">
        <v>28924</v>
      </c>
      <c r="Y2397" s="4">
        <v>18</v>
      </c>
      <c r="Z2397" s="4">
        <v>7</v>
      </c>
      <c r="AA2397" s="4">
        <v>1043</v>
      </c>
      <c r="AB2397" s="4">
        <v>1</v>
      </c>
      <c r="AC2397" s="4">
        <v>9</v>
      </c>
      <c r="AD2397" s="4">
        <v>0</v>
      </c>
      <c r="AE2397" s="4">
        <v>36</v>
      </c>
      <c r="AF2397" s="4">
        <v>0</v>
      </c>
      <c r="AG2397" s="4">
        <v>12</v>
      </c>
      <c r="AH2397" s="4">
        <v>0</v>
      </c>
      <c r="AI2397" s="4">
        <v>9</v>
      </c>
      <c r="AJ2397" s="4">
        <v>0</v>
      </c>
      <c r="AK2397" s="4">
        <v>18</v>
      </c>
      <c r="AL2397" s="4">
        <v>0</v>
      </c>
      <c r="AM2397" s="4">
        <v>6</v>
      </c>
      <c r="AN2397" s="4">
        <v>0</v>
      </c>
      <c r="AO2397" s="4">
        <v>0</v>
      </c>
      <c r="AP2397" s="3" t="s">
        <v>58</v>
      </c>
      <c r="AQ2397" s="3" t="s">
        <v>58</v>
      </c>
      <c r="AS2397" s="6" t="str">
        <f>HYPERLINK("https://creighton-primo.hosted.exlibrisgroup.com/primo-explore/search?tab=default_tab&amp;search_scope=EVERYTHING&amp;vid=01CRU&amp;lang=en_US&amp;offset=0&amp;query=any,contains,991005200609702656","Catalog Record")</f>
        <v>Catalog Record</v>
      </c>
      <c r="AT2397" s="6" t="str">
        <f>HYPERLINK("http://www.worldcat.org/oclc/8071308","WorldCat Record")</f>
        <v>WorldCat Record</v>
      </c>
      <c r="AU2397" s="3" t="s">
        <v>29249</v>
      </c>
      <c r="AV2397" s="3" t="s">
        <v>29250</v>
      </c>
      <c r="AW2397" s="3" t="s">
        <v>29251</v>
      </c>
      <c r="AX2397" s="3" t="s">
        <v>29251</v>
      </c>
      <c r="AY2397" s="3" t="s">
        <v>29252</v>
      </c>
      <c r="AZ2397" s="3" t="s">
        <v>73</v>
      </c>
      <c r="BC2397" s="3" t="s">
        <v>29253</v>
      </c>
      <c r="BD2397" s="3" t="s">
        <v>29254</v>
      </c>
    </row>
    <row r="2398" spans="1:56" ht="51" customHeight="1" x14ac:dyDescent="0.25">
      <c r="A2398" s="7" t="s">
        <v>58</v>
      </c>
      <c r="B2398" s="2" t="s">
        <v>29255</v>
      </c>
      <c r="C2398" s="2" t="s">
        <v>29256</v>
      </c>
      <c r="D2398" s="2" t="s">
        <v>29257</v>
      </c>
      <c r="F2398" s="3" t="s">
        <v>58</v>
      </c>
      <c r="G2398" s="3" t="s">
        <v>59</v>
      </c>
      <c r="H2398" s="3" t="s">
        <v>58</v>
      </c>
      <c r="I2398" s="3" t="s">
        <v>58</v>
      </c>
      <c r="J2398" s="3" t="s">
        <v>60</v>
      </c>
      <c r="L2398" s="2" t="s">
        <v>29258</v>
      </c>
      <c r="M2398" s="3" t="s">
        <v>183</v>
      </c>
      <c r="O2398" s="3" t="s">
        <v>63</v>
      </c>
      <c r="P2398" s="3" t="s">
        <v>10900</v>
      </c>
      <c r="R2398" s="3" t="s">
        <v>65</v>
      </c>
      <c r="S2398" s="4">
        <v>13</v>
      </c>
      <c r="T2398" s="4">
        <v>13</v>
      </c>
      <c r="U2398" s="5" t="s">
        <v>29223</v>
      </c>
      <c r="V2398" s="5" t="s">
        <v>29223</v>
      </c>
      <c r="W2398" s="5" t="s">
        <v>28924</v>
      </c>
      <c r="X2398" s="5" t="s">
        <v>28924</v>
      </c>
      <c r="Y2398" s="4">
        <v>416</v>
      </c>
      <c r="Z2398" s="4">
        <v>320</v>
      </c>
      <c r="AA2398" s="4">
        <v>322</v>
      </c>
      <c r="AB2398" s="4">
        <v>3</v>
      </c>
      <c r="AC2398" s="4">
        <v>3</v>
      </c>
      <c r="AD2398" s="4">
        <v>7</v>
      </c>
      <c r="AE2398" s="4">
        <v>7</v>
      </c>
      <c r="AF2398" s="4">
        <v>1</v>
      </c>
      <c r="AG2398" s="4">
        <v>1</v>
      </c>
      <c r="AH2398" s="4">
        <v>3</v>
      </c>
      <c r="AI2398" s="4">
        <v>3</v>
      </c>
      <c r="AJ2398" s="4">
        <v>2</v>
      </c>
      <c r="AK2398" s="4">
        <v>2</v>
      </c>
      <c r="AL2398" s="4">
        <v>2</v>
      </c>
      <c r="AM2398" s="4">
        <v>2</v>
      </c>
      <c r="AN2398" s="4">
        <v>0</v>
      </c>
      <c r="AO2398" s="4">
        <v>0</v>
      </c>
      <c r="AP2398" s="3" t="s">
        <v>58</v>
      </c>
      <c r="AQ2398" s="3" t="s">
        <v>68</v>
      </c>
      <c r="AR2398" s="6" t="str">
        <f>HYPERLINK("http://catalog.hathitrust.org/Record/007072517","HathiTrust Record")</f>
        <v>HathiTrust Record</v>
      </c>
      <c r="AS2398" s="6" t="str">
        <f>HYPERLINK("https://creighton-primo.hosted.exlibrisgroup.com/primo-explore/search?tab=default_tab&amp;search_scope=EVERYTHING&amp;vid=01CRU&amp;lang=en_US&amp;offset=0&amp;query=any,contains,991004284879702656","Catalog Record")</f>
        <v>Catalog Record</v>
      </c>
      <c r="AT2398" s="6" t="str">
        <f>HYPERLINK("http://www.worldcat.org/oclc/2921873","WorldCat Record")</f>
        <v>WorldCat Record</v>
      </c>
      <c r="AU2398" s="3" t="s">
        <v>29259</v>
      </c>
      <c r="AV2398" s="3" t="s">
        <v>29260</v>
      </c>
      <c r="AW2398" s="3" t="s">
        <v>29261</v>
      </c>
      <c r="AX2398" s="3" t="s">
        <v>29261</v>
      </c>
      <c r="AY2398" s="3" t="s">
        <v>29262</v>
      </c>
      <c r="AZ2398" s="3" t="s">
        <v>73</v>
      </c>
      <c r="BB2398" s="3" t="s">
        <v>29263</v>
      </c>
      <c r="BC2398" s="3" t="s">
        <v>29264</v>
      </c>
      <c r="BD2398" s="3" t="s">
        <v>29265</v>
      </c>
    </row>
    <row r="2399" spans="1:56" ht="51" customHeight="1" x14ac:dyDescent="0.25">
      <c r="A2399" s="7" t="s">
        <v>58</v>
      </c>
      <c r="B2399" s="2" t="s">
        <v>29266</v>
      </c>
      <c r="C2399" s="2" t="s">
        <v>29267</v>
      </c>
      <c r="D2399" s="2" t="s">
        <v>29268</v>
      </c>
      <c r="F2399" s="3" t="s">
        <v>58</v>
      </c>
      <c r="G2399" s="3" t="s">
        <v>59</v>
      </c>
      <c r="H2399" s="3" t="s">
        <v>58</v>
      </c>
      <c r="I2399" s="3" t="s">
        <v>58</v>
      </c>
      <c r="J2399" s="3" t="s">
        <v>60</v>
      </c>
      <c r="K2399" s="2" t="s">
        <v>29269</v>
      </c>
      <c r="L2399" s="2" t="s">
        <v>29270</v>
      </c>
      <c r="M2399" s="3" t="s">
        <v>138</v>
      </c>
      <c r="N2399" s="2" t="s">
        <v>29271</v>
      </c>
      <c r="O2399" s="3" t="s">
        <v>63</v>
      </c>
      <c r="P2399" s="3" t="s">
        <v>214</v>
      </c>
      <c r="R2399" s="3" t="s">
        <v>65</v>
      </c>
      <c r="S2399" s="4">
        <v>9</v>
      </c>
      <c r="T2399" s="4">
        <v>9</v>
      </c>
      <c r="U2399" s="5" t="s">
        <v>2159</v>
      </c>
      <c r="V2399" s="5" t="s">
        <v>2159</v>
      </c>
      <c r="W2399" s="5" t="s">
        <v>2799</v>
      </c>
      <c r="X2399" s="5" t="s">
        <v>2799</v>
      </c>
      <c r="Y2399" s="4">
        <v>68</v>
      </c>
      <c r="Z2399" s="4">
        <v>55</v>
      </c>
      <c r="AA2399" s="4">
        <v>418</v>
      </c>
      <c r="AB2399" s="4">
        <v>1</v>
      </c>
      <c r="AC2399" s="4">
        <v>4</v>
      </c>
      <c r="AD2399" s="4">
        <v>1</v>
      </c>
      <c r="AE2399" s="4">
        <v>15</v>
      </c>
      <c r="AF2399" s="4">
        <v>1</v>
      </c>
      <c r="AG2399" s="4">
        <v>3</v>
      </c>
      <c r="AH2399" s="4">
        <v>0</v>
      </c>
      <c r="AI2399" s="4">
        <v>4</v>
      </c>
      <c r="AJ2399" s="4">
        <v>0</v>
      </c>
      <c r="AK2399" s="4">
        <v>8</v>
      </c>
      <c r="AL2399" s="4">
        <v>0</v>
      </c>
      <c r="AM2399" s="4">
        <v>3</v>
      </c>
      <c r="AN2399" s="4">
        <v>0</v>
      </c>
      <c r="AO2399" s="4">
        <v>0</v>
      </c>
      <c r="AP2399" s="3" t="s">
        <v>58</v>
      </c>
      <c r="AQ2399" s="3" t="s">
        <v>58</v>
      </c>
      <c r="AS2399" s="6" t="str">
        <f>HYPERLINK("https://creighton-primo.hosted.exlibrisgroup.com/primo-explore/search?tab=default_tab&amp;search_scope=EVERYTHING&amp;vid=01CRU&amp;lang=en_US&amp;offset=0&amp;query=any,contains,991000111069702656","Catalog Record")</f>
        <v>Catalog Record</v>
      </c>
      <c r="AT2399" s="6" t="str">
        <f>HYPERLINK("http://www.worldcat.org/oclc/9002132","WorldCat Record")</f>
        <v>WorldCat Record</v>
      </c>
      <c r="AU2399" s="3" t="s">
        <v>29272</v>
      </c>
      <c r="AV2399" s="3" t="s">
        <v>29273</v>
      </c>
      <c r="AW2399" s="3" t="s">
        <v>29274</v>
      </c>
      <c r="AX2399" s="3" t="s">
        <v>29274</v>
      </c>
      <c r="AY2399" s="3" t="s">
        <v>29275</v>
      </c>
      <c r="AZ2399" s="3" t="s">
        <v>73</v>
      </c>
      <c r="BB2399" s="3" t="s">
        <v>29276</v>
      </c>
      <c r="BC2399" s="3" t="s">
        <v>29277</v>
      </c>
      <c r="BD2399" s="3" t="s">
        <v>29278</v>
      </c>
    </row>
    <row r="2400" spans="1:56" ht="51" customHeight="1" x14ac:dyDescent="0.25">
      <c r="A2400" s="7" t="s">
        <v>58</v>
      </c>
      <c r="B2400" s="2" t="s">
        <v>29279</v>
      </c>
      <c r="C2400" s="2" t="s">
        <v>29280</v>
      </c>
      <c r="D2400" s="2" t="s">
        <v>29281</v>
      </c>
      <c r="F2400" s="3" t="s">
        <v>58</v>
      </c>
      <c r="G2400" s="3" t="s">
        <v>59</v>
      </c>
      <c r="H2400" s="3" t="s">
        <v>58</v>
      </c>
      <c r="I2400" s="3" t="s">
        <v>58</v>
      </c>
      <c r="J2400" s="3" t="s">
        <v>60</v>
      </c>
      <c r="K2400" s="2" t="s">
        <v>29282</v>
      </c>
      <c r="L2400" s="2" t="s">
        <v>29283</v>
      </c>
      <c r="M2400" s="3" t="s">
        <v>183</v>
      </c>
      <c r="N2400" s="2" t="s">
        <v>338</v>
      </c>
      <c r="O2400" s="3" t="s">
        <v>63</v>
      </c>
      <c r="P2400" s="3" t="s">
        <v>214</v>
      </c>
      <c r="R2400" s="3" t="s">
        <v>65</v>
      </c>
      <c r="S2400" s="4">
        <v>19</v>
      </c>
      <c r="T2400" s="4">
        <v>19</v>
      </c>
      <c r="U2400" s="5" t="s">
        <v>25176</v>
      </c>
      <c r="V2400" s="5" t="s">
        <v>25176</v>
      </c>
      <c r="W2400" s="5" t="s">
        <v>9175</v>
      </c>
      <c r="X2400" s="5" t="s">
        <v>9175</v>
      </c>
      <c r="Y2400" s="4">
        <v>743</v>
      </c>
      <c r="Z2400" s="4">
        <v>663</v>
      </c>
      <c r="AA2400" s="4">
        <v>736</v>
      </c>
      <c r="AB2400" s="4">
        <v>5</v>
      </c>
      <c r="AC2400" s="4">
        <v>5</v>
      </c>
      <c r="AD2400" s="4">
        <v>24</v>
      </c>
      <c r="AE2400" s="4">
        <v>26</v>
      </c>
      <c r="AF2400" s="4">
        <v>10</v>
      </c>
      <c r="AG2400" s="4">
        <v>11</v>
      </c>
      <c r="AH2400" s="4">
        <v>5</v>
      </c>
      <c r="AI2400" s="4">
        <v>5</v>
      </c>
      <c r="AJ2400" s="4">
        <v>12</v>
      </c>
      <c r="AK2400" s="4">
        <v>13</v>
      </c>
      <c r="AL2400" s="4">
        <v>3</v>
      </c>
      <c r="AM2400" s="4">
        <v>3</v>
      </c>
      <c r="AN2400" s="4">
        <v>0</v>
      </c>
      <c r="AO2400" s="4">
        <v>0</v>
      </c>
      <c r="AP2400" s="3" t="s">
        <v>58</v>
      </c>
      <c r="AQ2400" s="3" t="s">
        <v>58</v>
      </c>
      <c r="AS2400" s="6" t="str">
        <f>HYPERLINK("https://creighton-primo.hosted.exlibrisgroup.com/primo-explore/search?tab=default_tab&amp;search_scope=EVERYTHING&amp;vid=01CRU&amp;lang=en_US&amp;offset=0&amp;query=any,contains,991004176199702656","Catalog Record")</f>
        <v>Catalog Record</v>
      </c>
      <c r="AT2400" s="6" t="str">
        <f>HYPERLINK("http://www.worldcat.org/oclc/2597139","WorldCat Record")</f>
        <v>WorldCat Record</v>
      </c>
      <c r="AU2400" s="3" t="s">
        <v>29284</v>
      </c>
      <c r="AV2400" s="3" t="s">
        <v>29285</v>
      </c>
      <c r="AW2400" s="3" t="s">
        <v>29286</v>
      </c>
      <c r="AX2400" s="3" t="s">
        <v>29286</v>
      </c>
      <c r="AY2400" s="3" t="s">
        <v>29287</v>
      </c>
      <c r="AZ2400" s="3" t="s">
        <v>73</v>
      </c>
      <c r="BB2400" s="3" t="s">
        <v>29288</v>
      </c>
      <c r="BC2400" s="3" t="s">
        <v>29289</v>
      </c>
      <c r="BD2400" s="3" t="s">
        <v>29290</v>
      </c>
    </row>
    <row r="2401" spans="1:56" ht="51" customHeight="1" x14ac:dyDescent="0.25">
      <c r="A2401" s="7" t="s">
        <v>58</v>
      </c>
      <c r="B2401" s="2" t="s">
        <v>29291</v>
      </c>
      <c r="C2401" s="2" t="s">
        <v>29292</v>
      </c>
      <c r="D2401" s="2" t="s">
        <v>29293</v>
      </c>
      <c r="F2401" s="3" t="s">
        <v>58</v>
      </c>
      <c r="G2401" s="3" t="s">
        <v>59</v>
      </c>
      <c r="H2401" s="3" t="s">
        <v>58</v>
      </c>
      <c r="I2401" s="3" t="s">
        <v>58</v>
      </c>
      <c r="J2401" s="3" t="s">
        <v>60</v>
      </c>
      <c r="L2401" s="2" t="s">
        <v>29294</v>
      </c>
      <c r="M2401" s="3" t="s">
        <v>759</v>
      </c>
      <c r="O2401" s="3" t="s">
        <v>63</v>
      </c>
      <c r="P2401" s="3" t="s">
        <v>10900</v>
      </c>
      <c r="R2401" s="3" t="s">
        <v>65</v>
      </c>
      <c r="S2401" s="4">
        <v>7</v>
      </c>
      <c r="T2401" s="4">
        <v>7</v>
      </c>
      <c r="U2401" s="5" t="s">
        <v>24290</v>
      </c>
      <c r="V2401" s="5" t="s">
        <v>24290</v>
      </c>
      <c r="W2401" s="5" t="s">
        <v>28924</v>
      </c>
      <c r="X2401" s="5" t="s">
        <v>28924</v>
      </c>
      <c r="Y2401" s="4">
        <v>295</v>
      </c>
      <c r="Z2401" s="4">
        <v>252</v>
      </c>
      <c r="AA2401" s="4">
        <v>258</v>
      </c>
      <c r="AB2401" s="4">
        <v>4</v>
      </c>
      <c r="AC2401" s="4">
        <v>4</v>
      </c>
      <c r="AD2401" s="4">
        <v>6</v>
      </c>
      <c r="AE2401" s="4">
        <v>6</v>
      </c>
      <c r="AF2401" s="4">
        <v>0</v>
      </c>
      <c r="AG2401" s="4">
        <v>0</v>
      </c>
      <c r="AH2401" s="4">
        <v>2</v>
      </c>
      <c r="AI2401" s="4">
        <v>2</v>
      </c>
      <c r="AJ2401" s="4">
        <v>2</v>
      </c>
      <c r="AK2401" s="4">
        <v>2</v>
      </c>
      <c r="AL2401" s="4">
        <v>3</v>
      </c>
      <c r="AM2401" s="4">
        <v>3</v>
      </c>
      <c r="AN2401" s="4">
        <v>0</v>
      </c>
      <c r="AO2401" s="4">
        <v>0</v>
      </c>
      <c r="AP2401" s="3" t="s">
        <v>58</v>
      </c>
      <c r="AQ2401" s="3" t="s">
        <v>68</v>
      </c>
      <c r="AR2401" s="6" t="str">
        <f>HYPERLINK("http://catalog.hathitrust.org/Record/003197185","HathiTrust Record")</f>
        <v>HathiTrust Record</v>
      </c>
      <c r="AS2401" s="6" t="str">
        <f>HYPERLINK("https://creighton-primo.hosted.exlibrisgroup.com/primo-explore/search?tab=default_tab&amp;search_scope=EVERYTHING&amp;vid=01CRU&amp;lang=en_US&amp;offset=0&amp;query=any,contains,991005077019702656","Catalog Record")</f>
        <v>Catalog Record</v>
      </c>
      <c r="AT2401" s="6" t="str">
        <f>HYPERLINK("http://www.worldcat.org/oclc/7133178","WorldCat Record")</f>
        <v>WorldCat Record</v>
      </c>
      <c r="AU2401" s="3" t="s">
        <v>29295</v>
      </c>
      <c r="AV2401" s="3" t="s">
        <v>29296</v>
      </c>
      <c r="AW2401" s="3" t="s">
        <v>29297</v>
      </c>
      <c r="AX2401" s="3" t="s">
        <v>29297</v>
      </c>
      <c r="AY2401" s="3" t="s">
        <v>29298</v>
      </c>
      <c r="AZ2401" s="3" t="s">
        <v>73</v>
      </c>
      <c r="BB2401" s="3" t="s">
        <v>29299</v>
      </c>
      <c r="BC2401" s="3" t="s">
        <v>29300</v>
      </c>
      <c r="BD2401" s="3" t="s">
        <v>29301</v>
      </c>
    </row>
    <row r="2402" spans="1:56" ht="51" customHeight="1" x14ac:dyDescent="0.25">
      <c r="A2402" s="7" t="s">
        <v>58</v>
      </c>
      <c r="B2402" s="2" t="s">
        <v>29302</v>
      </c>
      <c r="C2402" s="2" t="s">
        <v>29303</v>
      </c>
      <c r="D2402" s="2" t="s">
        <v>29304</v>
      </c>
      <c r="F2402" s="3" t="s">
        <v>58</v>
      </c>
      <c r="G2402" s="3" t="s">
        <v>59</v>
      </c>
      <c r="H2402" s="3" t="s">
        <v>58</v>
      </c>
      <c r="I2402" s="3" t="s">
        <v>58</v>
      </c>
      <c r="J2402" s="3" t="s">
        <v>60</v>
      </c>
      <c r="L2402" s="2" t="s">
        <v>29305</v>
      </c>
      <c r="M2402" s="3" t="s">
        <v>261</v>
      </c>
      <c r="O2402" s="3" t="s">
        <v>63</v>
      </c>
      <c r="P2402" s="3" t="s">
        <v>10900</v>
      </c>
      <c r="R2402" s="3" t="s">
        <v>65</v>
      </c>
      <c r="S2402" s="4">
        <v>11</v>
      </c>
      <c r="T2402" s="4">
        <v>11</v>
      </c>
      <c r="U2402" s="5" t="s">
        <v>29211</v>
      </c>
      <c r="V2402" s="5" t="s">
        <v>29211</v>
      </c>
      <c r="W2402" s="5" t="s">
        <v>28924</v>
      </c>
      <c r="X2402" s="5" t="s">
        <v>28924</v>
      </c>
      <c r="Y2402" s="4">
        <v>407</v>
      </c>
      <c r="Z2402" s="4">
        <v>319</v>
      </c>
      <c r="AA2402" s="4">
        <v>329</v>
      </c>
      <c r="AB2402" s="4">
        <v>5</v>
      </c>
      <c r="AC2402" s="4">
        <v>5</v>
      </c>
      <c r="AD2402" s="4">
        <v>9</v>
      </c>
      <c r="AE2402" s="4">
        <v>9</v>
      </c>
      <c r="AF2402" s="4">
        <v>3</v>
      </c>
      <c r="AG2402" s="4">
        <v>3</v>
      </c>
      <c r="AH2402" s="4">
        <v>1</v>
      </c>
      <c r="AI2402" s="4">
        <v>1</v>
      </c>
      <c r="AJ2402" s="4">
        <v>4</v>
      </c>
      <c r="AK2402" s="4">
        <v>4</v>
      </c>
      <c r="AL2402" s="4">
        <v>4</v>
      </c>
      <c r="AM2402" s="4">
        <v>4</v>
      </c>
      <c r="AN2402" s="4">
        <v>0</v>
      </c>
      <c r="AO2402" s="4">
        <v>0</v>
      </c>
      <c r="AP2402" s="3" t="s">
        <v>58</v>
      </c>
      <c r="AQ2402" s="3" t="s">
        <v>58</v>
      </c>
      <c r="AS2402" s="6" t="str">
        <f>HYPERLINK("https://creighton-primo.hosted.exlibrisgroup.com/primo-explore/search?tab=default_tab&amp;search_scope=EVERYTHING&amp;vid=01CRU&amp;lang=en_US&amp;offset=0&amp;query=any,contains,991003939679702656","Catalog Record")</f>
        <v>Catalog Record</v>
      </c>
      <c r="AT2402" s="6" t="str">
        <f>HYPERLINK("http://www.worldcat.org/oclc/1926335","WorldCat Record")</f>
        <v>WorldCat Record</v>
      </c>
      <c r="AU2402" s="3" t="s">
        <v>29306</v>
      </c>
      <c r="AV2402" s="3" t="s">
        <v>29307</v>
      </c>
      <c r="AW2402" s="3" t="s">
        <v>29308</v>
      </c>
      <c r="AX2402" s="3" t="s">
        <v>29308</v>
      </c>
      <c r="AY2402" s="3" t="s">
        <v>29309</v>
      </c>
      <c r="AZ2402" s="3" t="s">
        <v>73</v>
      </c>
      <c r="BB2402" s="3" t="s">
        <v>29310</v>
      </c>
      <c r="BC2402" s="3" t="s">
        <v>29311</v>
      </c>
      <c r="BD2402" s="3" t="s">
        <v>29312</v>
      </c>
    </row>
    <row r="2403" spans="1:56" ht="51" customHeight="1" x14ac:dyDescent="0.25">
      <c r="A2403" s="7" t="s">
        <v>58</v>
      </c>
      <c r="B2403" s="2" t="s">
        <v>29313</v>
      </c>
      <c r="C2403" s="2" t="s">
        <v>29314</v>
      </c>
      <c r="D2403" s="2" t="s">
        <v>29315</v>
      </c>
      <c r="F2403" s="3" t="s">
        <v>58</v>
      </c>
      <c r="G2403" s="3" t="s">
        <v>59</v>
      </c>
      <c r="H2403" s="3" t="s">
        <v>58</v>
      </c>
      <c r="I2403" s="3" t="s">
        <v>58</v>
      </c>
      <c r="J2403" s="3" t="s">
        <v>60</v>
      </c>
      <c r="K2403" s="2" t="s">
        <v>29316</v>
      </c>
      <c r="L2403" s="2" t="s">
        <v>29317</v>
      </c>
      <c r="M2403" s="3" t="s">
        <v>2214</v>
      </c>
      <c r="O2403" s="3" t="s">
        <v>63</v>
      </c>
      <c r="P2403" s="3" t="s">
        <v>584</v>
      </c>
      <c r="Q2403" s="2" t="s">
        <v>29318</v>
      </c>
      <c r="R2403" s="3" t="s">
        <v>65</v>
      </c>
      <c r="S2403" s="4">
        <v>1</v>
      </c>
      <c r="T2403" s="4">
        <v>1</v>
      </c>
      <c r="U2403" s="5" t="s">
        <v>20658</v>
      </c>
      <c r="V2403" s="5" t="s">
        <v>20658</v>
      </c>
      <c r="W2403" s="5" t="s">
        <v>20658</v>
      </c>
      <c r="X2403" s="5" t="s">
        <v>20658</v>
      </c>
      <c r="Y2403" s="4">
        <v>440</v>
      </c>
      <c r="Z2403" s="4">
        <v>333</v>
      </c>
      <c r="AA2403" s="4">
        <v>334</v>
      </c>
      <c r="AB2403" s="4">
        <v>2</v>
      </c>
      <c r="AC2403" s="4">
        <v>2</v>
      </c>
      <c r="AD2403" s="4">
        <v>22</v>
      </c>
      <c r="AE2403" s="4">
        <v>22</v>
      </c>
      <c r="AF2403" s="4">
        <v>10</v>
      </c>
      <c r="AG2403" s="4">
        <v>10</v>
      </c>
      <c r="AH2403" s="4">
        <v>7</v>
      </c>
      <c r="AI2403" s="4">
        <v>7</v>
      </c>
      <c r="AJ2403" s="4">
        <v>12</v>
      </c>
      <c r="AK2403" s="4">
        <v>12</v>
      </c>
      <c r="AL2403" s="4">
        <v>1</v>
      </c>
      <c r="AM2403" s="4">
        <v>1</v>
      </c>
      <c r="AN2403" s="4">
        <v>0</v>
      </c>
      <c r="AO2403" s="4">
        <v>0</v>
      </c>
      <c r="AP2403" s="3" t="s">
        <v>58</v>
      </c>
      <c r="AQ2403" s="3" t="s">
        <v>58</v>
      </c>
      <c r="AS2403" s="6" t="str">
        <f>HYPERLINK("https://creighton-primo.hosted.exlibrisgroup.com/primo-explore/search?tab=default_tab&amp;search_scope=EVERYTHING&amp;vid=01CRU&amp;lang=en_US&amp;offset=0&amp;query=any,contains,991004958919702656","Catalog Record")</f>
        <v>Catalog Record</v>
      </c>
      <c r="AT2403" s="6" t="str">
        <f>HYPERLINK("http://www.worldcat.org/oclc/54774925","WorldCat Record")</f>
        <v>WorldCat Record</v>
      </c>
      <c r="AU2403" s="3" t="s">
        <v>29319</v>
      </c>
      <c r="AV2403" s="3" t="s">
        <v>29320</v>
      </c>
      <c r="AW2403" s="3" t="s">
        <v>29321</v>
      </c>
      <c r="AX2403" s="3" t="s">
        <v>29321</v>
      </c>
      <c r="AY2403" s="3" t="s">
        <v>29322</v>
      </c>
      <c r="AZ2403" s="3" t="s">
        <v>73</v>
      </c>
      <c r="BB2403" s="3" t="s">
        <v>29323</v>
      </c>
      <c r="BC2403" s="3" t="s">
        <v>29324</v>
      </c>
      <c r="BD2403" s="3" t="s">
        <v>29325</v>
      </c>
    </row>
    <row r="2404" spans="1:56" ht="51" customHeight="1" x14ac:dyDescent="0.25">
      <c r="A2404" s="7" t="s">
        <v>58</v>
      </c>
      <c r="B2404" s="2" t="s">
        <v>29326</v>
      </c>
      <c r="C2404" s="2" t="s">
        <v>29327</v>
      </c>
      <c r="D2404" s="2" t="s">
        <v>29328</v>
      </c>
      <c r="F2404" s="3" t="s">
        <v>58</v>
      </c>
      <c r="G2404" s="3" t="s">
        <v>59</v>
      </c>
      <c r="H2404" s="3" t="s">
        <v>58</v>
      </c>
      <c r="I2404" s="3" t="s">
        <v>58</v>
      </c>
      <c r="J2404" s="3" t="s">
        <v>60</v>
      </c>
      <c r="K2404" s="2" t="s">
        <v>29329</v>
      </c>
      <c r="L2404" s="2" t="s">
        <v>29330</v>
      </c>
      <c r="M2404" s="3" t="s">
        <v>815</v>
      </c>
      <c r="N2404" s="2" t="s">
        <v>338</v>
      </c>
      <c r="O2404" s="3" t="s">
        <v>63</v>
      </c>
      <c r="P2404" s="3" t="s">
        <v>214</v>
      </c>
      <c r="R2404" s="3" t="s">
        <v>65</v>
      </c>
      <c r="S2404" s="4">
        <v>3</v>
      </c>
      <c r="T2404" s="4">
        <v>3</v>
      </c>
      <c r="U2404" s="5" t="s">
        <v>27901</v>
      </c>
      <c r="V2404" s="5" t="s">
        <v>27901</v>
      </c>
      <c r="W2404" s="5" t="s">
        <v>19788</v>
      </c>
      <c r="X2404" s="5" t="s">
        <v>19788</v>
      </c>
      <c r="Y2404" s="4">
        <v>357</v>
      </c>
      <c r="Z2404" s="4">
        <v>293</v>
      </c>
      <c r="AA2404" s="4">
        <v>330</v>
      </c>
      <c r="AB2404" s="4">
        <v>3</v>
      </c>
      <c r="AC2404" s="4">
        <v>3</v>
      </c>
      <c r="AD2404" s="4">
        <v>12</v>
      </c>
      <c r="AE2404" s="4">
        <v>15</v>
      </c>
      <c r="AF2404" s="4">
        <v>5</v>
      </c>
      <c r="AG2404" s="4">
        <v>8</v>
      </c>
      <c r="AH2404" s="4">
        <v>2</v>
      </c>
      <c r="AI2404" s="4">
        <v>3</v>
      </c>
      <c r="AJ2404" s="4">
        <v>6</v>
      </c>
      <c r="AK2404" s="4">
        <v>8</v>
      </c>
      <c r="AL2404" s="4">
        <v>2</v>
      </c>
      <c r="AM2404" s="4">
        <v>2</v>
      </c>
      <c r="AN2404" s="4">
        <v>0</v>
      </c>
      <c r="AO2404" s="4">
        <v>0</v>
      </c>
      <c r="AP2404" s="3" t="s">
        <v>58</v>
      </c>
      <c r="AQ2404" s="3" t="s">
        <v>58</v>
      </c>
      <c r="AS2404" s="6" t="str">
        <f>HYPERLINK("https://creighton-primo.hosted.exlibrisgroup.com/primo-explore/search?tab=default_tab&amp;search_scope=EVERYTHING&amp;vid=01CRU&amp;lang=en_US&amp;offset=0&amp;query=any,contains,991005358469702656","Catalog Record")</f>
        <v>Catalog Record</v>
      </c>
      <c r="AT2404" s="6" t="str">
        <f>HYPERLINK("http://www.worldcat.org/oclc/191898195","WorldCat Record")</f>
        <v>WorldCat Record</v>
      </c>
      <c r="AU2404" s="3" t="s">
        <v>29331</v>
      </c>
      <c r="AV2404" s="3" t="s">
        <v>29332</v>
      </c>
      <c r="AW2404" s="3" t="s">
        <v>29333</v>
      </c>
      <c r="AX2404" s="3" t="s">
        <v>29333</v>
      </c>
      <c r="AY2404" s="3" t="s">
        <v>29334</v>
      </c>
      <c r="AZ2404" s="3" t="s">
        <v>73</v>
      </c>
      <c r="BB2404" s="3" t="s">
        <v>29335</v>
      </c>
      <c r="BC2404" s="3" t="s">
        <v>29336</v>
      </c>
      <c r="BD2404" s="3" t="s">
        <v>29337</v>
      </c>
    </row>
    <row r="2405" spans="1:56" ht="51" customHeight="1" x14ac:dyDescent="0.25">
      <c r="A2405" s="7" t="s">
        <v>58</v>
      </c>
      <c r="B2405" s="2" t="s">
        <v>29338</v>
      </c>
      <c r="C2405" s="2" t="s">
        <v>29339</v>
      </c>
      <c r="D2405" s="2" t="s">
        <v>29340</v>
      </c>
      <c r="F2405" s="3" t="s">
        <v>58</v>
      </c>
      <c r="G2405" s="3" t="s">
        <v>59</v>
      </c>
      <c r="H2405" s="3" t="s">
        <v>58</v>
      </c>
      <c r="I2405" s="3" t="s">
        <v>58</v>
      </c>
      <c r="J2405" s="3" t="s">
        <v>60</v>
      </c>
      <c r="K2405" s="2" t="s">
        <v>29341</v>
      </c>
      <c r="L2405" s="2" t="s">
        <v>29342</v>
      </c>
      <c r="M2405" s="3" t="s">
        <v>1385</v>
      </c>
      <c r="O2405" s="3" t="s">
        <v>63</v>
      </c>
      <c r="P2405" s="3" t="s">
        <v>10160</v>
      </c>
      <c r="R2405" s="3" t="s">
        <v>65</v>
      </c>
      <c r="S2405" s="4">
        <v>22</v>
      </c>
      <c r="T2405" s="4">
        <v>22</v>
      </c>
      <c r="U2405" s="5" t="s">
        <v>27951</v>
      </c>
      <c r="V2405" s="5" t="s">
        <v>27951</v>
      </c>
      <c r="W2405" s="5" t="s">
        <v>29343</v>
      </c>
      <c r="X2405" s="5" t="s">
        <v>29343</v>
      </c>
      <c r="Y2405" s="4">
        <v>432</v>
      </c>
      <c r="Z2405" s="4">
        <v>371</v>
      </c>
      <c r="AA2405" s="4">
        <v>450</v>
      </c>
      <c r="AB2405" s="4">
        <v>4</v>
      </c>
      <c r="AC2405" s="4">
        <v>5</v>
      </c>
      <c r="AD2405" s="4">
        <v>22</v>
      </c>
      <c r="AE2405" s="4">
        <v>24</v>
      </c>
      <c r="AF2405" s="4">
        <v>9</v>
      </c>
      <c r="AG2405" s="4">
        <v>10</v>
      </c>
      <c r="AH2405" s="4">
        <v>5</v>
      </c>
      <c r="AI2405" s="4">
        <v>5</v>
      </c>
      <c r="AJ2405" s="4">
        <v>10</v>
      </c>
      <c r="AK2405" s="4">
        <v>10</v>
      </c>
      <c r="AL2405" s="4">
        <v>3</v>
      </c>
      <c r="AM2405" s="4">
        <v>4</v>
      </c>
      <c r="AN2405" s="4">
        <v>0</v>
      </c>
      <c r="AO2405" s="4">
        <v>0</v>
      </c>
      <c r="AP2405" s="3" t="s">
        <v>58</v>
      </c>
      <c r="AQ2405" s="3" t="s">
        <v>68</v>
      </c>
      <c r="AR2405" s="6" t="str">
        <f>HYPERLINK("http://catalog.hathitrust.org/Record/001259226","HathiTrust Record")</f>
        <v>HathiTrust Record</v>
      </c>
      <c r="AS2405" s="6" t="str">
        <f>HYPERLINK("https://creighton-primo.hosted.exlibrisgroup.com/primo-explore/search?tab=default_tab&amp;search_scope=EVERYTHING&amp;vid=01CRU&amp;lang=en_US&amp;offset=0&amp;query=any,contains,991003462209702656","Catalog Record")</f>
        <v>Catalog Record</v>
      </c>
      <c r="AT2405" s="6" t="str">
        <f>HYPERLINK("http://www.worldcat.org/oclc/1004041","WorldCat Record")</f>
        <v>WorldCat Record</v>
      </c>
      <c r="AU2405" s="3" t="s">
        <v>29344</v>
      </c>
      <c r="AV2405" s="3" t="s">
        <v>29345</v>
      </c>
      <c r="AW2405" s="3" t="s">
        <v>29346</v>
      </c>
      <c r="AX2405" s="3" t="s">
        <v>29346</v>
      </c>
      <c r="AY2405" s="3" t="s">
        <v>29347</v>
      </c>
      <c r="AZ2405" s="3" t="s">
        <v>73</v>
      </c>
      <c r="BB2405" s="3" t="s">
        <v>29348</v>
      </c>
      <c r="BC2405" s="3" t="s">
        <v>29349</v>
      </c>
      <c r="BD2405" s="3" t="s">
        <v>29350</v>
      </c>
    </row>
    <row r="2406" spans="1:56" ht="51" customHeight="1" x14ac:dyDescent="0.25">
      <c r="A2406" s="7" t="s">
        <v>58</v>
      </c>
      <c r="B2406" s="2" t="s">
        <v>29351</v>
      </c>
      <c r="C2406" s="2" t="s">
        <v>29352</v>
      </c>
      <c r="D2406" s="2" t="s">
        <v>29353</v>
      </c>
      <c r="F2406" s="3" t="s">
        <v>58</v>
      </c>
      <c r="G2406" s="3" t="s">
        <v>59</v>
      </c>
      <c r="H2406" s="3" t="s">
        <v>58</v>
      </c>
      <c r="I2406" s="3" t="s">
        <v>58</v>
      </c>
      <c r="J2406" s="3" t="s">
        <v>60</v>
      </c>
      <c r="K2406" s="2" t="s">
        <v>29354</v>
      </c>
      <c r="L2406" s="2" t="s">
        <v>29355</v>
      </c>
      <c r="M2406" s="3" t="s">
        <v>249</v>
      </c>
      <c r="O2406" s="3" t="s">
        <v>63</v>
      </c>
      <c r="P2406" s="3" t="s">
        <v>5757</v>
      </c>
      <c r="R2406" s="3" t="s">
        <v>65</v>
      </c>
      <c r="S2406" s="4">
        <v>9</v>
      </c>
      <c r="T2406" s="4">
        <v>9</v>
      </c>
      <c r="U2406" s="5" t="s">
        <v>18360</v>
      </c>
      <c r="V2406" s="5" t="s">
        <v>18360</v>
      </c>
      <c r="W2406" s="5" t="s">
        <v>28924</v>
      </c>
      <c r="X2406" s="5" t="s">
        <v>28924</v>
      </c>
      <c r="Y2406" s="4">
        <v>930</v>
      </c>
      <c r="Z2406" s="4">
        <v>756</v>
      </c>
      <c r="AA2406" s="4">
        <v>883</v>
      </c>
      <c r="AB2406" s="4">
        <v>6</v>
      </c>
      <c r="AC2406" s="4">
        <v>6</v>
      </c>
      <c r="AD2406" s="4">
        <v>43</v>
      </c>
      <c r="AE2406" s="4">
        <v>45</v>
      </c>
      <c r="AF2406" s="4">
        <v>18</v>
      </c>
      <c r="AG2406" s="4">
        <v>20</v>
      </c>
      <c r="AH2406" s="4">
        <v>11</v>
      </c>
      <c r="AI2406" s="4">
        <v>11</v>
      </c>
      <c r="AJ2406" s="4">
        <v>21</v>
      </c>
      <c r="AK2406" s="4">
        <v>21</v>
      </c>
      <c r="AL2406" s="4">
        <v>5</v>
      </c>
      <c r="AM2406" s="4">
        <v>5</v>
      </c>
      <c r="AN2406" s="4">
        <v>1</v>
      </c>
      <c r="AO2406" s="4">
        <v>1</v>
      </c>
      <c r="AP2406" s="3" t="s">
        <v>58</v>
      </c>
      <c r="AQ2406" s="3" t="s">
        <v>58</v>
      </c>
      <c r="AS2406" s="6" t="str">
        <f>HYPERLINK("https://creighton-primo.hosted.exlibrisgroup.com/primo-explore/search?tab=default_tab&amp;search_scope=EVERYTHING&amp;vid=01CRU&amp;lang=en_US&amp;offset=0&amp;query=any,contains,991002001409702656","Catalog Record")</f>
        <v>Catalog Record</v>
      </c>
      <c r="AT2406" s="6" t="str">
        <f>HYPERLINK("http://www.worldcat.org/oclc/256428","WorldCat Record")</f>
        <v>WorldCat Record</v>
      </c>
      <c r="AU2406" s="3" t="s">
        <v>29356</v>
      </c>
      <c r="AV2406" s="3" t="s">
        <v>29357</v>
      </c>
      <c r="AW2406" s="3" t="s">
        <v>29358</v>
      </c>
      <c r="AX2406" s="3" t="s">
        <v>29358</v>
      </c>
      <c r="AY2406" s="3" t="s">
        <v>29359</v>
      </c>
      <c r="AZ2406" s="3" t="s">
        <v>73</v>
      </c>
      <c r="BC2406" s="3" t="s">
        <v>29360</v>
      </c>
      <c r="BD2406" s="3" t="s">
        <v>29361</v>
      </c>
    </row>
    <row r="2407" spans="1:56" ht="51" customHeight="1" x14ac:dyDescent="0.25">
      <c r="A2407" s="7" t="s">
        <v>58</v>
      </c>
      <c r="B2407" s="2" t="s">
        <v>29362</v>
      </c>
      <c r="C2407" s="2" t="s">
        <v>29363</v>
      </c>
      <c r="D2407" s="2" t="s">
        <v>29364</v>
      </c>
      <c r="F2407" s="3" t="s">
        <v>58</v>
      </c>
      <c r="G2407" s="3" t="s">
        <v>59</v>
      </c>
      <c r="H2407" s="3" t="s">
        <v>58</v>
      </c>
      <c r="I2407" s="3" t="s">
        <v>58</v>
      </c>
      <c r="J2407" s="3" t="s">
        <v>60</v>
      </c>
      <c r="L2407" s="2" t="s">
        <v>29365</v>
      </c>
      <c r="M2407" s="3" t="s">
        <v>1153</v>
      </c>
      <c r="O2407" s="3" t="s">
        <v>63</v>
      </c>
      <c r="P2407" s="3" t="s">
        <v>10900</v>
      </c>
      <c r="R2407" s="3" t="s">
        <v>65</v>
      </c>
      <c r="S2407" s="4">
        <v>5</v>
      </c>
      <c r="T2407" s="4">
        <v>5</v>
      </c>
      <c r="U2407" s="5" t="s">
        <v>29366</v>
      </c>
      <c r="V2407" s="5" t="s">
        <v>29366</v>
      </c>
      <c r="W2407" s="5" t="s">
        <v>21737</v>
      </c>
      <c r="X2407" s="5" t="s">
        <v>21737</v>
      </c>
      <c r="Y2407" s="4">
        <v>552</v>
      </c>
      <c r="Z2407" s="4">
        <v>383</v>
      </c>
      <c r="AA2407" s="4">
        <v>389</v>
      </c>
      <c r="AB2407" s="4">
        <v>6</v>
      </c>
      <c r="AC2407" s="4">
        <v>6</v>
      </c>
      <c r="AD2407" s="4">
        <v>14</v>
      </c>
      <c r="AE2407" s="4">
        <v>14</v>
      </c>
      <c r="AF2407" s="4">
        <v>5</v>
      </c>
      <c r="AG2407" s="4">
        <v>5</v>
      </c>
      <c r="AH2407" s="4">
        <v>1</v>
      </c>
      <c r="AI2407" s="4">
        <v>1</v>
      </c>
      <c r="AJ2407" s="4">
        <v>8</v>
      </c>
      <c r="AK2407" s="4">
        <v>8</v>
      </c>
      <c r="AL2407" s="4">
        <v>4</v>
      </c>
      <c r="AM2407" s="4">
        <v>4</v>
      </c>
      <c r="AN2407" s="4">
        <v>0</v>
      </c>
      <c r="AO2407" s="4">
        <v>0</v>
      </c>
      <c r="AP2407" s="3" t="s">
        <v>58</v>
      </c>
      <c r="AQ2407" s="3" t="s">
        <v>58</v>
      </c>
      <c r="AS2407" s="6" t="str">
        <f>HYPERLINK("https://creighton-primo.hosted.exlibrisgroup.com/primo-explore/search?tab=default_tab&amp;search_scope=EVERYTHING&amp;vid=01CRU&amp;lang=en_US&amp;offset=0&amp;query=any,contains,991004426129702656","Catalog Record")</f>
        <v>Catalog Record</v>
      </c>
      <c r="AT2407" s="6" t="str">
        <f>HYPERLINK("http://www.worldcat.org/oclc/3397499","WorldCat Record")</f>
        <v>WorldCat Record</v>
      </c>
      <c r="AU2407" s="3" t="s">
        <v>29367</v>
      </c>
      <c r="AV2407" s="3" t="s">
        <v>29368</v>
      </c>
      <c r="AW2407" s="3" t="s">
        <v>29369</v>
      </c>
      <c r="AX2407" s="3" t="s">
        <v>29369</v>
      </c>
      <c r="AY2407" s="3" t="s">
        <v>29370</v>
      </c>
      <c r="AZ2407" s="3" t="s">
        <v>73</v>
      </c>
      <c r="BC2407" s="3" t="s">
        <v>29371</v>
      </c>
      <c r="BD2407" s="3" t="s">
        <v>29372</v>
      </c>
    </row>
    <row r="2408" spans="1:56" ht="51" customHeight="1" x14ac:dyDescent="0.25">
      <c r="A2408" s="7" t="s">
        <v>58</v>
      </c>
      <c r="B2408" s="2" t="s">
        <v>29373</v>
      </c>
      <c r="C2408" s="2" t="s">
        <v>29374</v>
      </c>
      <c r="D2408" s="2" t="s">
        <v>29375</v>
      </c>
      <c r="F2408" s="3" t="s">
        <v>58</v>
      </c>
      <c r="G2408" s="3" t="s">
        <v>59</v>
      </c>
      <c r="H2408" s="3" t="s">
        <v>58</v>
      </c>
      <c r="I2408" s="3" t="s">
        <v>58</v>
      </c>
      <c r="J2408" s="3" t="s">
        <v>60</v>
      </c>
      <c r="K2408" s="2" t="s">
        <v>29376</v>
      </c>
      <c r="L2408" s="2" t="s">
        <v>29377</v>
      </c>
      <c r="M2408" s="3" t="s">
        <v>626</v>
      </c>
      <c r="O2408" s="3" t="s">
        <v>63</v>
      </c>
      <c r="P2408" s="3" t="s">
        <v>10900</v>
      </c>
      <c r="R2408" s="3" t="s">
        <v>65</v>
      </c>
      <c r="S2408" s="4">
        <v>4</v>
      </c>
      <c r="T2408" s="4">
        <v>4</v>
      </c>
      <c r="U2408" s="5" t="s">
        <v>24957</v>
      </c>
      <c r="V2408" s="5" t="s">
        <v>24957</v>
      </c>
      <c r="W2408" s="5" t="s">
        <v>28924</v>
      </c>
      <c r="X2408" s="5" t="s">
        <v>28924</v>
      </c>
      <c r="Y2408" s="4">
        <v>475</v>
      </c>
      <c r="Z2408" s="4">
        <v>369</v>
      </c>
      <c r="AA2408" s="4">
        <v>371</v>
      </c>
      <c r="AB2408" s="4">
        <v>5</v>
      </c>
      <c r="AC2408" s="4">
        <v>5</v>
      </c>
      <c r="AD2408" s="4">
        <v>25</v>
      </c>
      <c r="AE2408" s="4">
        <v>25</v>
      </c>
      <c r="AF2408" s="4">
        <v>11</v>
      </c>
      <c r="AG2408" s="4">
        <v>11</v>
      </c>
      <c r="AH2408" s="4">
        <v>7</v>
      </c>
      <c r="AI2408" s="4">
        <v>7</v>
      </c>
      <c r="AJ2408" s="4">
        <v>9</v>
      </c>
      <c r="AK2408" s="4">
        <v>9</v>
      </c>
      <c r="AL2408" s="4">
        <v>3</v>
      </c>
      <c r="AM2408" s="4">
        <v>3</v>
      </c>
      <c r="AN2408" s="4">
        <v>0</v>
      </c>
      <c r="AO2408" s="4">
        <v>0</v>
      </c>
      <c r="AP2408" s="3" t="s">
        <v>58</v>
      </c>
      <c r="AQ2408" s="3" t="s">
        <v>68</v>
      </c>
      <c r="AR2408" s="6" t="str">
        <f>HYPERLINK("http://catalog.hathitrust.org/Record/000209593","HathiTrust Record")</f>
        <v>HathiTrust Record</v>
      </c>
      <c r="AS2408" s="6" t="str">
        <f>HYPERLINK("https://creighton-primo.hosted.exlibrisgroup.com/primo-explore/search?tab=default_tab&amp;search_scope=EVERYTHING&amp;vid=01CRU&amp;lang=en_US&amp;offset=0&amp;query=any,contains,991000381359702656","Catalog Record")</f>
        <v>Catalog Record</v>
      </c>
      <c r="AT2408" s="6" t="str">
        <f>HYPERLINK("http://www.worldcat.org/oclc/10494614","WorldCat Record")</f>
        <v>WorldCat Record</v>
      </c>
      <c r="AU2408" s="3" t="s">
        <v>29378</v>
      </c>
      <c r="AV2408" s="3" t="s">
        <v>29379</v>
      </c>
      <c r="AW2408" s="3" t="s">
        <v>29380</v>
      </c>
      <c r="AX2408" s="3" t="s">
        <v>29380</v>
      </c>
      <c r="AY2408" s="3" t="s">
        <v>29381</v>
      </c>
      <c r="AZ2408" s="3" t="s">
        <v>73</v>
      </c>
      <c r="BB2408" s="3" t="s">
        <v>29382</v>
      </c>
      <c r="BC2408" s="3" t="s">
        <v>29383</v>
      </c>
      <c r="BD2408" s="3" t="s">
        <v>29384</v>
      </c>
    </row>
    <row r="2409" spans="1:56" ht="51" customHeight="1" x14ac:dyDescent="0.25">
      <c r="A2409" s="7" t="s">
        <v>58</v>
      </c>
      <c r="B2409" s="2" t="s">
        <v>29385</v>
      </c>
      <c r="C2409" s="2" t="s">
        <v>29386</v>
      </c>
      <c r="D2409" s="2" t="s">
        <v>29387</v>
      </c>
      <c r="F2409" s="3" t="s">
        <v>58</v>
      </c>
      <c r="G2409" s="3" t="s">
        <v>59</v>
      </c>
      <c r="H2409" s="3" t="s">
        <v>58</v>
      </c>
      <c r="I2409" s="3" t="s">
        <v>58</v>
      </c>
      <c r="J2409" s="3" t="s">
        <v>60</v>
      </c>
      <c r="K2409" s="2" t="s">
        <v>29388</v>
      </c>
      <c r="L2409" s="2" t="s">
        <v>29389</v>
      </c>
      <c r="M2409" s="3" t="s">
        <v>1385</v>
      </c>
      <c r="O2409" s="3" t="s">
        <v>63</v>
      </c>
      <c r="P2409" s="3" t="s">
        <v>10160</v>
      </c>
      <c r="R2409" s="3" t="s">
        <v>65</v>
      </c>
      <c r="S2409" s="4">
        <v>21</v>
      </c>
      <c r="T2409" s="4">
        <v>21</v>
      </c>
      <c r="U2409" s="5" t="s">
        <v>27951</v>
      </c>
      <c r="V2409" s="5" t="s">
        <v>27951</v>
      </c>
      <c r="W2409" s="5" t="s">
        <v>23117</v>
      </c>
      <c r="X2409" s="5" t="s">
        <v>23117</v>
      </c>
      <c r="Y2409" s="4">
        <v>552</v>
      </c>
      <c r="Z2409" s="4">
        <v>436</v>
      </c>
      <c r="AA2409" s="4">
        <v>1140</v>
      </c>
      <c r="AB2409" s="4">
        <v>4</v>
      </c>
      <c r="AC2409" s="4">
        <v>8</v>
      </c>
      <c r="AD2409" s="4">
        <v>17</v>
      </c>
      <c r="AE2409" s="4">
        <v>38</v>
      </c>
      <c r="AF2409" s="4">
        <v>4</v>
      </c>
      <c r="AG2409" s="4">
        <v>17</v>
      </c>
      <c r="AH2409" s="4">
        <v>6</v>
      </c>
      <c r="AI2409" s="4">
        <v>9</v>
      </c>
      <c r="AJ2409" s="4">
        <v>9</v>
      </c>
      <c r="AK2409" s="4">
        <v>15</v>
      </c>
      <c r="AL2409" s="4">
        <v>3</v>
      </c>
      <c r="AM2409" s="4">
        <v>7</v>
      </c>
      <c r="AN2409" s="4">
        <v>0</v>
      </c>
      <c r="AO2409" s="4">
        <v>0</v>
      </c>
      <c r="AP2409" s="3" t="s">
        <v>58</v>
      </c>
      <c r="AQ2409" s="3" t="s">
        <v>68</v>
      </c>
      <c r="AR2409" s="6" t="str">
        <f>HYPERLINK("http://catalog.hathitrust.org/Record/000026169","HathiTrust Record")</f>
        <v>HathiTrust Record</v>
      </c>
      <c r="AS2409" s="6" t="str">
        <f>HYPERLINK("https://creighton-primo.hosted.exlibrisgroup.com/primo-explore/search?tab=default_tab&amp;search_scope=EVERYTHING&amp;vid=01CRU&amp;lang=en_US&amp;offset=0&amp;query=any,contains,991003514789702656","Catalog Record")</f>
        <v>Catalog Record</v>
      </c>
      <c r="AT2409" s="6" t="str">
        <f>HYPERLINK("http://www.worldcat.org/oclc/1071585","WorldCat Record")</f>
        <v>WorldCat Record</v>
      </c>
      <c r="AU2409" s="3" t="s">
        <v>29390</v>
      </c>
      <c r="AV2409" s="3" t="s">
        <v>29391</v>
      </c>
      <c r="AW2409" s="3" t="s">
        <v>29392</v>
      </c>
      <c r="AX2409" s="3" t="s">
        <v>29392</v>
      </c>
      <c r="AY2409" s="3" t="s">
        <v>29393</v>
      </c>
      <c r="AZ2409" s="3" t="s">
        <v>73</v>
      </c>
      <c r="BC2409" s="3" t="s">
        <v>29394</v>
      </c>
      <c r="BD2409" s="3" t="s">
        <v>29395</v>
      </c>
    </row>
    <row r="2410" spans="1:56" ht="51" customHeight="1" x14ac:dyDescent="0.25">
      <c r="A2410" s="7" t="s">
        <v>58</v>
      </c>
      <c r="B2410" s="2" t="s">
        <v>29396</v>
      </c>
      <c r="C2410" s="2" t="s">
        <v>29397</v>
      </c>
      <c r="D2410" s="2" t="s">
        <v>29398</v>
      </c>
      <c r="F2410" s="3" t="s">
        <v>58</v>
      </c>
      <c r="G2410" s="3" t="s">
        <v>59</v>
      </c>
      <c r="H2410" s="3" t="s">
        <v>58</v>
      </c>
      <c r="I2410" s="3" t="s">
        <v>58</v>
      </c>
      <c r="J2410" s="3" t="s">
        <v>60</v>
      </c>
      <c r="K2410" s="2" t="s">
        <v>29399</v>
      </c>
      <c r="L2410" s="2" t="s">
        <v>29400</v>
      </c>
      <c r="M2410" s="3" t="s">
        <v>2132</v>
      </c>
      <c r="O2410" s="3" t="s">
        <v>63</v>
      </c>
      <c r="P2410" s="3" t="s">
        <v>10900</v>
      </c>
      <c r="R2410" s="3" t="s">
        <v>65</v>
      </c>
      <c r="S2410" s="4">
        <v>2</v>
      </c>
      <c r="T2410" s="4">
        <v>2</v>
      </c>
      <c r="U2410" s="5" t="s">
        <v>29401</v>
      </c>
      <c r="V2410" s="5" t="s">
        <v>29401</v>
      </c>
      <c r="W2410" s="5" t="s">
        <v>28924</v>
      </c>
      <c r="X2410" s="5" t="s">
        <v>28924</v>
      </c>
      <c r="Y2410" s="4">
        <v>117</v>
      </c>
      <c r="Z2410" s="4">
        <v>87</v>
      </c>
      <c r="AA2410" s="4">
        <v>87</v>
      </c>
      <c r="AB2410" s="4">
        <v>1</v>
      </c>
      <c r="AC2410" s="4">
        <v>1</v>
      </c>
      <c r="AD2410" s="4">
        <v>2</v>
      </c>
      <c r="AE2410" s="4">
        <v>2</v>
      </c>
      <c r="AF2410" s="4">
        <v>1</v>
      </c>
      <c r="AG2410" s="4">
        <v>1</v>
      </c>
      <c r="AH2410" s="4">
        <v>1</v>
      </c>
      <c r="AI2410" s="4">
        <v>1</v>
      </c>
      <c r="AJ2410" s="4">
        <v>2</v>
      </c>
      <c r="AK2410" s="4">
        <v>2</v>
      </c>
      <c r="AL2410" s="4">
        <v>0</v>
      </c>
      <c r="AM2410" s="4">
        <v>0</v>
      </c>
      <c r="AN2410" s="4">
        <v>0</v>
      </c>
      <c r="AO2410" s="4">
        <v>0</v>
      </c>
      <c r="AP2410" s="3" t="s">
        <v>58</v>
      </c>
      <c r="AQ2410" s="3" t="s">
        <v>58</v>
      </c>
      <c r="AS2410" s="6" t="str">
        <f>HYPERLINK("https://creighton-primo.hosted.exlibrisgroup.com/primo-explore/search?tab=default_tab&amp;search_scope=EVERYTHING&amp;vid=01CRU&amp;lang=en_US&amp;offset=0&amp;query=any,contains,991003398959702656","Catalog Record")</f>
        <v>Catalog Record</v>
      </c>
      <c r="AT2410" s="6" t="str">
        <f>HYPERLINK("http://www.worldcat.org/oclc/938523","WorldCat Record")</f>
        <v>WorldCat Record</v>
      </c>
      <c r="AU2410" s="3" t="s">
        <v>29402</v>
      </c>
      <c r="AV2410" s="3" t="s">
        <v>29403</v>
      </c>
      <c r="AW2410" s="3" t="s">
        <v>29404</v>
      </c>
      <c r="AX2410" s="3" t="s">
        <v>29404</v>
      </c>
      <c r="AY2410" s="3" t="s">
        <v>29405</v>
      </c>
      <c r="AZ2410" s="3" t="s">
        <v>73</v>
      </c>
      <c r="BC2410" s="3" t="s">
        <v>29406</v>
      </c>
      <c r="BD2410" s="3" t="s">
        <v>29407</v>
      </c>
    </row>
    <row r="2411" spans="1:56" ht="51" customHeight="1" x14ac:dyDescent="0.25">
      <c r="A2411" s="7" t="s">
        <v>58</v>
      </c>
      <c r="B2411" s="2" t="s">
        <v>29408</v>
      </c>
      <c r="C2411" s="2" t="s">
        <v>29409</v>
      </c>
      <c r="D2411" s="2" t="s">
        <v>29410</v>
      </c>
      <c r="F2411" s="3" t="s">
        <v>58</v>
      </c>
      <c r="G2411" s="3" t="s">
        <v>59</v>
      </c>
      <c r="H2411" s="3" t="s">
        <v>58</v>
      </c>
      <c r="I2411" s="3" t="s">
        <v>58</v>
      </c>
      <c r="J2411" s="3" t="s">
        <v>60</v>
      </c>
      <c r="K2411" s="2" t="s">
        <v>29411</v>
      </c>
      <c r="L2411" s="2" t="s">
        <v>29412</v>
      </c>
      <c r="M2411" s="3" t="s">
        <v>249</v>
      </c>
      <c r="O2411" s="3" t="s">
        <v>63</v>
      </c>
      <c r="P2411" s="3" t="s">
        <v>214</v>
      </c>
      <c r="Q2411" s="2" t="s">
        <v>15460</v>
      </c>
      <c r="R2411" s="3" t="s">
        <v>65</v>
      </c>
      <c r="S2411" s="4">
        <v>4</v>
      </c>
      <c r="T2411" s="4">
        <v>4</v>
      </c>
      <c r="U2411" s="5" t="s">
        <v>6132</v>
      </c>
      <c r="V2411" s="5" t="s">
        <v>6132</v>
      </c>
      <c r="W2411" s="5" t="s">
        <v>14236</v>
      </c>
      <c r="X2411" s="5" t="s">
        <v>14236</v>
      </c>
      <c r="Y2411" s="4">
        <v>772</v>
      </c>
      <c r="Z2411" s="4">
        <v>627</v>
      </c>
      <c r="AA2411" s="4">
        <v>845</v>
      </c>
      <c r="AB2411" s="4">
        <v>3</v>
      </c>
      <c r="AC2411" s="4">
        <v>6</v>
      </c>
      <c r="AD2411" s="4">
        <v>25</v>
      </c>
      <c r="AE2411" s="4">
        <v>30</v>
      </c>
      <c r="AF2411" s="4">
        <v>12</v>
      </c>
      <c r="AG2411" s="4">
        <v>14</v>
      </c>
      <c r="AH2411" s="4">
        <v>5</v>
      </c>
      <c r="AI2411" s="4">
        <v>5</v>
      </c>
      <c r="AJ2411" s="4">
        <v>11</v>
      </c>
      <c r="AK2411" s="4">
        <v>11</v>
      </c>
      <c r="AL2411" s="4">
        <v>2</v>
      </c>
      <c r="AM2411" s="4">
        <v>5</v>
      </c>
      <c r="AN2411" s="4">
        <v>0</v>
      </c>
      <c r="AO2411" s="4">
        <v>0</v>
      </c>
      <c r="AP2411" s="3" t="s">
        <v>58</v>
      </c>
      <c r="AQ2411" s="3" t="s">
        <v>68</v>
      </c>
      <c r="AR2411" s="6" t="str">
        <f>HYPERLINK("http://catalog.hathitrust.org/Record/001259250","HathiTrust Record")</f>
        <v>HathiTrust Record</v>
      </c>
      <c r="AS2411" s="6" t="str">
        <f>HYPERLINK("https://creighton-primo.hosted.exlibrisgroup.com/primo-explore/search?tab=default_tab&amp;search_scope=EVERYTHING&amp;vid=01CRU&amp;lang=en_US&amp;offset=0&amp;query=any,contains,991002222699702656","Catalog Record")</f>
        <v>Catalog Record</v>
      </c>
      <c r="AT2411" s="6" t="str">
        <f>HYPERLINK("http://www.worldcat.org/oclc/290738","WorldCat Record")</f>
        <v>WorldCat Record</v>
      </c>
      <c r="AU2411" s="3" t="s">
        <v>29413</v>
      </c>
      <c r="AV2411" s="3" t="s">
        <v>29414</v>
      </c>
      <c r="AW2411" s="3" t="s">
        <v>29415</v>
      </c>
      <c r="AX2411" s="3" t="s">
        <v>29415</v>
      </c>
      <c r="AY2411" s="3" t="s">
        <v>29416</v>
      </c>
      <c r="AZ2411" s="3" t="s">
        <v>73</v>
      </c>
      <c r="BC2411" s="3" t="s">
        <v>29417</v>
      </c>
      <c r="BD2411" s="3" t="s">
        <v>29418</v>
      </c>
    </row>
    <row r="2412" spans="1:56" ht="51" customHeight="1" x14ac:dyDescent="0.25">
      <c r="A2412" s="7" t="s">
        <v>58</v>
      </c>
      <c r="B2412" s="2" t="s">
        <v>29419</v>
      </c>
      <c r="C2412" s="2" t="s">
        <v>29420</v>
      </c>
      <c r="D2412" s="2" t="s">
        <v>29421</v>
      </c>
      <c r="F2412" s="3" t="s">
        <v>58</v>
      </c>
      <c r="G2412" s="3" t="s">
        <v>59</v>
      </c>
      <c r="H2412" s="3" t="s">
        <v>58</v>
      </c>
      <c r="I2412" s="3" t="s">
        <v>58</v>
      </c>
      <c r="J2412" s="3" t="s">
        <v>60</v>
      </c>
      <c r="K2412" s="2" t="s">
        <v>29422</v>
      </c>
      <c r="L2412" s="2" t="s">
        <v>29423</v>
      </c>
      <c r="M2412" s="3" t="s">
        <v>154</v>
      </c>
      <c r="O2412" s="3" t="s">
        <v>63</v>
      </c>
      <c r="P2412" s="3" t="s">
        <v>584</v>
      </c>
      <c r="R2412" s="3" t="s">
        <v>65</v>
      </c>
      <c r="S2412" s="4">
        <v>1</v>
      </c>
      <c r="T2412" s="4">
        <v>1</v>
      </c>
      <c r="U2412" s="5" t="s">
        <v>25176</v>
      </c>
      <c r="V2412" s="5" t="s">
        <v>25176</v>
      </c>
      <c r="W2412" s="5" t="s">
        <v>29424</v>
      </c>
      <c r="X2412" s="5" t="s">
        <v>29424</v>
      </c>
      <c r="Y2412" s="4">
        <v>43</v>
      </c>
      <c r="Z2412" s="4">
        <v>25</v>
      </c>
      <c r="AA2412" s="4">
        <v>545</v>
      </c>
      <c r="AB2412" s="4">
        <v>2</v>
      </c>
      <c r="AC2412" s="4">
        <v>3</v>
      </c>
      <c r="AD2412" s="4">
        <v>1</v>
      </c>
      <c r="AE2412" s="4">
        <v>23</v>
      </c>
      <c r="AF2412" s="4">
        <v>0</v>
      </c>
      <c r="AG2412" s="4">
        <v>11</v>
      </c>
      <c r="AH2412" s="4">
        <v>0</v>
      </c>
      <c r="AI2412" s="4">
        <v>6</v>
      </c>
      <c r="AJ2412" s="4">
        <v>0</v>
      </c>
      <c r="AK2412" s="4">
        <v>11</v>
      </c>
      <c r="AL2412" s="4">
        <v>1</v>
      </c>
      <c r="AM2412" s="4">
        <v>2</v>
      </c>
      <c r="AN2412" s="4">
        <v>0</v>
      </c>
      <c r="AO2412" s="4">
        <v>0</v>
      </c>
      <c r="AP2412" s="3" t="s">
        <v>58</v>
      </c>
      <c r="AQ2412" s="3" t="s">
        <v>58</v>
      </c>
      <c r="AS2412" s="6" t="str">
        <f>HYPERLINK("https://creighton-primo.hosted.exlibrisgroup.com/primo-explore/search?tab=default_tab&amp;search_scope=EVERYTHING&amp;vid=01CRU&amp;lang=en_US&amp;offset=0&amp;query=any,contains,991001651779702656","Catalog Record")</f>
        <v>Catalog Record</v>
      </c>
      <c r="AT2412" s="6" t="str">
        <f>HYPERLINK("http://www.worldcat.org/oclc/21081580","WorldCat Record")</f>
        <v>WorldCat Record</v>
      </c>
      <c r="AU2412" s="3" t="s">
        <v>29425</v>
      </c>
      <c r="AV2412" s="3" t="s">
        <v>29426</v>
      </c>
      <c r="AW2412" s="3" t="s">
        <v>29427</v>
      </c>
      <c r="AX2412" s="3" t="s">
        <v>29427</v>
      </c>
      <c r="AY2412" s="3" t="s">
        <v>29428</v>
      </c>
      <c r="AZ2412" s="3" t="s">
        <v>73</v>
      </c>
      <c r="BB2412" s="3" t="s">
        <v>29429</v>
      </c>
      <c r="BC2412" s="3" t="s">
        <v>29430</v>
      </c>
      <c r="BD2412" s="3" t="s">
        <v>29431</v>
      </c>
    </row>
    <row r="2413" spans="1:56" ht="51" customHeight="1" x14ac:dyDescent="0.25">
      <c r="A2413" s="7" t="s">
        <v>58</v>
      </c>
      <c r="B2413" s="2" t="s">
        <v>29432</v>
      </c>
      <c r="C2413" s="2" t="s">
        <v>29433</v>
      </c>
      <c r="D2413" s="2" t="s">
        <v>29434</v>
      </c>
      <c r="F2413" s="3" t="s">
        <v>58</v>
      </c>
      <c r="G2413" s="3" t="s">
        <v>59</v>
      </c>
      <c r="H2413" s="3" t="s">
        <v>58</v>
      </c>
      <c r="I2413" s="3" t="s">
        <v>58</v>
      </c>
      <c r="J2413" s="3" t="s">
        <v>60</v>
      </c>
      <c r="K2413" s="2" t="s">
        <v>29435</v>
      </c>
      <c r="L2413" s="2" t="s">
        <v>29436</v>
      </c>
      <c r="M2413" s="3" t="s">
        <v>1720</v>
      </c>
      <c r="O2413" s="3" t="s">
        <v>63</v>
      </c>
      <c r="P2413" s="3" t="s">
        <v>411</v>
      </c>
      <c r="Q2413" s="2" t="s">
        <v>29437</v>
      </c>
      <c r="R2413" s="3" t="s">
        <v>65</v>
      </c>
      <c r="S2413" s="4">
        <v>12</v>
      </c>
      <c r="T2413" s="4">
        <v>12</v>
      </c>
      <c r="U2413" s="5" t="s">
        <v>29438</v>
      </c>
      <c r="V2413" s="5" t="s">
        <v>29438</v>
      </c>
      <c r="W2413" s="5" t="s">
        <v>29343</v>
      </c>
      <c r="X2413" s="5" t="s">
        <v>29343</v>
      </c>
      <c r="Y2413" s="4">
        <v>509</v>
      </c>
      <c r="Z2413" s="4">
        <v>480</v>
      </c>
      <c r="AA2413" s="4">
        <v>773</v>
      </c>
      <c r="AB2413" s="4">
        <v>7</v>
      </c>
      <c r="AC2413" s="4">
        <v>7</v>
      </c>
      <c r="AD2413" s="4">
        <v>24</v>
      </c>
      <c r="AE2413" s="4">
        <v>38</v>
      </c>
      <c r="AF2413" s="4">
        <v>8</v>
      </c>
      <c r="AG2413" s="4">
        <v>16</v>
      </c>
      <c r="AH2413" s="4">
        <v>4</v>
      </c>
      <c r="AI2413" s="4">
        <v>6</v>
      </c>
      <c r="AJ2413" s="4">
        <v>12</v>
      </c>
      <c r="AK2413" s="4">
        <v>18</v>
      </c>
      <c r="AL2413" s="4">
        <v>6</v>
      </c>
      <c r="AM2413" s="4">
        <v>6</v>
      </c>
      <c r="AN2413" s="4">
        <v>0</v>
      </c>
      <c r="AO2413" s="4">
        <v>0</v>
      </c>
      <c r="AP2413" s="3" t="s">
        <v>58</v>
      </c>
      <c r="AQ2413" s="3" t="s">
        <v>58</v>
      </c>
      <c r="AS2413" s="6" t="str">
        <f>HYPERLINK("https://creighton-primo.hosted.exlibrisgroup.com/primo-explore/search?tab=default_tab&amp;search_scope=EVERYTHING&amp;vid=01CRU&amp;lang=en_US&amp;offset=0&amp;query=any,contains,991002735369702656","Catalog Record")</f>
        <v>Catalog Record</v>
      </c>
      <c r="AT2413" s="6" t="str">
        <f>HYPERLINK("http://www.worldcat.org/oclc/419072","WorldCat Record")</f>
        <v>WorldCat Record</v>
      </c>
      <c r="AU2413" s="3" t="s">
        <v>29439</v>
      </c>
      <c r="AV2413" s="3" t="s">
        <v>29440</v>
      </c>
      <c r="AW2413" s="3" t="s">
        <v>29441</v>
      </c>
      <c r="AX2413" s="3" t="s">
        <v>29441</v>
      </c>
      <c r="AY2413" s="3" t="s">
        <v>29442</v>
      </c>
      <c r="AZ2413" s="3" t="s">
        <v>73</v>
      </c>
      <c r="BC2413" s="3" t="s">
        <v>29443</v>
      </c>
      <c r="BD2413" s="3" t="s">
        <v>29444</v>
      </c>
    </row>
    <row r="2414" spans="1:56" ht="51" customHeight="1" x14ac:dyDescent="0.25">
      <c r="A2414" s="7" t="s">
        <v>58</v>
      </c>
      <c r="B2414" s="2" t="s">
        <v>29445</v>
      </c>
      <c r="C2414" s="2" t="s">
        <v>29446</v>
      </c>
      <c r="D2414" s="2" t="s">
        <v>29447</v>
      </c>
      <c r="F2414" s="3" t="s">
        <v>58</v>
      </c>
      <c r="G2414" s="3" t="s">
        <v>59</v>
      </c>
      <c r="H2414" s="3" t="s">
        <v>58</v>
      </c>
      <c r="I2414" s="3" t="s">
        <v>58</v>
      </c>
      <c r="J2414" s="3" t="s">
        <v>60</v>
      </c>
      <c r="K2414" s="2" t="s">
        <v>29448</v>
      </c>
      <c r="L2414" s="2" t="s">
        <v>29449</v>
      </c>
      <c r="M2414" s="3" t="s">
        <v>855</v>
      </c>
      <c r="O2414" s="3" t="s">
        <v>63</v>
      </c>
      <c r="P2414" s="3" t="s">
        <v>214</v>
      </c>
      <c r="R2414" s="3" t="s">
        <v>65</v>
      </c>
      <c r="S2414" s="4">
        <v>5</v>
      </c>
      <c r="T2414" s="4">
        <v>5</v>
      </c>
      <c r="U2414" s="5" t="s">
        <v>15159</v>
      </c>
      <c r="V2414" s="5" t="s">
        <v>15159</v>
      </c>
      <c r="W2414" s="5" t="s">
        <v>29450</v>
      </c>
      <c r="X2414" s="5" t="s">
        <v>29450</v>
      </c>
      <c r="Y2414" s="4">
        <v>621</v>
      </c>
      <c r="Z2414" s="4">
        <v>508</v>
      </c>
      <c r="AA2414" s="4">
        <v>532</v>
      </c>
      <c r="AB2414" s="4">
        <v>5</v>
      </c>
      <c r="AC2414" s="4">
        <v>5</v>
      </c>
      <c r="AD2414" s="4">
        <v>21</v>
      </c>
      <c r="AE2414" s="4">
        <v>21</v>
      </c>
      <c r="AF2414" s="4">
        <v>10</v>
      </c>
      <c r="AG2414" s="4">
        <v>10</v>
      </c>
      <c r="AH2414" s="4">
        <v>7</v>
      </c>
      <c r="AI2414" s="4">
        <v>7</v>
      </c>
      <c r="AJ2414" s="4">
        <v>9</v>
      </c>
      <c r="AK2414" s="4">
        <v>9</v>
      </c>
      <c r="AL2414" s="4">
        <v>4</v>
      </c>
      <c r="AM2414" s="4">
        <v>4</v>
      </c>
      <c r="AN2414" s="4">
        <v>0</v>
      </c>
      <c r="AO2414" s="4">
        <v>0</v>
      </c>
      <c r="AP2414" s="3" t="s">
        <v>58</v>
      </c>
      <c r="AQ2414" s="3" t="s">
        <v>68</v>
      </c>
      <c r="AR2414" s="6" t="str">
        <f>HYPERLINK("http://catalog.hathitrust.org/Record/007200821","HathiTrust Record")</f>
        <v>HathiTrust Record</v>
      </c>
      <c r="AS2414" s="6" t="str">
        <f>HYPERLINK("https://creighton-primo.hosted.exlibrisgroup.com/primo-explore/search?tab=default_tab&amp;search_scope=EVERYTHING&amp;vid=01CRU&amp;lang=en_US&amp;offset=0&amp;query=any,contains,991002148949702656","Catalog Record")</f>
        <v>Catalog Record</v>
      </c>
      <c r="AT2414" s="6" t="str">
        <f>HYPERLINK("http://www.worldcat.org/oclc/27684034","WorldCat Record")</f>
        <v>WorldCat Record</v>
      </c>
      <c r="AU2414" s="3" t="s">
        <v>29451</v>
      </c>
      <c r="AV2414" s="3" t="s">
        <v>29452</v>
      </c>
      <c r="AW2414" s="3" t="s">
        <v>29453</v>
      </c>
      <c r="AX2414" s="3" t="s">
        <v>29453</v>
      </c>
      <c r="AY2414" s="3" t="s">
        <v>29454</v>
      </c>
      <c r="AZ2414" s="3" t="s">
        <v>73</v>
      </c>
      <c r="BB2414" s="3" t="s">
        <v>29455</v>
      </c>
      <c r="BC2414" s="3" t="s">
        <v>29456</v>
      </c>
      <c r="BD2414" s="3" t="s">
        <v>29457</v>
      </c>
    </row>
    <row r="2415" spans="1:56" ht="51" customHeight="1" x14ac:dyDescent="0.25">
      <c r="A2415" s="7" t="s">
        <v>58</v>
      </c>
      <c r="B2415" s="2" t="s">
        <v>29458</v>
      </c>
      <c r="C2415" s="2" t="s">
        <v>29459</v>
      </c>
      <c r="D2415" s="2" t="s">
        <v>29460</v>
      </c>
      <c r="F2415" s="3" t="s">
        <v>58</v>
      </c>
      <c r="G2415" s="3" t="s">
        <v>59</v>
      </c>
      <c r="H2415" s="3" t="s">
        <v>58</v>
      </c>
      <c r="I2415" s="3" t="s">
        <v>58</v>
      </c>
      <c r="J2415" s="3" t="s">
        <v>60</v>
      </c>
      <c r="K2415" s="2" t="s">
        <v>29461</v>
      </c>
      <c r="L2415" s="2" t="s">
        <v>29462</v>
      </c>
      <c r="M2415" s="3" t="s">
        <v>62</v>
      </c>
      <c r="O2415" s="3" t="s">
        <v>63</v>
      </c>
      <c r="P2415" s="3" t="s">
        <v>10900</v>
      </c>
      <c r="R2415" s="3" t="s">
        <v>65</v>
      </c>
      <c r="S2415" s="4">
        <v>15</v>
      </c>
      <c r="T2415" s="4">
        <v>15</v>
      </c>
      <c r="U2415" s="5" t="s">
        <v>9674</v>
      </c>
      <c r="V2415" s="5" t="s">
        <v>9674</v>
      </c>
      <c r="W2415" s="5" t="s">
        <v>15109</v>
      </c>
      <c r="X2415" s="5" t="s">
        <v>15109</v>
      </c>
      <c r="Y2415" s="4">
        <v>26</v>
      </c>
      <c r="Z2415" s="4">
        <v>14</v>
      </c>
      <c r="AA2415" s="4">
        <v>547</v>
      </c>
      <c r="AB2415" s="4">
        <v>1</v>
      </c>
      <c r="AC2415" s="4">
        <v>4</v>
      </c>
      <c r="AD2415" s="4">
        <v>0</v>
      </c>
      <c r="AE2415" s="4">
        <v>14</v>
      </c>
      <c r="AF2415" s="4">
        <v>0</v>
      </c>
      <c r="AG2415" s="4">
        <v>3</v>
      </c>
      <c r="AH2415" s="4">
        <v>0</v>
      </c>
      <c r="AI2415" s="4">
        <v>4</v>
      </c>
      <c r="AJ2415" s="4">
        <v>0</v>
      </c>
      <c r="AK2415" s="4">
        <v>11</v>
      </c>
      <c r="AL2415" s="4">
        <v>0</v>
      </c>
      <c r="AM2415" s="4">
        <v>1</v>
      </c>
      <c r="AN2415" s="4">
        <v>0</v>
      </c>
      <c r="AO2415" s="4">
        <v>0</v>
      </c>
      <c r="AP2415" s="3" t="s">
        <v>58</v>
      </c>
      <c r="AQ2415" s="3" t="s">
        <v>58</v>
      </c>
      <c r="AS2415" s="6" t="str">
        <f>HYPERLINK("https://creighton-primo.hosted.exlibrisgroup.com/primo-explore/search?tab=default_tab&amp;search_scope=EVERYTHING&amp;vid=01CRU&amp;lang=en_US&amp;offset=0&amp;query=any,contains,991000796319702656","Catalog Record")</f>
        <v>Catalog Record</v>
      </c>
      <c r="AT2415" s="6" t="str">
        <f>HYPERLINK("http://www.worldcat.org/oclc/137268","WorldCat Record")</f>
        <v>WorldCat Record</v>
      </c>
      <c r="AU2415" s="3" t="s">
        <v>29463</v>
      </c>
      <c r="AV2415" s="3" t="s">
        <v>29464</v>
      </c>
      <c r="AW2415" s="3" t="s">
        <v>29465</v>
      </c>
      <c r="AX2415" s="3" t="s">
        <v>29465</v>
      </c>
      <c r="AY2415" s="3" t="s">
        <v>29466</v>
      </c>
      <c r="AZ2415" s="3" t="s">
        <v>73</v>
      </c>
      <c r="BC2415" s="3" t="s">
        <v>29467</v>
      </c>
      <c r="BD2415" s="3" t="s">
        <v>29468</v>
      </c>
    </row>
    <row r="2416" spans="1:56" ht="51" customHeight="1" x14ac:dyDescent="0.25">
      <c r="A2416" s="7" t="s">
        <v>58</v>
      </c>
      <c r="B2416" s="2" t="s">
        <v>29469</v>
      </c>
      <c r="C2416" s="2" t="s">
        <v>29470</v>
      </c>
      <c r="D2416" s="2" t="s">
        <v>29471</v>
      </c>
      <c r="F2416" s="3" t="s">
        <v>58</v>
      </c>
      <c r="G2416" s="3" t="s">
        <v>59</v>
      </c>
      <c r="H2416" s="3" t="s">
        <v>58</v>
      </c>
      <c r="I2416" s="3" t="s">
        <v>58</v>
      </c>
      <c r="J2416" s="3" t="s">
        <v>60</v>
      </c>
      <c r="K2416" s="2" t="s">
        <v>29472</v>
      </c>
      <c r="L2416" s="2" t="s">
        <v>29473</v>
      </c>
      <c r="M2416" s="3" t="s">
        <v>2004</v>
      </c>
      <c r="O2416" s="3" t="s">
        <v>63</v>
      </c>
      <c r="P2416" s="3" t="s">
        <v>13185</v>
      </c>
      <c r="R2416" s="3" t="s">
        <v>65</v>
      </c>
      <c r="S2416" s="4">
        <v>8</v>
      </c>
      <c r="T2416" s="4">
        <v>8</v>
      </c>
      <c r="U2416" s="5" t="s">
        <v>29474</v>
      </c>
      <c r="V2416" s="5" t="s">
        <v>29474</v>
      </c>
      <c r="W2416" s="5" t="s">
        <v>7870</v>
      </c>
      <c r="X2416" s="5" t="s">
        <v>7870</v>
      </c>
      <c r="Y2416" s="4">
        <v>522</v>
      </c>
      <c r="Z2416" s="4">
        <v>454</v>
      </c>
      <c r="AA2416" s="4">
        <v>467</v>
      </c>
      <c r="AB2416" s="4">
        <v>5</v>
      </c>
      <c r="AC2416" s="4">
        <v>5</v>
      </c>
      <c r="AD2416" s="4">
        <v>21</v>
      </c>
      <c r="AE2416" s="4">
        <v>22</v>
      </c>
      <c r="AF2416" s="4">
        <v>9</v>
      </c>
      <c r="AG2416" s="4">
        <v>10</v>
      </c>
      <c r="AH2416" s="4">
        <v>6</v>
      </c>
      <c r="AI2416" s="4">
        <v>6</v>
      </c>
      <c r="AJ2416" s="4">
        <v>9</v>
      </c>
      <c r="AK2416" s="4">
        <v>9</v>
      </c>
      <c r="AL2416" s="4">
        <v>4</v>
      </c>
      <c r="AM2416" s="4">
        <v>4</v>
      </c>
      <c r="AN2416" s="4">
        <v>0</v>
      </c>
      <c r="AO2416" s="4">
        <v>0</v>
      </c>
      <c r="AP2416" s="3" t="s">
        <v>58</v>
      </c>
      <c r="AQ2416" s="3" t="s">
        <v>58</v>
      </c>
      <c r="AR2416" s="6" t="str">
        <f>HYPERLINK("http://catalog.hathitrust.org/Record/001259270","HathiTrust Record")</f>
        <v>HathiTrust Record</v>
      </c>
      <c r="AS2416" s="6" t="str">
        <f>HYPERLINK("https://creighton-primo.hosted.exlibrisgroup.com/primo-explore/search?tab=default_tab&amp;search_scope=EVERYTHING&amp;vid=01CRU&amp;lang=en_US&amp;offset=0&amp;query=any,contains,991002723029702656","Catalog Record")</f>
        <v>Catalog Record</v>
      </c>
      <c r="AT2416" s="6" t="str">
        <f>HYPERLINK("http://www.worldcat.org/oclc/413265","WorldCat Record")</f>
        <v>WorldCat Record</v>
      </c>
      <c r="AU2416" s="3" t="s">
        <v>29475</v>
      </c>
      <c r="AV2416" s="3" t="s">
        <v>29476</v>
      </c>
      <c r="AW2416" s="3" t="s">
        <v>29477</v>
      </c>
      <c r="AX2416" s="3" t="s">
        <v>29477</v>
      </c>
      <c r="AY2416" s="3" t="s">
        <v>29478</v>
      </c>
      <c r="AZ2416" s="3" t="s">
        <v>73</v>
      </c>
      <c r="BC2416" s="3" t="s">
        <v>29479</v>
      </c>
      <c r="BD2416" s="3" t="s">
        <v>29480</v>
      </c>
    </row>
    <row r="2417" spans="1:56" ht="51" customHeight="1" x14ac:dyDescent="0.25">
      <c r="A2417" s="7" t="s">
        <v>58</v>
      </c>
      <c r="B2417" s="2" t="s">
        <v>29481</v>
      </c>
      <c r="C2417" s="2" t="s">
        <v>29482</v>
      </c>
      <c r="D2417" s="2" t="s">
        <v>29483</v>
      </c>
      <c r="F2417" s="3" t="s">
        <v>58</v>
      </c>
      <c r="G2417" s="3" t="s">
        <v>59</v>
      </c>
      <c r="H2417" s="3" t="s">
        <v>58</v>
      </c>
      <c r="I2417" s="3" t="s">
        <v>58</v>
      </c>
      <c r="J2417" s="3" t="s">
        <v>60</v>
      </c>
      <c r="K2417" s="2" t="s">
        <v>29484</v>
      </c>
      <c r="L2417" s="2" t="s">
        <v>29485</v>
      </c>
      <c r="M2417" s="3" t="s">
        <v>1153</v>
      </c>
      <c r="O2417" s="3" t="s">
        <v>63</v>
      </c>
      <c r="P2417" s="3" t="s">
        <v>214</v>
      </c>
      <c r="R2417" s="3" t="s">
        <v>65</v>
      </c>
      <c r="S2417" s="4">
        <v>3</v>
      </c>
      <c r="T2417" s="4">
        <v>3</v>
      </c>
      <c r="U2417" s="5" t="s">
        <v>4688</v>
      </c>
      <c r="V2417" s="5" t="s">
        <v>4688</v>
      </c>
      <c r="W2417" s="5" t="s">
        <v>572</v>
      </c>
      <c r="X2417" s="5" t="s">
        <v>572</v>
      </c>
      <c r="Y2417" s="4">
        <v>475</v>
      </c>
      <c r="Z2417" s="4">
        <v>448</v>
      </c>
      <c r="AA2417" s="4">
        <v>525</v>
      </c>
      <c r="AB2417" s="4">
        <v>4</v>
      </c>
      <c r="AC2417" s="4">
        <v>4</v>
      </c>
      <c r="AD2417" s="4">
        <v>14</v>
      </c>
      <c r="AE2417" s="4">
        <v>19</v>
      </c>
      <c r="AF2417" s="4">
        <v>4</v>
      </c>
      <c r="AG2417" s="4">
        <v>7</v>
      </c>
      <c r="AH2417" s="4">
        <v>5</v>
      </c>
      <c r="AI2417" s="4">
        <v>5</v>
      </c>
      <c r="AJ2417" s="4">
        <v>5</v>
      </c>
      <c r="AK2417" s="4">
        <v>8</v>
      </c>
      <c r="AL2417" s="4">
        <v>3</v>
      </c>
      <c r="AM2417" s="4">
        <v>3</v>
      </c>
      <c r="AN2417" s="4">
        <v>0</v>
      </c>
      <c r="AO2417" s="4">
        <v>0</v>
      </c>
      <c r="AP2417" s="3" t="s">
        <v>58</v>
      </c>
      <c r="AQ2417" s="3" t="s">
        <v>68</v>
      </c>
      <c r="AR2417" s="6" t="str">
        <f>HYPERLINK("http://catalog.hathitrust.org/Record/006255759","HathiTrust Record")</f>
        <v>HathiTrust Record</v>
      </c>
      <c r="AS2417" s="6" t="str">
        <f>HYPERLINK("https://creighton-primo.hosted.exlibrisgroup.com/primo-explore/search?tab=default_tab&amp;search_scope=EVERYTHING&amp;vid=01CRU&amp;lang=en_US&amp;offset=0&amp;query=any,contains,991003074719702656","Catalog Record")</f>
        <v>Catalog Record</v>
      </c>
      <c r="AT2417" s="6" t="str">
        <f>HYPERLINK("http://www.worldcat.org/oclc/628011","WorldCat Record")</f>
        <v>WorldCat Record</v>
      </c>
      <c r="AU2417" s="3" t="s">
        <v>29486</v>
      </c>
      <c r="AV2417" s="3" t="s">
        <v>29487</v>
      </c>
      <c r="AW2417" s="3" t="s">
        <v>29488</v>
      </c>
      <c r="AX2417" s="3" t="s">
        <v>29488</v>
      </c>
      <c r="AY2417" s="3" t="s">
        <v>29489</v>
      </c>
      <c r="AZ2417" s="3" t="s">
        <v>73</v>
      </c>
      <c r="BB2417" s="3" t="s">
        <v>29490</v>
      </c>
      <c r="BC2417" s="3" t="s">
        <v>29491</v>
      </c>
      <c r="BD2417" s="3" t="s">
        <v>29492</v>
      </c>
    </row>
    <row r="2418" spans="1:56" ht="51" customHeight="1" x14ac:dyDescent="0.25">
      <c r="A2418" s="7" t="s">
        <v>58</v>
      </c>
      <c r="B2418" s="2" t="s">
        <v>29493</v>
      </c>
      <c r="C2418" s="2" t="s">
        <v>29494</v>
      </c>
      <c r="D2418" s="2" t="s">
        <v>29495</v>
      </c>
      <c r="F2418" s="3" t="s">
        <v>58</v>
      </c>
      <c r="G2418" s="3" t="s">
        <v>59</v>
      </c>
      <c r="H2418" s="3" t="s">
        <v>58</v>
      </c>
      <c r="I2418" s="3" t="s">
        <v>58</v>
      </c>
      <c r="J2418" s="3" t="s">
        <v>60</v>
      </c>
      <c r="K2418" s="2" t="s">
        <v>29496</v>
      </c>
      <c r="L2418" s="2" t="s">
        <v>29497</v>
      </c>
      <c r="M2418" s="3" t="s">
        <v>1061</v>
      </c>
      <c r="N2418" s="2" t="s">
        <v>338</v>
      </c>
      <c r="O2418" s="3" t="s">
        <v>63</v>
      </c>
      <c r="P2418" s="3" t="s">
        <v>214</v>
      </c>
      <c r="R2418" s="3" t="s">
        <v>65</v>
      </c>
      <c r="S2418" s="4">
        <v>5</v>
      </c>
      <c r="T2418" s="4">
        <v>5</v>
      </c>
      <c r="U2418" s="5" t="s">
        <v>29235</v>
      </c>
      <c r="V2418" s="5" t="s">
        <v>29235</v>
      </c>
      <c r="W2418" s="5" t="s">
        <v>29498</v>
      </c>
      <c r="X2418" s="5" t="s">
        <v>29498</v>
      </c>
      <c r="Y2418" s="4">
        <v>1201</v>
      </c>
      <c r="Z2418" s="4">
        <v>1105</v>
      </c>
      <c r="AA2418" s="4">
        <v>1238</v>
      </c>
      <c r="AB2418" s="4">
        <v>9</v>
      </c>
      <c r="AC2418" s="4">
        <v>9</v>
      </c>
      <c r="AD2418" s="4">
        <v>41</v>
      </c>
      <c r="AE2418" s="4">
        <v>43</v>
      </c>
      <c r="AF2418" s="4">
        <v>16</v>
      </c>
      <c r="AG2418" s="4">
        <v>17</v>
      </c>
      <c r="AH2418" s="4">
        <v>8</v>
      </c>
      <c r="AI2418" s="4">
        <v>8</v>
      </c>
      <c r="AJ2418" s="4">
        <v>21</v>
      </c>
      <c r="AK2418" s="4">
        <v>22</v>
      </c>
      <c r="AL2418" s="4">
        <v>6</v>
      </c>
      <c r="AM2418" s="4">
        <v>6</v>
      </c>
      <c r="AN2418" s="4">
        <v>0</v>
      </c>
      <c r="AO2418" s="4">
        <v>0</v>
      </c>
      <c r="AP2418" s="3" t="s">
        <v>58</v>
      </c>
      <c r="AQ2418" s="3" t="s">
        <v>68</v>
      </c>
      <c r="AR2418" s="6" t="str">
        <f>HYPERLINK("http://catalog.hathitrust.org/Record/003146326","HathiTrust Record")</f>
        <v>HathiTrust Record</v>
      </c>
      <c r="AS2418" s="6" t="str">
        <f>HYPERLINK("https://creighton-primo.hosted.exlibrisgroup.com/primo-explore/search?tab=default_tab&amp;search_scope=EVERYTHING&amp;vid=01CRU&amp;lang=en_US&amp;offset=0&amp;query=any,contains,991002730469702656","Catalog Record")</f>
        <v>Catalog Record</v>
      </c>
      <c r="AT2418" s="6" t="str">
        <f>HYPERLINK("http://www.worldcat.org/oclc/35814790","WorldCat Record")</f>
        <v>WorldCat Record</v>
      </c>
      <c r="AU2418" s="3" t="s">
        <v>29499</v>
      </c>
      <c r="AV2418" s="3" t="s">
        <v>29500</v>
      </c>
      <c r="AW2418" s="3" t="s">
        <v>29501</v>
      </c>
      <c r="AX2418" s="3" t="s">
        <v>29501</v>
      </c>
      <c r="AY2418" s="3" t="s">
        <v>29502</v>
      </c>
      <c r="AZ2418" s="3" t="s">
        <v>73</v>
      </c>
      <c r="BB2418" s="3" t="s">
        <v>29503</v>
      </c>
      <c r="BC2418" s="3" t="s">
        <v>29504</v>
      </c>
      <c r="BD2418" s="3" t="s">
        <v>29505</v>
      </c>
    </row>
    <row r="2419" spans="1:56" ht="51" customHeight="1" x14ac:dyDescent="0.25">
      <c r="A2419" s="7" t="s">
        <v>58</v>
      </c>
      <c r="B2419" s="2" t="s">
        <v>29506</v>
      </c>
      <c r="C2419" s="2" t="s">
        <v>29507</v>
      </c>
      <c r="D2419" s="2" t="s">
        <v>29508</v>
      </c>
      <c r="F2419" s="3" t="s">
        <v>58</v>
      </c>
      <c r="G2419" s="3" t="s">
        <v>59</v>
      </c>
      <c r="H2419" s="3" t="s">
        <v>58</v>
      </c>
      <c r="I2419" s="3" t="s">
        <v>58</v>
      </c>
      <c r="J2419" s="3" t="s">
        <v>60</v>
      </c>
      <c r="K2419" s="2" t="s">
        <v>29509</v>
      </c>
      <c r="L2419" s="2" t="s">
        <v>29510</v>
      </c>
      <c r="M2419" s="3" t="s">
        <v>626</v>
      </c>
      <c r="N2419" s="2" t="s">
        <v>338</v>
      </c>
      <c r="O2419" s="3" t="s">
        <v>63</v>
      </c>
      <c r="P2419" s="3" t="s">
        <v>214</v>
      </c>
      <c r="R2419" s="3" t="s">
        <v>65</v>
      </c>
      <c r="S2419" s="4">
        <v>5</v>
      </c>
      <c r="T2419" s="4">
        <v>5</v>
      </c>
      <c r="U2419" s="5" t="s">
        <v>29511</v>
      </c>
      <c r="V2419" s="5" t="s">
        <v>29511</v>
      </c>
      <c r="W2419" s="5" t="s">
        <v>2839</v>
      </c>
      <c r="X2419" s="5" t="s">
        <v>2839</v>
      </c>
      <c r="Y2419" s="4">
        <v>812</v>
      </c>
      <c r="Z2419" s="4">
        <v>734</v>
      </c>
      <c r="AA2419" s="4">
        <v>896</v>
      </c>
      <c r="AB2419" s="4">
        <v>6</v>
      </c>
      <c r="AC2419" s="4">
        <v>6</v>
      </c>
      <c r="AD2419" s="4">
        <v>21</v>
      </c>
      <c r="AE2419" s="4">
        <v>28</v>
      </c>
      <c r="AF2419" s="4">
        <v>6</v>
      </c>
      <c r="AG2419" s="4">
        <v>10</v>
      </c>
      <c r="AH2419" s="4">
        <v>7</v>
      </c>
      <c r="AI2419" s="4">
        <v>7</v>
      </c>
      <c r="AJ2419" s="4">
        <v>9</v>
      </c>
      <c r="AK2419" s="4">
        <v>12</v>
      </c>
      <c r="AL2419" s="4">
        <v>4</v>
      </c>
      <c r="AM2419" s="4">
        <v>4</v>
      </c>
      <c r="AN2419" s="4">
        <v>0</v>
      </c>
      <c r="AO2419" s="4">
        <v>1</v>
      </c>
      <c r="AP2419" s="3" t="s">
        <v>58</v>
      </c>
      <c r="AQ2419" s="3" t="s">
        <v>68</v>
      </c>
      <c r="AR2419" s="6" t="str">
        <f>HYPERLINK("http://catalog.hathitrust.org/Record/000119443","HathiTrust Record")</f>
        <v>HathiTrust Record</v>
      </c>
      <c r="AS2419" s="6" t="str">
        <f>HYPERLINK("https://creighton-primo.hosted.exlibrisgroup.com/primo-explore/search?tab=default_tab&amp;search_scope=EVERYTHING&amp;vid=01CRU&amp;lang=en_US&amp;offset=0&amp;query=any,contains,991000221309702656","Catalog Record")</f>
        <v>Catalog Record</v>
      </c>
      <c r="AT2419" s="6" t="str">
        <f>HYPERLINK("http://www.worldcat.org/oclc/9576359","WorldCat Record")</f>
        <v>WorldCat Record</v>
      </c>
      <c r="AU2419" s="3" t="s">
        <v>29512</v>
      </c>
      <c r="AV2419" s="3" t="s">
        <v>29513</v>
      </c>
      <c r="AW2419" s="3" t="s">
        <v>29514</v>
      </c>
      <c r="AX2419" s="3" t="s">
        <v>29514</v>
      </c>
      <c r="AY2419" s="3" t="s">
        <v>29515</v>
      </c>
      <c r="AZ2419" s="3" t="s">
        <v>73</v>
      </c>
      <c r="BB2419" s="3" t="s">
        <v>29516</v>
      </c>
      <c r="BC2419" s="3" t="s">
        <v>29517</v>
      </c>
      <c r="BD2419" s="3" t="s">
        <v>29518</v>
      </c>
    </row>
    <row r="2420" spans="1:56" ht="51" customHeight="1" x14ac:dyDescent="0.25">
      <c r="A2420" s="7" t="s">
        <v>58</v>
      </c>
      <c r="B2420" s="2" t="s">
        <v>29519</v>
      </c>
      <c r="C2420" s="2" t="s">
        <v>29520</v>
      </c>
      <c r="D2420" s="2" t="s">
        <v>29521</v>
      </c>
      <c r="F2420" s="3" t="s">
        <v>58</v>
      </c>
      <c r="G2420" s="3" t="s">
        <v>59</v>
      </c>
      <c r="H2420" s="3" t="s">
        <v>58</v>
      </c>
      <c r="I2420" s="3" t="s">
        <v>58</v>
      </c>
      <c r="J2420" s="3" t="s">
        <v>60</v>
      </c>
      <c r="K2420" s="2" t="s">
        <v>29522</v>
      </c>
      <c r="L2420" s="2" t="s">
        <v>29523</v>
      </c>
      <c r="M2420" s="3" t="s">
        <v>509</v>
      </c>
      <c r="N2420" s="2" t="s">
        <v>29524</v>
      </c>
      <c r="O2420" s="3" t="s">
        <v>63</v>
      </c>
      <c r="P2420" s="3" t="s">
        <v>10900</v>
      </c>
      <c r="R2420" s="3" t="s">
        <v>65</v>
      </c>
      <c r="S2420" s="4">
        <v>2</v>
      </c>
      <c r="T2420" s="4">
        <v>2</v>
      </c>
      <c r="U2420" s="5" t="s">
        <v>29525</v>
      </c>
      <c r="V2420" s="5" t="s">
        <v>29525</v>
      </c>
      <c r="W2420" s="5" t="s">
        <v>29526</v>
      </c>
      <c r="X2420" s="5" t="s">
        <v>29526</v>
      </c>
      <c r="Y2420" s="4">
        <v>258</v>
      </c>
      <c r="Z2420" s="4">
        <v>233</v>
      </c>
      <c r="AA2420" s="4">
        <v>335</v>
      </c>
      <c r="AB2420" s="4">
        <v>2</v>
      </c>
      <c r="AC2420" s="4">
        <v>2</v>
      </c>
      <c r="AD2420" s="4">
        <v>6</v>
      </c>
      <c r="AE2420" s="4">
        <v>8</v>
      </c>
      <c r="AF2420" s="4">
        <v>2</v>
      </c>
      <c r="AG2420" s="4">
        <v>3</v>
      </c>
      <c r="AH2420" s="4">
        <v>1</v>
      </c>
      <c r="AI2420" s="4">
        <v>2</v>
      </c>
      <c r="AJ2420" s="4">
        <v>4</v>
      </c>
      <c r="AK2420" s="4">
        <v>5</v>
      </c>
      <c r="AL2420" s="4">
        <v>1</v>
      </c>
      <c r="AM2420" s="4">
        <v>1</v>
      </c>
      <c r="AN2420" s="4">
        <v>0</v>
      </c>
      <c r="AO2420" s="4">
        <v>0</v>
      </c>
      <c r="AP2420" s="3" t="s">
        <v>58</v>
      </c>
      <c r="AQ2420" s="3" t="s">
        <v>68</v>
      </c>
      <c r="AR2420" s="6" t="str">
        <f>HYPERLINK("http://catalog.hathitrust.org/Record/001267751","HathiTrust Record")</f>
        <v>HathiTrust Record</v>
      </c>
      <c r="AS2420" s="6" t="str">
        <f>HYPERLINK("https://creighton-primo.hosted.exlibrisgroup.com/primo-explore/search?tab=default_tab&amp;search_scope=EVERYTHING&amp;vid=01CRU&amp;lang=en_US&amp;offset=0&amp;query=any,contains,991003269199702656","Catalog Record")</f>
        <v>Catalog Record</v>
      </c>
      <c r="AT2420" s="6" t="str">
        <f>HYPERLINK("http://www.worldcat.org/oclc/580559","WorldCat Record")</f>
        <v>WorldCat Record</v>
      </c>
      <c r="AU2420" s="3" t="s">
        <v>29527</v>
      </c>
      <c r="AV2420" s="3" t="s">
        <v>29528</v>
      </c>
      <c r="AW2420" s="3" t="s">
        <v>29529</v>
      </c>
      <c r="AX2420" s="3" t="s">
        <v>29529</v>
      </c>
      <c r="AY2420" s="3" t="s">
        <v>29530</v>
      </c>
      <c r="AZ2420" s="3" t="s">
        <v>73</v>
      </c>
      <c r="BC2420" s="3" t="s">
        <v>29531</v>
      </c>
      <c r="BD2420" s="3" t="s">
        <v>29532</v>
      </c>
    </row>
    <row r="2421" spans="1:56" ht="51" customHeight="1" x14ac:dyDescent="0.25">
      <c r="A2421" s="7" t="s">
        <v>58</v>
      </c>
      <c r="B2421" s="2" t="s">
        <v>29533</v>
      </c>
      <c r="C2421" s="2" t="s">
        <v>29534</v>
      </c>
      <c r="D2421" s="2" t="s">
        <v>29535</v>
      </c>
      <c r="F2421" s="3" t="s">
        <v>58</v>
      </c>
      <c r="G2421" s="3" t="s">
        <v>59</v>
      </c>
      <c r="H2421" s="3" t="s">
        <v>58</v>
      </c>
      <c r="I2421" s="3" t="s">
        <v>58</v>
      </c>
      <c r="J2421" s="3" t="s">
        <v>60</v>
      </c>
      <c r="K2421" s="2" t="s">
        <v>29536</v>
      </c>
      <c r="L2421" s="2" t="s">
        <v>29537</v>
      </c>
      <c r="M2421" s="3" t="s">
        <v>951</v>
      </c>
      <c r="O2421" s="3" t="s">
        <v>63</v>
      </c>
      <c r="P2421" s="3" t="s">
        <v>214</v>
      </c>
      <c r="R2421" s="3" t="s">
        <v>65</v>
      </c>
      <c r="S2421" s="4">
        <v>3</v>
      </c>
      <c r="T2421" s="4">
        <v>3</v>
      </c>
      <c r="U2421" s="5" t="s">
        <v>24267</v>
      </c>
      <c r="V2421" s="5" t="s">
        <v>24267</v>
      </c>
      <c r="W2421" s="5" t="s">
        <v>16266</v>
      </c>
      <c r="X2421" s="5" t="s">
        <v>16266</v>
      </c>
      <c r="Y2421" s="4">
        <v>316</v>
      </c>
      <c r="Z2421" s="4">
        <v>282</v>
      </c>
      <c r="AA2421" s="4">
        <v>332</v>
      </c>
      <c r="AB2421" s="4">
        <v>3</v>
      </c>
      <c r="AC2421" s="4">
        <v>4</v>
      </c>
      <c r="AD2421" s="4">
        <v>18</v>
      </c>
      <c r="AE2421" s="4">
        <v>21</v>
      </c>
      <c r="AF2421" s="4">
        <v>6</v>
      </c>
      <c r="AG2421" s="4">
        <v>6</v>
      </c>
      <c r="AH2421" s="4">
        <v>5</v>
      </c>
      <c r="AI2421" s="4">
        <v>7</v>
      </c>
      <c r="AJ2421" s="4">
        <v>9</v>
      </c>
      <c r="AK2421" s="4">
        <v>11</v>
      </c>
      <c r="AL2421" s="4">
        <v>2</v>
      </c>
      <c r="AM2421" s="4">
        <v>3</v>
      </c>
      <c r="AN2421" s="4">
        <v>0</v>
      </c>
      <c r="AO2421" s="4">
        <v>0</v>
      </c>
      <c r="AP2421" s="3" t="s">
        <v>58</v>
      </c>
      <c r="AQ2421" s="3" t="s">
        <v>58</v>
      </c>
      <c r="AS2421" s="6" t="str">
        <f>HYPERLINK("https://creighton-primo.hosted.exlibrisgroup.com/primo-explore/search?tab=default_tab&amp;search_scope=EVERYTHING&amp;vid=01CRU&amp;lang=en_US&amp;offset=0&amp;query=any,contains,991003687249702656","Catalog Record")</f>
        <v>Catalog Record</v>
      </c>
      <c r="AT2421" s="6" t="str">
        <f>HYPERLINK("http://www.worldcat.org/oclc/42892295","WorldCat Record")</f>
        <v>WorldCat Record</v>
      </c>
      <c r="AU2421" s="3" t="s">
        <v>29538</v>
      </c>
      <c r="AV2421" s="3" t="s">
        <v>29539</v>
      </c>
      <c r="AW2421" s="3" t="s">
        <v>29540</v>
      </c>
      <c r="AX2421" s="3" t="s">
        <v>29540</v>
      </c>
      <c r="AY2421" s="3" t="s">
        <v>29541</v>
      </c>
      <c r="AZ2421" s="3" t="s">
        <v>73</v>
      </c>
      <c r="BB2421" s="3" t="s">
        <v>29542</v>
      </c>
      <c r="BC2421" s="3" t="s">
        <v>29543</v>
      </c>
      <c r="BD2421" s="3" t="s">
        <v>29544</v>
      </c>
    </row>
    <row r="2422" spans="1:56" ht="51" customHeight="1" x14ac:dyDescent="0.25">
      <c r="A2422" s="7" t="s">
        <v>58</v>
      </c>
      <c r="B2422" s="2" t="s">
        <v>29545</v>
      </c>
      <c r="C2422" s="2" t="s">
        <v>29546</v>
      </c>
      <c r="D2422" s="2" t="s">
        <v>29547</v>
      </c>
      <c r="F2422" s="3" t="s">
        <v>58</v>
      </c>
      <c r="G2422" s="3" t="s">
        <v>59</v>
      </c>
      <c r="H2422" s="3" t="s">
        <v>58</v>
      </c>
      <c r="I2422" s="3" t="s">
        <v>58</v>
      </c>
      <c r="J2422" s="3" t="s">
        <v>60</v>
      </c>
      <c r="K2422" s="2" t="s">
        <v>29548</v>
      </c>
      <c r="L2422" s="2" t="s">
        <v>29549</v>
      </c>
      <c r="M2422" s="3" t="s">
        <v>83</v>
      </c>
      <c r="O2422" s="3" t="s">
        <v>63</v>
      </c>
      <c r="P2422" s="3" t="s">
        <v>584</v>
      </c>
      <c r="R2422" s="3" t="s">
        <v>65</v>
      </c>
      <c r="S2422" s="4">
        <v>2</v>
      </c>
      <c r="T2422" s="4">
        <v>2</v>
      </c>
      <c r="U2422" s="5" t="s">
        <v>29550</v>
      </c>
      <c r="V2422" s="5" t="s">
        <v>29550</v>
      </c>
      <c r="W2422" s="5" t="s">
        <v>28924</v>
      </c>
      <c r="X2422" s="5" t="s">
        <v>28924</v>
      </c>
      <c r="Y2422" s="4">
        <v>47</v>
      </c>
      <c r="Z2422" s="4">
        <v>34</v>
      </c>
      <c r="AA2422" s="4">
        <v>41</v>
      </c>
      <c r="AB2422" s="4">
        <v>1</v>
      </c>
      <c r="AC2422" s="4">
        <v>1</v>
      </c>
      <c r="AD2422" s="4">
        <v>0</v>
      </c>
      <c r="AE2422" s="4">
        <v>0</v>
      </c>
      <c r="AF2422" s="4">
        <v>0</v>
      </c>
      <c r="AG2422" s="4">
        <v>0</v>
      </c>
      <c r="AH2422" s="4">
        <v>0</v>
      </c>
      <c r="AI2422" s="4">
        <v>0</v>
      </c>
      <c r="AJ2422" s="4">
        <v>0</v>
      </c>
      <c r="AK2422" s="4">
        <v>0</v>
      </c>
      <c r="AL2422" s="4">
        <v>0</v>
      </c>
      <c r="AM2422" s="4">
        <v>0</v>
      </c>
      <c r="AN2422" s="4">
        <v>0</v>
      </c>
      <c r="AO2422" s="4">
        <v>0</v>
      </c>
      <c r="AP2422" s="3" t="s">
        <v>58</v>
      </c>
      <c r="AQ2422" s="3" t="s">
        <v>68</v>
      </c>
      <c r="AR2422" s="6" t="str">
        <f>HYPERLINK("http://catalog.hathitrust.org/Record/100620434","HathiTrust Record")</f>
        <v>HathiTrust Record</v>
      </c>
      <c r="AS2422" s="6" t="str">
        <f>HYPERLINK("https://creighton-primo.hosted.exlibrisgroup.com/primo-explore/search?tab=default_tab&amp;search_scope=EVERYTHING&amp;vid=01CRU&amp;lang=en_US&amp;offset=0&amp;query=any,contains,991004866669702656","Catalog Record")</f>
        <v>Catalog Record</v>
      </c>
      <c r="AT2422" s="6" t="str">
        <f>HYPERLINK("http://www.worldcat.org/oclc/5727471","WorldCat Record")</f>
        <v>WorldCat Record</v>
      </c>
      <c r="AU2422" s="3" t="s">
        <v>29551</v>
      </c>
      <c r="AV2422" s="3" t="s">
        <v>29552</v>
      </c>
      <c r="AW2422" s="3" t="s">
        <v>29553</v>
      </c>
      <c r="AX2422" s="3" t="s">
        <v>29553</v>
      </c>
      <c r="AY2422" s="3" t="s">
        <v>29554</v>
      </c>
      <c r="AZ2422" s="3" t="s">
        <v>73</v>
      </c>
      <c r="BB2422" s="3" t="s">
        <v>29555</v>
      </c>
      <c r="BC2422" s="3" t="s">
        <v>29556</v>
      </c>
      <c r="BD2422" s="3" t="s">
        <v>29557</v>
      </c>
    </row>
    <row r="2423" spans="1:56" ht="51" customHeight="1" x14ac:dyDescent="0.25">
      <c r="A2423" s="7" t="s">
        <v>58</v>
      </c>
      <c r="B2423" s="2" t="s">
        <v>29558</v>
      </c>
      <c r="C2423" s="2" t="s">
        <v>29559</v>
      </c>
      <c r="D2423" s="2" t="s">
        <v>29560</v>
      </c>
      <c r="F2423" s="3" t="s">
        <v>58</v>
      </c>
      <c r="G2423" s="3" t="s">
        <v>59</v>
      </c>
      <c r="H2423" s="3" t="s">
        <v>58</v>
      </c>
      <c r="I2423" s="3" t="s">
        <v>58</v>
      </c>
      <c r="J2423" s="3" t="s">
        <v>60</v>
      </c>
      <c r="K2423" s="2" t="s">
        <v>29561</v>
      </c>
      <c r="L2423" s="2" t="s">
        <v>29562</v>
      </c>
      <c r="M2423" s="3" t="s">
        <v>1499</v>
      </c>
      <c r="O2423" s="3" t="s">
        <v>63</v>
      </c>
      <c r="P2423" s="3" t="s">
        <v>214</v>
      </c>
      <c r="Q2423" s="2" t="s">
        <v>29563</v>
      </c>
      <c r="R2423" s="3" t="s">
        <v>65</v>
      </c>
      <c r="S2423" s="4">
        <v>9</v>
      </c>
      <c r="T2423" s="4">
        <v>9</v>
      </c>
      <c r="U2423" s="5" t="s">
        <v>29564</v>
      </c>
      <c r="V2423" s="5" t="s">
        <v>29564</v>
      </c>
      <c r="W2423" s="5" t="s">
        <v>28924</v>
      </c>
      <c r="X2423" s="5" t="s">
        <v>28924</v>
      </c>
      <c r="Y2423" s="4">
        <v>2151</v>
      </c>
      <c r="Z2423" s="4">
        <v>2032</v>
      </c>
      <c r="AA2423" s="4">
        <v>2231</v>
      </c>
      <c r="AB2423" s="4">
        <v>17</v>
      </c>
      <c r="AC2423" s="4">
        <v>18</v>
      </c>
      <c r="AD2423" s="4">
        <v>35</v>
      </c>
      <c r="AE2423" s="4">
        <v>38</v>
      </c>
      <c r="AF2423" s="4">
        <v>16</v>
      </c>
      <c r="AG2423" s="4">
        <v>18</v>
      </c>
      <c r="AH2423" s="4">
        <v>7</v>
      </c>
      <c r="AI2423" s="4">
        <v>7</v>
      </c>
      <c r="AJ2423" s="4">
        <v>16</v>
      </c>
      <c r="AK2423" s="4">
        <v>17</v>
      </c>
      <c r="AL2423" s="4">
        <v>6</v>
      </c>
      <c r="AM2423" s="4">
        <v>6</v>
      </c>
      <c r="AN2423" s="4">
        <v>0</v>
      </c>
      <c r="AO2423" s="4">
        <v>0</v>
      </c>
      <c r="AP2423" s="3" t="s">
        <v>58</v>
      </c>
      <c r="AQ2423" s="3" t="s">
        <v>58</v>
      </c>
      <c r="AS2423" s="6" t="str">
        <f>HYPERLINK("https://creighton-primo.hosted.exlibrisgroup.com/primo-explore/search?tab=default_tab&amp;search_scope=EVERYTHING&amp;vid=01CRU&amp;lang=en_US&amp;offset=0&amp;query=any,contains,991002739799702656","Catalog Record")</f>
        <v>Catalog Record</v>
      </c>
      <c r="AT2423" s="6" t="str">
        <f>HYPERLINK("http://www.worldcat.org/oclc/420668","WorldCat Record")</f>
        <v>WorldCat Record</v>
      </c>
      <c r="AU2423" s="3" t="s">
        <v>29565</v>
      </c>
      <c r="AV2423" s="3" t="s">
        <v>29566</v>
      </c>
      <c r="AW2423" s="3" t="s">
        <v>29567</v>
      </c>
      <c r="AX2423" s="3" t="s">
        <v>29567</v>
      </c>
      <c r="AY2423" s="3" t="s">
        <v>29568</v>
      </c>
      <c r="AZ2423" s="3" t="s">
        <v>73</v>
      </c>
      <c r="BC2423" s="3" t="s">
        <v>29569</v>
      </c>
      <c r="BD2423" s="3" t="s">
        <v>29570</v>
      </c>
    </row>
    <row r="2424" spans="1:56" ht="51" customHeight="1" x14ac:dyDescent="0.25">
      <c r="A2424" s="7" t="s">
        <v>58</v>
      </c>
      <c r="B2424" s="2" t="s">
        <v>29571</v>
      </c>
      <c r="C2424" s="2" t="s">
        <v>29572</v>
      </c>
      <c r="D2424" s="2" t="s">
        <v>29573</v>
      </c>
      <c r="F2424" s="3" t="s">
        <v>58</v>
      </c>
      <c r="G2424" s="3" t="s">
        <v>59</v>
      </c>
      <c r="H2424" s="3" t="s">
        <v>58</v>
      </c>
      <c r="I2424" s="3" t="s">
        <v>58</v>
      </c>
      <c r="J2424" s="3" t="s">
        <v>60</v>
      </c>
      <c r="K2424" s="2" t="s">
        <v>29574</v>
      </c>
      <c r="L2424" s="2" t="s">
        <v>29575</v>
      </c>
      <c r="M2424" s="3" t="s">
        <v>1061</v>
      </c>
      <c r="O2424" s="3" t="s">
        <v>63</v>
      </c>
      <c r="P2424" s="3" t="s">
        <v>10160</v>
      </c>
      <c r="R2424" s="3" t="s">
        <v>65</v>
      </c>
      <c r="S2424" s="4">
        <v>4</v>
      </c>
      <c r="T2424" s="4">
        <v>4</v>
      </c>
      <c r="U2424" s="5" t="s">
        <v>5022</v>
      </c>
      <c r="V2424" s="5" t="s">
        <v>5022</v>
      </c>
      <c r="W2424" s="5" t="s">
        <v>15185</v>
      </c>
      <c r="X2424" s="5" t="s">
        <v>15185</v>
      </c>
      <c r="Y2424" s="4">
        <v>659</v>
      </c>
      <c r="Z2424" s="4">
        <v>513</v>
      </c>
      <c r="AA2424" s="4">
        <v>1130</v>
      </c>
      <c r="AB2424" s="4">
        <v>4</v>
      </c>
      <c r="AC2424" s="4">
        <v>5</v>
      </c>
      <c r="AD2424" s="4">
        <v>33</v>
      </c>
      <c r="AE2424" s="4">
        <v>40</v>
      </c>
      <c r="AF2424" s="4">
        <v>14</v>
      </c>
      <c r="AG2424" s="4">
        <v>19</v>
      </c>
      <c r="AH2424" s="4">
        <v>8</v>
      </c>
      <c r="AI2424" s="4">
        <v>10</v>
      </c>
      <c r="AJ2424" s="4">
        <v>17</v>
      </c>
      <c r="AK2424" s="4">
        <v>18</v>
      </c>
      <c r="AL2424" s="4">
        <v>3</v>
      </c>
      <c r="AM2424" s="4">
        <v>4</v>
      </c>
      <c r="AN2424" s="4">
        <v>0</v>
      </c>
      <c r="AO2424" s="4">
        <v>0</v>
      </c>
      <c r="AP2424" s="3" t="s">
        <v>58</v>
      </c>
      <c r="AQ2424" s="3" t="s">
        <v>68</v>
      </c>
      <c r="AR2424" s="6" t="str">
        <f>HYPERLINK("http://catalog.hathitrust.org/Record/003148375","HathiTrust Record")</f>
        <v>HathiTrust Record</v>
      </c>
      <c r="AS2424" s="6" t="str">
        <f>HYPERLINK("https://creighton-primo.hosted.exlibrisgroup.com/primo-explore/search?tab=default_tab&amp;search_scope=EVERYTHING&amp;vid=01CRU&amp;lang=en_US&amp;offset=0&amp;query=any,contains,991002682219702656","Catalog Record")</f>
        <v>Catalog Record</v>
      </c>
      <c r="AT2424" s="6" t="str">
        <f>HYPERLINK("http://www.worldcat.org/oclc/35043786","WorldCat Record")</f>
        <v>WorldCat Record</v>
      </c>
      <c r="AU2424" s="3" t="s">
        <v>29576</v>
      </c>
      <c r="AV2424" s="3" t="s">
        <v>29577</v>
      </c>
      <c r="AW2424" s="3" t="s">
        <v>29578</v>
      </c>
      <c r="AX2424" s="3" t="s">
        <v>29578</v>
      </c>
      <c r="AY2424" s="3" t="s">
        <v>29579</v>
      </c>
      <c r="AZ2424" s="3" t="s">
        <v>73</v>
      </c>
      <c r="BB2424" s="3" t="s">
        <v>29580</v>
      </c>
      <c r="BC2424" s="3" t="s">
        <v>29581</v>
      </c>
      <c r="BD2424" s="3" t="s">
        <v>29582</v>
      </c>
    </row>
    <row r="2425" spans="1:56" ht="51" customHeight="1" x14ac:dyDescent="0.25">
      <c r="A2425" s="7" t="s">
        <v>58</v>
      </c>
      <c r="B2425" s="2" t="s">
        <v>29583</v>
      </c>
      <c r="C2425" s="2" t="s">
        <v>29584</v>
      </c>
      <c r="D2425" s="2" t="s">
        <v>29585</v>
      </c>
      <c r="F2425" s="3" t="s">
        <v>58</v>
      </c>
      <c r="G2425" s="3" t="s">
        <v>59</v>
      </c>
      <c r="H2425" s="3" t="s">
        <v>58</v>
      </c>
      <c r="I2425" s="3" t="s">
        <v>58</v>
      </c>
      <c r="J2425" s="3" t="s">
        <v>60</v>
      </c>
      <c r="K2425" s="2" t="s">
        <v>29586</v>
      </c>
      <c r="L2425" s="2" t="s">
        <v>29587</v>
      </c>
      <c r="M2425" s="3" t="s">
        <v>1153</v>
      </c>
      <c r="O2425" s="3" t="s">
        <v>63</v>
      </c>
      <c r="P2425" s="3" t="s">
        <v>10900</v>
      </c>
      <c r="R2425" s="3" t="s">
        <v>65</v>
      </c>
      <c r="S2425" s="4">
        <v>3</v>
      </c>
      <c r="T2425" s="4">
        <v>3</v>
      </c>
      <c r="U2425" s="5" t="s">
        <v>29588</v>
      </c>
      <c r="V2425" s="5" t="s">
        <v>29588</v>
      </c>
      <c r="W2425" s="5" t="s">
        <v>28924</v>
      </c>
      <c r="X2425" s="5" t="s">
        <v>28924</v>
      </c>
      <c r="Y2425" s="4">
        <v>473</v>
      </c>
      <c r="Z2425" s="4">
        <v>368</v>
      </c>
      <c r="AA2425" s="4">
        <v>368</v>
      </c>
      <c r="AB2425" s="4">
        <v>3</v>
      </c>
      <c r="AC2425" s="4">
        <v>3</v>
      </c>
      <c r="AD2425" s="4">
        <v>21</v>
      </c>
      <c r="AE2425" s="4">
        <v>21</v>
      </c>
      <c r="AF2425" s="4">
        <v>7</v>
      </c>
      <c r="AG2425" s="4">
        <v>7</v>
      </c>
      <c r="AH2425" s="4">
        <v>6</v>
      </c>
      <c r="AI2425" s="4">
        <v>6</v>
      </c>
      <c r="AJ2425" s="4">
        <v>13</v>
      </c>
      <c r="AK2425" s="4">
        <v>13</v>
      </c>
      <c r="AL2425" s="4">
        <v>2</v>
      </c>
      <c r="AM2425" s="4">
        <v>2</v>
      </c>
      <c r="AN2425" s="4">
        <v>0</v>
      </c>
      <c r="AO2425" s="4">
        <v>0</v>
      </c>
      <c r="AP2425" s="3" t="s">
        <v>58</v>
      </c>
      <c r="AQ2425" s="3" t="s">
        <v>58</v>
      </c>
      <c r="AS2425" s="6" t="str">
        <f>HYPERLINK("https://creighton-primo.hosted.exlibrisgroup.com/primo-explore/search?tab=default_tab&amp;search_scope=EVERYTHING&amp;vid=01CRU&amp;lang=en_US&amp;offset=0&amp;query=any,contains,991003150059702656","Catalog Record")</f>
        <v>Catalog Record</v>
      </c>
      <c r="AT2425" s="6" t="str">
        <f>HYPERLINK("http://www.worldcat.org/oclc/689395","WorldCat Record")</f>
        <v>WorldCat Record</v>
      </c>
      <c r="AU2425" s="3" t="s">
        <v>29589</v>
      </c>
      <c r="AV2425" s="3" t="s">
        <v>29590</v>
      </c>
      <c r="AW2425" s="3" t="s">
        <v>29591</v>
      </c>
      <c r="AX2425" s="3" t="s">
        <v>29591</v>
      </c>
      <c r="AY2425" s="3" t="s">
        <v>29592</v>
      </c>
      <c r="AZ2425" s="3" t="s">
        <v>73</v>
      </c>
      <c r="BB2425" s="3" t="s">
        <v>29593</v>
      </c>
      <c r="BC2425" s="3" t="s">
        <v>29594</v>
      </c>
      <c r="BD2425" s="3" t="s">
        <v>29595</v>
      </c>
    </row>
    <row r="2426" spans="1:56" ht="51" customHeight="1" x14ac:dyDescent="0.25">
      <c r="A2426" s="7" t="s">
        <v>58</v>
      </c>
      <c r="B2426" s="2" t="s">
        <v>29596</v>
      </c>
      <c r="C2426" s="2" t="s">
        <v>29597</v>
      </c>
      <c r="D2426" s="2" t="s">
        <v>29598</v>
      </c>
      <c r="F2426" s="3" t="s">
        <v>58</v>
      </c>
      <c r="G2426" s="3" t="s">
        <v>59</v>
      </c>
      <c r="H2426" s="3" t="s">
        <v>58</v>
      </c>
      <c r="I2426" s="3" t="s">
        <v>58</v>
      </c>
      <c r="J2426" s="3" t="s">
        <v>60</v>
      </c>
      <c r="L2426" s="2" t="s">
        <v>15108</v>
      </c>
      <c r="M2426" s="3" t="s">
        <v>1784</v>
      </c>
      <c r="O2426" s="3" t="s">
        <v>63</v>
      </c>
      <c r="P2426" s="3" t="s">
        <v>354</v>
      </c>
      <c r="R2426" s="3" t="s">
        <v>65</v>
      </c>
      <c r="S2426" s="4">
        <v>2</v>
      </c>
      <c r="T2426" s="4">
        <v>2</v>
      </c>
      <c r="U2426" s="5" t="s">
        <v>29235</v>
      </c>
      <c r="V2426" s="5" t="s">
        <v>29235</v>
      </c>
      <c r="W2426" s="5" t="s">
        <v>28924</v>
      </c>
      <c r="X2426" s="5" t="s">
        <v>28924</v>
      </c>
      <c r="Y2426" s="4">
        <v>571</v>
      </c>
      <c r="Z2426" s="4">
        <v>419</v>
      </c>
      <c r="AA2426" s="4">
        <v>708</v>
      </c>
      <c r="AB2426" s="4">
        <v>3</v>
      </c>
      <c r="AC2426" s="4">
        <v>5</v>
      </c>
      <c r="AD2426" s="4">
        <v>16</v>
      </c>
      <c r="AE2426" s="4">
        <v>27</v>
      </c>
      <c r="AF2426" s="4">
        <v>5</v>
      </c>
      <c r="AG2426" s="4">
        <v>11</v>
      </c>
      <c r="AH2426" s="4">
        <v>3</v>
      </c>
      <c r="AI2426" s="4">
        <v>7</v>
      </c>
      <c r="AJ2426" s="4">
        <v>10</v>
      </c>
      <c r="AK2426" s="4">
        <v>13</v>
      </c>
      <c r="AL2426" s="4">
        <v>2</v>
      </c>
      <c r="AM2426" s="4">
        <v>3</v>
      </c>
      <c r="AN2426" s="4">
        <v>0</v>
      </c>
      <c r="AO2426" s="4">
        <v>0</v>
      </c>
      <c r="AP2426" s="3" t="s">
        <v>58</v>
      </c>
      <c r="AQ2426" s="3" t="s">
        <v>58</v>
      </c>
      <c r="AS2426" s="6" t="str">
        <f>HYPERLINK("https://creighton-primo.hosted.exlibrisgroup.com/primo-explore/search?tab=default_tab&amp;search_scope=EVERYTHING&amp;vid=01CRU&amp;lang=en_US&amp;offset=0&amp;query=any,contains,991004674679702656","Catalog Record")</f>
        <v>Catalog Record</v>
      </c>
      <c r="AT2426" s="6" t="str">
        <f>HYPERLINK("http://www.worldcat.org/oclc/4529743","WorldCat Record")</f>
        <v>WorldCat Record</v>
      </c>
      <c r="AU2426" s="3" t="s">
        <v>29599</v>
      </c>
      <c r="AV2426" s="3" t="s">
        <v>29600</v>
      </c>
      <c r="AW2426" s="3" t="s">
        <v>29601</v>
      </c>
      <c r="AX2426" s="3" t="s">
        <v>29601</v>
      </c>
      <c r="AY2426" s="3" t="s">
        <v>29602</v>
      </c>
      <c r="AZ2426" s="3" t="s">
        <v>73</v>
      </c>
      <c r="BB2426" s="3" t="s">
        <v>29603</v>
      </c>
      <c r="BC2426" s="3" t="s">
        <v>29604</v>
      </c>
      <c r="BD2426" s="3" t="s">
        <v>29605</v>
      </c>
    </row>
    <row r="2427" spans="1:56" ht="51" customHeight="1" x14ac:dyDescent="0.25">
      <c r="A2427" s="7" t="s">
        <v>58</v>
      </c>
      <c r="B2427" s="2" t="s">
        <v>29606</v>
      </c>
      <c r="C2427" s="2" t="s">
        <v>29607</v>
      </c>
      <c r="D2427" s="2" t="s">
        <v>29608</v>
      </c>
      <c r="F2427" s="3" t="s">
        <v>58</v>
      </c>
      <c r="G2427" s="3" t="s">
        <v>59</v>
      </c>
      <c r="H2427" s="3" t="s">
        <v>58</v>
      </c>
      <c r="I2427" s="3" t="s">
        <v>58</v>
      </c>
      <c r="J2427" s="3" t="s">
        <v>60</v>
      </c>
      <c r="L2427" s="2" t="s">
        <v>29609</v>
      </c>
      <c r="M2427" s="3" t="s">
        <v>951</v>
      </c>
      <c r="O2427" s="3" t="s">
        <v>63</v>
      </c>
      <c r="P2427" s="3" t="s">
        <v>10160</v>
      </c>
      <c r="R2427" s="3" t="s">
        <v>65</v>
      </c>
      <c r="S2427" s="4">
        <v>3</v>
      </c>
      <c r="T2427" s="4">
        <v>3</v>
      </c>
      <c r="U2427" s="5" t="s">
        <v>27951</v>
      </c>
      <c r="V2427" s="5" t="s">
        <v>27951</v>
      </c>
      <c r="W2427" s="5" t="s">
        <v>23914</v>
      </c>
      <c r="X2427" s="5" t="s">
        <v>23914</v>
      </c>
      <c r="Y2427" s="4">
        <v>343</v>
      </c>
      <c r="Z2427" s="4">
        <v>270</v>
      </c>
      <c r="AA2427" s="4">
        <v>271</v>
      </c>
      <c r="AB2427" s="4">
        <v>2</v>
      </c>
      <c r="AC2427" s="4">
        <v>2</v>
      </c>
      <c r="AD2427" s="4">
        <v>16</v>
      </c>
      <c r="AE2427" s="4">
        <v>16</v>
      </c>
      <c r="AF2427" s="4">
        <v>5</v>
      </c>
      <c r="AG2427" s="4">
        <v>5</v>
      </c>
      <c r="AH2427" s="4">
        <v>7</v>
      </c>
      <c r="AI2427" s="4">
        <v>7</v>
      </c>
      <c r="AJ2427" s="4">
        <v>9</v>
      </c>
      <c r="AK2427" s="4">
        <v>9</v>
      </c>
      <c r="AL2427" s="4">
        <v>1</v>
      </c>
      <c r="AM2427" s="4">
        <v>1</v>
      </c>
      <c r="AN2427" s="4">
        <v>0</v>
      </c>
      <c r="AO2427" s="4">
        <v>0</v>
      </c>
      <c r="AP2427" s="3" t="s">
        <v>58</v>
      </c>
      <c r="AQ2427" s="3" t="s">
        <v>58</v>
      </c>
      <c r="AS2427" s="6" t="str">
        <f>HYPERLINK("https://creighton-primo.hosted.exlibrisgroup.com/primo-explore/search?tab=default_tab&amp;search_scope=EVERYTHING&amp;vid=01CRU&amp;lang=en_US&amp;offset=0&amp;query=any,contains,991003912299702656","Catalog Record")</f>
        <v>Catalog Record</v>
      </c>
      <c r="AT2427" s="6" t="str">
        <f>HYPERLINK("http://www.worldcat.org/oclc/44947406","WorldCat Record")</f>
        <v>WorldCat Record</v>
      </c>
      <c r="AU2427" s="3" t="s">
        <v>29610</v>
      </c>
      <c r="AV2427" s="3" t="s">
        <v>29611</v>
      </c>
      <c r="AW2427" s="3" t="s">
        <v>29612</v>
      </c>
      <c r="AX2427" s="3" t="s">
        <v>29612</v>
      </c>
      <c r="AY2427" s="3" t="s">
        <v>29613</v>
      </c>
      <c r="AZ2427" s="3" t="s">
        <v>73</v>
      </c>
      <c r="BB2427" s="3" t="s">
        <v>29614</v>
      </c>
      <c r="BC2427" s="3" t="s">
        <v>29615</v>
      </c>
      <c r="BD2427" s="3" t="s">
        <v>29616</v>
      </c>
    </row>
    <row r="2428" spans="1:56" ht="51" customHeight="1" x14ac:dyDescent="0.25">
      <c r="A2428" s="7" t="s">
        <v>58</v>
      </c>
      <c r="B2428" s="2" t="s">
        <v>29617</v>
      </c>
      <c r="C2428" s="2" t="s">
        <v>29618</v>
      </c>
      <c r="D2428" s="2" t="s">
        <v>29619</v>
      </c>
      <c r="F2428" s="3" t="s">
        <v>58</v>
      </c>
      <c r="G2428" s="3" t="s">
        <v>59</v>
      </c>
      <c r="H2428" s="3" t="s">
        <v>58</v>
      </c>
      <c r="I2428" s="3" t="s">
        <v>58</v>
      </c>
      <c r="J2428" s="3" t="s">
        <v>60</v>
      </c>
      <c r="L2428" s="2" t="s">
        <v>29620</v>
      </c>
      <c r="M2428" s="3" t="s">
        <v>423</v>
      </c>
      <c r="O2428" s="3" t="s">
        <v>63</v>
      </c>
      <c r="P2428" s="3" t="s">
        <v>10160</v>
      </c>
      <c r="R2428" s="3" t="s">
        <v>65</v>
      </c>
      <c r="S2428" s="4">
        <v>4</v>
      </c>
      <c r="T2428" s="4">
        <v>4</v>
      </c>
      <c r="U2428" s="5" t="s">
        <v>817</v>
      </c>
      <c r="V2428" s="5" t="s">
        <v>817</v>
      </c>
      <c r="W2428" s="5" t="s">
        <v>9162</v>
      </c>
      <c r="X2428" s="5" t="s">
        <v>9162</v>
      </c>
      <c r="Y2428" s="4">
        <v>373</v>
      </c>
      <c r="Z2428" s="4">
        <v>278</v>
      </c>
      <c r="AA2428" s="4">
        <v>1173</v>
      </c>
      <c r="AB2428" s="4">
        <v>3</v>
      </c>
      <c r="AC2428" s="4">
        <v>5</v>
      </c>
      <c r="AD2428" s="4">
        <v>18</v>
      </c>
      <c r="AE2428" s="4">
        <v>32</v>
      </c>
      <c r="AF2428" s="4">
        <v>4</v>
      </c>
      <c r="AG2428" s="4">
        <v>13</v>
      </c>
      <c r="AH2428" s="4">
        <v>6</v>
      </c>
      <c r="AI2428" s="4">
        <v>9</v>
      </c>
      <c r="AJ2428" s="4">
        <v>9</v>
      </c>
      <c r="AK2428" s="4">
        <v>15</v>
      </c>
      <c r="AL2428" s="4">
        <v>2</v>
      </c>
      <c r="AM2428" s="4">
        <v>4</v>
      </c>
      <c r="AN2428" s="4">
        <v>0</v>
      </c>
      <c r="AO2428" s="4">
        <v>0</v>
      </c>
      <c r="AP2428" s="3" t="s">
        <v>58</v>
      </c>
      <c r="AQ2428" s="3" t="s">
        <v>58</v>
      </c>
      <c r="AS2428" s="6" t="str">
        <f>HYPERLINK("https://creighton-primo.hosted.exlibrisgroup.com/primo-explore/search?tab=default_tab&amp;search_scope=EVERYTHING&amp;vid=01CRU&amp;lang=en_US&amp;offset=0&amp;query=any,contains,991003997329702656","Catalog Record")</f>
        <v>Catalog Record</v>
      </c>
      <c r="AT2428" s="6" t="str">
        <f>HYPERLINK("http://www.worldcat.org/oclc/38732036","WorldCat Record")</f>
        <v>WorldCat Record</v>
      </c>
      <c r="AU2428" s="3" t="s">
        <v>29621</v>
      </c>
      <c r="AV2428" s="3" t="s">
        <v>29622</v>
      </c>
      <c r="AW2428" s="3" t="s">
        <v>29623</v>
      </c>
      <c r="AX2428" s="3" t="s">
        <v>29623</v>
      </c>
      <c r="AY2428" s="3" t="s">
        <v>29624</v>
      </c>
      <c r="AZ2428" s="3" t="s">
        <v>73</v>
      </c>
      <c r="BB2428" s="3" t="s">
        <v>29625</v>
      </c>
      <c r="BC2428" s="3" t="s">
        <v>29626</v>
      </c>
      <c r="BD2428" s="3" t="s">
        <v>29627</v>
      </c>
    </row>
    <row r="2429" spans="1:56" ht="51" customHeight="1" x14ac:dyDescent="0.25">
      <c r="A2429" s="7" t="s">
        <v>58</v>
      </c>
      <c r="B2429" s="2" t="s">
        <v>29628</v>
      </c>
      <c r="C2429" s="2" t="s">
        <v>29629</v>
      </c>
      <c r="D2429" s="2" t="s">
        <v>29630</v>
      </c>
      <c r="F2429" s="3" t="s">
        <v>58</v>
      </c>
      <c r="G2429" s="3" t="s">
        <v>59</v>
      </c>
      <c r="H2429" s="3" t="s">
        <v>58</v>
      </c>
      <c r="I2429" s="3" t="s">
        <v>58</v>
      </c>
      <c r="J2429" s="3" t="s">
        <v>60</v>
      </c>
      <c r="K2429" s="2" t="s">
        <v>29631</v>
      </c>
      <c r="L2429" s="2" t="s">
        <v>29632</v>
      </c>
      <c r="M2429" s="3" t="s">
        <v>524</v>
      </c>
      <c r="O2429" s="3" t="s">
        <v>63</v>
      </c>
      <c r="P2429" s="3" t="s">
        <v>2061</v>
      </c>
      <c r="R2429" s="3" t="s">
        <v>65</v>
      </c>
      <c r="S2429" s="4">
        <v>2</v>
      </c>
      <c r="T2429" s="4">
        <v>2</v>
      </c>
      <c r="U2429" s="5" t="s">
        <v>18451</v>
      </c>
      <c r="V2429" s="5" t="s">
        <v>18451</v>
      </c>
      <c r="W2429" s="5" t="s">
        <v>28924</v>
      </c>
      <c r="X2429" s="5" t="s">
        <v>28924</v>
      </c>
      <c r="Y2429" s="4">
        <v>408</v>
      </c>
      <c r="Z2429" s="4">
        <v>307</v>
      </c>
      <c r="AA2429" s="4">
        <v>320</v>
      </c>
      <c r="AB2429" s="4">
        <v>4</v>
      </c>
      <c r="AC2429" s="4">
        <v>4</v>
      </c>
      <c r="AD2429" s="4">
        <v>21</v>
      </c>
      <c r="AE2429" s="4">
        <v>21</v>
      </c>
      <c r="AF2429" s="4">
        <v>6</v>
      </c>
      <c r="AG2429" s="4">
        <v>6</v>
      </c>
      <c r="AH2429" s="4">
        <v>7</v>
      </c>
      <c r="AI2429" s="4">
        <v>7</v>
      </c>
      <c r="AJ2429" s="4">
        <v>12</v>
      </c>
      <c r="AK2429" s="4">
        <v>12</v>
      </c>
      <c r="AL2429" s="4">
        <v>3</v>
      </c>
      <c r="AM2429" s="4">
        <v>3</v>
      </c>
      <c r="AN2429" s="4">
        <v>0</v>
      </c>
      <c r="AO2429" s="4">
        <v>0</v>
      </c>
      <c r="AP2429" s="3" t="s">
        <v>58</v>
      </c>
      <c r="AQ2429" s="3" t="s">
        <v>58</v>
      </c>
      <c r="AS2429" s="6" t="str">
        <f>HYPERLINK("https://creighton-primo.hosted.exlibrisgroup.com/primo-explore/search?tab=default_tab&amp;search_scope=EVERYTHING&amp;vid=01CRU&amp;lang=en_US&amp;offset=0&amp;query=any,contains,991000725159702656","Catalog Record")</f>
        <v>Catalog Record</v>
      </c>
      <c r="AT2429" s="6" t="str">
        <f>HYPERLINK("http://www.worldcat.org/oclc/12694021","WorldCat Record")</f>
        <v>WorldCat Record</v>
      </c>
      <c r="AU2429" s="3" t="s">
        <v>29633</v>
      </c>
      <c r="AV2429" s="3" t="s">
        <v>29634</v>
      </c>
      <c r="AW2429" s="3" t="s">
        <v>29635</v>
      </c>
      <c r="AX2429" s="3" t="s">
        <v>29635</v>
      </c>
      <c r="AY2429" s="3" t="s">
        <v>29636</v>
      </c>
      <c r="AZ2429" s="3" t="s">
        <v>73</v>
      </c>
      <c r="BB2429" s="3" t="s">
        <v>29637</v>
      </c>
      <c r="BC2429" s="3" t="s">
        <v>29638</v>
      </c>
      <c r="BD2429" s="3" t="s">
        <v>29639</v>
      </c>
    </row>
    <row r="2430" spans="1:56" ht="51" customHeight="1" x14ac:dyDescent="0.25">
      <c r="A2430" s="7" t="s">
        <v>58</v>
      </c>
      <c r="B2430" s="2" t="s">
        <v>29640</v>
      </c>
      <c r="C2430" s="2" t="s">
        <v>29641</v>
      </c>
      <c r="D2430" s="2" t="s">
        <v>29642</v>
      </c>
      <c r="F2430" s="3" t="s">
        <v>58</v>
      </c>
      <c r="G2430" s="3" t="s">
        <v>59</v>
      </c>
      <c r="H2430" s="3" t="s">
        <v>58</v>
      </c>
      <c r="I2430" s="3" t="s">
        <v>58</v>
      </c>
      <c r="J2430" s="3" t="s">
        <v>60</v>
      </c>
      <c r="K2430" s="2" t="s">
        <v>29643</v>
      </c>
      <c r="L2430" s="2" t="s">
        <v>29644</v>
      </c>
      <c r="M2430" s="3" t="s">
        <v>855</v>
      </c>
      <c r="O2430" s="3" t="s">
        <v>63</v>
      </c>
      <c r="P2430" s="3" t="s">
        <v>816</v>
      </c>
      <c r="R2430" s="3" t="s">
        <v>65</v>
      </c>
      <c r="S2430" s="4">
        <v>2</v>
      </c>
      <c r="T2430" s="4">
        <v>2</v>
      </c>
      <c r="U2430" s="5" t="s">
        <v>29645</v>
      </c>
      <c r="V2430" s="5" t="s">
        <v>29645</v>
      </c>
      <c r="W2430" s="5" t="s">
        <v>29646</v>
      </c>
      <c r="X2430" s="5" t="s">
        <v>29646</v>
      </c>
      <c r="Y2430" s="4">
        <v>297</v>
      </c>
      <c r="Z2430" s="4">
        <v>277</v>
      </c>
      <c r="AA2430" s="4">
        <v>290</v>
      </c>
      <c r="AB2430" s="4">
        <v>2</v>
      </c>
      <c r="AC2430" s="4">
        <v>2</v>
      </c>
      <c r="AD2430" s="4">
        <v>7</v>
      </c>
      <c r="AE2430" s="4">
        <v>7</v>
      </c>
      <c r="AF2430" s="4">
        <v>2</v>
      </c>
      <c r="AG2430" s="4">
        <v>2</v>
      </c>
      <c r="AH2430" s="4">
        <v>1</v>
      </c>
      <c r="AI2430" s="4">
        <v>1</v>
      </c>
      <c r="AJ2430" s="4">
        <v>5</v>
      </c>
      <c r="AK2430" s="4">
        <v>5</v>
      </c>
      <c r="AL2430" s="4">
        <v>1</v>
      </c>
      <c r="AM2430" s="4">
        <v>1</v>
      </c>
      <c r="AN2430" s="4">
        <v>0</v>
      </c>
      <c r="AO2430" s="4">
        <v>0</v>
      </c>
      <c r="AP2430" s="3" t="s">
        <v>58</v>
      </c>
      <c r="AQ2430" s="3" t="s">
        <v>68</v>
      </c>
      <c r="AR2430" s="6" t="str">
        <f>HYPERLINK("http://catalog.hathitrust.org/Record/002600620","HathiTrust Record")</f>
        <v>HathiTrust Record</v>
      </c>
      <c r="AS2430" s="6" t="str">
        <f>HYPERLINK("https://creighton-primo.hosted.exlibrisgroup.com/primo-explore/search?tab=default_tab&amp;search_scope=EVERYTHING&amp;vid=01CRU&amp;lang=en_US&amp;offset=0&amp;query=any,contains,991002020999702656","Catalog Record")</f>
        <v>Catalog Record</v>
      </c>
      <c r="AT2430" s="6" t="str">
        <f>HYPERLINK("http://www.worldcat.org/oclc/25709819","WorldCat Record")</f>
        <v>WorldCat Record</v>
      </c>
      <c r="AU2430" s="3" t="s">
        <v>29647</v>
      </c>
      <c r="AV2430" s="3" t="s">
        <v>29648</v>
      </c>
      <c r="AW2430" s="3" t="s">
        <v>29649</v>
      </c>
      <c r="AX2430" s="3" t="s">
        <v>29649</v>
      </c>
      <c r="AY2430" s="3" t="s">
        <v>29650</v>
      </c>
      <c r="AZ2430" s="3" t="s">
        <v>73</v>
      </c>
      <c r="BB2430" s="3" t="s">
        <v>29651</v>
      </c>
      <c r="BC2430" s="3" t="s">
        <v>29652</v>
      </c>
      <c r="BD2430" s="3" t="s">
        <v>29653</v>
      </c>
    </row>
    <row r="2431" spans="1:56" ht="51" customHeight="1" x14ac:dyDescent="0.25">
      <c r="A2431" s="7" t="s">
        <v>58</v>
      </c>
      <c r="B2431" s="2" t="s">
        <v>29654</v>
      </c>
      <c r="C2431" s="2" t="s">
        <v>29655</v>
      </c>
      <c r="D2431" s="2" t="s">
        <v>29656</v>
      </c>
      <c r="F2431" s="3" t="s">
        <v>58</v>
      </c>
      <c r="G2431" s="3" t="s">
        <v>59</v>
      </c>
      <c r="H2431" s="3" t="s">
        <v>58</v>
      </c>
      <c r="I2431" s="3" t="s">
        <v>58</v>
      </c>
      <c r="J2431" s="3" t="s">
        <v>60</v>
      </c>
      <c r="K2431" s="2" t="s">
        <v>29657</v>
      </c>
      <c r="L2431" s="2" t="s">
        <v>29658</v>
      </c>
      <c r="M2431" s="3" t="s">
        <v>626</v>
      </c>
      <c r="O2431" s="3" t="s">
        <v>63</v>
      </c>
      <c r="P2431" s="3" t="s">
        <v>214</v>
      </c>
      <c r="R2431" s="3" t="s">
        <v>65</v>
      </c>
      <c r="S2431" s="4">
        <v>3</v>
      </c>
      <c r="T2431" s="4">
        <v>3</v>
      </c>
      <c r="U2431" s="5" t="s">
        <v>29659</v>
      </c>
      <c r="V2431" s="5" t="s">
        <v>29659</v>
      </c>
      <c r="W2431" s="5" t="s">
        <v>28924</v>
      </c>
      <c r="X2431" s="5" t="s">
        <v>28924</v>
      </c>
      <c r="Y2431" s="4">
        <v>699</v>
      </c>
      <c r="Z2431" s="4">
        <v>625</v>
      </c>
      <c r="AA2431" s="4">
        <v>724</v>
      </c>
      <c r="AB2431" s="4">
        <v>1</v>
      </c>
      <c r="AC2431" s="4">
        <v>2</v>
      </c>
      <c r="AD2431" s="4">
        <v>13</v>
      </c>
      <c r="AE2431" s="4">
        <v>20</v>
      </c>
      <c r="AF2431" s="4">
        <v>6</v>
      </c>
      <c r="AG2431" s="4">
        <v>7</v>
      </c>
      <c r="AH2431" s="4">
        <v>2</v>
      </c>
      <c r="AI2431" s="4">
        <v>5</v>
      </c>
      <c r="AJ2431" s="4">
        <v>6</v>
      </c>
      <c r="AK2431" s="4">
        <v>10</v>
      </c>
      <c r="AL2431" s="4">
        <v>0</v>
      </c>
      <c r="AM2431" s="4">
        <v>1</v>
      </c>
      <c r="AN2431" s="4">
        <v>0</v>
      </c>
      <c r="AO2431" s="4">
        <v>0</v>
      </c>
      <c r="AP2431" s="3" t="s">
        <v>58</v>
      </c>
      <c r="AQ2431" s="3" t="s">
        <v>68</v>
      </c>
      <c r="AR2431" s="6" t="str">
        <f>HYPERLINK("http://catalog.hathitrust.org/Record/000240788","HathiTrust Record")</f>
        <v>HathiTrust Record</v>
      </c>
      <c r="AS2431" s="6" t="str">
        <f>HYPERLINK("https://creighton-primo.hosted.exlibrisgroup.com/primo-explore/search?tab=default_tab&amp;search_scope=EVERYTHING&amp;vid=01CRU&amp;lang=en_US&amp;offset=0&amp;query=any,contains,991000308439702656","Catalog Record")</f>
        <v>Catalog Record</v>
      </c>
      <c r="AT2431" s="6" t="str">
        <f>HYPERLINK("http://www.worldcat.org/oclc/10072895","WorldCat Record")</f>
        <v>WorldCat Record</v>
      </c>
      <c r="AU2431" s="3" t="s">
        <v>29660</v>
      </c>
      <c r="AV2431" s="3" t="s">
        <v>29661</v>
      </c>
      <c r="AW2431" s="3" t="s">
        <v>29662</v>
      </c>
      <c r="AX2431" s="3" t="s">
        <v>29662</v>
      </c>
      <c r="AY2431" s="3" t="s">
        <v>29663</v>
      </c>
      <c r="AZ2431" s="3" t="s">
        <v>73</v>
      </c>
      <c r="BB2431" s="3" t="s">
        <v>29664</v>
      </c>
      <c r="BC2431" s="3" t="s">
        <v>29665</v>
      </c>
      <c r="BD2431" s="3" t="s">
        <v>29666</v>
      </c>
    </row>
    <row r="2432" spans="1:56" ht="51" customHeight="1" x14ac:dyDescent="0.25">
      <c r="A2432" s="7" t="s">
        <v>58</v>
      </c>
      <c r="B2432" s="2" t="s">
        <v>29667</v>
      </c>
      <c r="C2432" s="2" t="s">
        <v>29668</v>
      </c>
      <c r="D2432" s="2" t="s">
        <v>29669</v>
      </c>
      <c r="F2432" s="3" t="s">
        <v>58</v>
      </c>
      <c r="G2432" s="3" t="s">
        <v>59</v>
      </c>
      <c r="H2432" s="3" t="s">
        <v>58</v>
      </c>
      <c r="I2432" s="3" t="s">
        <v>58</v>
      </c>
      <c r="J2432" s="3" t="s">
        <v>60</v>
      </c>
      <c r="K2432" s="2" t="s">
        <v>29670</v>
      </c>
      <c r="L2432" s="2" t="s">
        <v>29671</v>
      </c>
      <c r="M2432" s="3" t="s">
        <v>138</v>
      </c>
      <c r="O2432" s="3" t="s">
        <v>63</v>
      </c>
      <c r="P2432" s="3" t="s">
        <v>10900</v>
      </c>
      <c r="R2432" s="3" t="s">
        <v>65</v>
      </c>
      <c r="S2432" s="4">
        <v>11</v>
      </c>
      <c r="T2432" s="4">
        <v>11</v>
      </c>
      <c r="U2432" s="5" t="s">
        <v>9223</v>
      </c>
      <c r="V2432" s="5" t="s">
        <v>9223</v>
      </c>
      <c r="W2432" s="5" t="s">
        <v>28924</v>
      </c>
      <c r="X2432" s="5" t="s">
        <v>28924</v>
      </c>
      <c r="Y2432" s="4">
        <v>558</v>
      </c>
      <c r="Z2432" s="4">
        <v>436</v>
      </c>
      <c r="AA2432" s="4">
        <v>606</v>
      </c>
      <c r="AB2432" s="4">
        <v>3</v>
      </c>
      <c r="AC2432" s="4">
        <v>5</v>
      </c>
      <c r="AD2432" s="4">
        <v>21</v>
      </c>
      <c r="AE2432" s="4">
        <v>29</v>
      </c>
      <c r="AF2432" s="4">
        <v>6</v>
      </c>
      <c r="AG2432" s="4">
        <v>11</v>
      </c>
      <c r="AH2432" s="4">
        <v>7</v>
      </c>
      <c r="AI2432" s="4">
        <v>7</v>
      </c>
      <c r="AJ2432" s="4">
        <v>10</v>
      </c>
      <c r="AK2432" s="4">
        <v>14</v>
      </c>
      <c r="AL2432" s="4">
        <v>2</v>
      </c>
      <c r="AM2432" s="4">
        <v>4</v>
      </c>
      <c r="AN2432" s="4">
        <v>0</v>
      </c>
      <c r="AO2432" s="4">
        <v>0</v>
      </c>
      <c r="AP2432" s="3" t="s">
        <v>58</v>
      </c>
      <c r="AQ2432" s="3" t="s">
        <v>68</v>
      </c>
      <c r="AR2432" s="6" t="str">
        <f>HYPERLINK("http://catalog.hathitrust.org/Record/000313812","HathiTrust Record")</f>
        <v>HathiTrust Record</v>
      </c>
      <c r="AS2432" s="6" t="str">
        <f>HYPERLINK("https://creighton-primo.hosted.exlibrisgroup.com/primo-explore/search?tab=default_tab&amp;search_scope=EVERYTHING&amp;vid=01CRU&amp;lang=en_US&amp;offset=0&amp;query=any,contains,991000137899702656","Catalog Record")</f>
        <v>Catalog Record</v>
      </c>
      <c r="AT2432" s="6" t="str">
        <f>HYPERLINK("http://www.worldcat.org/oclc/9143009","WorldCat Record")</f>
        <v>WorldCat Record</v>
      </c>
      <c r="AU2432" s="3" t="s">
        <v>29672</v>
      </c>
      <c r="AV2432" s="3" t="s">
        <v>29673</v>
      </c>
      <c r="AW2432" s="3" t="s">
        <v>29674</v>
      </c>
      <c r="AX2432" s="3" t="s">
        <v>29674</v>
      </c>
      <c r="AY2432" s="3" t="s">
        <v>29675</v>
      </c>
      <c r="AZ2432" s="3" t="s">
        <v>73</v>
      </c>
      <c r="BB2432" s="3" t="s">
        <v>29676</v>
      </c>
      <c r="BC2432" s="3" t="s">
        <v>29677</v>
      </c>
      <c r="BD2432" s="3" t="s">
        <v>29678</v>
      </c>
    </row>
    <row r="2433" spans="1:56" ht="51" customHeight="1" x14ac:dyDescent="0.25">
      <c r="A2433" s="7" t="s">
        <v>58</v>
      </c>
      <c r="B2433" s="2" t="s">
        <v>29679</v>
      </c>
      <c r="C2433" s="2" t="s">
        <v>29680</v>
      </c>
      <c r="D2433" s="2" t="s">
        <v>29681</v>
      </c>
      <c r="F2433" s="3" t="s">
        <v>58</v>
      </c>
      <c r="G2433" s="3" t="s">
        <v>59</v>
      </c>
      <c r="H2433" s="3" t="s">
        <v>58</v>
      </c>
      <c r="I2433" s="3" t="s">
        <v>58</v>
      </c>
      <c r="J2433" s="3" t="s">
        <v>60</v>
      </c>
      <c r="K2433" s="2" t="s">
        <v>21902</v>
      </c>
      <c r="L2433" s="2" t="s">
        <v>29682</v>
      </c>
      <c r="M2433" s="3" t="s">
        <v>261</v>
      </c>
      <c r="N2433" s="2" t="s">
        <v>338</v>
      </c>
      <c r="O2433" s="3" t="s">
        <v>63</v>
      </c>
      <c r="P2433" s="3" t="s">
        <v>816</v>
      </c>
      <c r="R2433" s="3" t="s">
        <v>65</v>
      </c>
      <c r="S2433" s="4">
        <v>4</v>
      </c>
      <c r="T2433" s="4">
        <v>4</v>
      </c>
      <c r="U2433" s="5" t="s">
        <v>29235</v>
      </c>
      <c r="V2433" s="5" t="s">
        <v>29235</v>
      </c>
      <c r="W2433" s="5" t="s">
        <v>29683</v>
      </c>
      <c r="X2433" s="5" t="s">
        <v>29683</v>
      </c>
      <c r="Y2433" s="4">
        <v>454</v>
      </c>
      <c r="Z2433" s="4">
        <v>403</v>
      </c>
      <c r="AA2433" s="4">
        <v>408</v>
      </c>
      <c r="AB2433" s="4">
        <v>5</v>
      </c>
      <c r="AC2433" s="4">
        <v>5</v>
      </c>
      <c r="AD2433" s="4">
        <v>6</v>
      </c>
      <c r="AE2433" s="4">
        <v>6</v>
      </c>
      <c r="AF2433" s="4">
        <v>2</v>
      </c>
      <c r="AG2433" s="4">
        <v>2</v>
      </c>
      <c r="AH2433" s="4">
        <v>1</v>
      </c>
      <c r="AI2433" s="4">
        <v>1</v>
      </c>
      <c r="AJ2433" s="4">
        <v>4</v>
      </c>
      <c r="AK2433" s="4">
        <v>4</v>
      </c>
      <c r="AL2433" s="4">
        <v>2</v>
      </c>
      <c r="AM2433" s="4">
        <v>2</v>
      </c>
      <c r="AN2433" s="4">
        <v>0</v>
      </c>
      <c r="AO2433" s="4">
        <v>0</v>
      </c>
      <c r="AP2433" s="3" t="s">
        <v>58</v>
      </c>
      <c r="AQ2433" s="3" t="s">
        <v>58</v>
      </c>
      <c r="AS2433" s="6" t="str">
        <f>HYPERLINK("https://creighton-primo.hosted.exlibrisgroup.com/primo-explore/search?tab=default_tab&amp;search_scope=EVERYTHING&amp;vid=01CRU&amp;lang=en_US&amp;offset=0&amp;query=any,contains,991003703579702656","Catalog Record")</f>
        <v>Catalog Record</v>
      </c>
      <c r="AT2433" s="6" t="str">
        <f>HYPERLINK("http://www.worldcat.org/oclc/1339825","WorldCat Record")</f>
        <v>WorldCat Record</v>
      </c>
      <c r="AU2433" s="3" t="s">
        <v>29684</v>
      </c>
      <c r="AV2433" s="3" t="s">
        <v>29685</v>
      </c>
      <c r="AW2433" s="3" t="s">
        <v>29686</v>
      </c>
      <c r="AX2433" s="3" t="s">
        <v>29686</v>
      </c>
      <c r="AY2433" s="3" t="s">
        <v>29687</v>
      </c>
      <c r="AZ2433" s="3" t="s">
        <v>73</v>
      </c>
      <c r="BB2433" s="3" t="s">
        <v>29688</v>
      </c>
      <c r="BC2433" s="3" t="s">
        <v>29689</v>
      </c>
      <c r="BD2433" s="3" t="s">
        <v>29690</v>
      </c>
    </row>
    <row r="2434" spans="1:56" ht="51" customHeight="1" x14ac:dyDescent="0.25">
      <c r="A2434" s="7" t="s">
        <v>58</v>
      </c>
      <c r="B2434" s="2" t="s">
        <v>29691</v>
      </c>
      <c r="C2434" s="2" t="s">
        <v>29692</v>
      </c>
      <c r="D2434" s="2" t="s">
        <v>29693</v>
      </c>
      <c r="F2434" s="3" t="s">
        <v>58</v>
      </c>
      <c r="G2434" s="3" t="s">
        <v>59</v>
      </c>
      <c r="H2434" s="3" t="s">
        <v>58</v>
      </c>
      <c r="I2434" s="3" t="s">
        <v>58</v>
      </c>
      <c r="J2434" s="3" t="s">
        <v>60</v>
      </c>
      <c r="K2434" s="2" t="s">
        <v>29694</v>
      </c>
      <c r="L2434" s="2" t="s">
        <v>29695</v>
      </c>
      <c r="M2434" s="3" t="s">
        <v>397</v>
      </c>
      <c r="N2434" s="2" t="s">
        <v>1009</v>
      </c>
      <c r="O2434" s="3" t="s">
        <v>63</v>
      </c>
      <c r="P2434" s="3" t="s">
        <v>816</v>
      </c>
      <c r="R2434" s="3" t="s">
        <v>65</v>
      </c>
      <c r="S2434" s="4">
        <v>2</v>
      </c>
      <c r="T2434" s="4">
        <v>2</v>
      </c>
      <c r="U2434" s="5" t="s">
        <v>29696</v>
      </c>
      <c r="V2434" s="5" t="s">
        <v>29696</v>
      </c>
      <c r="W2434" s="5" t="s">
        <v>28924</v>
      </c>
      <c r="X2434" s="5" t="s">
        <v>28924</v>
      </c>
      <c r="Y2434" s="4">
        <v>489</v>
      </c>
      <c r="Z2434" s="4">
        <v>460</v>
      </c>
      <c r="AA2434" s="4">
        <v>515</v>
      </c>
      <c r="AB2434" s="4">
        <v>3</v>
      </c>
      <c r="AC2434" s="4">
        <v>3</v>
      </c>
      <c r="AD2434" s="4">
        <v>9</v>
      </c>
      <c r="AE2434" s="4">
        <v>15</v>
      </c>
      <c r="AF2434" s="4">
        <v>2</v>
      </c>
      <c r="AG2434" s="4">
        <v>6</v>
      </c>
      <c r="AH2434" s="4">
        <v>1</v>
      </c>
      <c r="AI2434" s="4">
        <v>1</v>
      </c>
      <c r="AJ2434" s="4">
        <v>5</v>
      </c>
      <c r="AK2434" s="4">
        <v>9</v>
      </c>
      <c r="AL2434" s="4">
        <v>1</v>
      </c>
      <c r="AM2434" s="4">
        <v>1</v>
      </c>
      <c r="AN2434" s="4">
        <v>0</v>
      </c>
      <c r="AO2434" s="4">
        <v>0</v>
      </c>
      <c r="AP2434" s="3" t="s">
        <v>58</v>
      </c>
      <c r="AQ2434" s="3" t="s">
        <v>58</v>
      </c>
      <c r="AS2434" s="6" t="str">
        <f>HYPERLINK("https://creighton-primo.hosted.exlibrisgroup.com/primo-explore/search?tab=default_tab&amp;search_scope=EVERYTHING&amp;vid=01CRU&amp;lang=en_US&amp;offset=0&amp;query=any,contains,991000546649702656","Catalog Record")</f>
        <v>Catalog Record</v>
      </c>
      <c r="AT2434" s="6" t="str">
        <f>HYPERLINK("http://www.worldcat.org/oclc/11518629","WorldCat Record")</f>
        <v>WorldCat Record</v>
      </c>
      <c r="AU2434" s="3" t="s">
        <v>29697</v>
      </c>
      <c r="AV2434" s="3" t="s">
        <v>29698</v>
      </c>
      <c r="AW2434" s="3" t="s">
        <v>29699</v>
      </c>
      <c r="AX2434" s="3" t="s">
        <v>29699</v>
      </c>
      <c r="AY2434" s="3" t="s">
        <v>29700</v>
      </c>
      <c r="AZ2434" s="3" t="s">
        <v>73</v>
      </c>
      <c r="BB2434" s="3" t="s">
        <v>29701</v>
      </c>
      <c r="BC2434" s="3" t="s">
        <v>29702</v>
      </c>
      <c r="BD2434" s="3" t="s">
        <v>29703</v>
      </c>
    </row>
    <row r="2435" spans="1:56" ht="51" customHeight="1" x14ac:dyDescent="0.25">
      <c r="A2435" s="7" t="s">
        <v>58</v>
      </c>
      <c r="B2435" s="2" t="s">
        <v>29704</v>
      </c>
      <c r="C2435" s="2" t="s">
        <v>29705</v>
      </c>
      <c r="D2435" s="2" t="s">
        <v>29706</v>
      </c>
      <c r="F2435" s="3" t="s">
        <v>58</v>
      </c>
      <c r="G2435" s="3" t="s">
        <v>59</v>
      </c>
      <c r="H2435" s="3" t="s">
        <v>58</v>
      </c>
      <c r="I2435" s="3" t="s">
        <v>58</v>
      </c>
      <c r="J2435" s="3" t="s">
        <v>60</v>
      </c>
      <c r="K2435" s="2" t="s">
        <v>29707</v>
      </c>
      <c r="L2435" s="2" t="s">
        <v>29708</v>
      </c>
      <c r="M2435" s="3" t="s">
        <v>4023</v>
      </c>
      <c r="O2435" s="3" t="s">
        <v>63</v>
      </c>
      <c r="P2435" s="3" t="s">
        <v>2061</v>
      </c>
      <c r="R2435" s="3" t="s">
        <v>65</v>
      </c>
      <c r="S2435" s="4">
        <v>3</v>
      </c>
      <c r="T2435" s="4">
        <v>3</v>
      </c>
      <c r="U2435" s="5" t="s">
        <v>28845</v>
      </c>
      <c r="V2435" s="5" t="s">
        <v>28845</v>
      </c>
      <c r="W2435" s="5" t="s">
        <v>29709</v>
      </c>
      <c r="X2435" s="5" t="s">
        <v>29709</v>
      </c>
      <c r="Y2435" s="4">
        <v>386</v>
      </c>
      <c r="Z2435" s="4">
        <v>344</v>
      </c>
      <c r="AA2435" s="4">
        <v>654</v>
      </c>
      <c r="AB2435" s="4">
        <v>1</v>
      </c>
      <c r="AC2435" s="4">
        <v>4</v>
      </c>
      <c r="AD2435" s="4">
        <v>9</v>
      </c>
      <c r="AE2435" s="4">
        <v>13</v>
      </c>
      <c r="AF2435" s="4">
        <v>3</v>
      </c>
      <c r="AG2435" s="4">
        <v>4</v>
      </c>
      <c r="AH2435" s="4">
        <v>3</v>
      </c>
      <c r="AI2435" s="4">
        <v>3</v>
      </c>
      <c r="AJ2435" s="4">
        <v>5</v>
      </c>
      <c r="AK2435" s="4">
        <v>6</v>
      </c>
      <c r="AL2435" s="4">
        <v>0</v>
      </c>
      <c r="AM2435" s="4">
        <v>3</v>
      </c>
      <c r="AN2435" s="4">
        <v>0</v>
      </c>
      <c r="AO2435" s="4">
        <v>0</v>
      </c>
      <c r="AP2435" s="3" t="s">
        <v>58</v>
      </c>
      <c r="AQ2435" s="3" t="s">
        <v>68</v>
      </c>
      <c r="AR2435" s="6" t="str">
        <f>HYPERLINK("http://catalog.hathitrust.org/Record/004921145","HathiTrust Record")</f>
        <v>HathiTrust Record</v>
      </c>
      <c r="AS2435" s="6" t="str">
        <f>HYPERLINK("https://creighton-primo.hosted.exlibrisgroup.com/primo-explore/search?tab=default_tab&amp;search_scope=EVERYTHING&amp;vid=01CRU&amp;lang=en_US&amp;offset=0&amp;query=any,contains,991004431379702656","Catalog Record")</f>
        <v>Catalog Record</v>
      </c>
      <c r="AT2435" s="6" t="str">
        <f>HYPERLINK("http://www.worldcat.org/oclc/55990161","WorldCat Record")</f>
        <v>WorldCat Record</v>
      </c>
      <c r="AU2435" s="3" t="s">
        <v>29710</v>
      </c>
      <c r="AV2435" s="3" t="s">
        <v>29711</v>
      </c>
      <c r="AW2435" s="3" t="s">
        <v>29712</v>
      </c>
      <c r="AX2435" s="3" t="s">
        <v>29712</v>
      </c>
      <c r="AY2435" s="3" t="s">
        <v>29713</v>
      </c>
      <c r="AZ2435" s="3" t="s">
        <v>73</v>
      </c>
      <c r="BB2435" s="3" t="s">
        <v>29714</v>
      </c>
      <c r="BC2435" s="3" t="s">
        <v>29715</v>
      </c>
      <c r="BD2435" s="3" t="s">
        <v>29716</v>
      </c>
    </row>
    <row r="2436" spans="1:56" ht="51" customHeight="1" x14ac:dyDescent="0.25">
      <c r="A2436" s="7" t="s">
        <v>58</v>
      </c>
      <c r="B2436" s="2" t="s">
        <v>29717</v>
      </c>
      <c r="C2436" s="2" t="s">
        <v>29718</v>
      </c>
      <c r="D2436" s="2" t="s">
        <v>29719</v>
      </c>
      <c r="F2436" s="3" t="s">
        <v>58</v>
      </c>
      <c r="G2436" s="3" t="s">
        <v>59</v>
      </c>
      <c r="H2436" s="3" t="s">
        <v>58</v>
      </c>
      <c r="I2436" s="3" t="s">
        <v>58</v>
      </c>
      <c r="J2436" s="3" t="s">
        <v>60</v>
      </c>
      <c r="K2436" s="2" t="s">
        <v>29720</v>
      </c>
      <c r="L2436" s="2" t="s">
        <v>29721</v>
      </c>
      <c r="M2436" s="3" t="s">
        <v>1784</v>
      </c>
      <c r="O2436" s="3" t="s">
        <v>63</v>
      </c>
      <c r="P2436" s="3" t="s">
        <v>584</v>
      </c>
      <c r="R2436" s="3" t="s">
        <v>65</v>
      </c>
      <c r="S2436" s="4">
        <v>18</v>
      </c>
      <c r="T2436" s="4">
        <v>18</v>
      </c>
      <c r="U2436" s="5" t="s">
        <v>12982</v>
      </c>
      <c r="V2436" s="5" t="s">
        <v>12982</v>
      </c>
      <c r="W2436" s="5" t="s">
        <v>28924</v>
      </c>
      <c r="X2436" s="5" t="s">
        <v>28924</v>
      </c>
      <c r="Y2436" s="4">
        <v>171</v>
      </c>
      <c r="Z2436" s="4">
        <v>134</v>
      </c>
      <c r="AA2436" s="4">
        <v>1256</v>
      </c>
      <c r="AB2436" s="4">
        <v>2</v>
      </c>
      <c r="AC2436" s="4">
        <v>9</v>
      </c>
      <c r="AD2436" s="4">
        <v>11</v>
      </c>
      <c r="AE2436" s="4">
        <v>46</v>
      </c>
      <c r="AF2436" s="4">
        <v>5</v>
      </c>
      <c r="AG2436" s="4">
        <v>20</v>
      </c>
      <c r="AH2436" s="4">
        <v>3</v>
      </c>
      <c r="AI2436" s="4">
        <v>9</v>
      </c>
      <c r="AJ2436" s="4">
        <v>3</v>
      </c>
      <c r="AK2436" s="4">
        <v>22</v>
      </c>
      <c r="AL2436" s="4">
        <v>1</v>
      </c>
      <c r="AM2436" s="4">
        <v>8</v>
      </c>
      <c r="AN2436" s="4">
        <v>0</v>
      </c>
      <c r="AO2436" s="4">
        <v>0</v>
      </c>
      <c r="AP2436" s="3" t="s">
        <v>58</v>
      </c>
      <c r="AQ2436" s="3" t="s">
        <v>68</v>
      </c>
      <c r="AR2436" s="6" t="str">
        <f>HYPERLINK("http://catalog.hathitrust.org/Record/007103690","HathiTrust Record")</f>
        <v>HathiTrust Record</v>
      </c>
      <c r="AS2436" s="6" t="str">
        <f>HYPERLINK("https://creighton-primo.hosted.exlibrisgroup.com/primo-explore/search?tab=default_tab&amp;search_scope=EVERYTHING&amp;vid=01CRU&amp;lang=en_US&amp;offset=0&amp;query=any,contains,991004938469702656","Catalog Record")</f>
        <v>Catalog Record</v>
      </c>
      <c r="AT2436" s="6" t="str">
        <f>HYPERLINK("http://www.worldcat.org/oclc/6152700","WorldCat Record")</f>
        <v>WorldCat Record</v>
      </c>
      <c r="AU2436" s="3" t="s">
        <v>29722</v>
      </c>
      <c r="AV2436" s="3" t="s">
        <v>29723</v>
      </c>
      <c r="AW2436" s="3" t="s">
        <v>29724</v>
      </c>
      <c r="AX2436" s="3" t="s">
        <v>29724</v>
      </c>
      <c r="AY2436" s="3" t="s">
        <v>29725</v>
      </c>
      <c r="AZ2436" s="3" t="s">
        <v>73</v>
      </c>
      <c r="BB2436" s="3" t="s">
        <v>29726</v>
      </c>
      <c r="BC2436" s="3" t="s">
        <v>29727</v>
      </c>
      <c r="BD2436" s="3" t="s">
        <v>29728</v>
      </c>
    </row>
    <row r="2437" spans="1:56" ht="51" customHeight="1" x14ac:dyDescent="0.25">
      <c r="A2437" s="7" t="s">
        <v>58</v>
      </c>
      <c r="B2437" s="2" t="s">
        <v>29729</v>
      </c>
      <c r="C2437" s="2" t="s">
        <v>29730</v>
      </c>
      <c r="D2437" s="2" t="s">
        <v>29731</v>
      </c>
      <c r="F2437" s="3" t="s">
        <v>58</v>
      </c>
      <c r="G2437" s="3" t="s">
        <v>59</v>
      </c>
      <c r="H2437" s="3" t="s">
        <v>58</v>
      </c>
      <c r="I2437" s="3" t="s">
        <v>58</v>
      </c>
      <c r="J2437" s="3" t="s">
        <v>60</v>
      </c>
      <c r="K2437" s="2" t="s">
        <v>29732</v>
      </c>
      <c r="L2437" s="2" t="s">
        <v>29733</v>
      </c>
      <c r="M2437" s="3" t="s">
        <v>231</v>
      </c>
      <c r="O2437" s="3" t="s">
        <v>63</v>
      </c>
      <c r="P2437" s="3" t="s">
        <v>214</v>
      </c>
      <c r="R2437" s="3" t="s">
        <v>65</v>
      </c>
      <c r="S2437" s="4">
        <v>10</v>
      </c>
      <c r="T2437" s="4">
        <v>10</v>
      </c>
      <c r="U2437" s="5" t="s">
        <v>29734</v>
      </c>
      <c r="V2437" s="5" t="s">
        <v>29734</v>
      </c>
      <c r="W2437" s="5" t="s">
        <v>572</v>
      </c>
      <c r="X2437" s="5" t="s">
        <v>572</v>
      </c>
      <c r="Y2437" s="4">
        <v>296</v>
      </c>
      <c r="Z2437" s="4">
        <v>282</v>
      </c>
      <c r="AA2437" s="4">
        <v>291</v>
      </c>
      <c r="AB2437" s="4">
        <v>2</v>
      </c>
      <c r="AC2437" s="4">
        <v>2</v>
      </c>
      <c r="AD2437" s="4">
        <v>7</v>
      </c>
      <c r="AE2437" s="4">
        <v>7</v>
      </c>
      <c r="AF2437" s="4">
        <v>1</v>
      </c>
      <c r="AG2437" s="4">
        <v>1</v>
      </c>
      <c r="AH2437" s="4">
        <v>4</v>
      </c>
      <c r="AI2437" s="4">
        <v>4</v>
      </c>
      <c r="AJ2437" s="4">
        <v>3</v>
      </c>
      <c r="AK2437" s="4">
        <v>3</v>
      </c>
      <c r="AL2437" s="4">
        <v>0</v>
      </c>
      <c r="AM2437" s="4">
        <v>0</v>
      </c>
      <c r="AN2437" s="4">
        <v>0</v>
      </c>
      <c r="AO2437" s="4">
        <v>0</v>
      </c>
      <c r="AP2437" s="3" t="s">
        <v>68</v>
      </c>
      <c r="AQ2437" s="3" t="s">
        <v>58</v>
      </c>
      <c r="AR2437" s="6" t="str">
        <f>HYPERLINK("http://catalog.hathitrust.org/Record/001259309","HathiTrust Record")</f>
        <v>HathiTrust Record</v>
      </c>
      <c r="AS2437" s="6" t="str">
        <f>HYPERLINK("https://creighton-primo.hosted.exlibrisgroup.com/primo-explore/search?tab=default_tab&amp;search_scope=EVERYTHING&amp;vid=01CRU&amp;lang=en_US&amp;offset=0&amp;query=any,contains,991003698689702656","Catalog Record")</f>
        <v>Catalog Record</v>
      </c>
      <c r="AT2437" s="6" t="str">
        <f>HYPERLINK("http://www.worldcat.org/oclc/1333043","WorldCat Record")</f>
        <v>WorldCat Record</v>
      </c>
      <c r="AU2437" s="3" t="s">
        <v>29735</v>
      </c>
      <c r="AV2437" s="3" t="s">
        <v>29736</v>
      </c>
      <c r="AW2437" s="3" t="s">
        <v>29737</v>
      </c>
      <c r="AX2437" s="3" t="s">
        <v>29737</v>
      </c>
      <c r="AY2437" s="3" t="s">
        <v>29738</v>
      </c>
      <c r="AZ2437" s="3" t="s">
        <v>73</v>
      </c>
      <c r="BC2437" s="3" t="s">
        <v>29739</v>
      </c>
      <c r="BD2437" s="3" t="s">
        <v>29740</v>
      </c>
    </row>
    <row r="2438" spans="1:56" ht="51" customHeight="1" x14ac:dyDescent="0.25">
      <c r="A2438" s="7" t="s">
        <v>58</v>
      </c>
      <c r="B2438" s="2" t="s">
        <v>29741</v>
      </c>
      <c r="C2438" s="2" t="s">
        <v>29742</v>
      </c>
      <c r="D2438" s="2" t="s">
        <v>29743</v>
      </c>
      <c r="F2438" s="3" t="s">
        <v>58</v>
      </c>
      <c r="G2438" s="3" t="s">
        <v>59</v>
      </c>
      <c r="H2438" s="3" t="s">
        <v>58</v>
      </c>
      <c r="I2438" s="3" t="s">
        <v>58</v>
      </c>
      <c r="J2438" s="3" t="s">
        <v>60</v>
      </c>
      <c r="K2438" s="2" t="s">
        <v>29744</v>
      </c>
      <c r="L2438" s="2" t="s">
        <v>29745</v>
      </c>
      <c r="M2438" s="3" t="s">
        <v>1732</v>
      </c>
      <c r="O2438" s="3" t="s">
        <v>63</v>
      </c>
      <c r="P2438" s="3" t="s">
        <v>10900</v>
      </c>
      <c r="R2438" s="3" t="s">
        <v>65</v>
      </c>
      <c r="S2438" s="4">
        <v>10</v>
      </c>
      <c r="T2438" s="4">
        <v>10</v>
      </c>
      <c r="U2438" s="5" t="s">
        <v>9223</v>
      </c>
      <c r="V2438" s="5" t="s">
        <v>9223</v>
      </c>
      <c r="W2438" s="5" t="s">
        <v>572</v>
      </c>
      <c r="X2438" s="5" t="s">
        <v>572</v>
      </c>
      <c r="Y2438" s="4">
        <v>175</v>
      </c>
      <c r="Z2438" s="4">
        <v>147</v>
      </c>
      <c r="AA2438" s="4">
        <v>149</v>
      </c>
      <c r="AB2438" s="4">
        <v>3</v>
      </c>
      <c r="AC2438" s="4">
        <v>3</v>
      </c>
      <c r="AD2438" s="4">
        <v>16</v>
      </c>
      <c r="AE2438" s="4">
        <v>16</v>
      </c>
      <c r="AF2438" s="4">
        <v>4</v>
      </c>
      <c r="AG2438" s="4">
        <v>4</v>
      </c>
      <c r="AH2438" s="4">
        <v>3</v>
      </c>
      <c r="AI2438" s="4">
        <v>3</v>
      </c>
      <c r="AJ2438" s="4">
        <v>11</v>
      </c>
      <c r="AK2438" s="4">
        <v>11</v>
      </c>
      <c r="AL2438" s="4">
        <v>2</v>
      </c>
      <c r="AM2438" s="4">
        <v>2</v>
      </c>
      <c r="AN2438" s="4">
        <v>0</v>
      </c>
      <c r="AO2438" s="4">
        <v>0</v>
      </c>
      <c r="AP2438" s="3" t="s">
        <v>58</v>
      </c>
      <c r="AQ2438" s="3" t="s">
        <v>68</v>
      </c>
      <c r="AR2438" s="6" t="str">
        <f>HYPERLINK("http://catalog.hathitrust.org/Record/001259310","HathiTrust Record")</f>
        <v>HathiTrust Record</v>
      </c>
      <c r="AS2438" s="6" t="str">
        <f>HYPERLINK("https://creighton-primo.hosted.exlibrisgroup.com/primo-explore/search?tab=default_tab&amp;search_scope=EVERYTHING&amp;vid=01CRU&amp;lang=en_US&amp;offset=0&amp;query=any,contains,991003949409702656","Catalog Record")</f>
        <v>Catalog Record</v>
      </c>
      <c r="AT2438" s="6" t="str">
        <f>HYPERLINK("http://www.worldcat.org/oclc/1953957","WorldCat Record")</f>
        <v>WorldCat Record</v>
      </c>
      <c r="AU2438" s="3" t="s">
        <v>29746</v>
      </c>
      <c r="AV2438" s="3" t="s">
        <v>29747</v>
      </c>
      <c r="AW2438" s="3" t="s">
        <v>29748</v>
      </c>
      <c r="AX2438" s="3" t="s">
        <v>29748</v>
      </c>
      <c r="AY2438" s="3" t="s">
        <v>29749</v>
      </c>
      <c r="AZ2438" s="3" t="s">
        <v>73</v>
      </c>
      <c r="BC2438" s="3" t="s">
        <v>29750</v>
      </c>
      <c r="BD2438" s="3" t="s">
        <v>29751</v>
      </c>
    </row>
    <row r="2439" spans="1:56" ht="51" customHeight="1" x14ac:dyDescent="0.25">
      <c r="A2439" s="7" t="s">
        <v>58</v>
      </c>
      <c r="B2439" s="2" t="s">
        <v>29752</v>
      </c>
      <c r="C2439" s="2" t="s">
        <v>29753</v>
      </c>
      <c r="D2439" s="2" t="s">
        <v>29754</v>
      </c>
      <c r="F2439" s="3" t="s">
        <v>58</v>
      </c>
      <c r="G2439" s="3" t="s">
        <v>59</v>
      </c>
      <c r="H2439" s="3" t="s">
        <v>58</v>
      </c>
      <c r="I2439" s="3" t="s">
        <v>58</v>
      </c>
      <c r="J2439" s="3" t="s">
        <v>60</v>
      </c>
      <c r="K2439" s="2" t="s">
        <v>29755</v>
      </c>
      <c r="L2439" s="2" t="s">
        <v>29756</v>
      </c>
      <c r="M2439" s="3" t="s">
        <v>22391</v>
      </c>
      <c r="O2439" s="3" t="s">
        <v>63</v>
      </c>
      <c r="P2439" s="3" t="s">
        <v>214</v>
      </c>
      <c r="R2439" s="3" t="s">
        <v>65</v>
      </c>
      <c r="S2439" s="4">
        <v>4</v>
      </c>
      <c r="T2439" s="4">
        <v>4</v>
      </c>
      <c r="U2439" s="5" t="s">
        <v>29757</v>
      </c>
      <c r="V2439" s="5" t="s">
        <v>29757</v>
      </c>
      <c r="W2439" s="5" t="s">
        <v>572</v>
      </c>
      <c r="X2439" s="5" t="s">
        <v>572</v>
      </c>
      <c r="Y2439" s="4">
        <v>285</v>
      </c>
      <c r="Z2439" s="4">
        <v>276</v>
      </c>
      <c r="AA2439" s="4">
        <v>1060</v>
      </c>
      <c r="AB2439" s="4">
        <v>6</v>
      </c>
      <c r="AC2439" s="4">
        <v>12</v>
      </c>
      <c r="AD2439" s="4">
        <v>18</v>
      </c>
      <c r="AE2439" s="4">
        <v>44</v>
      </c>
      <c r="AF2439" s="4">
        <v>8</v>
      </c>
      <c r="AG2439" s="4">
        <v>19</v>
      </c>
      <c r="AH2439" s="4">
        <v>3</v>
      </c>
      <c r="AI2439" s="4">
        <v>8</v>
      </c>
      <c r="AJ2439" s="4">
        <v>4</v>
      </c>
      <c r="AK2439" s="4">
        <v>15</v>
      </c>
      <c r="AL2439" s="4">
        <v>5</v>
      </c>
      <c r="AM2439" s="4">
        <v>11</v>
      </c>
      <c r="AN2439" s="4">
        <v>0</v>
      </c>
      <c r="AO2439" s="4">
        <v>0</v>
      </c>
      <c r="AP2439" s="3" t="s">
        <v>58</v>
      </c>
      <c r="AQ2439" s="3" t="s">
        <v>58</v>
      </c>
      <c r="AS2439" s="6" t="str">
        <f>HYPERLINK("https://creighton-primo.hosted.exlibrisgroup.com/primo-explore/search?tab=default_tab&amp;search_scope=EVERYTHING&amp;vid=01CRU&amp;lang=en_US&amp;offset=0&amp;query=any,contains,991003711859702656","Catalog Record")</f>
        <v>Catalog Record</v>
      </c>
      <c r="AT2439" s="6" t="str">
        <f>HYPERLINK("http://www.worldcat.org/oclc/1352930","WorldCat Record")</f>
        <v>WorldCat Record</v>
      </c>
      <c r="AU2439" s="3" t="s">
        <v>29758</v>
      </c>
      <c r="AV2439" s="3" t="s">
        <v>29759</v>
      </c>
      <c r="AW2439" s="3" t="s">
        <v>29760</v>
      </c>
      <c r="AX2439" s="3" t="s">
        <v>29760</v>
      </c>
      <c r="AY2439" s="3" t="s">
        <v>29761</v>
      </c>
      <c r="AZ2439" s="3" t="s">
        <v>73</v>
      </c>
      <c r="BC2439" s="3" t="s">
        <v>29762</v>
      </c>
      <c r="BD2439" s="3" t="s">
        <v>29763</v>
      </c>
    </row>
    <row r="2440" spans="1:56" ht="51" customHeight="1" x14ac:dyDescent="0.25">
      <c r="A2440" s="7" t="s">
        <v>58</v>
      </c>
      <c r="B2440" s="2" t="s">
        <v>29764</v>
      </c>
      <c r="C2440" s="2" t="s">
        <v>29765</v>
      </c>
      <c r="D2440" s="2" t="s">
        <v>29766</v>
      </c>
      <c r="F2440" s="3" t="s">
        <v>58</v>
      </c>
      <c r="G2440" s="3" t="s">
        <v>59</v>
      </c>
      <c r="H2440" s="3" t="s">
        <v>58</v>
      </c>
      <c r="I2440" s="3" t="s">
        <v>58</v>
      </c>
      <c r="J2440" s="3" t="s">
        <v>60</v>
      </c>
      <c r="K2440" s="2" t="s">
        <v>29767</v>
      </c>
      <c r="L2440" s="2" t="s">
        <v>29768</v>
      </c>
      <c r="M2440" s="3" t="s">
        <v>898</v>
      </c>
      <c r="O2440" s="3" t="s">
        <v>63</v>
      </c>
      <c r="P2440" s="3" t="s">
        <v>10160</v>
      </c>
      <c r="Q2440" s="2" t="s">
        <v>29769</v>
      </c>
      <c r="R2440" s="3" t="s">
        <v>65</v>
      </c>
      <c r="S2440" s="4">
        <v>2</v>
      </c>
      <c r="T2440" s="4">
        <v>2</v>
      </c>
      <c r="U2440" s="5" t="s">
        <v>20391</v>
      </c>
      <c r="V2440" s="5" t="s">
        <v>20391</v>
      </c>
      <c r="W2440" s="5" t="s">
        <v>2602</v>
      </c>
      <c r="X2440" s="5" t="s">
        <v>2602</v>
      </c>
      <c r="Y2440" s="4">
        <v>341</v>
      </c>
      <c r="Z2440" s="4">
        <v>284</v>
      </c>
      <c r="AA2440" s="4">
        <v>471</v>
      </c>
      <c r="AB2440" s="4">
        <v>3</v>
      </c>
      <c r="AC2440" s="4">
        <v>3</v>
      </c>
      <c r="AD2440" s="4">
        <v>15</v>
      </c>
      <c r="AE2440" s="4">
        <v>25</v>
      </c>
      <c r="AF2440" s="4">
        <v>4</v>
      </c>
      <c r="AG2440" s="4">
        <v>10</v>
      </c>
      <c r="AH2440" s="4">
        <v>5</v>
      </c>
      <c r="AI2440" s="4">
        <v>8</v>
      </c>
      <c r="AJ2440" s="4">
        <v>8</v>
      </c>
      <c r="AK2440" s="4">
        <v>13</v>
      </c>
      <c r="AL2440" s="4">
        <v>2</v>
      </c>
      <c r="AM2440" s="4">
        <v>2</v>
      </c>
      <c r="AN2440" s="4">
        <v>0</v>
      </c>
      <c r="AO2440" s="4">
        <v>0</v>
      </c>
      <c r="AP2440" s="3" t="s">
        <v>58</v>
      </c>
      <c r="AQ2440" s="3" t="s">
        <v>58</v>
      </c>
      <c r="AS2440" s="6" t="str">
        <f>HYPERLINK("https://creighton-primo.hosted.exlibrisgroup.com/primo-explore/search?tab=default_tab&amp;search_scope=EVERYTHING&amp;vid=01CRU&amp;lang=en_US&amp;offset=0&amp;query=any,contains,991004948629702656","Catalog Record")</f>
        <v>Catalog Record</v>
      </c>
      <c r="AT2440" s="6" t="str">
        <f>HYPERLINK("http://www.worldcat.org/oclc/61247227","WorldCat Record")</f>
        <v>WorldCat Record</v>
      </c>
      <c r="AU2440" s="3" t="s">
        <v>29770</v>
      </c>
      <c r="AV2440" s="3" t="s">
        <v>29771</v>
      </c>
      <c r="AW2440" s="3" t="s">
        <v>29772</v>
      </c>
      <c r="AX2440" s="3" t="s">
        <v>29772</v>
      </c>
      <c r="AY2440" s="3" t="s">
        <v>29773</v>
      </c>
      <c r="AZ2440" s="3" t="s">
        <v>73</v>
      </c>
      <c r="BB2440" s="3" t="s">
        <v>29774</v>
      </c>
      <c r="BC2440" s="3" t="s">
        <v>29775</v>
      </c>
      <c r="BD2440" s="3" t="s">
        <v>29776</v>
      </c>
    </row>
    <row r="2441" spans="1:56" ht="51" customHeight="1" x14ac:dyDescent="0.25">
      <c r="A2441" s="7" t="s">
        <v>58</v>
      </c>
      <c r="B2441" s="2" t="s">
        <v>29777</v>
      </c>
      <c r="C2441" s="2" t="s">
        <v>29778</v>
      </c>
      <c r="D2441" s="2" t="s">
        <v>29779</v>
      </c>
      <c r="F2441" s="3" t="s">
        <v>58</v>
      </c>
      <c r="G2441" s="3" t="s">
        <v>59</v>
      </c>
      <c r="H2441" s="3" t="s">
        <v>58</v>
      </c>
      <c r="I2441" s="3" t="s">
        <v>58</v>
      </c>
      <c r="J2441" s="3" t="s">
        <v>60</v>
      </c>
      <c r="K2441" s="2" t="s">
        <v>29780</v>
      </c>
      <c r="L2441" s="2" t="s">
        <v>29781</v>
      </c>
      <c r="M2441" s="3" t="s">
        <v>951</v>
      </c>
      <c r="N2441" s="2" t="s">
        <v>29782</v>
      </c>
      <c r="O2441" s="3" t="s">
        <v>63</v>
      </c>
      <c r="P2441" s="3" t="s">
        <v>214</v>
      </c>
      <c r="R2441" s="3" t="s">
        <v>65</v>
      </c>
      <c r="S2441" s="4">
        <v>1</v>
      </c>
      <c r="T2441" s="4">
        <v>1</v>
      </c>
      <c r="U2441" s="5" t="s">
        <v>788</v>
      </c>
      <c r="V2441" s="5" t="s">
        <v>788</v>
      </c>
      <c r="W2441" s="5" t="s">
        <v>788</v>
      </c>
      <c r="X2441" s="5" t="s">
        <v>788</v>
      </c>
      <c r="Y2441" s="4">
        <v>53</v>
      </c>
      <c r="Z2441" s="4">
        <v>47</v>
      </c>
      <c r="AA2441" s="4">
        <v>269</v>
      </c>
      <c r="AB2441" s="4">
        <v>1</v>
      </c>
      <c r="AC2441" s="4">
        <v>3</v>
      </c>
      <c r="AD2441" s="4">
        <v>1</v>
      </c>
      <c r="AE2441" s="4">
        <v>7</v>
      </c>
      <c r="AF2441" s="4">
        <v>1</v>
      </c>
      <c r="AG2441" s="4">
        <v>4</v>
      </c>
      <c r="AH2441" s="4">
        <v>0</v>
      </c>
      <c r="AI2441" s="4">
        <v>1</v>
      </c>
      <c r="AJ2441" s="4">
        <v>1</v>
      </c>
      <c r="AK2441" s="4">
        <v>4</v>
      </c>
      <c r="AL2441" s="4">
        <v>0</v>
      </c>
      <c r="AM2441" s="4">
        <v>1</v>
      </c>
      <c r="AN2441" s="4">
        <v>0</v>
      </c>
      <c r="AO2441" s="4">
        <v>0</v>
      </c>
      <c r="AP2441" s="3" t="s">
        <v>58</v>
      </c>
      <c r="AQ2441" s="3" t="s">
        <v>58</v>
      </c>
      <c r="AS2441" s="6" t="str">
        <f>HYPERLINK("https://creighton-primo.hosted.exlibrisgroup.com/primo-explore/search?tab=default_tab&amp;search_scope=EVERYTHING&amp;vid=01CRU&amp;lang=en_US&amp;offset=0&amp;query=any,contains,991005234559702656","Catalog Record")</f>
        <v>Catalog Record</v>
      </c>
      <c r="AT2441" s="6" t="str">
        <f>HYPERLINK("http://www.worldcat.org/oclc/46462921","WorldCat Record")</f>
        <v>WorldCat Record</v>
      </c>
      <c r="AU2441" s="3" t="s">
        <v>29783</v>
      </c>
      <c r="AV2441" s="3" t="s">
        <v>29784</v>
      </c>
      <c r="AW2441" s="3" t="s">
        <v>29785</v>
      </c>
      <c r="AX2441" s="3" t="s">
        <v>29785</v>
      </c>
      <c r="AY2441" s="3" t="s">
        <v>29786</v>
      </c>
      <c r="AZ2441" s="3" t="s">
        <v>73</v>
      </c>
      <c r="BB2441" s="3" t="s">
        <v>29787</v>
      </c>
      <c r="BC2441" s="3" t="s">
        <v>29788</v>
      </c>
      <c r="BD2441" s="3" t="s">
        <v>29789</v>
      </c>
    </row>
    <row r="2442" spans="1:56" ht="51" customHeight="1" x14ac:dyDescent="0.25">
      <c r="A2442" s="7" t="s">
        <v>58</v>
      </c>
      <c r="B2442" s="2" t="s">
        <v>29790</v>
      </c>
      <c r="C2442" s="2" t="s">
        <v>29791</v>
      </c>
      <c r="D2442" s="2" t="s">
        <v>29792</v>
      </c>
      <c r="F2442" s="3" t="s">
        <v>58</v>
      </c>
      <c r="G2442" s="3" t="s">
        <v>59</v>
      </c>
      <c r="H2442" s="3" t="s">
        <v>58</v>
      </c>
      <c r="I2442" s="3" t="s">
        <v>58</v>
      </c>
      <c r="J2442" s="3" t="s">
        <v>60</v>
      </c>
      <c r="K2442" s="2" t="s">
        <v>29793</v>
      </c>
      <c r="L2442" s="2" t="s">
        <v>29794</v>
      </c>
      <c r="M2442" s="3" t="s">
        <v>855</v>
      </c>
      <c r="O2442" s="3" t="s">
        <v>63</v>
      </c>
      <c r="P2442" s="3" t="s">
        <v>411</v>
      </c>
      <c r="R2442" s="3" t="s">
        <v>65</v>
      </c>
      <c r="S2442" s="4">
        <v>5</v>
      </c>
      <c r="T2442" s="4">
        <v>5</v>
      </c>
      <c r="U2442" s="5" t="s">
        <v>29795</v>
      </c>
      <c r="V2442" s="5" t="s">
        <v>29795</v>
      </c>
      <c r="W2442" s="5" t="s">
        <v>29796</v>
      </c>
      <c r="X2442" s="5" t="s">
        <v>29796</v>
      </c>
      <c r="Y2442" s="4">
        <v>277</v>
      </c>
      <c r="Z2442" s="4">
        <v>236</v>
      </c>
      <c r="AA2442" s="4">
        <v>243</v>
      </c>
      <c r="AB2442" s="4">
        <v>2</v>
      </c>
      <c r="AC2442" s="4">
        <v>2</v>
      </c>
      <c r="AD2442" s="4">
        <v>4</v>
      </c>
      <c r="AE2442" s="4">
        <v>4</v>
      </c>
      <c r="AF2442" s="4">
        <v>1</v>
      </c>
      <c r="AG2442" s="4">
        <v>1</v>
      </c>
      <c r="AH2442" s="4">
        <v>1</v>
      </c>
      <c r="AI2442" s="4">
        <v>1</v>
      </c>
      <c r="AJ2442" s="4">
        <v>2</v>
      </c>
      <c r="AK2442" s="4">
        <v>2</v>
      </c>
      <c r="AL2442" s="4">
        <v>1</v>
      </c>
      <c r="AM2442" s="4">
        <v>1</v>
      </c>
      <c r="AN2442" s="4">
        <v>0</v>
      </c>
      <c r="AO2442" s="4">
        <v>0</v>
      </c>
      <c r="AP2442" s="3" t="s">
        <v>58</v>
      </c>
      <c r="AQ2442" s="3" t="s">
        <v>68</v>
      </c>
      <c r="AR2442" s="6" t="str">
        <f>HYPERLINK("http://catalog.hathitrust.org/Record/010852430","HathiTrust Record")</f>
        <v>HathiTrust Record</v>
      </c>
      <c r="AS2442" s="6" t="str">
        <f>HYPERLINK("https://creighton-primo.hosted.exlibrisgroup.com/primo-explore/search?tab=default_tab&amp;search_scope=EVERYTHING&amp;vid=01CRU&amp;lang=en_US&amp;offset=0&amp;query=any,contains,991002122119702656","Catalog Record")</f>
        <v>Catalog Record</v>
      </c>
      <c r="AT2442" s="6" t="str">
        <f>HYPERLINK("http://www.worldcat.org/oclc/27186575","WorldCat Record")</f>
        <v>WorldCat Record</v>
      </c>
      <c r="AU2442" s="3" t="s">
        <v>29797</v>
      </c>
      <c r="AV2442" s="3" t="s">
        <v>29798</v>
      </c>
      <c r="AW2442" s="3" t="s">
        <v>29799</v>
      </c>
      <c r="AX2442" s="3" t="s">
        <v>29799</v>
      </c>
      <c r="AY2442" s="3" t="s">
        <v>29800</v>
      </c>
      <c r="AZ2442" s="3" t="s">
        <v>73</v>
      </c>
      <c r="BB2442" s="3" t="s">
        <v>29801</v>
      </c>
      <c r="BC2442" s="3" t="s">
        <v>29802</v>
      </c>
      <c r="BD2442" s="3" t="s">
        <v>29803</v>
      </c>
    </row>
    <row r="2443" spans="1:56" ht="51" customHeight="1" x14ac:dyDescent="0.25">
      <c r="A2443" s="7" t="s">
        <v>58</v>
      </c>
      <c r="B2443" s="2" t="s">
        <v>29804</v>
      </c>
      <c r="C2443" s="2" t="s">
        <v>29805</v>
      </c>
      <c r="D2443" s="2" t="s">
        <v>29806</v>
      </c>
      <c r="F2443" s="3" t="s">
        <v>58</v>
      </c>
      <c r="G2443" s="3" t="s">
        <v>59</v>
      </c>
      <c r="H2443" s="3" t="s">
        <v>58</v>
      </c>
      <c r="I2443" s="3" t="s">
        <v>58</v>
      </c>
      <c r="J2443" s="3" t="s">
        <v>60</v>
      </c>
      <c r="K2443" s="2" t="s">
        <v>29807</v>
      </c>
      <c r="L2443" s="2" t="s">
        <v>29808</v>
      </c>
      <c r="M2443" s="3" t="s">
        <v>1091</v>
      </c>
      <c r="O2443" s="3" t="s">
        <v>63</v>
      </c>
      <c r="P2443" s="3" t="s">
        <v>64</v>
      </c>
      <c r="Q2443" s="2" t="s">
        <v>29809</v>
      </c>
      <c r="R2443" s="3" t="s">
        <v>65</v>
      </c>
      <c r="S2443" s="4">
        <v>2</v>
      </c>
      <c r="T2443" s="4">
        <v>2</v>
      </c>
      <c r="U2443" s="5" t="s">
        <v>29810</v>
      </c>
      <c r="V2443" s="5" t="s">
        <v>29810</v>
      </c>
      <c r="W2443" s="5" t="s">
        <v>4169</v>
      </c>
      <c r="X2443" s="5" t="s">
        <v>4169</v>
      </c>
      <c r="Y2443" s="4">
        <v>220</v>
      </c>
      <c r="Z2443" s="4">
        <v>140</v>
      </c>
      <c r="AA2443" s="4">
        <v>142</v>
      </c>
      <c r="AB2443" s="4">
        <v>2</v>
      </c>
      <c r="AC2443" s="4">
        <v>2</v>
      </c>
      <c r="AD2443" s="4">
        <v>6</v>
      </c>
      <c r="AE2443" s="4">
        <v>6</v>
      </c>
      <c r="AF2443" s="4">
        <v>1</v>
      </c>
      <c r="AG2443" s="4">
        <v>1</v>
      </c>
      <c r="AH2443" s="4">
        <v>2</v>
      </c>
      <c r="AI2443" s="4">
        <v>2</v>
      </c>
      <c r="AJ2443" s="4">
        <v>4</v>
      </c>
      <c r="AK2443" s="4">
        <v>4</v>
      </c>
      <c r="AL2443" s="4">
        <v>1</v>
      </c>
      <c r="AM2443" s="4">
        <v>1</v>
      </c>
      <c r="AN2443" s="4">
        <v>0</v>
      </c>
      <c r="AO2443" s="4">
        <v>0</v>
      </c>
      <c r="AP2443" s="3" t="s">
        <v>58</v>
      </c>
      <c r="AQ2443" s="3" t="s">
        <v>68</v>
      </c>
      <c r="AR2443" s="6" t="str">
        <f>HYPERLINK("http://catalog.hathitrust.org/Record/004361841","HathiTrust Record")</f>
        <v>HathiTrust Record</v>
      </c>
      <c r="AS2443" s="6" t="str">
        <f>HYPERLINK("https://creighton-primo.hosted.exlibrisgroup.com/primo-explore/search?tab=default_tab&amp;search_scope=EVERYTHING&amp;vid=01CRU&amp;lang=en_US&amp;offset=0&amp;query=any,contains,991003868259702656","Catalog Record")</f>
        <v>Catalog Record</v>
      </c>
      <c r="AT2443" s="6" t="str">
        <f>HYPERLINK("http://www.worldcat.org/oclc/47351240","WorldCat Record")</f>
        <v>WorldCat Record</v>
      </c>
      <c r="AU2443" s="3" t="s">
        <v>29811</v>
      </c>
      <c r="AV2443" s="3" t="s">
        <v>29812</v>
      </c>
      <c r="AW2443" s="3" t="s">
        <v>29813</v>
      </c>
      <c r="AX2443" s="3" t="s">
        <v>29813</v>
      </c>
      <c r="AY2443" s="3" t="s">
        <v>29814</v>
      </c>
      <c r="AZ2443" s="3" t="s">
        <v>73</v>
      </c>
      <c r="BB2443" s="3" t="s">
        <v>29815</v>
      </c>
      <c r="BC2443" s="3" t="s">
        <v>29816</v>
      </c>
      <c r="BD2443" s="3" t="s">
        <v>29817</v>
      </c>
    </row>
    <row r="2444" spans="1:56" ht="51" customHeight="1" x14ac:dyDescent="0.25">
      <c r="A2444" s="7" t="s">
        <v>58</v>
      </c>
      <c r="B2444" s="2" t="s">
        <v>29818</v>
      </c>
      <c r="C2444" s="2" t="s">
        <v>29819</v>
      </c>
      <c r="D2444" s="2" t="s">
        <v>29820</v>
      </c>
      <c r="F2444" s="3" t="s">
        <v>58</v>
      </c>
      <c r="G2444" s="3" t="s">
        <v>59</v>
      </c>
      <c r="H2444" s="3" t="s">
        <v>58</v>
      </c>
      <c r="I2444" s="3" t="s">
        <v>58</v>
      </c>
      <c r="J2444" s="3" t="s">
        <v>60</v>
      </c>
      <c r="K2444" s="2" t="s">
        <v>29821</v>
      </c>
      <c r="L2444" s="2" t="s">
        <v>29822</v>
      </c>
      <c r="M2444" s="3" t="s">
        <v>800</v>
      </c>
      <c r="O2444" s="3" t="s">
        <v>63</v>
      </c>
      <c r="P2444" s="3" t="s">
        <v>584</v>
      </c>
      <c r="Q2444" s="2" t="s">
        <v>29823</v>
      </c>
      <c r="R2444" s="3" t="s">
        <v>65</v>
      </c>
      <c r="S2444" s="4">
        <v>3</v>
      </c>
      <c r="T2444" s="4">
        <v>3</v>
      </c>
      <c r="U2444" s="5" t="s">
        <v>29824</v>
      </c>
      <c r="V2444" s="5" t="s">
        <v>29824</v>
      </c>
      <c r="W2444" s="5" t="s">
        <v>29824</v>
      </c>
      <c r="X2444" s="5" t="s">
        <v>29824</v>
      </c>
      <c r="Y2444" s="4">
        <v>74</v>
      </c>
      <c r="Z2444" s="4">
        <v>38</v>
      </c>
      <c r="AA2444" s="4">
        <v>345</v>
      </c>
      <c r="AB2444" s="4">
        <v>2</v>
      </c>
      <c r="AC2444" s="4">
        <v>4</v>
      </c>
      <c r="AD2444" s="4">
        <v>4</v>
      </c>
      <c r="AE2444" s="4">
        <v>22</v>
      </c>
      <c r="AF2444" s="4">
        <v>3</v>
      </c>
      <c r="AG2444" s="4">
        <v>9</v>
      </c>
      <c r="AH2444" s="4">
        <v>0</v>
      </c>
      <c r="AI2444" s="4">
        <v>5</v>
      </c>
      <c r="AJ2444" s="4">
        <v>1</v>
      </c>
      <c r="AK2444" s="4">
        <v>14</v>
      </c>
      <c r="AL2444" s="4">
        <v>1</v>
      </c>
      <c r="AM2444" s="4">
        <v>3</v>
      </c>
      <c r="AN2444" s="4">
        <v>0</v>
      </c>
      <c r="AO2444" s="4">
        <v>0</v>
      </c>
      <c r="AP2444" s="3" t="s">
        <v>58</v>
      </c>
      <c r="AQ2444" s="3" t="s">
        <v>58</v>
      </c>
      <c r="AS2444" s="6" t="str">
        <f>HYPERLINK("https://creighton-primo.hosted.exlibrisgroup.com/primo-explore/search?tab=default_tab&amp;search_scope=EVERYTHING&amp;vid=01CRU&amp;lang=en_US&amp;offset=0&amp;query=any,contains,991003946549702656","Catalog Record")</f>
        <v>Catalog Record</v>
      </c>
      <c r="AT2444" s="6" t="str">
        <f>HYPERLINK("http://www.worldcat.org/oclc/34656865","WorldCat Record")</f>
        <v>WorldCat Record</v>
      </c>
      <c r="AU2444" s="3" t="s">
        <v>29825</v>
      </c>
      <c r="AV2444" s="3" t="s">
        <v>29826</v>
      </c>
      <c r="AW2444" s="3" t="s">
        <v>29827</v>
      </c>
      <c r="AX2444" s="3" t="s">
        <v>29827</v>
      </c>
      <c r="AY2444" s="3" t="s">
        <v>29828</v>
      </c>
      <c r="AZ2444" s="3" t="s">
        <v>73</v>
      </c>
      <c r="BB2444" s="3" t="s">
        <v>29829</v>
      </c>
      <c r="BC2444" s="3" t="s">
        <v>29830</v>
      </c>
      <c r="BD2444" s="3" t="s">
        <v>29831</v>
      </c>
    </row>
    <row r="2445" spans="1:56" ht="51" customHeight="1" x14ac:dyDescent="0.25">
      <c r="A2445" s="7" t="s">
        <v>58</v>
      </c>
      <c r="B2445" s="2" t="s">
        <v>29832</v>
      </c>
      <c r="C2445" s="2" t="s">
        <v>29833</v>
      </c>
      <c r="D2445" s="2" t="s">
        <v>29834</v>
      </c>
      <c r="F2445" s="3" t="s">
        <v>58</v>
      </c>
      <c r="G2445" s="3" t="s">
        <v>59</v>
      </c>
      <c r="H2445" s="3" t="s">
        <v>58</v>
      </c>
      <c r="I2445" s="3" t="s">
        <v>58</v>
      </c>
      <c r="J2445" s="3" t="s">
        <v>60</v>
      </c>
      <c r="K2445" s="2" t="s">
        <v>29835</v>
      </c>
      <c r="L2445" s="2" t="s">
        <v>29836</v>
      </c>
      <c r="M2445" s="3" t="s">
        <v>653</v>
      </c>
      <c r="O2445" s="3" t="s">
        <v>63</v>
      </c>
      <c r="P2445" s="3" t="s">
        <v>411</v>
      </c>
      <c r="R2445" s="3" t="s">
        <v>65</v>
      </c>
      <c r="S2445" s="4">
        <v>3</v>
      </c>
      <c r="T2445" s="4">
        <v>3</v>
      </c>
      <c r="U2445" s="5" t="s">
        <v>11926</v>
      </c>
      <c r="V2445" s="5" t="s">
        <v>11926</v>
      </c>
      <c r="W2445" s="5" t="s">
        <v>157</v>
      </c>
      <c r="X2445" s="5" t="s">
        <v>157</v>
      </c>
      <c r="Y2445" s="4">
        <v>330</v>
      </c>
      <c r="Z2445" s="4">
        <v>268</v>
      </c>
      <c r="AA2445" s="4">
        <v>276</v>
      </c>
      <c r="AB2445" s="4">
        <v>5</v>
      </c>
      <c r="AC2445" s="4">
        <v>5</v>
      </c>
      <c r="AD2445" s="4">
        <v>8</v>
      </c>
      <c r="AE2445" s="4">
        <v>8</v>
      </c>
      <c r="AF2445" s="4">
        <v>4</v>
      </c>
      <c r="AG2445" s="4">
        <v>4</v>
      </c>
      <c r="AH2445" s="4">
        <v>1</v>
      </c>
      <c r="AI2445" s="4">
        <v>1</v>
      </c>
      <c r="AJ2445" s="4">
        <v>1</v>
      </c>
      <c r="AK2445" s="4">
        <v>1</v>
      </c>
      <c r="AL2445" s="4">
        <v>3</v>
      </c>
      <c r="AM2445" s="4">
        <v>3</v>
      </c>
      <c r="AN2445" s="4">
        <v>0</v>
      </c>
      <c r="AO2445" s="4">
        <v>0</v>
      </c>
      <c r="AP2445" s="3" t="s">
        <v>58</v>
      </c>
      <c r="AQ2445" s="3" t="s">
        <v>58</v>
      </c>
      <c r="AS2445" s="6" t="str">
        <f>HYPERLINK("https://creighton-primo.hosted.exlibrisgroup.com/primo-explore/search?tab=default_tab&amp;search_scope=EVERYTHING&amp;vid=01CRU&amp;lang=en_US&amp;offset=0&amp;query=any,contains,991001721939702656","Catalog Record")</f>
        <v>Catalog Record</v>
      </c>
      <c r="AT2445" s="6" t="str">
        <f>HYPERLINK("http://www.worldcat.org/oclc/21773922","WorldCat Record")</f>
        <v>WorldCat Record</v>
      </c>
      <c r="AU2445" s="3" t="s">
        <v>29837</v>
      </c>
      <c r="AV2445" s="3" t="s">
        <v>29838</v>
      </c>
      <c r="AW2445" s="3" t="s">
        <v>29839</v>
      </c>
      <c r="AX2445" s="3" t="s">
        <v>29839</v>
      </c>
      <c r="AY2445" s="3" t="s">
        <v>29840</v>
      </c>
      <c r="AZ2445" s="3" t="s">
        <v>73</v>
      </c>
      <c r="BB2445" s="3" t="s">
        <v>29841</v>
      </c>
      <c r="BC2445" s="3" t="s">
        <v>29842</v>
      </c>
      <c r="BD2445" s="3" t="s">
        <v>29843</v>
      </c>
    </row>
    <row r="2446" spans="1:56" ht="51" customHeight="1" x14ac:dyDescent="0.25">
      <c r="A2446" s="7" t="s">
        <v>58</v>
      </c>
      <c r="B2446" s="2" t="s">
        <v>29844</v>
      </c>
      <c r="C2446" s="2" t="s">
        <v>29845</v>
      </c>
      <c r="D2446" s="2" t="s">
        <v>29846</v>
      </c>
      <c r="F2446" s="3" t="s">
        <v>58</v>
      </c>
      <c r="G2446" s="3" t="s">
        <v>59</v>
      </c>
      <c r="H2446" s="3" t="s">
        <v>58</v>
      </c>
      <c r="I2446" s="3" t="s">
        <v>58</v>
      </c>
      <c r="J2446" s="3" t="s">
        <v>60</v>
      </c>
      <c r="K2446" s="2" t="s">
        <v>29847</v>
      </c>
      <c r="L2446" s="2" t="s">
        <v>29848</v>
      </c>
      <c r="M2446" s="3" t="s">
        <v>83</v>
      </c>
      <c r="O2446" s="3" t="s">
        <v>63</v>
      </c>
      <c r="P2446" s="3" t="s">
        <v>981</v>
      </c>
      <c r="R2446" s="3" t="s">
        <v>65</v>
      </c>
      <c r="S2446" s="4">
        <v>7</v>
      </c>
      <c r="T2446" s="4">
        <v>7</v>
      </c>
      <c r="U2446" s="5" t="s">
        <v>28845</v>
      </c>
      <c r="V2446" s="5" t="s">
        <v>28845</v>
      </c>
      <c r="W2446" s="5" t="s">
        <v>28924</v>
      </c>
      <c r="X2446" s="5" t="s">
        <v>28924</v>
      </c>
      <c r="Y2446" s="4">
        <v>408</v>
      </c>
      <c r="Z2446" s="4">
        <v>331</v>
      </c>
      <c r="AA2446" s="4">
        <v>344</v>
      </c>
      <c r="AB2446" s="4">
        <v>3</v>
      </c>
      <c r="AC2446" s="4">
        <v>3</v>
      </c>
      <c r="AD2446" s="4">
        <v>15</v>
      </c>
      <c r="AE2446" s="4">
        <v>15</v>
      </c>
      <c r="AF2446" s="4">
        <v>5</v>
      </c>
      <c r="AG2446" s="4">
        <v>5</v>
      </c>
      <c r="AH2446" s="4">
        <v>3</v>
      </c>
      <c r="AI2446" s="4">
        <v>3</v>
      </c>
      <c r="AJ2446" s="4">
        <v>9</v>
      </c>
      <c r="AK2446" s="4">
        <v>9</v>
      </c>
      <c r="AL2446" s="4">
        <v>3</v>
      </c>
      <c r="AM2446" s="4">
        <v>3</v>
      </c>
      <c r="AN2446" s="4">
        <v>0</v>
      </c>
      <c r="AO2446" s="4">
        <v>0</v>
      </c>
      <c r="AP2446" s="3" t="s">
        <v>58</v>
      </c>
      <c r="AQ2446" s="3" t="s">
        <v>68</v>
      </c>
      <c r="AR2446" s="6" t="str">
        <f>HYPERLINK("http://catalog.hathitrust.org/Record/000257595","HathiTrust Record")</f>
        <v>HathiTrust Record</v>
      </c>
      <c r="AS2446" s="6" t="str">
        <f>HYPERLINK("https://creighton-primo.hosted.exlibrisgroup.com/primo-explore/search?tab=default_tab&amp;search_scope=EVERYTHING&amp;vid=01CRU&amp;lang=en_US&amp;offset=0&amp;query=any,contains,991004671799702656","Catalog Record")</f>
        <v>Catalog Record</v>
      </c>
      <c r="AT2446" s="6" t="str">
        <f>HYPERLINK("http://www.worldcat.org/oclc/4515987","WorldCat Record")</f>
        <v>WorldCat Record</v>
      </c>
      <c r="AU2446" s="3" t="s">
        <v>29849</v>
      </c>
      <c r="AV2446" s="3" t="s">
        <v>29850</v>
      </c>
      <c r="AW2446" s="3" t="s">
        <v>29851</v>
      </c>
      <c r="AX2446" s="3" t="s">
        <v>29851</v>
      </c>
      <c r="AY2446" s="3" t="s">
        <v>29852</v>
      </c>
      <c r="AZ2446" s="3" t="s">
        <v>73</v>
      </c>
      <c r="BB2446" s="3" t="s">
        <v>29853</v>
      </c>
      <c r="BC2446" s="3" t="s">
        <v>29854</v>
      </c>
      <c r="BD2446" s="3" t="s">
        <v>29855</v>
      </c>
    </row>
    <row r="2447" spans="1:56" ht="51" customHeight="1" x14ac:dyDescent="0.25">
      <c r="A2447" s="7" t="s">
        <v>58</v>
      </c>
      <c r="B2447" s="2" t="s">
        <v>29856</v>
      </c>
      <c r="C2447" s="2" t="s">
        <v>29857</v>
      </c>
      <c r="D2447" s="2" t="s">
        <v>29858</v>
      </c>
      <c r="F2447" s="3" t="s">
        <v>58</v>
      </c>
      <c r="G2447" s="3" t="s">
        <v>59</v>
      </c>
      <c r="H2447" s="3" t="s">
        <v>58</v>
      </c>
      <c r="I2447" s="3" t="s">
        <v>58</v>
      </c>
      <c r="J2447" s="3" t="s">
        <v>60</v>
      </c>
      <c r="K2447" s="2" t="s">
        <v>29859</v>
      </c>
      <c r="L2447" s="2" t="s">
        <v>29860</v>
      </c>
      <c r="M2447" s="3" t="s">
        <v>337</v>
      </c>
      <c r="O2447" s="3" t="s">
        <v>63</v>
      </c>
      <c r="P2447" s="3" t="s">
        <v>816</v>
      </c>
      <c r="Q2447" s="2" t="s">
        <v>29861</v>
      </c>
      <c r="R2447" s="3" t="s">
        <v>65</v>
      </c>
      <c r="S2447" s="4">
        <v>2</v>
      </c>
      <c r="T2447" s="4">
        <v>2</v>
      </c>
      <c r="U2447" s="5" t="s">
        <v>29862</v>
      </c>
      <c r="V2447" s="5" t="s">
        <v>29862</v>
      </c>
      <c r="W2447" s="5" t="s">
        <v>4325</v>
      </c>
      <c r="X2447" s="5" t="s">
        <v>4325</v>
      </c>
      <c r="Y2447" s="4">
        <v>410</v>
      </c>
      <c r="Z2447" s="4">
        <v>340</v>
      </c>
      <c r="AA2447" s="4">
        <v>389</v>
      </c>
      <c r="AB2447" s="4">
        <v>4</v>
      </c>
      <c r="AC2447" s="4">
        <v>4</v>
      </c>
      <c r="AD2447" s="4">
        <v>19</v>
      </c>
      <c r="AE2447" s="4">
        <v>23</v>
      </c>
      <c r="AF2447" s="4">
        <v>8</v>
      </c>
      <c r="AG2447" s="4">
        <v>11</v>
      </c>
      <c r="AH2447" s="4">
        <v>6</v>
      </c>
      <c r="AI2447" s="4">
        <v>6</v>
      </c>
      <c r="AJ2447" s="4">
        <v>8</v>
      </c>
      <c r="AK2447" s="4">
        <v>9</v>
      </c>
      <c r="AL2447" s="4">
        <v>3</v>
      </c>
      <c r="AM2447" s="4">
        <v>3</v>
      </c>
      <c r="AN2447" s="4">
        <v>0</v>
      </c>
      <c r="AO2447" s="4">
        <v>0</v>
      </c>
      <c r="AP2447" s="3" t="s">
        <v>58</v>
      </c>
      <c r="AQ2447" s="3" t="s">
        <v>68</v>
      </c>
      <c r="AR2447" s="6" t="str">
        <f>HYPERLINK("http://catalog.hathitrust.org/Record/003784147","HathiTrust Record")</f>
        <v>HathiTrust Record</v>
      </c>
      <c r="AS2447" s="6" t="str">
        <f>HYPERLINK("https://creighton-primo.hosted.exlibrisgroup.com/primo-explore/search?tab=default_tab&amp;search_scope=EVERYTHING&amp;vid=01CRU&amp;lang=en_US&amp;offset=0&amp;query=any,contains,991004019309702656","Catalog Record")</f>
        <v>Catalog Record</v>
      </c>
      <c r="AT2447" s="6" t="str">
        <f>HYPERLINK("http://www.worldcat.org/oclc/49260732","WorldCat Record")</f>
        <v>WorldCat Record</v>
      </c>
      <c r="AU2447" s="3" t="s">
        <v>29863</v>
      </c>
      <c r="AV2447" s="3" t="s">
        <v>29864</v>
      </c>
      <c r="AW2447" s="3" t="s">
        <v>29865</v>
      </c>
      <c r="AX2447" s="3" t="s">
        <v>29865</v>
      </c>
      <c r="AY2447" s="3" t="s">
        <v>29866</v>
      </c>
      <c r="AZ2447" s="3" t="s">
        <v>73</v>
      </c>
      <c r="BB2447" s="3" t="s">
        <v>29867</v>
      </c>
      <c r="BC2447" s="3" t="s">
        <v>29868</v>
      </c>
      <c r="BD2447" s="3" t="s">
        <v>29869</v>
      </c>
    </row>
    <row r="2448" spans="1:56" ht="51" customHeight="1" x14ac:dyDescent="0.25">
      <c r="A2448" s="7" t="s">
        <v>58</v>
      </c>
      <c r="B2448" s="2" t="s">
        <v>29870</v>
      </c>
      <c r="C2448" s="2" t="s">
        <v>29871</v>
      </c>
      <c r="D2448" s="2" t="s">
        <v>29872</v>
      </c>
      <c r="F2448" s="3" t="s">
        <v>58</v>
      </c>
      <c r="G2448" s="3" t="s">
        <v>59</v>
      </c>
      <c r="H2448" s="3" t="s">
        <v>58</v>
      </c>
      <c r="I2448" s="3" t="s">
        <v>58</v>
      </c>
      <c r="J2448" s="3" t="s">
        <v>60</v>
      </c>
      <c r="K2448" s="2" t="s">
        <v>29873</v>
      </c>
      <c r="L2448" s="2" t="s">
        <v>29874</v>
      </c>
      <c r="M2448" s="3" t="s">
        <v>1061</v>
      </c>
      <c r="N2448" s="2" t="s">
        <v>338</v>
      </c>
      <c r="O2448" s="3" t="s">
        <v>63</v>
      </c>
      <c r="P2448" s="3" t="s">
        <v>10900</v>
      </c>
      <c r="R2448" s="3" t="s">
        <v>65</v>
      </c>
      <c r="S2448" s="4">
        <v>3</v>
      </c>
      <c r="T2448" s="4">
        <v>3</v>
      </c>
      <c r="U2448" s="5" t="s">
        <v>29875</v>
      </c>
      <c r="V2448" s="5" t="s">
        <v>29875</v>
      </c>
      <c r="W2448" s="5" t="s">
        <v>29876</v>
      </c>
      <c r="X2448" s="5" t="s">
        <v>29876</v>
      </c>
      <c r="Y2448" s="4">
        <v>186</v>
      </c>
      <c r="Z2448" s="4">
        <v>125</v>
      </c>
      <c r="AA2448" s="4">
        <v>127</v>
      </c>
      <c r="AB2448" s="4">
        <v>2</v>
      </c>
      <c r="AC2448" s="4">
        <v>2</v>
      </c>
      <c r="AD2448" s="4">
        <v>7</v>
      </c>
      <c r="AE2448" s="4">
        <v>7</v>
      </c>
      <c r="AF2448" s="4">
        <v>2</v>
      </c>
      <c r="AG2448" s="4">
        <v>2</v>
      </c>
      <c r="AH2448" s="4">
        <v>2</v>
      </c>
      <c r="AI2448" s="4">
        <v>2</v>
      </c>
      <c r="AJ2448" s="4">
        <v>4</v>
      </c>
      <c r="AK2448" s="4">
        <v>4</v>
      </c>
      <c r="AL2448" s="4">
        <v>1</v>
      </c>
      <c r="AM2448" s="4">
        <v>1</v>
      </c>
      <c r="AN2448" s="4">
        <v>0</v>
      </c>
      <c r="AO2448" s="4">
        <v>0</v>
      </c>
      <c r="AP2448" s="3" t="s">
        <v>58</v>
      </c>
      <c r="AQ2448" s="3" t="s">
        <v>58</v>
      </c>
      <c r="AS2448" s="6" t="str">
        <f>HYPERLINK("https://creighton-primo.hosted.exlibrisgroup.com/primo-explore/search?tab=default_tab&amp;search_scope=EVERYTHING&amp;vid=01CRU&amp;lang=en_US&amp;offset=0&amp;query=any,contains,991002893049702656","Catalog Record")</f>
        <v>Catalog Record</v>
      </c>
      <c r="AT2448" s="6" t="str">
        <f>HYPERLINK("http://www.worldcat.org/oclc/38119537","WorldCat Record")</f>
        <v>WorldCat Record</v>
      </c>
      <c r="AU2448" s="3" t="s">
        <v>29877</v>
      </c>
      <c r="AV2448" s="3" t="s">
        <v>29878</v>
      </c>
      <c r="AW2448" s="3" t="s">
        <v>29879</v>
      </c>
      <c r="AX2448" s="3" t="s">
        <v>29879</v>
      </c>
      <c r="AY2448" s="3" t="s">
        <v>29880</v>
      </c>
      <c r="AZ2448" s="3" t="s">
        <v>73</v>
      </c>
      <c r="BB2448" s="3" t="s">
        <v>29881</v>
      </c>
      <c r="BC2448" s="3" t="s">
        <v>29882</v>
      </c>
      <c r="BD2448" s="3" t="s">
        <v>29883</v>
      </c>
    </row>
    <row r="2449" spans="1:56" ht="51" customHeight="1" x14ac:dyDescent="0.25">
      <c r="A2449" s="7" t="s">
        <v>58</v>
      </c>
      <c r="B2449" s="2" t="s">
        <v>29884</v>
      </c>
      <c r="C2449" s="2" t="s">
        <v>29885</v>
      </c>
      <c r="D2449" s="2" t="s">
        <v>29886</v>
      </c>
      <c r="F2449" s="3" t="s">
        <v>58</v>
      </c>
      <c r="G2449" s="3" t="s">
        <v>59</v>
      </c>
      <c r="H2449" s="3" t="s">
        <v>58</v>
      </c>
      <c r="I2449" s="3" t="s">
        <v>58</v>
      </c>
      <c r="J2449" s="3" t="s">
        <v>60</v>
      </c>
      <c r="K2449" s="2" t="s">
        <v>29887</v>
      </c>
      <c r="L2449" s="2" t="s">
        <v>29888</v>
      </c>
      <c r="M2449" s="3" t="s">
        <v>479</v>
      </c>
      <c r="N2449" s="2" t="s">
        <v>29889</v>
      </c>
      <c r="O2449" s="3" t="s">
        <v>63</v>
      </c>
      <c r="P2449" s="3" t="s">
        <v>214</v>
      </c>
      <c r="R2449" s="3" t="s">
        <v>65</v>
      </c>
      <c r="S2449" s="4">
        <v>30</v>
      </c>
      <c r="T2449" s="4">
        <v>30</v>
      </c>
      <c r="U2449" s="5" t="s">
        <v>29890</v>
      </c>
      <c r="V2449" s="5" t="s">
        <v>29890</v>
      </c>
      <c r="W2449" s="5" t="s">
        <v>24880</v>
      </c>
      <c r="X2449" s="5" t="s">
        <v>24880</v>
      </c>
      <c r="Y2449" s="4">
        <v>90</v>
      </c>
      <c r="Z2449" s="4">
        <v>83</v>
      </c>
      <c r="AA2449" s="4">
        <v>593</v>
      </c>
      <c r="AB2449" s="4">
        <v>2</v>
      </c>
      <c r="AC2449" s="4">
        <v>7</v>
      </c>
      <c r="AD2449" s="4">
        <v>6</v>
      </c>
      <c r="AE2449" s="4">
        <v>33</v>
      </c>
      <c r="AF2449" s="4">
        <v>4</v>
      </c>
      <c r="AG2449" s="4">
        <v>14</v>
      </c>
      <c r="AH2449" s="4">
        <v>0</v>
      </c>
      <c r="AI2449" s="4">
        <v>7</v>
      </c>
      <c r="AJ2449" s="4">
        <v>2</v>
      </c>
      <c r="AK2449" s="4">
        <v>17</v>
      </c>
      <c r="AL2449" s="4">
        <v>1</v>
      </c>
      <c r="AM2449" s="4">
        <v>5</v>
      </c>
      <c r="AN2449" s="4">
        <v>0</v>
      </c>
      <c r="AO2449" s="4">
        <v>0</v>
      </c>
      <c r="AP2449" s="3" t="s">
        <v>58</v>
      </c>
      <c r="AQ2449" s="3" t="s">
        <v>58</v>
      </c>
      <c r="AS2449" s="6" t="str">
        <f>HYPERLINK("https://creighton-primo.hosted.exlibrisgroup.com/primo-explore/search?tab=default_tab&amp;search_scope=EVERYTHING&amp;vid=01CRU&amp;lang=en_US&amp;offset=0&amp;query=any,contains,991002407119702656","Catalog Record")</f>
        <v>Catalog Record</v>
      </c>
      <c r="AT2449" s="6" t="str">
        <f>HYPERLINK("http://www.worldcat.org/oclc/31315669","WorldCat Record")</f>
        <v>WorldCat Record</v>
      </c>
      <c r="AU2449" s="3" t="s">
        <v>29891</v>
      </c>
      <c r="AV2449" s="3" t="s">
        <v>29892</v>
      </c>
      <c r="AW2449" s="3" t="s">
        <v>29893</v>
      </c>
      <c r="AX2449" s="3" t="s">
        <v>29893</v>
      </c>
      <c r="AY2449" s="3" t="s">
        <v>29894</v>
      </c>
      <c r="AZ2449" s="3" t="s">
        <v>73</v>
      </c>
      <c r="BB2449" s="3" t="s">
        <v>29895</v>
      </c>
      <c r="BC2449" s="3" t="s">
        <v>29896</v>
      </c>
      <c r="BD2449" s="3" t="s">
        <v>29897</v>
      </c>
    </row>
    <row r="2450" spans="1:56" ht="51" customHeight="1" x14ac:dyDescent="0.25">
      <c r="A2450" s="7" t="s">
        <v>58</v>
      </c>
      <c r="B2450" s="2" t="s">
        <v>29898</v>
      </c>
      <c r="C2450" s="2" t="s">
        <v>29899</v>
      </c>
      <c r="D2450" s="2" t="s">
        <v>29900</v>
      </c>
      <c r="F2450" s="3" t="s">
        <v>58</v>
      </c>
      <c r="G2450" s="3" t="s">
        <v>59</v>
      </c>
      <c r="H2450" s="3" t="s">
        <v>58</v>
      </c>
      <c r="I2450" s="3" t="s">
        <v>58</v>
      </c>
      <c r="J2450" s="3" t="s">
        <v>60</v>
      </c>
      <c r="L2450" s="2" t="s">
        <v>29901</v>
      </c>
      <c r="M2450" s="3" t="s">
        <v>1061</v>
      </c>
      <c r="O2450" s="3" t="s">
        <v>63</v>
      </c>
      <c r="P2450" s="3" t="s">
        <v>786</v>
      </c>
      <c r="Q2450" s="2" t="s">
        <v>29902</v>
      </c>
      <c r="R2450" s="3" t="s">
        <v>65</v>
      </c>
      <c r="S2450" s="4">
        <v>1</v>
      </c>
      <c r="T2450" s="4">
        <v>1</v>
      </c>
      <c r="U2450" s="5" t="s">
        <v>6052</v>
      </c>
      <c r="V2450" s="5" t="s">
        <v>6052</v>
      </c>
      <c r="W2450" s="5" t="s">
        <v>13303</v>
      </c>
      <c r="X2450" s="5" t="s">
        <v>13303</v>
      </c>
      <c r="Y2450" s="4">
        <v>175</v>
      </c>
      <c r="Z2450" s="4">
        <v>109</v>
      </c>
      <c r="AA2450" s="4">
        <v>109</v>
      </c>
      <c r="AB2450" s="4">
        <v>1</v>
      </c>
      <c r="AC2450" s="4">
        <v>1</v>
      </c>
      <c r="AD2450" s="4">
        <v>5</v>
      </c>
      <c r="AE2450" s="4">
        <v>5</v>
      </c>
      <c r="AF2450" s="4">
        <v>2</v>
      </c>
      <c r="AG2450" s="4">
        <v>2</v>
      </c>
      <c r="AH2450" s="4">
        <v>1</v>
      </c>
      <c r="AI2450" s="4">
        <v>1</v>
      </c>
      <c r="AJ2450" s="4">
        <v>5</v>
      </c>
      <c r="AK2450" s="4">
        <v>5</v>
      </c>
      <c r="AL2450" s="4">
        <v>0</v>
      </c>
      <c r="AM2450" s="4">
        <v>0</v>
      </c>
      <c r="AN2450" s="4">
        <v>0</v>
      </c>
      <c r="AO2450" s="4">
        <v>0</v>
      </c>
      <c r="AP2450" s="3" t="s">
        <v>58</v>
      </c>
      <c r="AQ2450" s="3" t="s">
        <v>58</v>
      </c>
      <c r="AS2450" s="6" t="str">
        <f>HYPERLINK("https://creighton-primo.hosted.exlibrisgroup.com/primo-explore/search?tab=default_tab&amp;search_scope=EVERYTHING&amp;vid=01CRU&amp;lang=en_US&amp;offset=0&amp;query=any,contains,991003344599702656","Catalog Record")</f>
        <v>Catalog Record</v>
      </c>
      <c r="AT2450" s="6" t="str">
        <f>HYPERLINK("http://www.worldcat.org/oclc/36865636","WorldCat Record")</f>
        <v>WorldCat Record</v>
      </c>
      <c r="AU2450" s="3" t="s">
        <v>29903</v>
      </c>
      <c r="AV2450" s="3" t="s">
        <v>29904</v>
      </c>
      <c r="AW2450" s="3" t="s">
        <v>29905</v>
      </c>
      <c r="AX2450" s="3" t="s">
        <v>29905</v>
      </c>
      <c r="AY2450" s="3" t="s">
        <v>29906</v>
      </c>
      <c r="AZ2450" s="3" t="s">
        <v>73</v>
      </c>
      <c r="BB2450" s="3" t="s">
        <v>29907</v>
      </c>
      <c r="BC2450" s="3" t="s">
        <v>29908</v>
      </c>
      <c r="BD2450" s="3" t="s">
        <v>29909</v>
      </c>
    </row>
    <row r="2451" spans="1:56" ht="51" customHeight="1" x14ac:dyDescent="0.25">
      <c r="A2451" s="7" t="s">
        <v>58</v>
      </c>
      <c r="B2451" s="2" t="s">
        <v>29910</v>
      </c>
      <c r="C2451" s="2" t="s">
        <v>29911</v>
      </c>
      <c r="D2451" s="2" t="s">
        <v>29912</v>
      </c>
      <c r="F2451" s="3" t="s">
        <v>58</v>
      </c>
      <c r="G2451" s="3" t="s">
        <v>59</v>
      </c>
      <c r="H2451" s="3" t="s">
        <v>58</v>
      </c>
      <c r="I2451" s="3" t="s">
        <v>58</v>
      </c>
      <c r="J2451" s="3" t="s">
        <v>60</v>
      </c>
      <c r="K2451" s="2" t="s">
        <v>29913</v>
      </c>
      <c r="L2451" s="2" t="s">
        <v>29914</v>
      </c>
      <c r="M2451" s="3" t="s">
        <v>1357</v>
      </c>
      <c r="N2451" s="2" t="s">
        <v>1611</v>
      </c>
      <c r="O2451" s="3" t="s">
        <v>63</v>
      </c>
      <c r="P2451" s="3" t="s">
        <v>214</v>
      </c>
      <c r="R2451" s="3" t="s">
        <v>65</v>
      </c>
      <c r="S2451" s="4">
        <v>7</v>
      </c>
      <c r="T2451" s="4">
        <v>7</v>
      </c>
      <c r="U2451" s="5" t="s">
        <v>15159</v>
      </c>
      <c r="V2451" s="5" t="s">
        <v>15159</v>
      </c>
      <c r="W2451" s="5" t="s">
        <v>9175</v>
      </c>
      <c r="X2451" s="5" t="s">
        <v>9175</v>
      </c>
      <c r="Y2451" s="4">
        <v>559</v>
      </c>
      <c r="Z2451" s="4">
        <v>461</v>
      </c>
      <c r="AA2451" s="4">
        <v>478</v>
      </c>
      <c r="AB2451" s="4">
        <v>6</v>
      </c>
      <c r="AC2451" s="4">
        <v>6</v>
      </c>
      <c r="AD2451" s="4">
        <v>17</v>
      </c>
      <c r="AE2451" s="4">
        <v>19</v>
      </c>
      <c r="AF2451" s="4">
        <v>3</v>
      </c>
      <c r="AG2451" s="4">
        <v>4</v>
      </c>
      <c r="AH2451" s="4">
        <v>3</v>
      </c>
      <c r="AI2451" s="4">
        <v>4</v>
      </c>
      <c r="AJ2451" s="4">
        <v>8</v>
      </c>
      <c r="AK2451" s="4">
        <v>8</v>
      </c>
      <c r="AL2451" s="4">
        <v>5</v>
      </c>
      <c r="AM2451" s="4">
        <v>5</v>
      </c>
      <c r="AN2451" s="4">
        <v>0</v>
      </c>
      <c r="AO2451" s="4">
        <v>0</v>
      </c>
      <c r="AP2451" s="3" t="s">
        <v>58</v>
      </c>
      <c r="AQ2451" s="3" t="s">
        <v>68</v>
      </c>
      <c r="AR2451" s="6" t="str">
        <f>HYPERLINK("http://catalog.hathitrust.org/Record/001259344","HathiTrust Record")</f>
        <v>HathiTrust Record</v>
      </c>
      <c r="AS2451" s="6" t="str">
        <f>HYPERLINK("https://creighton-primo.hosted.exlibrisgroup.com/primo-explore/search?tab=default_tab&amp;search_scope=EVERYTHING&amp;vid=01CRU&amp;lang=en_US&amp;offset=0&amp;query=any,contains,991000517389702656","Catalog Record")</f>
        <v>Catalog Record</v>
      </c>
      <c r="AT2451" s="6" t="str">
        <f>HYPERLINK("http://www.worldcat.org/oclc/86442","WorldCat Record")</f>
        <v>WorldCat Record</v>
      </c>
      <c r="AU2451" s="3" t="s">
        <v>29915</v>
      </c>
      <c r="AV2451" s="3" t="s">
        <v>29916</v>
      </c>
      <c r="AW2451" s="3" t="s">
        <v>29917</v>
      </c>
      <c r="AX2451" s="3" t="s">
        <v>29917</v>
      </c>
      <c r="AY2451" s="3" t="s">
        <v>29918</v>
      </c>
      <c r="AZ2451" s="3" t="s">
        <v>73</v>
      </c>
      <c r="BC2451" s="3" t="s">
        <v>29919</v>
      </c>
      <c r="BD2451" s="3" t="s">
        <v>29920</v>
      </c>
    </row>
    <row r="2452" spans="1:56" ht="51" customHeight="1" x14ac:dyDescent="0.25">
      <c r="A2452" s="7" t="s">
        <v>58</v>
      </c>
      <c r="B2452" s="2" t="s">
        <v>29921</v>
      </c>
      <c r="C2452" s="2" t="s">
        <v>29922</v>
      </c>
      <c r="D2452" s="2" t="s">
        <v>29923</v>
      </c>
      <c r="F2452" s="3" t="s">
        <v>58</v>
      </c>
      <c r="G2452" s="3" t="s">
        <v>59</v>
      </c>
      <c r="H2452" s="3" t="s">
        <v>58</v>
      </c>
      <c r="I2452" s="3" t="s">
        <v>58</v>
      </c>
      <c r="J2452" s="3" t="s">
        <v>60</v>
      </c>
      <c r="K2452" s="2" t="s">
        <v>29924</v>
      </c>
      <c r="L2452" s="2" t="s">
        <v>29925</v>
      </c>
      <c r="M2452" s="3" t="s">
        <v>29926</v>
      </c>
      <c r="O2452" s="3" t="s">
        <v>63</v>
      </c>
      <c r="P2452" s="3" t="s">
        <v>214</v>
      </c>
      <c r="R2452" s="3" t="s">
        <v>65</v>
      </c>
      <c r="S2452" s="4">
        <v>4</v>
      </c>
      <c r="T2452" s="4">
        <v>4</v>
      </c>
      <c r="U2452" s="5" t="s">
        <v>19207</v>
      </c>
      <c r="V2452" s="5" t="s">
        <v>19207</v>
      </c>
      <c r="W2452" s="5" t="s">
        <v>29927</v>
      </c>
      <c r="X2452" s="5" t="s">
        <v>29927</v>
      </c>
      <c r="Y2452" s="4">
        <v>360</v>
      </c>
      <c r="Z2452" s="4">
        <v>302</v>
      </c>
      <c r="AA2452" s="4">
        <v>368</v>
      </c>
      <c r="AB2452" s="4">
        <v>6</v>
      </c>
      <c r="AC2452" s="4">
        <v>6</v>
      </c>
      <c r="AD2452" s="4">
        <v>15</v>
      </c>
      <c r="AE2452" s="4">
        <v>15</v>
      </c>
      <c r="AF2452" s="4">
        <v>2</v>
      </c>
      <c r="AG2452" s="4">
        <v>2</v>
      </c>
      <c r="AH2452" s="4">
        <v>3</v>
      </c>
      <c r="AI2452" s="4">
        <v>3</v>
      </c>
      <c r="AJ2452" s="4">
        <v>7</v>
      </c>
      <c r="AK2452" s="4">
        <v>7</v>
      </c>
      <c r="AL2452" s="4">
        <v>4</v>
      </c>
      <c r="AM2452" s="4">
        <v>4</v>
      </c>
      <c r="AN2452" s="4">
        <v>0</v>
      </c>
      <c r="AO2452" s="4">
        <v>0</v>
      </c>
      <c r="AP2452" s="3" t="s">
        <v>68</v>
      </c>
      <c r="AQ2452" s="3" t="s">
        <v>58</v>
      </c>
      <c r="AR2452" s="6" t="str">
        <f>HYPERLINK("http://catalog.hathitrust.org/Record/001259345","HathiTrust Record")</f>
        <v>HathiTrust Record</v>
      </c>
      <c r="AS2452" s="6" t="str">
        <f>HYPERLINK("https://creighton-primo.hosted.exlibrisgroup.com/primo-explore/search?tab=default_tab&amp;search_scope=EVERYTHING&amp;vid=01CRU&amp;lang=en_US&amp;offset=0&amp;query=any,contains,991002722449702656","Catalog Record")</f>
        <v>Catalog Record</v>
      </c>
      <c r="AT2452" s="6" t="str">
        <f>HYPERLINK("http://www.worldcat.org/oclc/413099","WorldCat Record")</f>
        <v>WorldCat Record</v>
      </c>
      <c r="AU2452" s="3" t="s">
        <v>29928</v>
      </c>
      <c r="AV2452" s="3" t="s">
        <v>29929</v>
      </c>
      <c r="AW2452" s="3" t="s">
        <v>29930</v>
      </c>
      <c r="AX2452" s="3" t="s">
        <v>29930</v>
      </c>
      <c r="AY2452" s="3" t="s">
        <v>29931</v>
      </c>
      <c r="AZ2452" s="3" t="s">
        <v>73</v>
      </c>
      <c r="BC2452" s="3" t="s">
        <v>29932</v>
      </c>
      <c r="BD2452" s="3" t="s">
        <v>29933</v>
      </c>
    </row>
    <row r="2453" spans="1:56" ht="51" customHeight="1" x14ac:dyDescent="0.25">
      <c r="A2453" s="7" t="s">
        <v>58</v>
      </c>
      <c r="B2453" s="2" t="s">
        <v>29934</v>
      </c>
      <c r="C2453" s="2" t="s">
        <v>29935</v>
      </c>
      <c r="D2453" s="2" t="s">
        <v>29936</v>
      </c>
      <c r="F2453" s="3" t="s">
        <v>58</v>
      </c>
      <c r="G2453" s="3" t="s">
        <v>59</v>
      </c>
      <c r="H2453" s="3" t="s">
        <v>58</v>
      </c>
      <c r="I2453" s="3" t="s">
        <v>58</v>
      </c>
      <c r="J2453" s="3" t="s">
        <v>60</v>
      </c>
      <c r="K2453" s="2" t="s">
        <v>29937</v>
      </c>
      <c r="L2453" s="2" t="s">
        <v>29938</v>
      </c>
      <c r="M2453" s="3" t="s">
        <v>800</v>
      </c>
      <c r="N2453" s="2" t="s">
        <v>29939</v>
      </c>
      <c r="O2453" s="3" t="s">
        <v>63</v>
      </c>
      <c r="P2453" s="3" t="s">
        <v>354</v>
      </c>
      <c r="R2453" s="3" t="s">
        <v>65</v>
      </c>
      <c r="S2453" s="4">
        <v>12</v>
      </c>
      <c r="T2453" s="4">
        <v>12</v>
      </c>
      <c r="U2453" s="5" t="s">
        <v>3852</v>
      </c>
      <c r="V2453" s="5" t="s">
        <v>3852</v>
      </c>
      <c r="W2453" s="5" t="s">
        <v>29940</v>
      </c>
      <c r="X2453" s="5" t="s">
        <v>29940</v>
      </c>
      <c r="Y2453" s="4">
        <v>326</v>
      </c>
      <c r="Z2453" s="4">
        <v>271</v>
      </c>
      <c r="AA2453" s="4">
        <v>420</v>
      </c>
      <c r="AB2453" s="4">
        <v>4</v>
      </c>
      <c r="AC2453" s="4">
        <v>4</v>
      </c>
      <c r="AD2453" s="4">
        <v>14</v>
      </c>
      <c r="AE2453" s="4">
        <v>24</v>
      </c>
      <c r="AF2453" s="4">
        <v>5</v>
      </c>
      <c r="AG2453" s="4">
        <v>8</v>
      </c>
      <c r="AH2453" s="4">
        <v>3</v>
      </c>
      <c r="AI2453" s="4">
        <v>7</v>
      </c>
      <c r="AJ2453" s="4">
        <v>6</v>
      </c>
      <c r="AK2453" s="4">
        <v>11</v>
      </c>
      <c r="AL2453" s="4">
        <v>3</v>
      </c>
      <c r="AM2453" s="4">
        <v>3</v>
      </c>
      <c r="AN2453" s="4">
        <v>0</v>
      </c>
      <c r="AO2453" s="4">
        <v>0</v>
      </c>
      <c r="AP2453" s="3" t="s">
        <v>58</v>
      </c>
      <c r="AQ2453" s="3" t="s">
        <v>58</v>
      </c>
      <c r="AS2453" s="6" t="str">
        <f>HYPERLINK("https://creighton-primo.hosted.exlibrisgroup.com/primo-explore/search?tab=default_tab&amp;search_scope=EVERYTHING&amp;vid=01CRU&amp;lang=en_US&amp;offset=0&amp;query=any,contains,991002436019702656","Catalog Record")</f>
        <v>Catalog Record</v>
      </c>
      <c r="AT2453" s="6" t="str">
        <f>HYPERLINK("http://www.worldcat.org/oclc/31754062","WorldCat Record")</f>
        <v>WorldCat Record</v>
      </c>
      <c r="AU2453" s="3" t="s">
        <v>29941</v>
      </c>
      <c r="AV2453" s="3" t="s">
        <v>29942</v>
      </c>
      <c r="AW2453" s="3" t="s">
        <v>29943</v>
      </c>
      <c r="AX2453" s="3" t="s">
        <v>29943</v>
      </c>
      <c r="AY2453" s="3" t="s">
        <v>29944</v>
      </c>
      <c r="AZ2453" s="3" t="s">
        <v>73</v>
      </c>
      <c r="BB2453" s="3" t="s">
        <v>29945</v>
      </c>
      <c r="BC2453" s="3" t="s">
        <v>29946</v>
      </c>
      <c r="BD2453" s="3" t="s">
        <v>29947</v>
      </c>
    </row>
    <row r="2454" spans="1:56" ht="51" customHeight="1" x14ac:dyDescent="0.25">
      <c r="A2454" s="7" t="s">
        <v>58</v>
      </c>
      <c r="B2454" s="2" t="s">
        <v>29948</v>
      </c>
      <c r="C2454" s="2" t="s">
        <v>29949</v>
      </c>
      <c r="D2454" s="2" t="s">
        <v>29950</v>
      </c>
      <c r="F2454" s="3" t="s">
        <v>58</v>
      </c>
      <c r="G2454" s="3" t="s">
        <v>59</v>
      </c>
      <c r="H2454" s="3" t="s">
        <v>58</v>
      </c>
      <c r="I2454" s="3" t="s">
        <v>58</v>
      </c>
      <c r="J2454" s="3" t="s">
        <v>60</v>
      </c>
      <c r="K2454" s="2" t="s">
        <v>29951</v>
      </c>
      <c r="L2454" s="2" t="s">
        <v>29952</v>
      </c>
      <c r="M2454" s="3" t="s">
        <v>1153</v>
      </c>
      <c r="N2454" s="2" t="s">
        <v>29953</v>
      </c>
      <c r="O2454" s="3" t="s">
        <v>63</v>
      </c>
      <c r="P2454" s="3" t="s">
        <v>16203</v>
      </c>
      <c r="R2454" s="3" t="s">
        <v>65</v>
      </c>
      <c r="S2454" s="4">
        <v>1</v>
      </c>
      <c r="T2454" s="4">
        <v>1</v>
      </c>
      <c r="U2454" s="5" t="s">
        <v>12930</v>
      </c>
      <c r="V2454" s="5" t="s">
        <v>12930</v>
      </c>
      <c r="W2454" s="5" t="s">
        <v>17836</v>
      </c>
      <c r="X2454" s="5" t="s">
        <v>17836</v>
      </c>
      <c r="Y2454" s="4">
        <v>53</v>
      </c>
      <c r="Z2454" s="4">
        <v>42</v>
      </c>
      <c r="AA2454" s="4">
        <v>393</v>
      </c>
      <c r="AB2454" s="4">
        <v>1</v>
      </c>
      <c r="AC2454" s="4">
        <v>6</v>
      </c>
      <c r="AD2454" s="4">
        <v>1</v>
      </c>
      <c r="AE2454" s="4">
        <v>19</v>
      </c>
      <c r="AF2454" s="4">
        <v>0</v>
      </c>
      <c r="AG2454" s="4">
        <v>6</v>
      </c>
      <c r="AH2454" s="4">
        <v>1</v>
      </c>
      <c r="AI2454" s="4">
        <v>6</v>
      </c>
      <c r="AJ2454" s="4">
        <v>1</v>
      </c>
      <c r="AK2454" s="4">
        <v>7</v>
      </c>
      <c r="AL2454" s="4">
        <v>0</v>
      </c>
      <c r="AM2454" s="4">
        <v>5</v>
      </c>
      <c r="AN2454" s="4">
        <v>0</v>
      </c>
      <c r="AO2454" s="4">
        <v>0</v>
      </c>
      <c r="AP2454" s="3" t="s">
        <v>58</v>
      </c>
      <c r="AQ2454" s="3" t="s">
        <v>68</v>
      </c>
      <c r="AR2454" s="6" t="str">
        <f>HYPERLINK("http://catalog.hathitrust.org/Record/101796324","HathiTrust Record")</f>
        <v>HathiTrust Record</v>
      </c>
      <c r="AS2454" s="6" t="str">
        <f>HYPERLINK("https://creighton-primo.hosted.exlibrisgroup.com/primo-explore/search?tab=default_tab&amp;search_scope=EVERYTHING&amp;vid=01CRU&amp;lang=en_US&amp;offset=0&amp;query=any,contains,991003243769702656","Catalog Record")</f>
        <v>Catalog Record</v>
      </c>
      <c r="AT2454" s="6" t="str">
        <f>HYPERLINK("http://www.worldcat.org/oclc/766864","WorldCat Record")</f>
        <v>WorldCat Record</v>
      </c>
      <c r="AU2454" s="3" t="s">
        <v>29954</v>
      </c>
      <c r="AV2454" s="3" t="s">
        <v>29955</v>
      </c>
      <c r="AW2454" s="3" t="s">
        <v>29956</v>
      </c>
      <c r="AX2454" s="3" t="s">
        <v>29956</v>
      </c>
      <c r="AY2454" s="3" t="s">
        <v>29957</v>
      </c>
      <c r="AZ2454" s="3" t="s">
        <v>73</v>
      </c>
      <c r="BB2454" s="3" t="s">
        <v>29958</v>
      </c>
      <c r="BC2454" s="3" t="s">
        <v>29959</v>
      </c>
      <c r="BD2454" s="3" t="s">
        <v>29960</v>
      </c>
    </row>
    <row r="2455" spans="1:56" ht="51" customHeight="1" x14ac:dyDescent="0.25">
      <c r="A2455" s="7" t="s">
        <v>58</v>
      </c>
      <c r="B2455" s="2" t="s">
        <v>29961</v>
      </c>
      <c r="C2455" s="2" t="s">
        <v>29962</v>
      </c>
      <c r="D2455" s="2" t="s">
        <v>29963</v>
      </c>
      <c r="F2455" s="3" t="s">
        <v>58</v>
      </c>
      <c r="G2455" s="3" t="s">
        <v>59</v>
      </c>
      <c r="H2455" s="3" t="s">
        <v>58</v>
      </c>
      <c r="I2455" s="3" t="s">
        <v>58</v>
      </c>
      <c r="J2455" s="3" t="s">
        <v>60</v>
      </c>
      <c r="K2455" s="2" t="s">
        <v>29964</v>
      </c>
      <c r="L2455" s="2" t="s">
        <v>29965</v>
      </c>
      <c r="M2455" s="3" t="s">
        <v>1357</v>
      </c>
      <c r="N2455" s="2" t="s">
        <v>13327</v>
      </c>
      <c r="O2455" s="3" t="s">
        <v>63</v>
      </c>
      <c r="P2455" s="3" t="s">
        <v>214</v>
      </c>
      <c r="R2455" s="3" t="s">
        <v>65</v>
      </c>
      <c r="S2455" s="4">
        <v>12</v>
      </c>
      <c r="T2455" s="4">
        <v>12</v>
      </c>
      <c r="U2455" s="5" t="s">
        <v>16073</v>
      </c>
      <c r="V2455" s="5" t="s">
        <v>16073</v>
      </c>
      <c r="W2455" s="5" t="s">
        <v>29966</v>
      </c>
      <c r="X2455" s="5" t="s">
        <v>29966</v>
      </c>
      <c r="Y2455" s="4">
        <v>708</v>
      </c>
      <c r="Z2455" s="4">
        <v>640</v>
      </c>
      <c r="AA2455" s="4">
        <v>969</v>
      </c>
      <c r="AB2455" s="4">
        <v>8</v>
      </c>
      <c r="AC2455" s="4">
        <v>12</v>
      </c>
      <c r="AD2455" s="4">
        <v>21</v>
      </c>
      <c r="AE2455" s="4">
        <v>39</v>
      </c>
      <c r="AF2455" s="4">
        <v>8</v>
      </c>
      <c r="AG2455" s="4">
        <v>18</v>
      </c>
      <c r="AH2455" s="4">
        <v>4</v>
      </c>
      <c r="AI2455" s="4">
        <v>6</v>
      </c>
      <c r="AJ2455" s="4">
        <v>7</v>
      </c>
      <c r="AK2455" s="4">
        <v>16</v>
      </c>
      <c r="AL2455" s="4">
        <v>5</v>
      </c>
      <c r="AM2455" s="4">
        <v>8</v>
      </c>
      <c r="AN2455" s="4">
        <v>0</v>
      </c>
      <c r="AO2455" s="4">
        <v>0</v>
      </c>
      <c r="AP2455" s="3" t="s">
        <v>58</v>
      </c>
      <c r="AQ2455" s="3" t="s">
        <v>68</v>
      </c>
      <c r="AR2455" s="6" t="str">
        <f>HYPERLINK("http://catalog.hathitrust.org/Record/001259355","HathiTrust Record")</f>
        <v>HathiTrust Record</v>
      </c>
      <c r="AS2455" s="6" t="str">
        <f>HYPERLINK("https://creighton-primo.hosted.exlibrisgroup.com/primo-explore/search?tab=default_tab&amp;search_scope=EVERYTHING&amp;vid=01CRU&amp;lang=en_US&amp;offset=0&amp;query=any,contains,991000236799702656","Catalog Record")</f>
        <v>Catalog Record</v>
      </c>
      <c r="AT2455" s="6" t="str">
        <f>HYPERLINK("http://www.worldcat.org/oclc/67901","WorldCat Record")</f>
        <v>WorldCat Record</v>
      </c>
      <c r="AU2455" s="3" t="s">
        <v>29967</v>
      </c>
      <c r="AV2455" s="3" t="s">
        <v>29968</v>
      </c>
      <c r="AW2455" s="3" t="s">
        <v>29969</v>
      </c>
      <c r="AX2455" s="3" t="s">
        <v>29969</v>
      </c>
      <c r="AY2455" s="3" t="s">
        <v>29970</v>
      </c>
      <c r="AZ2455" s="3" t="s">
        <v>73</v>
      </c>
      <c r="BC2455" s="3" t="s">
        <v>29971</v>
      </c>
      <c r="BD2455" s="3" t="s">
        <v>29972</v>
      </c>
    </row>
    <row r="2456" spans="1:56" ht="51" customHeight="1" x14ac:dyDescent="0.25">
      <c r="A2456" s="7" t="s">
        <v>58</v>
      </c>
      <c r="B2456" s="2" t="s">
        <v>29973</v>
      </c>
      <c r="C2456" s="2" t="s">
        <v>29974</v>
      </c>
      <c r="D2456" s="2" t="s">
        <v>29975</v>
      </c>
      <c r="F2456" s="3" t="s">
        <v>58</v>
      </c>
      <c r="G2456" s="3" t="s">
        <v>59</v>
      </c>
      <c r="H2456" s="3" t="s">
        <v>58</v>
      </c>
      <c r="I2456" s="3" t="s">
        <v>58</v>
      </c>
      <c r="J2456" s="3" t="s">
        <v>60</v>
      </c>
      <c r="K2456" s="2" t="s">
        <v>29976</v>
      </c>
      <c r="L2456" s="2" t="s">
        <v>29977</v>
      </c>
      <c r="M2456" s="3" t="s">
        <v>996</v>
      </c>
      <c r="O2456" s="3" t="s">
        <v>63</v>
      </c>
      <c r="P2456" s="3" t="s">
        <v>214</v>
      </c>
      <c r="R2456" s="3" t="s">
        <v>65</v>
      </c>
      <c r="S2456" s="4">
        <v>7</v>
      </c>
      <c r="T2456" s="4">
        <v>7</v>
      </c>
      <c r="U2456" s="5" t="s">
        <v>6660</v>
      </c>
      <c r="V2456" s="5" t="s">
        <v>6660</v>
      </c>
      <c r="W2456" s="5" t="s">
        <v>14024</v>
      </c>
      <c r="X2456" s="5" t="s">
        <v>14024</v>
      </c>
      <c r="Y2456" s="4">
        <v>747</v>
      </c>
      <c r="Z2456" s="4">
        <v>667</v>
      </c>
      <c r="AA2456" s="4">
        <v>682</v>
      </c>
      <c r="AB2456" s="4">
        <v>6</v>
      </c>
      <c r="AC2456" s="4">
        <v>6</v>
      </c>
      <c r="AD2456" s="4">
        <v>23</v>
      </c>
      <c r="AE2456" s="4">
        <v>25</v>
      </c>
      <c r="AF2456" s="4">
        <v>9</v>
      </c>
      <c r="AG2456" s="4">
        <v>10</v>
      </c>
      <c r="AH2456" s="4">
        <v>6</v>
      </c>
      <c r="AI2456" s="4">
        <v>7</v>
      </c>
      <c r="AJ2456" s="4">
        <v>11</v>
      </c>
      <c r="AK2456" s="4">
        <v>11</v>
      </c>
      <c r="AL2456" s="4">
        <v>3</v>
      </c>
      <c r="AM2456" s="4">
        <v>3</v>
      </c>
      <c r="AN2456" s="4">
        <v>0</v>
      </c>
      <c r="AO2456" s="4">
        <v>0</v>
      </c>
      <c r="AP2456" s="3" t="s">
        <v>58</v>
      </c>
      <c r="AQ2456" s="3" t="s">
        <v>68</v>
      </c>
      <c r="AR2456" s="6" t="str">
        <f>HYPERLINK("http://catalog.hathitrust.org/Record/001259357","HathiTrust Record")</f>
        <v>HathiTrust Record</v>
      </c>
      <c r="AS2456" s="6" t="str">
        <f>HYPERLINK("https://creighton-primo.hosted.exlibrisgroup.com/primo-explore/search?tab=default_tab&amp;search_scope=EVERYTHING&amp;vid=01CRU&amp;lang=en_US&amp;offset=0&amp;query=any,contains,991002456999702656","Catalog Record")</f>
        <v>Catalog Record</v>
      </c>
      <c r="AT2456" s="6" t="str">
        <f>HYPERLINK("http://www.worldcat.org/oclc/354839","WorldCat Record")</f>
        <v>WorldCat Record</v>
      </c>
      <c r="AU2456" s="3" t="s">
        <v>29978</v>
      </c>
      <c r="AV2456" s="3" t="s">
        <v>29979</v>
      </c>
      <c r="AW2456" s="3" t="s">
        <v>29980</v>
      </c>
      <c r="AX2456" s="3" t="s">
        <v>29980</v>
      </c>
      <c r="AY2456" s="3" t="s">
        <v>29981</v>
      </c>
      <c r="AZ2456" s="3" t="s">
        <v>73</v>
      </c>
      <c r="BB2456" s="3" t="s">
        <v>29982</v>
      </c>
      <c r="BC2456" s="3" t="s">
        <v>29983</v>
      </c>
      <c r="BD2456" s="3" t="s">
        <v>29984</v>
      </c>
    </row>
    <row r="2457" spans="1:56" ht="51" customHeight="1" x14ac:dyDescent="0.25">
      <c r="A2457" s="7" t="s">
        <v>58</v>
      </c>
      <c r="B2457" s="2" t="s">
        <v>29985</v>
      </c>
      <c r="C2457" s="2" t="s">
        <v>29986</v>
      </c>
      <c r="D2457" s="2" t="s">
        <v>29987</v>
      </c>
      <c r="E2457" s="3" t="s">
        <v>210</v>
      </c>
      <c r="F2457" s="3" t="s">
        <v>68</v>
      </c>
      <c r="G2457" s="3" t="s">
        <v>59</v>
      </c>
      <c r="H2457" s="3" t="s">
        <v>58</v>
      </c>
      <c r="I2457" s="3" t="s">
        <v>58</v>
      </c>
      <c r="J2457" s="3" t="s">
        <v>60</v>
      </c>
      <c r="K2457" s="2" t="s">
        <v>29988</v>
      </c>
      <c r="L2457" s="2" t="s">
        <v>29989</v>
      </c>
      <c r="M2457" s="3" t="s">
        <v>21865</v>
      </c>
      <c r="O2457" s="3" t="s">
        <v>63</v>
      </c>
      <c r="P2457" s="3" t="s">
        <v>411</v>
      </c>
      <c r="R2457" s="3" t="s">
        <v>65</v>
      </c>
      <c r="S2457" s="4">
        <v>2</v>
      </c>
      <c r="T2457" s="4">
        <v>2</v>
      </c>
      <c r="U2457" s="5" t="s">
        <v>29990</v>
      </c>
      <c r="V2457" s="5" t="s">
        <v>29990</v>
      </c>
      <c r="W2457" s="5" t="s">
        <v>23355</v>
      </c>
      <c r="X2457" s="5" t="s">
        <v>23293</v>
      </c>
      <c r="Y2457" s="4">
        <v>90</v>
      </c>
      <c r="Z2457" s="4">
        <v>85</v>
      </c>
      <c r="AA2457" s="4">
        <v>133</v>
      </c>
      <c r="AB2457" s="4">
        <v>2</v>
      </c>
      <c r="AC2457" s="4">
        <v>2</v>
      </c>
      <c r="AD2457" s="4">
        <v>5</v>
      </c>
      <c r="AE2457" s="4">
        <v>6</v>
      </c>
      <c r="AF2457" s="4">
        <v>1</v>
      </c>
      <c r="AG2457" s="4">
        <v>1</v>
      </c>
      <c r="AH2457" s="4">
        <v>2</v>
      </c>
      <c r="AI2457" s="4">
        <v>3</v>
      </c>
      <c r="AJ2457" s="4">
        <v>2</v>
      </c>
      <c r="AK2457" s="4">
        <v>2</v>
      </c>
      <c r="AL2457" s="4">
        <v>1</v>
      </c>
      <c r="AM2457" s="4">
        <v>1</v>
      </c>
      <c r="AN2457" s="4">
        <v>0</v>
      </c>
      <c r="AO2457" s="4">
        <v>0</v>
      </c>
      <c r="AP2457" s="3" t="s">
        <v>68</v>
      </c>
      <c r="AQ2457" s="3" t="s">
        <v>58</v>
      </c>
      <c r="AR2457" s="6" t="str">
        <f>HYPERLINK("http://catalog.hathitrust.org/Record/001259360","HathiTrust Record")</f>
        <v>HathiTrust Record</v>
      </c>
      <c r="AS2457" s="6" t="str">
        <f>HYPERLINK("https://creighton-primo.hosted.exlibrisgroup.com/primo-explore/search?tab=default_tab&amp;search_scope=EVERYTHING&amp;vid=01CRU&amp;lang=en_US&amp;offset=0&amp;query=any,contains,991004568799702656","Catalog Record")</f>
        <v>Catalog Record</v>
      </c>
      <c r="AT2457" s="6" t="str">
        <f>HYPERLINK("http://www.worldcat.org/oclc/4007734","WorldCat Record")</f>
        <v>WorldCat Record</v>
      </c>
      <c r="AU2457" s="3" t="s">
        <v>29991</v>
      </c>
      <c r="AV2457" s="3" t="s">
        <v>29992</v>
      </c>
      <c r="AW2457" s="3" t="s">
        <v>29993</v>
      </c>
      <c r="AX2457" s="3" t="s">
        <v>29993</v>
      </c>
      <c r="AY2457" s="3" t="s">
        <v>29994</v>
      </c>
      <c r="AZ2457" s="3" t="s">
        <v>73</v>
      </c>
      <c r="BC2457" s="3" t="s">
        <v>29995</v>
      </c>
      <c r="BD2457" s="3" t="s">
        <v>29996</v>
      </c>
    </row>
    <row r="2458" spans="1:56" ht="51" customHeight="1" x14ac:dyDescent="0.25">
      <c r="A2458" s="7" t="s">
        <v>58</v>
      </c>
      <c r="B2458" s="2" t="s">
        <v>29985</v>
      </c>
      <c r="C2458" s="2" t="s">
        <v>29986</v>
      </c>
      <c r="D2458" s="2" t="s">
        <v>29987</v>
      </c>
      <c r="E2458" s="3" t="s">
        <v>223</v>
      </c>
      <c r="F2458" s="3" t="s">
        <v>68</v>
      </c>
      <c r="G2458" s="3" t="s">
        <v>59</v>
      </c>
      <c r="H2458" s="3" t="s">
        <v>58</v>
      </c>
      <c r="I2458" s="3" t="s">
        <v>58</v>
      </c>
      <c r="J2458" s="3" t="s">
        <v>60</v>
      </c>
      <c r="K2458" s="2" t="s">
        <v>29988</v>
      </c>
      <c r="L2458" s="2" t="s">
        <v>29989</v>
      </c>
      <c r="M2458" s="3" t="s">
        <v>21865</v>
      </c>
      <c r="O2458" s="3" t="s">
        <v>63</v>
      </c>
      <c r="P2458" s="3" t="s">
        <v>411</v>
      </c>
      <c r="R2458" s="3" t="s">
        <v>65</v>
      </c>
      <c r="S2458" s="4">
        <v>0</v>
      </c>
      <c r="T2458" s="4">
        <v>2</v>
      </c>
      <c r="V2458" s="5" t="s">
        <v>29990</v>
      </c>
      <c r="W2458" s="5" t="s">
        <v>23293</v>
      </c>
      <c r="X2458" s="5" t="s">
        <v>23293</v>
      </c>
      <c r="Y2458" s="4">
        <v>90</v>
      </c>
      <c r="Z2458" s="4">
        <v>85</v>
      </c>
      <c r="AA2458" s="4">
        <v>133</v>
      </c>
      <c r="AB2458" s="4">
        <v>2</v>
      </c>
      <c r="AC2458" s="4">
        <v>2</v>
      </c>
      <c r="AD2458" s="4">
        <v>5</v>
      </c>
      <c r="AE2458" s="4">
        <v>6</v>
      </c>
      <c r="AF2458" s="4">
        <v>1</v>
      </c>
      <c r="AG2458" s="4">
        <v>1</v>
      </c>
      <c r="AH2458" s="4">
        <v>2</v>
      </c>
      <c r="AI2458" s="4">
        <v>3</v>
      </c>
      <c r="AJ2458" s="4">
        <v>2</v>
      </c>
      <c r="AK2458" s="4">
        <v>2</v>
      </c>
      <c r="AL2458" s="4">
        <v>1</v>
      </c>
      <c r="AM2458" s="4">
        <v>1</v>
      </c>
      <c r="AN2458" s="4">
        <v>0</v>
      </c>
      <c r="AO2458" s="4">
        <v>0</v>
      </c>
      <c r="AP2458" s="3" t="s">
        <v>68</v>
      </c>
      <c r="AQ2458" s="3" t="s">
        <v>58</v>
      </c>
      <c r="AR2458" s="6" t="str">
        <f>HYPERLINK("http://catalog.hathitrust.org/Record/001259360","HathiTrust Record")</f>
        <v>HathiTrust Record</v>
      </c>
      <c r="AS2458" s="6" t="str">
        <f>HYPERLINK("https://creighton-primo.hosted.exlibrisgroup.com/primo-explore/search?tab=default_tab&amp;search_scope=EVERYTHING&amp;vid=01CRU&amp;lang=en_US&amp;offset=0&amp;query=any,contains,991004568799702656","Catalog Record")</f>
        <v>Catalog Record</v>
      </c>
      <c r="AT2458" s="6" t="str">
        <f>HYPERLINK("http://www.worldcat.org/oclc/4007734","WorldCat Record")</f>
        <v>WorldCat Record</v>
      </c>
      <c r="AU2458" s="3" t="s">
        <v>29991</v>
      </c>
      <c r="AV2458" s="3" t="s">
        <v>29992</v>
      </c>
      <c r="AW2458" s="3" t="s">
        <v>29993</v>
      </c>
      <c r="AX2458" s="3" t="s">
        <v>29993</v>
      </c>
      <c r="AY2458" s="3" t="s">
        <v>29994</v>
      </c>
      <c r="AZ2458" s="3" t="s">
        <v>73</v>
      </c>
      <c r="BC2458" s="3" t="s">
        <v>29997</v>
      </c>
      <c r="BD2458" s="3" t="s">
        <v>29998</v>
      </c>
    </row>
    <row r="2459" spans="1:56" ht="51" customHeight="1" x14ac:dyDescent="0.25">
      <c r="A2459" s="7" t="s">
        <v>58</v>
      </c>
      <c r="B2459" s="2" t="s">
        <v>29999</v>
      </c>
      <c r="C2459" s="2" t="s">
        <v>30000</v>
      </c>
      <c r="D2459" s="2" t="s">
        <v>30001</v>
      </c>
      <c r="E2459" s="3" t="s">
        <v>223</v>
      </c>
      <c r="F2459" s="3" t="s">
        <v>68</v>
      </c>
      <c r="G2459" s="3" t="s">
        <v>59</v>
      </c>
      <c r="H2459" s="3" t="s">
        <v>58</v>
      </c>
      <c r="I2459" s="3" t="s">
        <v>58</v>
      </c>
      <c r="J2459" s="3" t="s">
        <v>60</v>
      </c>
      <c r="K2459" s="2" t="s">
        <v>30002</v>
      </c>
      <c r="L2459" s="2" t="s">
        <v>30003</v>
      </c>
      <c r="M2459" s="3" t="s">
        <v>745</v>
      </c>
      <c r="O2459" s="3" t="s">
        <v>63</v>
      </c>
      <c r="P2459" s="3" t="s">
        <v>214</v>
      </c>
      <c r="R2459" s="3" t="s">
        <v>65</v>
      </c>
      <c r="S2459" s="4">
        <v>3</v>
      </c>
      <c r="T2459" s="4">
        <v>4</v>
      </c>
      <c r="U2459" s="5" t="s">
        <v>913</v>
      </c>
      <c r="V2459" s="5" t="s">
        <v>913</v>
      </c>
      <c r="W2459" s="5" t="s">
        <v>14764</v>
      </c>
      <c r="X2459" s="5" t="s">
        <v>14764</v>
      </c>
      <c r="Y2459" s="4">
        <v>311</v>
      </c>
      <c r="Z2459" s="4">
        <v>285</v>
      </c>
      <c r="AA2459" s="4">
        <v>530</v>
      </c>
      <c r="AB2459" s="4">
        <v>2</v>
      </c>
      <c r="AC2459" s="4">
        <v>3</v>
      </c>
      <c r="AD2459" s="4">
        <v>8</v>
      </c>
      <c r="AE2459" s="4">
        <v>16</v>
      </c>
      <c r="AF2459" s="4">
        <v>2</v>
      </c>
      <c r="AG2459" s="4">
        <v>2</v>
      </c>
      <c r="AH2459" s="4">
        <v>1</v>
      </c>
      <c r="AI2459" s="4">
        <v>4</v>
      </c>
      <c r="AJ2459" s="4">
        <v>4</v>
      </c>
      <c r="AK2459" s="4">
        <v>10</v>
      </c>
      <c r="AL2459" s="4">
        <v>1</v>
      </c>
      <c r="AM2459" s="4">
        <v>2</v>
      </c>
      <c r="AN2459" s="4">
        <v>0</v>
      </c>
      <c r="AO2459" s="4">
        <v>0</v>
      </c>
      <c r="AP2459" s="3" t="s">
        <v>58</v>
      </c>
      <c r="AQ2459" s="3" t="s">
        <v>68</v>
      </c>
      <c r="AR2459" s="6" t="str">
        <f>HYPERLINK("http://catalog.hathitrust.org/Record/001259367","HathiTrust Record")</f>
        <v>HathiTrust Record</v>
      </c>
      <c r="AS2459" s="6" t="str">
        <f>HYPERLINK("https://creighton-primo.hosted.exlibrisgroup.com/primo-explore/search?tab=default_tab&amp;search_scope=EVERYTHING&amp;vid=01CRU&amp;lang=en_US&amp;offset=0&amp;query=any,contains,991003431509702656","Catalog Record")</f>
        <v>Catalog Record</v>
      </c>
      <c r="AT2459" s="6" t="str">
        <f>HYPERLINK("http://www.worldcat.org/oclc/966316","WorldCat Record")</f>
        <v>WorldCat Record</v>
      </c>
      <c r="AU2459" s="3" t="s">
        <v>30004</v>
      </c>
      <c r="AV2459" s="3" t="s">
        <v>30005</v>
      </c>
      <c r="AW2459" s="3" t="s">
        <v>30006</v>
      </c>
      <c r="AX2459" s="3" t="s">
        <v>30006</v>
      </c>
      <c r="AY2459" s="3" t="s">
        <v>30007</v>
      </c>
      <c r="AZ2459" s="3" t="s">
        <v>73</v>
      </c>
      <c r="BC2459" s="3" t="s">
        <v>30008</v>
      </c>
      <c r="BD2459" s="3" t="s">
        <v>30009</v>
      </c>
    </row>
    <row r="2460" spans="1:56" ht="51" customHeight="1" x14ac:dyDescent="0.25">
      <c r="A2460" s="7" t="s">
        <v>58</v>
      </c>
      <c r="B2460" s="2" t="s">
        <v>29999</v>
      </c>
      <c r="C2460" s="2" t="s">
        <v>30000</v>
      </c>
      <c r="D2460" s="2" t="s">
        <v>30001</v>
      </c>
      <c r="E2460" s="3" t="s">
        <v>210</v>
      </c>
      <c r="F2460" s="3" t="s">
        <v>68</v>
      </c>
      <c r="G2460" s="3" t="s">
        <v>59</v>
      </c>
      <c r="H2460" s="3" t="s">
        <v>58</v>
      </c>
      <c r="I2460" s="3" t="s">
        <v>58</v>
      </c>
      <c r="J2460" s="3" t="s">
        <v>60</v>
      </c>
      <c r="K2460" s="2" t="s">
        <v>30002</v>
      </c>
      <c r="L2460" s="2" t="s">
        <v>30003</v>
      </c>
      <c r="M2460" s="3" t="s">
        <v>745</v>
      </c>
      <c r="O2460" s="3" t="s">
        <v>63</v>
      </c>
      <c r="P2460" s="3" t="s">
        <v>214</v>
      </c>
      <c r="R2460" s="3" t="s">
        <v>65</v>
      </c>
      <c r="S2460" s="4">
        <v>1</v>
      </c>
      <c r="T2460" s="4">
        <v>4</v>
      </c>
      <c r="V2460" s="5" t="s">
        <v>913</v>
      </c>
      <c r="W2460" s="5" t="s">
        <v>14764</v>
      </c>
      <c r="X2460" s="5" t="s">
        <v>14764</v>
      </c>
      <c r="Y2460" s="4">
        <v>311</v>
      </c>
      <c r="Z2460" s="4">
        <v>285</v>
      </c>
      <c r="AA2460" s="4">
        <v>530</v>
      </c>
      <c r="AB2460" s="4">
        <v>2</v>
      </c>
      <c r="AC2460" s="4">
        <v>3</v>
      </c>
      <c r="AD2460" s="4">
        <v>8</v>
      </c>
      <c r="AE2460" s="4">
        <v>16</v>
      </c>
      <c r="AF2460" s="4">
        <v>2</v>
      </c>
      <c r="AG2460" s="4">
        <v>2</v>
      </c>
      <c r="AH2460" s="4">
        <v>1</v>
      </c>
      <c r="AI2460" s="4">
        <v>4</v>
      </c>
      <c r="AJ2460" s="4">
        <v>4</v>
      </c>
      <c r="AK2460" s="4">
        <v>10</v>
      </c>
      <c r="AL2460" s="4">
        <v>1</v>
      </c>
      <c r="AM2460" s="4">
        <v>2</v>
      </c>
      <c r="AN2460" s="4">
        <v>0</v>
      </c>
      <c r="AO2460" s="4">
        <v>0</v>
      </c>
      <c r="AP2460" s="3" t="s">
        <v>58</v>
      </c>
      <c r="AQ2460" s="3" t="s">
        <v>68</v>
      </c>
      <c r="AR2460" s="6" t="str">
        <f>HYPERLINK("http://catalog.hathitrust.org/Record/001259367","HathiTrust Record")</f>
        <v>HathiTrust Record</v>
      </c>
      <c r="AS2460" s="6" t="str">
        <f>HYPERLINK("https://creighton-primo.hosted.exlibrisgroup.com/primo-explore/search?tab=default_tab&amp;search_scope=EVERYTHING&amp;vid=01CRU&amp;lang=en_US&amp;offset=0&amp;query=any,contains,991003431509702656","Catalog Record")</f>
        <v>Catalog Record</v>
      </c>
      <c r="AT2460" s="6" t="str">
        <f>HYPERLINK("http://www.worldcat.org/oclc/966316","WorldCat Record")</f>
        <v>WorldCat Record</v>
      </c>
      <c r="AU2460" s="3" t="s">
        <v>30004</v>
      </c>
      <c r="AV2460" s="3" t="s">
        <v>30005</v>
      </c>
      <c r="AW2460" s="3" t="s">
        <v>30006</v>
      </c>
      <c r="AX2460" s="3" t="s">
        <v>30006</v>
      </c>
      <c r="AY2460" s="3" t="s">
        <v>30007</v>
      </c>
      <c r="AZ2460" s="3" t="s">
        <v>73</v>
      </c>
      <c r="BC2460" s="3" t="s">
        <v>30010</v>
      </c>
      <c r="BD2460" s="3" t="s">
        <v>30011</v>
      </c>
    </row>
    <row r="2461" spans="1:56" ht="51" customHeight="1" x14ac:dyDescent="0.25">
      <c r="A2461" s="7" t="s">
        <v>58</v>
      </c>
      <c r="B2461" s="2" t="s">
        <v>30012</v>
      </c>
      <c r="C2461" s="2" t="s">
        <v>30013</v>
      </c>
      <c r="D2461" s="2" t="s">
        <v>30014</v>
      </c>
      <c r="F2461" s="3" t="s">
        <v>58</v>
      </c>
      <c r="G2461" s="3" t="s">
        <v>59</v>
      </c>
      <c r="H2461" s="3" t="s">
        <v>58</v>
      </c>
      <c r="I2461" s="3" t="s">
        <v>58</v>
      </c>
      <c r="J2461" s="3" t="s">
        <v>60</v>
      </c>
      <c r="K2461" s="2" t="s">
        <v>30015</v>
      </c>
      <c r="L2461" s="2" t="s">
        <v>30016</v>
      </c>
      <c r="M2461" s="3" t="s">
        <v>2757</v>
      </c>
      <c r="O2461" s="3" t="s">
        <v>63</v>
      </c>
      <c r="P2461" s="3" t="s">
        <v>816</v>
      </c>
      <c r="R2461" s="3" t="s">
        <v>65</v>
      </c>
      <c r="S2461" s="4">
        <v>2</v>
      </c>
      <c r="T2461" s="4">
        <v>2</v>
      </c>
      <c r="U2461" s="5" t="s">
        <v>23621</v>
      </c>
      <c r="V2461" s="5" t="s">
        <v>23621</v>
      </c>
      <c r="W2461" s="5" t="s">
        <v>7551</v>
      </c>
      <c r="X2461" s="5" t="s">
        <v>7551</v>
      </c>
      <c r="Y2461" s="4">
        <v>454</v>
      </c>
      <c r="Z2461" s="4">
        <v>415</v>
      </c>
      <c r="AA2461" s="4">
        <v>1651</v>
      </c>
      <c r="AB2461" s="4">
        <v>4</v>
      </c>
      <c r="AC2461" s="4">
        <v>16</v>
      </c>
      <c r="AD2461" s="4">
        <v>15</v>
      </c>
      <c r="AE2461" s="4">
        <v>56</v>
      </c>
      <c r="AF2461" s="4">
        <v>4</v>
      </c>
      <c r="AG2461" s="4">
        <v>19</v>
      </c>
      <c r="AH2461" s="4">
        <v>5</v>
      </c>
      <c r="AI2461" s="4">
        <v>11</v>
      </c>
      <c r="AJ2461" s="4">
        <v>7</v>
      </c>
      <c r="AK2461" s="4">
        <v>22</v>
      </c>
      <c r="AL2461" s="4">
        <v>3</v>
      </c>
      <c r="AM2461" s="4">
        <v>13</v>
      </c>
      <c r="AN2461" s="4">
        <v>0</v>
      </c>
      <c r="AO2461" s="4">
        <v>2</v>
      </c>
      <c r="AP2461" s="3" t="s">
        <v>58</v>
      </c>
      <c r="AQ2461" s="3" t="s">
        <v>68</v>
      </c>
      <c r="AR2461" s="6" t="str">
        <f>HYPERLINK("http://catalog.hathitrust.org/Record/001259373","HathiTrust Record")</f>
        <v>HathiTrust Record</v>
      </c>
      <c r="AS2461" s="6" t="str">
        <f>HYPERLINK("https://creighton-primo.hosted.exlibrisgroup.com/primo-explore/search?tab=default_tab&amp;search_scope=EVERYTHING&amp;vid=01CRU&amp;lang=en_US&amp;offset=0&amp;query=any,contains,991002722479702656","Catalog Record")</f>
        <v>Catalog Record</v>
      </c>
      <c r="AT2461" s="6" t="str">
        <f>HYPERLINK("http://www.worldcat.org/oclc/413106","WorldCat Record")</f>
        <v>WorldCat Record</v>
      </c>
      <c r="AU2461" s="3" t="s">
        <v>30017</v>
      </c>
      <c r="AV2461" s="3" t="s">
        <v>30018</v>
      </c>
      <c r="AW2461" s="3" t="s">
        <v>30019</v>
      </c>
      <c r="AX2461" s="3" t="s">
        <v>30019</v>
      </c>
      <c r="AY2461" s="3" t="s">
        <v>30020</v>
      </c>
      <c r="AZ2461" s="3" t="s">
        <v>73</v>
      </c>
      <c r="BC2461" s="3" t="s">
        <v>30021</v>
      </c>
      <c r="BD2461" s="3" t="s">
        <v>30022</v>
      </c>
    </row>
    <row r="2462" spans="1:56" ht="51" customHeight="1" x14ac:dyDescent="0.25">
      <c r="A2462" s="7" t="s">
        <v>58</v>
      </c>
      <c r="B2462" s="2" t="s">
        <v>30023</v>
      </c>
      <c r="C2462" s="2" t="s">
        <v>30024</v>
      </c>
      <c r="D2462" s="2" t="s">
        <v>30025</v>
      </c>
      <c r="F2462" s="3" t="s">
        <v>58</v>
      </c>
      <c r="G2462" s="3" t="s">
        <v>59</v>
      </c>
      <c r="H2462" s="3" t="s">
        <v>58</v>
      </c>
      <c r="I2462" s="3" t="s">
        <v>58</v>
      </c>
      <c r="J2462" s="3" t="s">
        <v>60</v>
      </c>
      <c r="K2462" s="2" t="s">
        <v>28871</v>
      </c>
      <c r="L2462" s="2" t="s">
        <v>30026</v>
      </c>
      <c r="M2462" s="3" t="s">
        <v>552</v>
      </c>
      <c r="N2462" s="2" t="s">
        <v>9270</v>
      </c>
      <c r="O2462" s="3" t="s">
        <v>63</v>
      </c>
      <c r="P2462" s="3" t="s">
        <v>214</v>
      </c>
      <c r="R2462" s="3" t="s">
        <v>65</v>
      </c>
      <c r="S2462" s="4">
        <v>21</v>
      </c>
      <c r="T2462" s="4">
        <v>21</v>
      </c>
      <c r="U2462" s="5" t="s">
        <v>983</v>
      </c>
      <c r="V2462" s="5" t="s">
        <v>983</v>
      </c>
      <c r="W2462" s="5" t="s">
        <v>30027</v>
      </c>
      <c r="X2462" s="5" t="s">
        <v>30027</v>
      </c>
      <c r="Y2462" s="4">
        <v>376</v>
      </c>
      <c r="Z2462" s="4">
        <v>281</v>
      </c>
      <c r="AA2462" s="4">
        <v>1786</v>
      </c>
      <c r="AB2462" s="4">
        <v>3</v>
      </c>
      <c r="AC2462" s="4">
        <v>15</v>
      </c>
      <c r="AD2462" s="4">
        <v>11</v>
      </c>
      <c r="AE2462" s="4">
        <v>52</v>
      </c>
      <c r="AF2462" s="4">
        <v>5</v>
      </c>
      <c r="AG2462" s="4">
        <v>19</v>
      </c>
      <c r="AH2462" s="4">
        <v>3</v>
      </c>
      <c r="AI2462" s="4">
        <v>8</v>
      </c>
      <c r="AJ2462" s="4">
        <v>5</v>
      </c>
      <c r="AK2462" s="4">
        <v>24</v>
      </c>
      <c r="AL2462" s="4">
        <v>2</v>
      </c>
      <c r="AM2462" s="4">
        <v>11</v>
      </c>
      <c r="AN2462" s="4">
        <v>0</v>
      </c>
      <c r="AO2462" s="4">
        <v>0</v>
      </c>
      <c r="AP2462" s="3" t="s">
        <v>58</v>
      </c>
      <c r="AQ2462" s="3" t="s">
        <v>68</v>
      </c>
      <c r="AR2462" s="6" t="str">
        <f>HYPERLINK("http://catalog.hathitrust.org/Record/002976864","HathiTrust Record")</f>
        <v>HathiTrust Record</v>
      </c>
      <c r="AS2462" s="6" t="str">
        <f>HYPERLINK("https://creighton-primo.hosted.exlibrisgroup.com/primo-explore/search?tab=default_tab&amp;search_scope=EVERYTHING&amp;vid=01CRU&amp;lang=en_US&amp;offset=0&amp;query=any,contains,991001521759702656","Catalog Record")</f>
        <v>Catalog Record</v>
      </c>
      <c r="AT2462" s="6" t="str">
        <f>HYPERLINK("http://www.worldcat.org/oclc/19981223","WorldCat Record")</f>
        <v>WorldCat Record</v>
      </c>
      <c r="AU2462" s="3" t="s">
        <v>30028</v>
      </c>
      <c r="AV2462" s="3" t="s">
        <v>30029</v>
      </c>
      <c r="AW2462" s="3" t="s">
        <v>30030</v>
      </c>
      <c r="AX2462" s="3" t="s">
        <v>30030</v>
      </c>
      <c r="AY2462" s="3" t="s">
        <v>30031</v>
      </c>
      <c r="AZ2462" s="3" t="s">
        <v>73</v>
      </c>
      <c r="BB2462" s="3" t="s">
        <v>30032</v>
      </c>
      <c r="BC2462" s="3" t="s">
        <v>30033</v>
      </c>
      <c r="BD2462" s="3" t="s">
        <v>30034</v>
      </c>
    </row>
    <row r="2463" spans="1:56" ht="51" customHeight="1" x14ac:dyDescent="0.25">
      <c r="A2463" s="7" t="s">
        <v>58</v>
      </c>
      <c r="B2463" s="2" t="s">
        <v>30035</v>
      </c>
      <c r="C2463" s="2" t="s">
        <v>30036</v>
      </c>
      <c r="D2463" s="2" t="s">
        <v>30037</v>
      </c>
      <c r="F2463" s="3" t="s">
        <v>58</v>
      </c>
      <c r="G2463" s="3" t="s">
        <v>59</v>
      </c>
      <c r="H2463" s="3" t="s">
        <v>58</v>
      </c>
      <c r="I2463" s="3" t="s">
        <v>58</v>
      </c>
      <c r="J2463" s="3" t="s">
        <v>60</v>
      </c>
      <c r="K2463" s="2" t="s">
        <v>30038</v>
      </c>
      <c r="L2463" s="2" t="s">
        <v>30039</v>
      </c>
      <c r="M2463" s="3" t="s">
        <v>842</v>
      </c>
      <c r="O2463" s="3" t="s">
        <v>63</v>
      </c>
      <c r="P2463" s="3" t="s">
        <v>2061</v>
      </c>
      <c r="R2463" s="3" t="s">
        <v>65</v>
      </c>
      <c r="S2463" s="4">
        <v>13</v>
      </c>
      <c r="T2463" s="4">
        <v>13</v>
      </c>
      <c r="U2463" s="5" t="s">
        <v>11596</v>
      </c>
      <c r="V2463" s="5" t="s">
        <v>11596</v>
      </c>
      <c r="W2463" s="5" t="s">
        <v>30040</v>
      </c>
      <c r="X2463" s="5" t="s">
        <v>30040</v>
      </c>
      <c r="Y2463" s="4">
        <v>989</v>
      </c>
      <c r="Z2463" s="4">
        <v>816</v>
      </c>
      <c r="AA2463" s="4">
        <v>853</v>
      </c>
      <c r="AB2463" s="4">
        <v>7</v>
      </c>
      <c r="AC2463" s="4">
        <v>7</v>
      </c>
      <c r="AD2463" s="4">
        <v>31</v>
      </c>
      <c r="AE2463" s="4">
        <v>36</v>
      </c>
      <c r="AF2463" s="4">
        <v>14</v>
      </c>
      <c r="AG2463" s="4">
        <v>16</v>
      </c>
      <c r="AH2463" s="4">
        <v>7</v>
      </c>
      <c r="AI2463" s="4">
        <v>10</v>
      </c>
      <c r="AJ2463" s="4">
        <v>14</v>
      </c>
      <c r="AK2463" s="4">
        <v>17</v>
      </c>
      <c r="AL2463" s="4">
        <v>5</v>
      </c>
      <c r="AM2463" s="4">
        <v>5</v>
      </c>
      <c r="AN2463" s="4">
        <v>0</v>
      </c>
      <c r="AO2463" s="4">
        <v>0</v>
      </c>
      <c r="AP2463" s="3" t="s">
        <v>58</v>
      </c>
      <c r="AQ2463" s="3" t="s">
        <v>58</v>
      </c>
      <c r="AS2463" s="6" t="str">
        <f>HYPERLINK("https://creighton-primo.hosted.exlibrisgroup.com/primo-explore/search?tab=default_tab&amp;search_scope=EVERYTHING&amp;vid=01CRU&amp;lang=en_US&amp;offset=0&amp;query=any,contains,991004954859702656","Catalog Record")</f>
        <v>Catalog Record</v>
      </c>
      <c r="AT2463" s="6" t="str">
        <f>HYPERLINK("http://www.worldcat.org/oclc/6277572","WorldCat Record")</f>
        <v>WorldCat Record</v>
      </c>
      <c r="AU2463" s="3" t="s">
        <v>30041</v>
      </c>
      <c r="AV2463" s="3" t="s">
        <v>30042</v>
      </c>
      <c r="AW2463" s="3" t="s">
        <v>30043</v>
      </c>
      <c r="AX2463" s="3" t="s">
        <v>30043</v>
      </c>
      <c r="AY2463" s="3" t="s">
        <v>30044</v>
      </c>
      <c r="AZ2463" s="3" t="s">
        <v>73</v>
      </c>
      <c r="BB2463" s="3" t="s">
        <v>30045</v>
      </c>
      <c r="BC2463" s="3" t="s">
        <v>30046</v>
      </c>
      <c r="BD2463" s="3" t="s">
        <v>30047</v>
      </c>
    </row>
    <row r="2464" spans="1:56" ht="51" customHeight="1" x14ac:dyDescent="0.25">
      <c r="A2464" s="7" t="s">
        <v>58</v>
      </c>
      <c r="B2464" s="2" t="s">
        <v>30048</v>
      </c>
      <c r="C2464" s="2" t="s">
        <v>30049</v>
      </c>
      <c r="D2464" s="2" t="s">
        <v>30050</v>
      </c>
      <c r="F2464" s="3" t="s">
        <v>58</v>
      </c>
      <c r="G2464" s="3" t="s">
        <v>59</v>
      </c>
      <c r="H2464" s="3" t="s">
        <v>58</v>
      </c>
      <c r="I2464" s="3" t="s">
        <v>58</v>
      </c>
      <c r="J2464" s="3" t="s">
        <v>60</v>
      </c>
      <c r="K2464" s="2" t="s">
        <v>30051</v>
      </c>
      <c r="L2464" s="2" t="s">
        <v>30052</v>
      </c>
      <c r="M2464" s="3" t="s">
        <v>23990</v>
      </c>
      <c r="O2464" s="3" t="s">
        <v>63</v>
      </c>
      <c r="P2464" s="3" t="s">
        <v>214</v>
      </c>
      <c r="R2464" s="3" t="s">
        <v>65</v>
      </c>
      <c r="S2464" s="4">
        <v>7</v>
      </c>
      <c r="T2464" s="4">
        <v>7</v>
      </c>
      <c r="U2464" s="5" t="s">
        <v>30053</v>
      </c>
      <c r="V2464" s="5" t="s">
        <v>30053</v>
      </c>
      <c r="W2464" s="5" t="s">
        <v>30054</v>
      </c>
      <c r="X2464" s="5" t="s">
        <v>30054</v>
      </c>
      <c r="Y2464" s="4">
        <v>306</v>
      </c>
      <c r="Z2464" s="4">
        <v>273</v>
      </c>
      <c r="AA2464" s="4">
        <v>350</v>
      </c>
      <c r="AB2464" s="4">
        <v>4</v>
      </c>
      <c r="AC2464" s="4">
        <v>4</v>
      </c>
      <c r="AD2464" s="4">
        <v>17</v>
      </c>
      <c r="AE2464" s="4">
        <v>18</v>
      </c>
      <c r="AF2464" s="4">
        <v>4</v>
      </c>
      <c r="AG2464" s="4">
        <v>5</v>
      </c>
      <c r="AH2464" s="4">
        <v>4</v>
      </c>
      <c r="AI2464" s="4">
        <v>4</v>
      </c>
      <c r="AJ2464" s="4">
        <v>9</v>
      </c>
      <c r="AK2464" s="4">
        <v>9</v>
      </c>
      <c r="AL2464" s="4">
        <v>3</v>
      </c>
      <c r="AM2464" s="4">
        <v>3</v>
      </c>
      <c r="AN2464" s="4">
        <v>0</v>
      </c>
      <c r="AO2464" s="4">
        <v>0</v>
      </c>
      <c r="AP2464" s="3" t="s">
        <v>68</v>
      </c>
      <c r="AQ2464" s="3" t="s">
        <v>58</v>
      </c>
      <c r="AR2464" s="6" t="str">
        <f>HYPERLINK("http://catalog.hathitrust.org/Record/006574490","HathiTrust Record")</f>
        <v>HathiTrust Record</v>
      </c>
      <c r="AS2464" s="6" t="str">
        <f>HYPERLINK("https://creighton-primo.hosted.exlibrisgroup.com/primo-explore/search?tab=default_tab&amp;search_scope=EVERYTHING&amp;vid=01CRU&amp;lang=en_US&amp;offset=0&amp;query=any,contains,991003568719702656","Catalog Record")</f>
        <v>Catalog Record</v>
      </c>
      <c r="AT2464" s="6" t="str">
        <f>HYPERLINK("http://www.worldcat.org/oclc/1143170","WorldCat Record")</f>
        <v>WorldCat Record</v>
      </c>
      <c r="AU2464" s="3" t="s">
        <v>30055</v>
      </c>
      <c r="AV2464" s="3" t="s">
        <v>30056</v>
      </c>
      <c r="AW2464" s="3" t="s">
        <v>30057</v>
      </c>
      <c r="AX2464" s="3" t="s">
        <v>30057</v>
      </c>
      <c r="AY2464" s="3" t="s">
        <v>30058</v>
      </c>
      <c r="AZ2464" s="3" t="s">
        <v>73</v>
      </c>
      <c r="BC2464" s="3" t="s">
        <v>30059</v>
      </c>
      <c r="BD2464" s="3" t="s">
        <v>30060</v>
      </c>
    </row>
    <row r="2465" spans="1:56" ht="51" customHeight="1" x14ac:dyDescent="0.25">
      <c r="A2465" s="7" t="s">
        <v>58</v>
      </c>
      <c r="B2465" s="2" t="s">
        <v>30061</v>
      </c>
      <c r="C2465" s="2" t="s">
        <v>30062</v>
      </c>
      <c r="D2465" s="2" t="s">
        <v>30063</v>
      </c>
      <c r="F2465" s="3" t="s">
        <v>58</v>
      </c>
      <c r="G2465" s="3" t="s">
        <v>59</v>
      </c>
      <c r="H2465" s="3" t="s">
        <v>58</v>
      </c>
      <c r="I2465" s="3" t="s">
        <v>58</v>
      </c>
      <c r="J2465" s="3" t="s">
        <v>60</v>
      </c>
      <c r="K2465" s="2" t="s">
        <v>30064</v>
      </c>
      <c r="L2465" s="2" t="s">
        <v>30065</v>
      </c>
      <c r="M2465" s="3" t="s">
        <v>800</v>
      </c>
      <c r="O2465" s="3" t="s">
        <v>63</v>
      </c>
      <c r="P2465" s="3" t="s">
        <v>816</v>
      </c>
      <c r="Q2465" s="2" t="s">
        <v>30066</v>
      </c>
      <c r="R2465" s="3" t="s">
        <v>65</v>
      </c>
      <c r="S2465" s="4">
        <v>3</v>
      </c>
      <c r="T2465" s="4">
        <v>3</v>
      </c>
      <c r="U2465" s="5" t="s">
        <v>9596</v>
      </c>
      <c r="V2465" s="5" t="s">
        <v>9596</v>
      </c>
      <c r="W2465" s="5" t="s">
        <v>30067</v>
      </c>
      <c r="X2465" s="5" t="s">
        <v>30067</v>
      </c>
      <c r="Y2465" s="4">
        <v>109</v>
      </c>
      <c r="Z2465" s="4">
        <v>89</v>
      </c>
      <c r="AA2465" s="4">
        <v>462</v>
      </c>
      <c r="AB2465" s="4">
        <v>3</v>
      </c>
      <c r="AC2465" s="4">
        <v>4</v>
      </c>
      <c r="AD2465" s="4">
        <v>10</v>
      </c>
      <c r="AE2465" s="4">
        <v>30</v>
      </c>
      <c r="AF2465" s="4">
        <v>3</v>
      </c>
      <c r="AG2465" s="4">
        <v>15</v>
      </c>
      <c r="AH2465" s="4">
        <v>4</v>
      </c>
      <c r="AI2465" s="4">
        <v>8</v>
      </c>
      <c r="AJ2465" s="4">
        <v>3</v>
      </c>
      <c r="AK2465" s="4">
        <v>12</v>
      </c>
      <c r="AL2465" s="4">
        <v>2</v>
      </c>
      <c r="AM2465" s="4">
        <v>3</v>
      </c>
      <c r="AN2465" s="4">
        <v>0</v>
      </c>
      <c r="AO2465" s="4">
        <v>0</v>
      </c>
      <c r="AP2465" s="3" t="s">
        <v>58</v>
      </c>
      <c r="AQ2465" s="3" t="s">
        <v>58</v>
      </c>
      <c r="AS2465" s="6" t="str">
        <f>HYPERLINK("https://creighton-primo.hosted.exlibrisgroup.com/primo-explore/search?tab=default_tab&amp;search_scope=EVERYTHING&amp;vid=01CRU&amp;lang=en_US&amp;offset=0&amp;query=any,contains,991005106099702656","Catalog Record")</f>
        <v>Catalog Record</v>
      </c>
      <c r="AT2465" s="6" t="str">
        <f>HYPERLINK("http://www.worldcat.org/oclc/35954626","WorldCat Record")</f>
        <v>WorldCat Record</v>
      </c>
      <c r="AU2465" s="3" t="s">
        <v>30068</v>
      </c>
      <c r="AV2465" s="3" t="s">
        <v>30069</v>
      </c>
      <c r="AW2465" s="3" t="s">
        <v>30070</v>
      </c>
      <c r="AX2465" s="3" t="s">
        <v>30070</v>
      </c>
      <c r="AY2465" s="3" t="s">
        <v>30071</v>
      </c>
      <c r="AZ2465" s="3" t="s">
        <v>73</v>
      </c>
      <c r="BB2465" s="3" t="s">
        <v>30072</v>
      </c>
      <c r="BC2465" s="3" t="s">
        <v>30073</v>
      </c>
      <c r="BD2465" s="3" t="s">
        <v>30074</v>
      </c>
    </row>
    <row r="2466" spans="1:56" ht="51" customHeight="1" x14ac:dyDescent="0.25">
      <c r="A2466" s="7" t="s">
        <v>58</v>
      </c>
      <c r="B2466" s="2" t="s">
        <v>30075</v>
      </c>
      <c r="C2466" s="2" t="s">
        <v>30076</v>
      </c>
      <c r="D2466" s="2" t="s">
        <v>30077</v>
      </c>
      <c r="F2466" s="3" t="s">
        <v>58</v>
      </c>
      <c r="G2466" s="3" t="s">
        <v>59</v>
      </c>
      <c r="H2466" s="3" t="s">
        <v>58</v>
      </c>
      <c r="I2466" s="3" t="s">
        <v>58</v>
      </c>
      <c r="J2466" s="3" t="s">
        <v>60</v>
      </c>
      <c r="K2466" s="2" t="s">
        <v>30078</v>
      </c>
      <c r="L2466" s="2" t="s">
        <v>30079</v>
      </c>
      <c r="M2466" s="3" t="s">
        <v>1544</v>
      </c>
      <c r="O2466" s="3" t="s">
        <v>63</v>
      </c>
      <c r="P2466" s="3" t="s">
        <v>2061</v>
      </c>
      <c r="R2466" s="3" t="s">
        <v>65</v>
      </c>
      <c r="S2466" s="4">
        <v>3</v>
      </c>
      <c r="T2466" s="4">
        <v>3</v>
      </c>
      <c r="U2466" s="5" t="s">
        <v>9596</v>
      </c>
      <c r="V2466" s="5" t="s">
        <v>9596</v>
      </c>
      <c r="W2466" s="5" t="s">
        <v>30067</v>
      </c>
      <c r="X2466" s="5" t="s">
        <v>30067</v>
      </c>
      <c r="Y2466" s="4">
        <v>491</v>
      </c>
      <c r="Z2466" s="4">
        <v>394</v>
      </c>
      <c r="AA2466" s="4">
        <v>396</v>
      </c>
      <c r="AB2466" s="4">
        <v>3</v>
      </c>
      <c r="AC2466" s="4">
        <v>3</v>
      </c>
      <c r="AD2466" s="4">
        <v>24</v>
      </c>
      <c r="AE2466" s="4">
        <v>24</v>
      </c>
      <c r="AF2466" s="4">
        <v>11</v>
      </c>
      <c r="AG2466" s="4">
        <v>11</v>
      </c>
      <c r="AH2466" s="4">
        <v>6</v>
      </c>
      <c r="AI2466" s="4">
        <v>6</v>
      </c>
      <c r="AJ2466" s="4">
        <v>13</v>
      </c>
      <c r="AK2466" s="4">
        <v>13</v>
      </c>
      <c r="AL2466" s="4">
        <v>2</v>
      </c>
      <c r="AM2466" s="4">
        <v>2</v>
      </c>
      <c r="AN2466" s="4">
        <v>0</v>
      </c>
      <c r="AO2466" s="4">
        <v>0</v>
      </c>
      <c r="AP2466" s="3" t="s">
        <v>58</v>
      </c>
      <c r="AQ2466" s="3" t="s">
        <v>58</v>
      </c>
      <c r="AS2466" s="6" t="str">
        <f>HYPERLINK("https://creighton-primo.hosted.exlibrisgroup.com/primo-explore/search?tab=default_tab&amp;search_scope=EVERYTHING&amp;vid=01CRU&amp;lang=en_US&amp;offset=0&amp;query=any,contains,991005106159702656","Catalog Record")</f>
        <v>Catalog Record</v>
      </c>
      <c r="AT2466" s="6" t="str">
        <f>HYPERLINK("http://www.worldcat.org/oclc/24143919","WorldCat Record")</f>
        <v>WorldCat Record</v>
      </c>
      <c r="AU2466" s="3" t="s">
        <v>30080</v>
      </c>
      <c r="AV2466" s="3" t="s">
        <v>30081</v>
      </c>
      <c r="AW2466" s="3" t="s">
        <v>30082</v>
      </c>
      <c r="AX2466" s="3" t="s">
        <v>30082</v>
      </c>
      <c r="AY2466" s="3" t="s">
        <v>30083</v>
      </c>
      <c r="AZ2466" s="3" t="s">
        <v>73</v>
      </c>
      <c r="BB2466" s="3" t="s">
        <v>30084</v>
      </c>
      <c r="BC2466" s="3" t="s">
        <v>30085</v>
      </c>
      <c r="BD2466" s="3" t="s">
        <v>30086</v>
      </c>
    </row>
    <row r="2467" spans="1:56" ht="51" customHeight="1" x14ac:dyDescent="0.25">
      <c r="A2467" s="7" t="s">
        <v>58</v>
      </c>
      <c r="B2467" s="2" t="s">
        <v>30087</v>
      </c>
      <c r="C2467" s="2" t="s">
        <v>30088</v>
      </c>
      <c r="D2467" s="2" t="s">
        <v>30089</v>
      </c>
      <c r="F2467" s="3" t="s">
        <v>58</v>
      </c>
      <c r="G2467" s="3" t="s">
        <v>59</v>
      </c>
      <c r="H2467" s="3" t="s">
        <v>58</v>
      </c>
      <c r="I2467" s="3" t="s">
        <v>58</v>
      </c>
      <c r="J2467" s="3" t="s">
        <v>60</v>
      </c>
      <c r="K2467" s="2" t="s">
        <v>30090</v>
      </c>
      <c r="L2467" s="2" t="s">
        <v>30091</v>
      </c>
      <c r="M2467" s="3" t="s">
        <v>337</v>
      </c>
      <c r="O2467" s="3" t="s">
        <v>63</v>
      </c>
      <c r="P2467" s="3" t="s">
        <v>816</v>
      </c>
      <c r="R2467" s="3" t="s">
        <v>65</v>
      </c>
      <c r="S2467" s="4">
        <v>4</v>
      </c>
      <c r="T2467" s="4">
        <v>4</v>
      </c>
      <c r="U2467" s="5" t="s">
        <v>3360</v>
      </c>
      <c r="V2467" s="5" t="s">
        <v>3360</v>
      </c>
      <c r="W2467" s="5" t="s">
        <v>30067</v>
      </c>
      <c r="X2467" s="5" t="s">
        <v>30067</v>
      </c>
      <c r="Y2467" s="4">
        <v>438</v>
      </c>
      <c r="Z2467" s="4">
        <v>373</v>
      </c>
      <c r="AA2467" s="4">
        <v>469</v>
      </c>
      <c r="AB2467" s="4">
        <v>2</v>
      </c>
      <c r="AC2467" s="4">
        <v>4</v>
      </c>
      <c r="AD2467" s="4">
        <v>3</v>
      </c>
      <c r="AE2467" s="4">
        <v>8</v>
      </c>
      <c r="AF2467" s="4">
        <v>2</v>
      </c>
      <c r="AG2467" s="4">
        <v>5</v>
      </c>
      <c r="AH2467" s="4">
        <v>1</v>
      </c>
      <c r="AI2467" s="4">
        <v>2</v>
      </c>
      <c r="AJ2467" s="4">
        <v>3</v>
      </c>
      <c r="AK2467" s="4">
        <v>3</v>
      </c>
      <c r="AL2467" s="4">
        <v>0</v>
      </c>
      <c r="AM2467" s="4">
        <v>2</v>
      </c>
      <c r="AN2467" s="4">
        <v>0</v>
      </c>
      <c r="AO2467" s="4">
        <v>0</v>
      </c>
      <c r="AP2467" s="3" t="s">
        <v>58</v>
      </c>
      <c r="AQ2467" s="3" t="s">
        <v>58</v>
      </c>
      <c r="AS2467" s="6" t="str">
        <f>HYPERLINK("https://creighton-primo.hosted.exlibrisgroup.com/primo-explore/search?tab=default_tab&amp;search_scope=EVERYTHING&amp;vid=01CRU&amp;lang=en_US&amp;offset=0&amp;query=any,contains,991005106139702656","Catalog Record")</f>
        <v>Catalog Record</v>
      </c>
      <c r="AT2467" s="6" t="str">
        <f>HYPERLINK("http://www.worldcat.org/oclc/49645255","WorldCat Record")</f>
        <v>WorldCat Record</v>
      </c>
      <c r="AU2467" s="3" t="s">
        <v>30092</v>
      </c>
      <c r="AV2467" s="3" t="s">
        <v>30093</v>
      </c>
      <c r="AW2467" s="3" t="s">
        <v>30094</v>
      </c>
      <c r="AX2467" s="3" t="s">
        <v>30094</v>
      </c>
      <c r="AY2467" s="3" t="s">
        <v>30095</v>
      </c>
      <c r="AZ2467" s="3" t="s">
        <v>73</v>
      </c>
      <c r="BB2467" s="3" t="s">
        <v>30096</v>
      </c>
      <c r="BC2467" s="3" t="s">
        <v>30097</v>
      </c>
      <c r="BD2467" s="3" t="s">
        <v>30098</v>
      </c>
    </row>
    <row r="2468" spans="1:56" ht="51" customHeight="1" x14ac:dyDescent="0.25">
      <c r="A2468" s="7" t="s">
        <v>58</v>
      </c>
      <c r="B2468" s="2" t="s">
        <v>30099</v>
      </c>
      <c r="C2468" s="2" t="s">
        <v>30100</v>
      </c>
      <c r="D2468" s="2" t="s">
        <v>30101</v>
      </c>
      <c r="F2468" s="3" t="s">
        <v>58</v>
      </c>
      <c r="G2468" s="3" t="s">
        <v>59</v>
      </c>
      <c r="H2468" s="3" t="s">
        <v>58</v>
      </c>
      <c r="I2468" s="3" t="s">
        <v>58</v>
      </c>
      <c r="J2468" s="3" t="s">
        <v>60</v>
      </c>
      <c r="K2468" s="2" t="s">
        <v>30102</v>
      </c>
      <c r="L2468" s="2" t="s">
        <v>30103</v>
      </c>
      <c r="M2468" s="3" t="s">
        <v>524</v>
      </c>
      <c r="O2468" s="3" t="s">
        <v>63</v>
      </c>
      <c r="P2468" s="3" t="s">
        <v>584</v>
      </c>
      <c r="Q2468" s="2" t="s">
        <v>30104</v>
      </c>
      <c r="R2468" s="3" t="s">
        <v>65</v>
      </c>
      <c r="S2468" s="4">
        <v>5</v>
      </c>
      <c r="T2468" s="4">
        <v>5</v>
      </c>
      <c r="U2468" s="5" t="s">
        <v>19728</v>
      </c>
      <c r="V2468" s="5" t="s">
        <v>19728</v>
      </c>
      <c r="W2468" s="5" t="s">
        <v>30040</v>
      </c>
      <c r="X2468" s="5" t="s">
        <v>30040</v>
      </c>
      <c r="Y2468" s="4">
        <v>498</v>
      </c>
      <c r="Z2468" s="4">
        <v>372</v>
      </c>
      <c r="AA2468" s="4">
        <v>421</v>
      </c>
      <c r="AB2468" s="4">
        <v>4</v>
      </c>
      <c r="AC2468" s="4">
        <v>5</v>
      </c>
      <c r="AD2468" s="4">
        <v>20</v>
      </c>
      <c r="AE2468" s="4">
        <v>22</v>
      </c>
      <c r="AF2468" s="4">
        <v>8</v>
      </c>
      <c r="AG2468" s="4">
        <v>9</v>
      </c>
      <c r="AH2468" s="4">
        <v>7</v>
      </c>
      <c r="AI2468" s="4">
        <v>7</v>
      </c>
      <c r="AJ2468" s="4">
        <v>9</v>
      </c>
      <c r="AK2468" s="4">
        <v>9</v>
      </c>
      <c r="AL2468" s="4">
        <v>3</v>
      </c>
      <c r="AM2468" s="4">
        <v>4</v>
      </c>
      <c r="AN2468" s="4">
        <v>0</v>
      </c>
      <c r="AO2468" s="4">
        <v>0</v>
      </c>
      <c r="AP2468" s="3" t="s">
        <v>58</v>
      </c>
      <c r="AQ2468" s="3" t="s">
        <v>68</v>
      </c>
      <c r="AR2468" s="6" t="str">
        <f>HYPERLINK("http://catalog.hathitrust.org/Record/004381904","HathiTrust Record")</f>
        <v>HathiTrust Record</v>
      </c>
      <c r="AS2468" s="6" t="str">
        <f>HYPERLINK("https://creighton-primo.hosted.exlibrisgroup.com/primo-explore/search?tab=default_tab&amp;search_scope=EVERYTHING&amp;vid=01CRU&amp;lang=en_US&amp;offset=0&amp;query=any,contains,991000887939702656","Catalog Record")</f>
        <v>Catalog Record</v>
      </c>
      <c r="AT2468" s="6" t="str">
        <f>HYPERLINK("http://www.worldcat.org/oclc/13898866","WorldCat Record")</f>
        <v>WorldCat Record</v>
      </c>
      <c r="AU2468" s="3" t="s">
        <v>30105</v>
      </c>
      <c r="AV2468" s="3" t="s">
        <v>30106</v>
      </c>
      <c r="AW2468" s="3" t="s">
        <v>30107</v>
      </c>
      <c r="AX2468" s="3" t="s">
        <v>30107</v>
      </c>
      <c r="AY2468" s="3" t="s">
        <v>30108</v>
      </c>
      <c r="AZ2468" s="3" t="s">
        <v>73</v>
      </c>
      <c r="BB2468" s="3" t="s">
        <v>30109</v>
      </c>
      <c r="BC2468" s="3" t="s">
        <v>30110</v>
      </c>
      <c r="BD2468" s="3" t="s">
        <v>30111</v>
      </c>
    </row>
    <row r="2469" spans="1:56" ht="51" customHeight="1" x14ac:dyDescent="0.25">
      <c r="A2469" s="7" t="s">
        <v>58</v>
      </c>
      <c r="B2469" s="2" t="s">
        <v>30112</v>
      </c>
      <c r="C2469" s="2" t="s">
        <v>30113</v>
      </c>
      <c r="D2469" s="2" t="s">
        <v>30114</v>
      </c>
      <c r="F2469" s="3" t="s">
        <v>58</v>
      </c>
      <c r="G2469" s="3" t="s">
        <v>59</v>
      </c>
      <c r="H2469" s="3" t="s">
        <v>58</v>
      </c>
      <c r="I2469" s="3" t="s">
        <v>58</v>
      </c>
      <c r="J2469" s="3" t="s">
        <v>60</v>
      </c>
      <c r="K2469" s="2" t="s">
        <v>30115</v>
      </c>
      <c r="L2469" s="2" t="s">
        <v>30116</v>
      </c>
      <c r="M2469" s="3" t="s">
        <v>898</v>
      </c>
      <c r="O2469" s="3" t="s">
        <v>63</v>
      </c>
      <c r="P2469" s="3" t="s">
        <v>816</v>
      </c>
      <c r="R2469" s="3" t="s">
        <v>65</v>
      </c>
      <c r="S2469" s="4">
        <v>1</v>
      </c>
      <c r="T2469" s="4">
        <v>1</v>
      </c>
      <c r="U2469" s="5" t="s">
        <v>30117</v>
      </c>
      <c r="V2469" s="5" t="s">
        <v>30117</v>
      </c>
      <c r="W2469" s="5" t="s">
        <v>30117</v>
      </c>
      <c r="X2469" s="5" t="s">
        <v>30117</v>
      </c>
      <c r="Y2469" s="4">
        <v>475</v>
      </c>
      <c r="Z2469" s="4">
        <v>373</v>
      </c>
      <c r="AA2469" s="4">
        <v>489</v>
      </c>
      <c r="AB2469" s="4">
        <v>2</v>
      </c>
      <c r="AC2469" s="4">
        <v>3</v>
      </c>
      <c r="AD2469" s="4">
        <v>19</v>
      </c>
      <c r="AE2469" s="4">
        <v>22</v>
      </c>
      <c r="AF2469" s="4">
        <v>10</v>
      </c>
      <c r="AG2469" s="4">
        <v>12</v>
      </c>
      <c r="AH2469" s="4">
        <v>7</v>
      </c>
      <c r="AI2469" s="4">
        <v>8</v>
      </c>
      <c r="AJ2469" s="4">
        <v>9</v>
      </c>
      <c r="AK2469" s="4">
        <v>9</v>
      </c>
      <c r="AL2469" s="4">
        <v>1</v>
      </c>
      <c r="AM2469" s="4">
        <v>2</v>
      </c>
      <c r="AN2469" s="4">
        <v>0</v>
      </c>
      <c r="AO2469" s="4">
        <v>0</v>
      </c>
      <c r="AP2469" s="3" t="s">
        <v>58</v>
      </c>
      <c r="AQ2469" s="3" t="s">
        <v>58</v>
      </c>
      <c r="AS2469" s="6" t="str">
        <f>HYPERLINK("https://creighton-primo.hosted.exlibrisgroup.com/primo-explore/search?tab=default_tab&amp;search_scope=EVERYTHING&amp;vid=01CRU&amp;lang=en_US&amp;offset=0&amp;query=any,contains,991005307249702656","Catalog Record")</f>
        <v>Catalog Record</v>
      </c>
      <c r="AT2469" s="6" t="str">
        <f>HYPERLINK("http://www.worldcat.org/oclc/69013313","WorldCat Record")</f>
        <v>WorldCat Record</v>
      </c>
      <c r="AU2469" s="3" t="s">
        <v>30118</v>
      </c>
      <c r="AV2469" s="3" t="s">
        <v>30119</v>
      </c>
      <c r="AW2469" s="3" t="s">
        <v>30120</v>
      </c>
      <c r="AX2469" s="3" t="s">
        <v>30120</v>
      </c>
      <c r="AY2469" s="3" t="s">
        <v>30121</v>
      </c>
      <c r="AZ2469" s="3" t="s">
        <v>73</v>
      </c>
      <c r="BB2469" s="3" t="s">
        <v>30122</v>
      </c>
      <c r="BC2469" s="3" t="s">
        <v>30123</v>
      </c>
      <c r="BD2469" s="3" t="s">
        <v>30124</v>
      </c>
    </row>
    <row r="2470" spans="1:56" ht="51" customHeight="1" x14ac:dyDescent="0.25">
      <c r="A2470" s="7" t="s">
        <v>58</v>
      </c>
      <c r="B2470" s="2" t="s">
        <v>30125</v>
      </c>
      <c r="C2470" s="2" t="s">
        <v>30126</v>
      </c>
      <c r="D2470" s="2" t="s">
        <v>30127</v>
      </c>
      <c r="F2470" s="3" t="s">
        <v>58</v>
      </c>
      <c r="G2470" s="3" t="s">
        <v>59</v>
      </c>
      <c r="H2470" s="3" t="s">
        <v>58</v>
      </c>
      <c r="I2470" s="3" t="s">
        <v>58</v>
      </c>
      <c r="J2470" s="3" t="s">
        <v>60</v>
      </c>
      <c r="K2470" s="2" t="s">
        <v>30128</v>
      </c>
      <c r="L2470" s="2" t="s">
        <v>30129</v>
      </c>
      <c r="M2470" s="3" t="s">
        <v>626</v>
      </c>
      <c r="O2470" s="3" t="s">
        <v>63</v>
      </c>
      <c r="P2470" s="3" t="s">
        <v>30130</v>
      </c>
      <c r="R2470" s="3" t="s">
        <v>65</v>
      </c>
      <c r="S2470" s="4">
        <v>2</v>
      </c>
      <c r="T2470" s="4">
        <v>2</v>
      </c>
      <c r="U2470" s="5" t="s">
        <v>3150</v>
      </c>
      <c r="V2470" s="5" t="s">
        <v>3150</v>
      </c>
      <c r="W2470" s="5" t="s">
        <v>585</v>
      </c>
      <c r="X2470" s="5" t="s">
        <v>585</v>
      </c>
      <c r="Y2470" s="4">
        <v>344</v>
      </c>
      <c r="Z2470" s="4">
        <v>227</v>
      </c>
      <c r="AA2470" s="4">
        <v>372</v>
      </c>
      <c r="AB2470" s="4">
        <v>2</v>
      </c>
      <c r="AC2470" s="4">
        <v>3</v>
      </c>
      <c r="AD2470" s="4">
        <v>9</v>
      </c>
      <c r="AE2470" s="4">
        <v>15</v>
      </c>
      <c r="AF2470" s="4">
        <v>3</v>
      </c>
      <c r="AG2470" s="4">
        <v>4</v>
      </c>
      <c r="AH2470" s="4">
        <v>3</v>
      </c>
      <c r="AI2470" s="4">
        <v>5</v>
      </c>
      <c r="AJ2470" s="4">
        <v>4</v>
      </c>
      <c r="AK2470" s="4">
        <v>6</v>
      </c>
      <c r="AL2470" s="4">
        <v>1</v>
      </c>
      <c r="AM2470" s="4">
        <v>2</v>
      </c>
      <c r="AN2470" s="4">
        <v>1</v>
      </c>
      <c r="AO2470" s="4">
        <v>1</v>
      </c>
      <c r="AP2470" s="3" t="s">
        <v>58</v>
      </c>
      <c r="AQ2470" s="3" t="s">
        <v>58</v>
      </c>
      <c r="AS2470" s="6" t="str">
        <f>HYPERLINK("https://creighton-primo.hosted.exlibrisgroup.com/primo-explore/search?tab=default_tab&amp;search_scope=EVERYTHING&amp;vid=01CRU&amp;lang=en_US&amp;offset=0&amp;query=any,contains,991000189079702656","Catalog Record")</f>
        <v>Catalog Record</v>
      </c>
      <c r="AT2470" s="6" t="str">
        <f>HYPERLINK("http://www.worldcat.org/oclc/9404833","WorldCat Record")</f>
        <v>WorldCat Record</v>
      </c>
      <c r="AU2470" s="3" t="s">
        <v>30131</v>
      </c>
      <c r="AV2470" s="3" t="s">
        <v>30132</v>
      </c>
      <c r="AW2470" s="3" t="s">
        <v>30133</v>
      </c>
      <c r="AX2470" s="3" t="s">
        <v>30133</v>
      </c>
      <c r="AY2470" s="3" t="s">
        <v>30134</v>
      </c>
      <c r="AZ2470" s="3" t="s">
        <v>73</v>
      </c>
      <c r="BB2470" s="3" t="s">
        <v>30135</v>
      </c>
      <c r="BC2470" s="3" t="s">
        <v>30136</v>
      </c>
      <c r="BD2470" s="3" t="s">
        <v>30137</v>
      </c>
    </row>
    <row r="2471" spans="1:56" ht="51" customHeight="1" x14ac:dyDescent="0.25">
      <c r="A2471" s="7" t="s">
        <v>58</v>
      </c>
      <c r="B2471" s="2" t="s">
        <v>30138</v>
      </c>
      <c r="C2471" s="2" t="s">
        <v>30139</v>
      </c>
      <c r="D2471" s="2" t="s">
        <v>30140</v>
      </c>
      <c r="F2471" s="3" t="s">
        <v>58</v>
      </c>
      <c r="G2471" s="3" t="s">
        <v>59</v>
      </c>
      <c r="H2471" s="3" t="s">
        <v>58</v>
      </c>
      <c r="I2471" s="3" t="s">
        <v>58</v>
      </c>
      <c r="J2471" s="3" t="s">
        <v>60</v>
      </c>
      <c r="K2471" s="2" t="s">
        <v>30141</v>
      </c>
      <c r="L2471" s="2" t="s">
        <v>30142</v>
      </c>
      <c r="M2471" s="3" t="s">
        <v>249</v>
      </c>
      <c r="O2471" s="3" t="s">
        <v>63</v>
      </c>
      <c r="P2471" s="3" t="s">
        <v>214</v>
      </c>
      <c r="Q2471" s="2" t="s">
        <v>15676</v>
      </c>
      <c r="R2471" s="3" t="s">
        <v>65</v>
      </c>
      <c r="S2471" s="4">
        <v>11</v>
      </c>
      <c r="T2471" s="4">
        <v>11</v>
      </c>
      <c r="U2471" s="5" t="s">
        <v>30143</v>
      </c>
      <c r="V2471" s="5" t="s">
        <v>30143</v>
      </c>
      <c r="W2471" s="5" t="s">
        <v>5474</v>
      </c>
      <c r="X2471" s="5" t="s">
        <v>5474</v>
      </c>
      <c r="Y2471" s="4">
        <v>679</v>
      </c>
      <c r="Z2471" s="4">
        <v>642</v>
      </c>
      <c r="AA2471" s="4">
        <v>934</v>
      </c>
      <c r="AB2471" s="4">
        <v>5</v>
      </c>
      <c r="AC2471" s="4">
        <v>7</v>
      </c>
      <c r="AD2471" s="4">
        <v>25</v>
      </c>
      <c r="AE2471" s="4">
        <v>45</v>
      </c>
      <c r="AF2471" s="4">
        <v>11</v>
      </c>
      <c r="AG2471" s="4">
        <v>19</v>
      </c>
      <c r="AH2471" s="4">
        <v>5</v>
      </c>
      <c r="AI2471" s="4">
        <v>11</v>
      </c>
      <c r="AJ2471" s="4">
        <v>11</v>
      </c>
      <c r="AK2471" s="4">
        <v>19</v>
      </c>
      <c r="AL2471" s="4">
        <v>4</v>
      </c>
      <c r="AM2471" s="4">
        <v>6</v>
      </c>
      <c r="AN2471" s="4">
        <v>0</v>
      </c>
      <c r="AO2471" s="4">
        <v>0</v>
      </c>
      <c r="AP2471" s="3" t="s">
        <v>58</v>
      </c>
      <c r="AQ2471" s="3" t="s">
        <v>58</v>
      </c>
      <c r="AS2471" s="6" t="str">
        <f>HYPERLINK("https://creighton-primo.hosted.exlibrisgroup.com/primo-explore/search?tab=default_tab&amp;search_scope=EVERYTHING&amp;vid=01CRU&amp;lang=en_US&amp;offset=0&amp;query=any,contains,991002673339702656","Catalog Record")</f>
        <v>Catalog Record</v>
      </c>
      <c r="AT2471" s="6" t="str">
        <f>HYPERLINK("http://www.worldcat.org/oclc/396110","WorldCat Record")</f>
        <v>WorldCat Record</v>
      </c>
      <c r="AU2471" s="3" t="s">
        <v>30144</v>
      </c>
      <c r="AV2471" s="3" t="s">
        <v>30145</v>
      </c>
      <c r="AW2471" s="3" t="s">
        <v>30146</v>
      </c>
      <c r="AX2471" s="3" t="s">
        <v>30146</v>
      </c>
      <c r="AY2471" s="3" t="s">
        <v>30147</v>
      </c>
      <c r="AZ2471" s="3" t="s">
        <v>73</v>
      </c>
      <c r="BC2471" s="3" t="s">
        <v>30148</v>
      </c>
      <c r="BD2471" s="3" t="s">
        <v>30149</v>
      </c>
    </row>
    <row r="2472" spans="1:56" ht="51" customHeight="1" x14ac:dyDescent="0.25">
      <c r="A2472" s="7" t="s">
        <v>58</v>
      </c>
      <c r="B2472" s="2" t="s">
        <v>30150</v>
      </c>
      <c r="C2472" s="2" t="s">
        <v>30151</v>
      </c>
      <c r="D2472" s="2" t="s">
        <v>30152</v>
      </c>
      <c r="F2472" s="3" t="s">
        <v>58</v>
      </c>
      <c r="G2472" s="3" t="s">
        <v>59</v>
      </c>
      <c r="H2472" s="3" t="s">
        <v>58</v>
      </c>
      <c r="I2472" s="3" t="s">
        <v>58</v>
      </c>
      <c r="J2472" s="3" t="s">
        <v>60</v>
      </c>
      <c r="K2472" s="2" t="s">
        <v>30153</v>
      </c>
      <c r="L2472" s="2" t="s">
        <v>30154</v>
      </c>
      <c r="M2472" s="3" t="s">
        <v>2214</v>
      </c>
      <c r="N2472" s="2" t="s">
        <v>7495</v>
      </c>
      <c r="O2472" s="3" t="s">
        <v>63</v>
      </c>
      <c r="P2472" s="3" t="s">
        <v>64</v>
      </c>
      <c r="Q2472" s="2" t="s">
        <v>29809</v>
      </c>
      <c r="R2472" s="3" t="s">
        <v>65</v>
      </c>
      <c r="S2472" s="4">
        <v>4</v>
      </c>
      <c r="T2472" s="4">
        <v>4</v>
      </c>
      <c r="U2472" s="5" t="s">
        <v>4353</v>
      </c>
      <c r="V2472" s="5" t="s">
        <v>4353</v>
      </c>
      <c r="W2472" s="5" t="s">
        <v>8822</v>
      </c>
      <c r="X2472" s="5" t="s">
        <v>8822</v>
      </c>
      <c r="Y2472" s="4">
        <v>317</v>
      </c>
      <c r="Z2472" s="4">
        <v>248</v>
      </c>
      <c r="AA2472" s="4">
        <v>249</v>
      </c>
      <c r="AB2472" s="4">
        <v>3</v>
      </c>
      <c r="AC2472" s="4">
        <v>3</v>
      </c>
      <c r="AD2472" s="4">
        <v>13</v>
      </c>
      <c r="AE2472" s="4">
        <v>13</v>
      </c>
      <c r="AF2472" s="4">
        <v>7</v>
      </c>
      <c r="AG2472" s="4">
        <v>7</v>
      </c>
      <c r="AH2472" s="4">
        <v>2</v>
      </c>
      <c r="AI2472" s="4">
        <v>2</v>
      </c>
      <c r="AJ2472" s="4">
        <v>5</v>
      </c>
      <c r="AK2472" s="4">
        <v>5</v>
      </c>
      <c r="AL2472" s="4">
        <v>2</v>
      </c>
      <c r="AM2472" s="4">
        <v>2</v>
      </c>
      <c r="AN2472" s="4">
        <v>0</v>
      </c>
      <c r="AO2472" s="4">
        <v>0</v>
      </c>
      <c r="AP2472" s="3" t="s">
        <v>58</v>
      </c>
      <c r="AQ2472" s="3" t="s">
        <v>68</v>
      </c>
      <c r="AR2472" s="6" t="str">
        <f>HYPERLINK("http://catalog.hathitrust.org/Record/004988453","HathiTrust Record")</f>
        <v>HathiTrust Record</v>
      </c>
      <c r="AS2472" s="6" t="str">
        <f>HYPERLINK("https://creighton-primo.hosted.exlibrisgroup.com/primo-explore/search?tab=default_tab&amp;search_scope=EVERYTHING&amp;vid=01CRU&amp;lang=en_US&amp;offset=0&amp;query=any,contains,991004647529702656","Catalog Record")</f>
        <v>Catalog Record</v>
      </c>
      <c r="AT2472" s="6" t="str">
        <f>HYPERLINK("http://www.worldcat.org/oclc/58456138","WorldCat Record")</f>
        <v>WorldCat Record</v>
      </c>
      <c r="AU2472" s="3" t="s">
        <v>30155</v>
      </c>
      <c r="AV2472" s="3" t="s">
        <v>30156</v>
      </c>
      <c r="AW2472" s="3" t="s">
        <v>30157</v>
      </c>
      <c r="AX2472" s="3" t="s">
        <v>30157</v>
      </c>
      <c r="AY2472" s="3" t="s">
        <v>30158</v>
      </c>
      <c r="AZ2472" s="3" t="s">
        <v>73</v>
      </c>
      <c r="BB2472" s="3" t="s">
        <v>30159</v>
      </c>
      <c r="BC2472" s="3" t="s">
        <v>30160</v>
      </c>
      <c r="BD2472" s="3" t="s">
        <v>30161</v>
      </c>
    </row>
    <row r="2473" spans="1:56" ht="51" customHeight="1" x14ac:dyDescent="0.25">
      <c r="A2473" s="7" t="s">
        <v>58</v>
      </c>
      <c r="B2473" s="2" t="s">
        <v>30162</v>
      </c>
      <c r="C2473" s="2" t="s">
        <v>30163</v>
      </c>
      <c r="D2473" s="2" t="s">
        <v>30164</v>
      </c>
      <c r="F2473" s="3" t="s">
        <v>58</v>
      </c>
      <c r="G2473" s="3" t="s">
        <v>59</v>
      </c>
      <c r="H2473" s="3" t="s">
        <v>58</v>
      </c>
      <c r="I2473" s="3" t="s">
        <v>58</v>
      </c>
      <c r="J2473" s="3" t="s">
        <v>60</v>
      </c>
      <c r="K2473" s="2" t="s">
        <v>30165</v>
      </c>
      <c r="L2473" s="2" t="s">
        <v>30166</v>
      </c>
      <c r="M2473" s="3" t="s">
        <v>745</v>
      </c>
      <c r="O2473" s="3" t="s">
        <v>63</v>
      </c>
      <c r="P2473" s="3" t="s">
        <v>981</v>
      </c>
      <c r="R2473" s="3" t="s">
        <v>65</v>
      </c>
      <c r="S2473" s="4">
        <v>5</v>
      </c>
      <c r="T2473" s="4">
        <v>5</v>
      </c>
      <c r="U2473" s="5" t="s">
        <v>1639</v>
      </c>
      <c r="V2473" s="5" t="s">
        <v>1639</v>
      </c>
      <c r="W2473" s="5" t="s">
        <v>30167</v>
      </c>
      <c r="X2473" s="5" t="s">
        <v>30167</v>
      </c>
      <c r="Y2473" s="4">
        <v>495</v>
      </c>
      <c r="Z2473" s="4">
        <v>423</v>
      </c>
      <c r="AA2473" s="4">
        <v>444</v>
      </c>
      <c r="AB2473" s="4">
        <v>2</v>
      </c>
      <c r="AC2473" s="4">
        <v>2</v>
      </c>
      <c r="AD2473" s="4">
        <v>18</v>
      </c>
      <c r="AE2473" s="4">
        <v>18</v>
      </c>
      <c r="AF2473" s="4">
        <v>9</v>
      </c>
      <c r="AG2473" s="4">
        <v>9</v>
      </c>
      <c r="AH2473" s="4">
        <v>4</v>
      </c>
      <c r="AI2473" s="4">
        <v>4</v>
      </c>
      <c r="AJ2473" s="4">
        <v>9</v>
      </c>
      <c r="AK2473" s="4">
        <v>9</v>
      </c>
      <c r="AL2473" s="4">
        <v>1</v>
      </c>
      <c r="AM2473" s="4">
        <v>1</v>
      </c>
      <c r="AN2473" s="4">
        <v>0</v>
      </c>
      <c r="AO2473" s="4">
        <v>0</v>
      </c>
      <c r="AP2473" s="3" t="s">
        <v>58</v>
      </c>
      <c r="AQ2473" s="3" t="s">
        <v>68</v>
      </c>
      <c r="AR2473" s="6" t="str">
        <f>HYPERLINK("http://catalog.hathitrust.org/Record/001259425","HathiTrust Record")</f>
        <v>HathiTrust Record</v>
      </c>
      <c r="AS2473" s="6" t="str">
        <f>HYPERLINK("https://creighton-primo.hosted.exlibrisgroup.com/primo-explore/search?tab=default_tab&amp;search_scope=EVERYTHING&amp;vid=01CRU&amp;lang=en_US&amp;offset=0&amp;query=any,contains,991002769759702656","Catalog Record")</f>
        <v>Catalog Record</v>
      </c>
      <c r="AT2473" s="6" t="str">
        <f>HYPERLINK("http://www.worldcat.org/oclc/436433","WorldCat Record")</f>
        <v>WorldCat Record</v>
      </c>
      <c r="AU2473" s="3" t="s">
        <v>30168</v>
      </c>
      <c r="AV2473" s="3" t="s">
        <v>30169</v>
      </c>
      <c r="AW2473" s="3" t="s">
        <v>30170</v>
      </c>
      <c r="AX2473" s="3" t="s">
        <v>30170</v>
      </c>
      <c r="AY2473" s="3" t="s">
        <v>30171</v>
      </c>
      <c r="AZ2473" s="3" t="s">
        <v>73</v>
      </c>
      <c r="BC2473" s="3" t="s">
        <v>30172</v>
      </c>
      <c r="BD2473" s="3" t="s">
        <v>30173</v>
      </c>
    </row>
    <row r="2474" spans="1:56" ht="51" customHeight="1" x14ac:dyDescent="0.25">
      <c r="A2474" s="7" t="s">
        <v>58</v>
      </c>
      <c r="B2474" s="2" t="s">
        <v>30174</v>
      </c>
      <c r="C2474" s="2" t="s">
        <v>30175</v>
      </c>
      <c r="D2474" s="2" t="s">
        <v>30176</v>
      </c>
      <c r="F2474" s="3" t="s">
        <v>58</v>
      </c>
      <c r="G2474" s="3" t="s">
        <v>59</v>
      </c>
      <c r="H2474" s="3" t="s">
        <v>58</v>
      </c>
      <c r="I2474" s="3" t="s">
        <v>58</v>
      </c>
      <c r="J2474" s="3" t="s">
        <v>60</v>
      </c>
      <c r="K2474" s="2" t="s">
        <v>30177</v>
      </c>
      <c r="L2474" s="2" t="s">
        <v>30178</v>
      </c>
      <c r="M2474" s="3" t="s">
        <v>30179</v>
      </c>
      <c r="N2474" s="2" t="s">
        <v>338</v>
      </c>
      <c r="O2474" s="3" t="s">
        <v>63</v>
      </c>
      <c r="P2474" s="3" t="s">
        <v>571</v>
      </c>
      <c r="R2474" s="3" t="s">
        <v>65</v>
      </c>
      <c r="S2474" s="4">
        <v>5</v>
      </c>
      <c r="T2474" s="4">
        <v>5</v>
      </c>
      <c r="U2474" s="5" t="s">
        <v>1639</v>
      </c>
      <c r="V2474" s="5" t="s">
        <v>1639</v>
      </c>
      <c r="W2474" s="5" t="s">
        <v>11401</v>
      </c>
      <c r="X2474" s="5" t="s">
        <v>11401</v>
      </c>
      <c r="Y2474" s="4">
        <v>335</v>
      </c>
      <c r="Z2474" s="4">
        <v>303</v>
      </c>
      <c r="AA2474" s="4">
        <v>907</v>
      </c>
      <c r="AB2474" s="4">
        <v>2</v>
      </c>
      <c r="AC2474" s="4">
        <v>7</v>
      </c>
      <c r="AD2474" s="4">
        <v>14</v>
      </c>
      <c r="AE2474" s="4">
        <v>48</v>
      </c>
      <c r="AF2474" s="4">
        <v>5</v>
      </c>
      <c r="AG2474" s="4">
        <v>20</v>
      </c>
      <c r="AH2474" s="4">
        <v>2</v>
      </c>
      <c r="AI2474" s="4">
        <v>9</v>
      </c>
      <c r="AJ2474" s="4">
        <v>7</v>
      </c>
      <c r="AK2474" s="4">
        <v>17</v>
      </c>
      <c r="AL2474" s="4">
        <v>1</v>
      </c>
      <c r="AM2474" s="4">
        <v>5</v>
      </c>
      <c r="AN2474" s="4">
        <v>1</v>
      </c>
      <c r="AO2474" s="4">
        <v>7</v>
      </c>
      <c r="AP2474" s="3" t="s">
        <v>68</v>
      </c>
      <c r="AQ2474" s="3" t="s">
        <v>58</v>
      </c>
      <c r="AR2474" s="6" t="str">
        <f>HYPERLINK("http://catalog.hathitrust.org/Record/001259431","HathiTrust Record")</f>
        <v>HathiTrust Record</v>
      </c>
      <c r="AS2474" s="6" t="str">
        <f>HYPERLINK("https://creighton-primo.hosted.exlibrisgroup.com/primo-explore/search?tab=default_tab&amp;search_scope=EVERYTHING&amp;vid=01CRU&amp;lang=en_US&amp;offset=0&amp;query=any,contains,991003290299702656","Catalog Record")</f>
        <v>Catalog Record</v>
      </c>
      <c r="AT2474" s="6" t="str">
        <f>HYPERLINK("http://www.worldcat.org/oclc/812324","WorldCat Record")</f>
        <v>WorldCat Record</v>
      </c>
      <c r="AU2474" s="3" t="s">
        <v>30180</v>
      </c>
      <c r="AV2474" s="3" t="s">
        <v>30181</v>
      </c>
      <c r="AW2474" s="3" t="s">
        <v>30182</v>
      </c>
      <c r="AX2474" s="3" t="s">
        <v>30182</v>
      </c>
      <c r="AY2474" s="3" t="s">
        <v>30183</v>
      </c>
      <c r="AZ2474" s="3" t="s">
        <v>73</v>
      </c>
      <c r="BC2474" s="3" t="s">
        <v>30184</v>
      </c>
      <c r="BD2474" s="3" t="s">
        <v>30185</v>
      </c>
    </row>
    <row r="2475" spans="1:56" ht="51" customHeight="1" x14ac:dyDescent="0.25">
      <c r="A2475" s="7" t="s">
        <v>58</v>
      </c>
      <c r="B2475" s="2" t="s">
        <v>30186</v>
      </c>
      <c r="C2475" s="2" t="s">
        <v>30187</v>
      </c>
      <c r="D2475" s="2" t="s">
        <v>30188</v>
      </c>
      <c r="F2475" s="3" t="s">
        <v>58</v>
      </c>
      <c r="G2475" s="3" t="s">
        <v>59</v>
      </c>
      <c r="H2475" s="3" t="s">
        <v>58</v>
      </c>
      <c r="I2475" s="3" t="s">
        <v>58</v>
      </c>
      <c r="J2475" s="3" t="s">
        <v>60</v>
      </c>
      <c r="K2475" s="2" t="s">
        <v>30189</v>
      </c>
      <c r="L2475" s="2" t="s">
        <v>30190</v>
      </c>
      <c r="M2475" s="3" t="s">
        <v>30191</v>
      </c>
      <c r="O2475" s="3" t="s">
        <v>63</v>
      </c>
      <c r="P2475" s="3" t="s">
        <v>214</v>
      </c>
      <c r="R2475" s="3" t="s">
        <v>65</v>
      </c>
      <c r="S2475" s="4">
        <v>3</v>
      </c>
      <c r="T2475" s="4">
        <v>3</v>
      </c>
      <c r="U2475" s="5" t="s">
        <v>22123</v>
      </c>
      <c r="V2475" s="5" t="s">
        <v>22123</v>
      </c>
      <c r="W2475" s="5" t="s">
        <v>15109</v>
      </c>
      <c r="X2475" s="5" t="s">
        <v>15109</v>
      </c>
      <c r="Y2475" s="4">
        <v>387</v>
      </c>
      <c r="Z2475" s="4">
        <v>360</v>
      </c>
      <c r="AA2475" s="4">
        <v>369</v>
      </c>
      <c r="AB2475" s="4">
        <v>4</v>
      </c>
      <c r="AC2475" s="4">
        <v>4</v>
      </c>
      <c r="AD2475" s="4">
        <v>15</v>
      </c>
      <c r="AE2475" s="4">
        <v>15</v>
      </c>
      <c r="AF2475" s="4">
        <v>4</v>
      </c>
      <c r="AG2475" s="4">
        <v>4</v>
      </c>
      <c r="AH2475" s="4">
        <v>3</v>
      </c>
      <c r="AI2475" s="4">
        <v>3</v>
      </c>
      <c r="AJ2475" s="4">
        <v>9</v>
      </c>
      <c r="AK2475" s="4">
        <v>9</v>
      </c>
      <c r="AL2475" s="4">
        <v>3</v>
      </c>
      <c r="AM2475" s="4">
        <v>3</v>
      </c>
      <c r="AN2475" s="4">
        <v>0</v>
      </c>
      <c r="AO2475" s="4">
        <v>0</v>
      </c>
      <c r="AP2475" s="3" t="s">
        <v>58</v>
      </c>
      <c r="AQ2475" s="3" t="s">
        <v>68</v>
      </c>
      <c r="AR2475" s="6" t="str">
        <f>HYPERLINK("http://catalog.hathitrust.org/Record/001606527","HathiTrust Record")</f>
        <v>HathiTrust Record</v>
      </c>
      <c r="AS2475" s="6" t="str">
        <f>HYPERLINK("https://creighton-primo.hosted.exlibrisgroup.com/primo-explore/search?tab=default_tab&amp;search_scope=EVERYTHING&amp;vid=01CRU&amp;lang=en_US&amp;offset=0&amp;query=any,contains,991003315049702656","Catalog Record")</f>
        <v>Catalog Record</v>
      </c>
      <c r="AT2475" s="6" t="str">
        <f>HYPERLINK("http://www.worldcat.org/oclc/840068","WorldCat Record")</f>
        <v>WorldCat Record</v>
      </c>
      <c r="AU2475" s="3" t="s">
        <v>30192</v>
      </c>
      <c r="AV2475" s="3" t="s">
        <v>30193</v>
      </c>
      <c r="AW2475" s="3" t="s">
        <v>30194</v>
      </c>
      <c r="AX2475" s="3" t="s">
        <v>30194</v>
      </c>
      <c r="AY2475" s="3" t="s">
        <v>30195</v>
      </c>
      <c r="AZ2475" s="3" t="s">
        <v>73</v>
      </c>
      <c r="BC2475" s="3" t="s">
        <v>30196</v>
      </c>
      <c r="BD2475" s="3" t="s">
        <v>30197</v>
      </c>
    </row>
    <row r="2476" spans="1:56" ht="51" customHeight="1" x14ac:dyDescent="0.25">
      <c r="A2476" s="7" t="s">
        <v>58</v>
      </c>
      <c r="B2476" s="2" t="s">
        <v>30198</v>
      </c>
      <c r="C2476" s="2" t="s">
        <v>30199</v>
      </c>
      <c r="D2476" s="2" t="s">
        <v>30200</v>
      </c>
      <c r="F2476" s="3" t="s">
        <v>58</v>
      </c>
      <c r="G2476" s="3" t="s">
        <v>59</v>
      </c>
      <c r="H2476" s="3" t="s">
        <v>58</v>
      </c>
      <c r="I2476" s="3" t="s">
        <v>58</v>
      </c>
      <c r="J2476" s="3" t="s">
        <v>60</v>
      </c>
      <c r="K2476" s="2" t="s">
        <v>30201</v>
      </c>
      <c r="L2476" s="2" t="s">
        <v>30202</v>
      </c>
      <c r="M2476" s="3" t="s">
        <v>4023</v>
      </c>
      <c r="O2476" s="3" t="s">
        <v>63</v>
      </c>
      <c r="P2476" s="3" t="s">
        <v>584</v>
      </c>
      <c r="Q2476" s="2" t="s">
        <v>16683</v>
      </c>
      <c r="R2476" s="3" t="s">
        <v>65</v>
      </c>
      <c r="S2476" s="4">
        <v>1</v>
      </c>
      <c r="T2476" s="4">
        <v>1</v>
      </c>
      <c r="U2476" s="5" t="s">
        <v>30203</v>
      </c>
      <c r="V2476" s="5" t="s">
        <v>30203</v>
      </c>
      <c r="W2476" s="5" t="s">
        <v>30203</v>
      </c>
      <c r="X2476" s="5" t="s">
        <v>30203</v>
      </c>
      <c r="Y2476" s="4">
        <v>154</v>
      </c>
      <c r="Z2476" s="4">
        <v>122</v>
      </c>
      <c r="AA2476" s="4">
        <v>159</v>
      </c>
      <c r="AB2476" s="4">
        <v>1</v>
      </c>
      <c r="AC2476" s="4">
        <v>1</v>
      </c>
      <c r="AD2476" s="4">
        <v>7</v>
      </c>
      <c r="AE2476" s="4">
        <v>9</v>
      </c>
      <c r="AF2476" s="4">
        <v>3</v>
      </c>
      <c r="AG2476" s="4">
        <v>4</v>
      </c>
      <c r="AH2476" s="4">
        <v>2</v>
      </c>
      <c r="AI2476" s="4">
        <v>3</v>
      </c>
      <c r="AJ2476" s="4">
        <v>5</v>
      </c>
      <c r="AK2476" s="4">
        <v>7</v>
      </c>
      <c r="AL2476" s="4">
        <v>0</v>
      </c>
      <c r="AM2476" s="4">
        <v>0</v>
      </c>
      <c r="AN2476" s="4">
        <v>0</v>
      </c>
      <c r="AO2476" s="4">
        <v>0</v>
      </c>
      <c r="AP2476" s="3" t="s">
        <v>58</v>
      </c>
      <c r="AQ2476" s="3" t="s">
        <v>58</v>
      </c>
      <c r="AS2476" s="6" t="str">
        <f>HYPERLINK("https://creighton-primo.hosted.exlibrisgroup.com/primo-explore/search?tab=default_tab&amp;search_scope=EVERYTHING&amp;vid=01CRU&amp;lang=en_US&amp;offset=0&amp;query=any,contains,991005053939702656","Catalog Record")</f>
        <v>Catalog Record</v>
      </c>
      <c r="AT2476" s="6" t="str">
        <f>HYPERLINK("http://www.worldcat.org/oclc/52979184","WorldCat Record")</f>
        <v>WorldCat Record</v>
      </c>
      <c r="AU2476" s="3" t="s">
        <v>30204</v>
      </c>
      <c r="AV2476" s="3" t="s">
        <v>30205</v>
      </c>
      <c r="AW2476" s="3" t="s">
        <v>30206</v>
      </c>
      <c r="AX2476" s="3" t="s">
        <v>30206</v>
      </c>
      <c r="AY2476" s="3" t="s">
        <v>30207</v>
      </c>
      <c r="AZ2476" s="3" t="s">
        <v>73</v>
      </c>
      <c r="BB2476" s="3" t="s">
        <v>30208</v>
      </c>
      <c r="BC2476" s="3" t="s">
        <v>30209</v>
      </c>
      <c r="BD2476" s="3" t="s">
        <v>30210</v>
      </c>
    </row>
    <row r="2477" spans="1:56" ht="51" customHeight="1" x14ac:dyDescent="0.25">
      <c r="A2477" s="7" t="s">
        <v>58</v>
      </c>
      <c r="B2477" s="2" t="s">
        <v>30211</v>
      </c>
      <c r="C2477" s="2" t="s">
        <v>30212</v>
      </c>
      <c r="D2477" s="2" t="s">
        <v>30213</v>
      </c>
      <c r="F2477" s="3" t="s">
        <v>58</v>
      </c>
      <c r="G2477" s="3" t="s">
        <v>59</v>
      </c>
      <c r="H2477" s="3" t="s">
        <v>58</v>
      </c>
      <c r="I2477" s="3" t="s">
        <v>58</v>
      </c>
      <c r="J2477" s="3" t="s">
        <v>60</v>
      </c>
      <c r="L2477" s="2" t="s">
        <v>30214</v>
      </c>
      <c r="M2477" s="3" t="s">
        <v>626</v>
      </c>
      <c r="N2477" s="2" t="s">
        <v>338</v>
      </c>
      <c r="O2477" s="3" t="s">
        <v>63</v>
      </c>
      <c r="P2477" s="3" t="s">
        <v>214</v>
      </c>
      <c r="Q2477" s="2" t="s">
        <v>30215</v>
      </c>
      <c r="R2477" s="3" t="s">
        <v>65</v>
      </c>
      <c r="S2477" s="4">
        <v>7</v>
      </c>
      <c r="T2477" s="4">
        <v>7</v>
      </c>
      <c r="U2477" s="5" t="s">
        <v>7004</v>
      </c>
      <c r="V2477" s="5" t="s">
        <v>7004</v>
      </c>
      <c r="W2477" s="5" t="s">
        <v>30040</v>
      </c>
      <c r="X2477" s="5" t="s">
        <v>30040</v>
      </c>
      <c r="Y2477" s="4">
        <v>547</v>
      </c>
      <c r="Z2477" s="4">
        <v>437</v>
      </c>
      <c r="AA2477" s="4">
        <v>442</v>
      </c>
      <c r="AB2477" s="4">
        <v>2</v>
      </c>
      <c r="AC2477" s="4">
        <v>2</v>
      </c>
      <c r="AD2477" s="4">
        <v>20</v>
      </c>
      <c r="AE2477" s="4">
        <v>20</v>
      </c>
      <c r="AF2477" s="4">
        <v>8</v>
      </c>
      <c r="AG2477" s="4">
        <v>8</v>
      </c>
      <c r="AH2477" s="4">
        <v>6</v>
      </c>
      <c r="AI2477" s="4">
        <v>6</v>
      </c>
      <c r="AJ2477" s="4">
        <v>13</v>
      </c>
      <c r="AK2477" s="4">
        <v>13</v>
      </c>
      <c r="AL2477" s="4">
        <v>1</v>
      </c>
      <c r="AM2477" s="4">
        <v>1</v>
      </c>
      <c r="AN2477" s="4">
        <v>0</v>
      </c>
      <c r="AO2477" s="4">
        <v>0</v>
      </c>
      <c r="AP2477" s="3" t="s">
        <v>58</v>
      </c>
      <c r="AQ2477" s="3" t="s">
        <v>58</v>
      </c>
      <c r="AS2477" s="6" t="str">
        <f>HYPERLINK("https://creighton-primo.hosted.exlibrisgroup.com/primo-explore/search?tab=default_tab&amp;search_scope=EVERYTHING&amp;vid=01CRU&amp;lang=en_US&amp;offset=0&amp;query=any,contains,991000038729702656","Catalog Record")</f>
        <v>Catalog Record</v>
      </c>
      <c r="AT2477" s="6" t="str">
        <f>HYPERLINK("http://www.worldcat.org/oclc/8629293","WorldCat Record")</f>
        <v>WorldCat Record</v>
      </c>
      <c r="AU2477" s="3" t="s">
        <v>30216</v>
      </c>
      <c r="AV2477" s="3" t="s">
        <v>30217</v>
      </c>
      <c r="AW2477" s="3" t="s">
        <v>30218</v>
      </c>
      <c r="AX2477" s="3" t="s">
        <v>30218</v>
      </c>
      <c r="AY2477" s="3" t="s">
        <v>30219</v>
      </c>
      <c r="AZ2477" s="3" t="s">
        <v>73</v>
      </c>
      <c r="BB2477" s="3" t="s">
        <v>30220</v>
      </c>
      <c r="BC2477" s="3" t="s">
        <v>30221</v>
      </c>
      <c r="BD2477" s="3" t="s">
        <v>30222</v>
      </c>
    </row>
    <row r="2478" spans="1:56" ht="51" customHeight="1" x14ac:dyDescent="0.25">
      <c r="A2478" s="7" t="s">
        <v>58</v>
      </c>
      <c r="B2478" s="2" t="s">
        <v>30223</v>
      </c>
      <c r="C2478" s="2" t="s">
        <v>30224</v>
      </c>
      <c r="D2478" s="2" t="s">
        <v>30225</v>
      </c>
      <c r="F2478" s="3" t="s">
        <v>58</v>
      </c>
      <c r="G2478" s="3" t="s">
        <v>59</v>
      </c>
      <c r="H2478" s="3" t="s">
        <v>58</v>
      </c>
      <c r="I2478" s="3" t="s">
        <v>58</v>
      </c>
      <c r="J2478" s="3" t="s">
        <v>60</v>
      </c>
      <c r="K2478" s="2" t="s">
        <v>25329</v>
      </c>
      <c r="L2478" s="2" t="s">
        <v>30226</v>
      </c>
      <c r="M2478" s="3" t="s">
        <v>1544</v>
      </c>
      <c r="O2478" s="3" t="s">
        <v>63</v>
      </c>
      <c r="P2478" s="3" t="s">
        <v>816</v>
      </c>
      <c r="R2478" s="3" t="s">
        <v>65</v>
      </c>
      <c r="S2478" s="4">
        <v>4</v>
      </c>
      <c r="T2478" s="4">
        <v>4</v>
      </c>
      <c r="U2478" s="5" t="s">
        <v>30227</v>
      </c>
      <c r="V2478" s="5" t="s">
        <v>30227</v>
      </c>
      <c r="W2478" s="5" t="s">
        <v>12657</v>
      </c>
      <c r="X2478" s="5" t="s">
        <v>12657</v>
      </c>
      <c r="Y2478" s="4">
        <v>492</v>
      </c>
      <c r="Z2478" s="4">
        <v>365</v>
      </c>
      <c r="AA2478" s="4">
        <v>402</v>
      </c>
      <c r="AB2478" s="4">
        <v>4</v>
      </c>
      <c r="AC2478" s="4">
        <v>5</v>
      </c>
      <c r="AD2478" s="4">
        <v>22</v>
      </c>
      <c r="AE2478" s="4">
        <v>24</v>
      </c>
      <c r="AF2478" s="4">
        <v>8</v>
      </c>
      <c r="AG2478" s="4">
        <v>9</v>
      </c>
      <c r="AH2478" s="4">
        <v>6</v>
      </c>
      <c r="AI2478" s="4">
        <v>6</v>
      </c>
      <c r="AJ2478" s="4">
        <v>11</v>
      </c>
      <c r="AK2478" s="4">
        <v>11</v>
      </c>
      <c r="AL2478" s="4">
        <v>3</v>
      </c>
      <c r="AM2478" s="4">
        <v>4</v>
      </c>
      <c r="AN2478" s="4">
        <v>0</v>
      </c>
      <c r="AO2478" s="4">
        <v>0</v>
      </c>
      <c r="AP2478" s="3" t="s">
        <v>58</v>
      </c>
      <c r="AQ2478" s="3" t="s">
        <v>68</v>
      </c>
      <c r="AR2478" s="6" t="str">
        <f>HYPERLINK("http://catalog.hathitrust.org/Record/002548432","HathiTrust Record")</f>
        <v>HathiTrust Record</v>
      </c>
      <c r="AS2478" s="6" t="str">
        <f>HYPERLINK("https://creighton-primo.hosted.exlibrisgroup.com/primo-explore/search?tab=default_tab&amp;search_scope=EVERYTHING&amp;vid=01CRU&amp;lang=en_US&amp;offset=0&amp;query=any,contains,991001965349702656","Catalog Record")</f>
        <v>Catalog Record</v>
      </c>
      <c r="AT2478" s="6" t="str">
        <f>HYPERLINK("http://www.worldcat.org/oclc/24908621","WorldCat Record")</f>
        <v>WorldCat Record</v>
      </c>
      <c r="AU2478" s="3" t="s">
        <v>30228</v>
      </c>
      <c r="AV2478" s="3" t="s">
        <v>30229</v>
      </c>
      <c r="AW2478" s="3" t="s">
        <v>30230</v>
      </c>
      <c r="AX2478" s="3" t="s">
        <v>30230</v>
      </c>
      <c r="AY2478" s="3" t="s">
        <v>30231</v>
      </c>
      <c r="AZ2478" s="3" t="s">
        <v>73</v>
      </c>
      <c r="BB2478" s="3" t="s">
        <v>30232</v>
      </c>
      <c r="BC2478" s="3" t="s">
        <v>30233</v>
      </c>
      <c r="BD2478" s="3" t="s">
        <v>30234</v>
      </c>
    </row>
    <row r="2479" spans="1:56" ht="51" customHeight="1" x14ac:dyDescent="0.25">
      <c r="A2479" s="7" t="s">
        <v>58</v>
      </c>
      <c r="B2479" s="2" t="s">
        <v>30235</v>
      </c>
      <c r="C2479" s="2" t="s">
        <v>30236</v>
      </c>
      <c r="D2479" s="2" t="s">
        <v>30237</v>
      </c>
      <c r="F2479" s="3" t="s">
        <v>58</v>
      </c>
      <c r="G2479" s="3" t="s">
        <v>59</v>
      </c>
      <c r="H2479" s="3" t="s">
        <v>58</v>
      </c>
      <c r="I2479" s="3" t="s">
        <v>58</v>
      </c>
      <c r="J2479" s="3" t="s">
        <v>60</v>
      </c>
      <c r="K2479" s="2" t="s">
        <v>30238</v>
      </c>
      <c r="L2479" s="2" t="s">
        <v>30239</v>
      </c>
      <c r="M2479" s="3" t="s">
        <v>1153</v>
      </c>
      <c r="O2479" s="3" t="s">
        <v>63</v>
      </c>
      <c r="P2479" s="3" t="s">
        <v>510</v>
      </c>
      <c r="R2479" s="3" t="s">
        <v>65</v>
      </c>
      <c r="S2479" s="4">
        <v>8</v>
      </c>
      <c r="T2479" s="4">
        <v>8</v>
      </c>
      <c r="U2479" s="5" t="s">
        <v>28860</v>
      </c>
      <c r="V2479" s="5" t="s">
        <v>28860</v>
      </c>
      <c r="W2479" s="5" t="s">
        <v>30240</v>
      </c>
      <c r="X2479" s="5" t="s">
        <v>30240</v>
      </c>
      <c r="Y2479" s="4">
        <v>111</v>
      </c>
      <c r="Z2479" s="4">
        <v>90</v>
      </c>
      <c r="AA2479" s="4">
        <v>287</v>
      </c>
      <c r="AB2479" s="4">
        <v>1</v>
      </c>
      <c r="AC2479" s="4">
        <v>1</v>
      </c>
      <c r="AD2479" s="4">
        <v>3</v>
      </c>
      <c r="AE2479" s="4">
        <v>10</v>
      </c>
      <c r="AF2479" s="4">
        <v>1</v>
      </c>
      <c r="AG2479" s="4">
        <v>4</v>
      </c>
      <c r="AH2479" s="4">
        <v>1</v>
      </c>
      <c r="AI2479" s="4">
        <v>4</v>
      </c>
      <c r="AJ2479" s="4">
        <v>2</v>
      </c>
      <c r="AK2479" s="4">
        <v>6</v>
      </c>
      <c r="AL2479" s="4">
        <v>0</v>
      </c>
      <c r="AM2479" s="4">
        <v>0</v>
      </c>
      <c r="AN2479" s="4">
        <v>0</v>
      </c>
      <c r="AO2479" s="4">
        <v>0</v>
      </c>
      <c r="AP2479" s="3" t="s">
        <v>58</v>
      </c>
      <c r="AQ2479" s="3" t="s">
        <v>58</v>
      </c>
      <c r="AS2479" s="6" t="str">
        <f>HYPERLINK("https://creighton-primo.hosted.exlibrisgroup.com/primo-explore/search?tab=default_tab&amp;search_scope=EVERYTHING&amp;vid=01CRU&amp;lang=en_US&amp;offset=0&amp;query=any,contains,991003061259702656","Catalog Record")</f>
        <v>Catalog Record</v>
      </c>
      <c r="AT2479" s="6" t="str">
        <f>HYPERLINK("http://www.worldcat.org/oclc/618358","WorldCat Record")</f>
        <v>WorldCat Record</v>
      </c>
      <c r="AU2479" s="3" t="s">
        <v>30241</v>
      </c>
      <c r="AV2479" s="3" t="s">
        <v>30242</v>
      </c>
      <c r="AW2479" s="3" t="s">
        <v>30243</v>
      </c>
      <c r="AX2479" s="3" t="s">
        <v>30243</v>
      </c>
      <c r="AY2479" s="3" t="s">
        <v>30244</v>
      </c>
      <c r="AZ2479" s="3" t="s">
        <v>73</v>
      </c>
      <c r="BB2479" s="3" t="s">
        <v>30245</v>
      </c>
      <c r="BC2479" s="3" t="s">
        <v>30246</v>
      </c>
      <c r="BD2479" s="3" t="s">
        <v>30247</v>
      </c>
    </row>
    <row r="2480" spans="1:56" ht="51" customHeight="1" x14ac:dyDescent="0.25">
      <c r="A2480" s="7" t="s">
        <v>58</v>
      </c>
      <c r="B2480" s="2" t="s">
        <v>30248</v>
      </c>
      <c r="C2480" s="2" t="s">
        <v>30249</v>
      </c>
      <c r="D2480" s="2" t="s">
        <v>30250</v>
      </c>
      <c r="F2480" s="3" t="s">
        <v>58</v>
      </c>
      <c r="G2480" s="3" t="s">
        <v>59</v>
      </c>
      <c r="H2480" s="3" t="s">
        <v>58</v>
      </c>
      <c r="I2480" s="3" t="s">
        <v>58</v>
      </c>
      <c r="J2480" s="3" t="s">
        <v>60</v>
      </c>
      <c r="K2480" s="2" t="s">
        <v>30251</v>
      </c>
      <c r="L2480" s="2" t="s">
        <v>30252</v>
      </c>
      <c r="M2480" s="3" t="s">
        <v>83</v>
      </c>
      <c r="O2480" s="3" t="s">
        <v>63</v>
      </c>
      <c r="P2480" s="3" t="s">
        <v>214</v>
      </c>
      <c r="R2480" s="3" t="s">
        <v>65</v>
      </c>
      <c r="S2480" s="4">
        <v>1</v>
      </c>
      <c r="T2480" s="4">
        <v>1</v>
      </c>
      <c r="U2480" s="5" t="s">
        <v>8538</v>
      </c>
      <c r="V2480" s="5" t="s">
        <v>8538</v>
      </c>
      <c r="W2480" s="5" t="s">
        <v>30040</v>
      </c>
      <c r="X2480" s="5" t="s">
        <v>30040</v>
      </c>
      <c r="Y2480" s="4">
        <v>271</v>
      </c>
      <c r="Z2480" s="4">
        <v>259</v>
      </c>
      <c r="AA2480" s="4">
        <v>312</v>
      </c>
      <c r="AB2480" s="4">
        <v>2</v>
      </c>
      <c r="AC2480" s="4">
        <v>3</v>
      </c>
      <c r="AD2480" s="4">
        <v>12</v>
      </c>
      <c r="AE2480" s="4">
        <v>14</v>
      </c>
      <c r="AF2480" s="4">
        <v>1</v>
      </c>
      <c r="AG2480" s="4">
        <v>1</v>
      </c>
      <c r="AH2480" s="4">
        <v>5</v>
      </c>
      <c r="AI2480" s="4">
        <v>5</v>
      </c>
      <c r="AJ2480" s="4">
        <v>8</v>
      </c>
      <c r="AK2480" s="4">
        <v>9</v>
      </c>
      <c r="AL2480" s="4">
        <v>1</v>
      </c>
      <c r="AM2480" s="4">
        <v>2</v>
      </c>
      <c r="AN2480" s="4">
        <v>0</v>
      </c>
      <c r="AO2480" s="4">
        <v>0</v>
      </c>
      <c r="AP2480" s="3" t="s">
        <v>58</v>
      </c>
      <c r="AQ2480" s="3" t="s">
        <v>68</v>
      </c>
      <c r="AR2480" s="6" t="str">
        <f>HYPERLINK("http://catalog.hathitrust.org/Record/000022633","HathiTrust Record")</f>
        <v>HathiTrust Record</v>
      </c>
      <c r="AS2480" s="6" t="str">
        <f>HYPERLINK("https://creighton-primo.hosted.exlibrisgroup.com/primo-explore/search?tab=default_tab&amp;search_scope=EVERYTHING&amp;vid=01CRU&amp;lang=en_US&amp;offset=0&amp;query=any,contains,991004425739702656","Catalog Record")</f>
        <v>Catalog Record</v>
      </c>
      <c r="AT2480" s="6" t="str">
        <f>HYPERLINK("http://www.worldcat.org/oclc/3397268","WorldCat Record")</f>
        <v>WorldCat Record</v>
      </c>
      <c r="AU2480" s="3" t="s">
        <v>30253</v>
      </c>
      <c r="AV2480" s="3" t="s">
        <v>30254</v>
      </c>
      <c r="AW2480" s="3" t="s">
        <v>30255</v>
      </c>
      <c r="AX2480" s="3" t="s">
        <v>30255</v>
      </c>
      <c r="AY2480" s="3" t="s">
        <v>30256</v>
      </c>
      <c r="AZ2480" s="3" t="s">
        <v>73</v>
      </c>
      <c r="BB2480" s="3" t="s">
        <v>30257</v>
      </c>
      <c r="BC2480" s="3" t="s">
        <v>30258</v>
      </c>
      <c r="BD2480" s="3" t="s">
        <v>30259</v>
      </c>
    </row>
    <row r="2481" spans="1:56" ht="51" customHeight="1" x14ac:dyDescent="0.25">
      <c r="A2481" s="7" t="s">
        <v>58</v>
      </c>
      <c r="B2481" s="2" t="s">
        <v>30260</v>
      </c>
      <c r="C2481" s="2" t="s">
        <v>30261</v>
      </c>
      <c r="D2481" s="2" t="s">
        <v>30262</v>
      </c>
      <c r="F2481" s="3" t="s">
        <v>58</v>
      </c>
      <c r="G2481" s="3" t="s">
        <v>59</v>
      </c>
      <c r="H2481" s="3" t="s">
        <v>58</v>
      </c>
      <c r="I2481" s="3" t="s">
        <v>58</v>
      </c>
      <c r="J2481" s="3" t="s">
        <v>60</v>
      </c>
      <c r="K2481" s="2" t="s">
        <v>30263</v>
      </c>
      <c r="L2481" s="2" t="s">
        <v>30264</v>
      </c>
      <c r="M2481" s="3" t="s">
        <v>855</v>
      </c>
      <c r="O2481" s="3" t="s">
        <v>63</v>
      </c>
      <c r="P2481" s="3" t="s">
        <v>584</v>
      </c>
      <c r="R2481" s="3" t="s">
        <v>65</v>
      </c>
      <c r="S2481" s="4">
        <v>6</v>
      </c>
      <c r="T2481" s="4">
        <v>6</v>
      </c>
      <c r="U2481" s="5" t="s">
        <v>21927</v>
      </c>
      <c r="V2481" s="5" t="s">
        <v>21927</v>
      </c>
      <c r="W2481" s="5" t="s">
        <v>2633</v>
      </c>
      <c r="X2481" s="5" t="s">
        <v>2633</v>
      </c>
      <c r="Y2481" s="4">
        <v>202</v>
      </c>
      <c r="Z2481" s="4">
        <v>154</v>
      </c>
      <c r="AA2481" s="4">
        <v>211</v>
      </c>
      <c r="AB2481" s="4">
        <v>2</v>
      </c>
      <c r="AC2481" s="4">
        <v>2</v>
      </c>
      <c r="AD2481" s="4">
        <v>9</v>
      </c>
      <c r="AE2481" s="4">
        <v>11</v>
      </c>
      <c r="AF2481" s="4">
        <v>3</v>
      </c>
      <c r="AG2481" s="4">
        <v>4</v>
      </c>
      <c r="AH2481" s="4">
        <v>2</v>
      </c>
      <c r="AI2481" s="4">
        <v>3</v>
      </c>
      <c r="AJ2481" s="4">
        <v>5</v>
      </c>
      <c r="AK2481" s="4">
        <v>7</v>
      </c>
      <c r="AL2481" s="4">
        <v>1</v>
      </c>
      <c r="AM2481" s="4">
        <v>1</v>
      </c>
      <c r="AN2481" s="4">
        <v>0</v>
      </c>
      <c r="AO2481" s="4">
        <v>0</v>
      </c>
      <c r="AP2481" s="3" t="s">
        <v>58</v>
      </c>
      <c r="AQ2481" s="3" t="s">
        <v>68</v>
      </c>
      <c r="AR2481" s="6" t="str">
        <f>HYPERLINK("http://catalog.hathitrust.org/Record/002619457","HathiTrust Record")</f>
        <v>HathiTrust Record</v>
      </c>
      <c r="AS2481" s="6" t="str">
        <f>HYPERLINK("https://creighton-primo.hosted.exlibrisgroup.com/primo-explore/search?tab=default_tab&amp;search_scope=EVERYTHING&amp;vid=01CRU&amp;lang=en_US&amp;offset=0&amp;query=any,contains,991001906859702656","Catalog Record")</f>
        <v>Catalog Record</v>
      </c>
      <c r="AT2481" s="6" t="str">
        <f>HYPERLINK("http://www.worldcat.org/oclc/24069075","WorldCat Record")</f>
        <v>WorldCat Record</v>
      </c>
      <c r="AU2481" s="3" t="s">
        <v>30265</v>
      </c>
      <c r="AV2481" s="3" t="s">
        <v>30266</v>
      </c>
      <c r="AW2481" s="3" t="s">
        <v>30267</v>
      </c>
      <c r="AX2481" s="3" t="s">
        <v>30267</v>
      </c>
      <c r="AY2481" s="3" t="s">
        <v>30268</v>
      </c>
      <c r="AZ2481" s="3" t="s">
        <v>73</v>
      </c>
      <c r="BB2481" s="3" t="s">
        <v>30269</v>
      </c>
      <c r="BC2481" s="3" t="s">
        <v>30270</v>
      </c>
      <c r="BD2481" s="3" t="s">
        <v>30271</v>
      </c>
    </row>
    <row r="2482" spans="1:56" ht="51" customHeight="1" x14ac:dyDescent="0.25">
      <c r="A2482" s="7" t="s">
        <v>58</v>
      </c>
      <c r="B2482" s="2" t="s">
        <v>30272</v>
      </c>
      <c r="C2482" s="2" t="s">
        <v>30273</v>
      </c>
      <c r="D2482" s="2" t="s">
        <v>30274</v>
      </c>
      <c r="F2482" s="3" t="s">
        <v>58</v>
      </c>
      <c r="G2482" s="3" t="s">
        <v>59</v>
      </c>
      <c r="H2482" s="3" t="s">
        <v>58</v>
      </c>
      <c r="I2482" s="3" t="s">
        <v>58</v>
      </c>
      <c r="J2482" s="3" t="s">
        <v>60</v>
      </c>
      <c r="K2482" s="2" t="s">
        <v>30275</v>
      </c>
      <c r="L2482" s="2" t="s">
        <v>30276</v>
      </c>
      <c r="M2482" s="3" t="s">
        <v>382</v>
      </c>
      <c r="O2482" s="3" t="s">
        <v>63</v>
      </c>
      <c r="P2482" s="3" t="s">
        <v>816</v>
      </c>
      <c r="Q2482" s="2" t="s">
        <v>30277</v>
      </c>
      <c r="R2482" s="3" t="s">
        <v>65</v>
      </c>
      <c r="S2482" s="4">
        <v>3</v>
      </c>
      <c r="T2482" s="4">
        <v>3</v>
      </c>
      <c r="U2482" s="5" t="s">
        <v>2880</v>
      </c>
      <c r="V2482" s="5" t="s">
        <v>2880</v>
      </c>
      <c r="W2482" s="5" t="s">
        <v>28503</v>
      </c>
      <c r="X2482" s="5" t="s">
        <v>28503</v>
      </c>
      <c r="Y2482" s="4">
        <v>302</v>
      </c>
      <c r="Z2482" s="4">
        <v>232</v>
      </c>
      <c r="AA2482" s="4">
        <v>286</v>
      </c>
      <c r="AB2482" s="4">
        <v>3</v>
      </c>
      <c r="AC2482" s="4">
        <v>3</v>
      </c>
      <c r="AD2482" s="4">
        <v>13</v>
      </c>
      <c r="AE2482" s="4">
        <v>17</v>
      </c>
      <c r="AF2482" s="4">
        <v>3</v>
      </c>
      <c r="AG2482" s="4">
        <v>7</v>
      </c>
      <c r="AH2482" s="4">
        <v>4</v>
      </c>
      <c r="AI2482" s="4">
        <v>5</v>
      </c>
      <c r="AJ2482" s="4">
        <v>6</v>
      </c>
      <c r="AK2482" s="4">
        <v>6</v>
      </c>
      <c r="AL2482" s="4">
        <v>2</v>
      </c>
      <c r="AM2482" s="4">
        <v>2</v>
      </c>
      <c r="AN2482" s="4">
        <v>0</v>
      </c>
      <c r="AO2482" s="4">
        <v>0</v>
      </c>
      <c r="AP2482" s="3" t="s">
        <v>58</v>
      </c>
      <c r="AQ2482" s="3" t="s">
        <v>58</v>
      </c>
      <c r="AS2482" s="6" t="str">
        <f>HYPERLINK("https://creighton-primo.hosted.exlibrisgroup.com/primo-explore/search?tab=default_tab&amp;search_scope=EVERYTHING&amp;vid=01CRU&amp;lang=en_US&amp;offset=0&amp;query=any,contains,991002986959702656","Catalog Record")</f>
        <v>Catalog Record</v>
      </c>
      <c r="AT2482" s="6" t="str">
        <f>HYPERLINK("http://www.worldcat.org/oclc/40255854","WorldCat Record")</f>
        <v>WorldCat Record</v>
      </c>
      <c r="AU2482" s="3" t="s">
        <v>30278</v>
      </c>
      <c r="AV2482" s="3" t="s">
        <v>30279</v>
      </c>
      <c r="AW2482" s="3" t="s">
        <v>30280</v>
      </c>
      <c r="AX2482" s="3" t="s">
        <v>30280</v>
      </c>
      <c r="AY2482" s="3" t="s">
        <v>30281</v>
      </c>
      <c r="AZ2482" s="3" t="s">
        <v>73</v>
      </c>
      <c r="BB2482" s="3" t="s">
        <v>30282</v>
      </c>
      <c r="BC2482" s="3" t="s">
        <v>30283</v>
      </c>
      <c r="BD2482" s="3" t="s">
        <v>30284</v>
      </c>
    </row>
    <row r="2483" spans="1:56" ht="51" customHeight="1" x14ac:dyDescent="0.25">
      <c r="A2483" s="7" t="s">
        <v>58</v>
      </c>
      <c r="B2483" s="2" t="s">
        <v>30285</v>
      </c>
      <c r="C2483" s="2" t="s">
        <v>30286</v>
      </c>
      <c r="D2483" s="2" t="s">
        <v>30287</v>
      </c>
      <c r="F2483" s="3" t="s">
        <v>58</v>
      </c>
      <c r="G2483" s="3" t="s">
        <v>59</v>
      </c>
      <c r="H2483" s="3" t="s">
        <v>58</v>
      </c>
      <c r="I2483" s="3" t="s">
        <v>58</v>
      </c>
      <c r="J2483" s="3" t="s">
        <v>60</v>
      </c>
      <c r="K2483" s="2" t="s">
        <v>30288</v>
      </c>
      <c r="L2483" s="2" t="s">
        <v>30289</v>
      </c>
      <c r="M2483" s="3" t="s">
        <v>951</v>
      </c>
      <c r="O2483" s="3" t="s">
        <v>63</v>
      </c>
      <c r="P2483" s="3" t="s">
        <v>510</v>
      </c>
      <c r="R2483" s="3" t="s">
        <v>65</v>
      </c>
      <c r="S2483" s="4">
        <v>1</v>
      </c>
      <c r="T2483" s="4">
        <v>1</v>
      </c>
      <c r="U2483" s="5" t="s">
        <v>16266</v>
      </c>
      <c r="V2483" s="5" t="s">
        <v>16266</v>
      </c>
      <c r="W2483" s="5" t="s">
        <v>16266</v>
      </c>
      <c r="X2483" s="5" t="s">
        <v>16266</v>
      </c>
      <c r="Y2483" s="4">
        <v>263</v>
      </c>
      <c r="Z2483" s="4">
        <v>204</v>
      </c>
      <c r="AA2483" s="4">
        <v>567</v>
      </c>
      <c r="AB2483" s="4">
        <v>3</v>
      </c>
      <c r="AC2483" s="4">
        <v>5</v>
      </c>
      <c r="AD2483" s="4">
        <v>12</v>
      </c>
      <c r="AE2483" s="4">
        <v>18</v>
      </c>
      <c r="AF2483" s="4">
        <v>3</v>
      </c>
      <c r="AG2483" s="4">
        <v>7</v>
      </c>
      <c r="AH2483" s="4">
        <v>3</v>
      </c>
      <c r="AI2483" s="4">
        <v>4</v>
      </c>
      <c r="AJ2483" s="4">
        <v>9</v>
      </c>
      <c r="AK2483" s="4">
        <v>10</v>
      </c>
      <c r="AL2483" s="4">
        <v>2</v>
      </c>
      <c r="AM2483" s="4">
        <v>4</v>
      </c>
      <c r="AN2483" s="4">
        <v>0</v>
      </c>
      <c r="AO2483" s="4">
        <v>0</v>
      </c>
      <c r="AP2483" s="3" t="s">
        <v>58</v>
      </c>
      <c r="AQ2483" s="3" t="s">
        <v>68</v>
      </c>
      <c r="AR2483" s="6" t="str">
        <f>HYPERLINK("http://catalog.hathitrust.org/Record/004121286","HathiTrust Record")</f>
        <v>HathiTrust Record</v>
      </c>
      <c r="AS2483" s="6" t="str">
        <f>HYPERLINK("https://creighton-primo.hosted.exlibrisgroup.com/primo-explore/search?tab=default_tab&amp;search_scope=EVERYTHING&amp;vid=01CRU&amp;lang=en_US&amp;offset=0&amp;query=any,contains,991003689229702656","Catalog Record")</f>
        <v>Catalog Record</v>
      </c>
      <c r="AT2483" s="6" t="str">
        <f>HYPERLINK("http://www.worldcat.org/oclc/39930742","WorldCat Record")</f>
        <v>WorldCat Record</v>
      </c>
      <c r="AU2483" s="3" t="s">
        <v>30290</v>
      </c>
      <c r="AV2483" s="3" t="s">
        <v>30291</v>
      </c>
      <c r="AW2483" s="3" t="s">
        <v>30292</v>
      </c>
      <c r="AX2483" s="3" t="s">
        <v>30292</v>
      </c>
      <c r="AY2483" s="3" t="s">
        <v>30293</v>
      </c>
      <c r="AZ2483" s="3" t="s">
        <v>73</v>
      </c>
      <c r="BB2483" s="3" t="s">
        <v>30294</v>
      </c>
      <c r="BC2483" s="3" t="s">
        <v>30295</v>
      </c>
      <c r="BD2483" s="3" t="s">
        <v>30296</v>
      </c>
    </row>
    <row r="2484" spans="1:56" ht="51" customHeight="1" x14ac:dyDescent="0.25">
      <c r="A2484" s="7" t="s">
        <v>58</v>
      </c>
      <c r="B2484" s="2" t="s">
        <v>30297</v>
      </c>
      <c r="C2484" s="2" t="s">
        <v>30298</v>
      </c>
      <c r="D2484" s="2" t="s">
        <v>30299</v>
      </c>
      <c r="F2484" s="3" t="s">
        <v>58</v>
      </c>
      <c r="G2484" s="3" t="s">
        <v>59</v>
      </c>
      <c r="H2484" s="3" t="s">
        <v>58</v>
      </c>
      <c r="I2484" s="3" t="s">
        <v>58</v>
      </c>
      <c r="J2484" s="3" t="s">
        <v>60</v>
      </c>
      <c r="K2484" s="2" t="s">
        <v>30300</v>
      </c>
      <c r="L2484" s="2" t="s">
        <v>30301</v>
      </c>
      <c r="M2484" s="3" t="s">
        <v>423</v>
      </c>
      <c r="O2484" s="3" t="s">
        <v>63</v>
      </c>
      <c r="P2484" s="3" t="s">
        <v>584</v>
      </c>
      <c r="Q2484" s="2" t="s">
        <v>30302</v>
      </c>
      <c r="R2484" s="3" t="s">
        <v>65</v>
      </c>
      <c r="S2484" s="4">
        <v>1</v>
      </c>
      <c r="T2484" s="4">
        <v>1</v>
      </c>
      <c r="U2484" s="5" t="s">
        <v>11427</v>
      </c>
      <c r="V2484" s="5" t="s">
        <v>11427</v>
      </c>
      <c r="W2484" s="5" t="s">
        <v>20647</v>
      </c>
      <c r="X2484" s="5" t="s">
        <v>20647</v>
      </c>
      <c r="Y2484" s="4">
        <v>197</v>
      </c>
      <c r="Z2484" s="4">
        <v>141</v>
      </c>
      <c r="AA2484" s="4">
        <v>142</v>
      </c>
      <c r="AB2484" s="4">
        <v>2</v>
      </c>
      <c r="AC2484" s="4">
        <v>2</v>
      </c>
      <c r="AD2484" s="4">
        <v>11</v>
      </c>
      <c r="AE2484" s="4">
        <v>12</v>
      </c>
      <c r="AF2484" s="4">
        <v>2</v>
      </c>
      <c r="AG2484" s="4">
        <v>2</v>
      </c>
      <c r="AH2484" s="4">
        <v>5</v>
      </c>
      <c r="AI2484" s="4">
        <v>5</v>
      </c>
      <c r="AJ2484" s="4">
        <v>7</v>
      </c>
      <c r="AK2484" s="4">
        <v>8</v>
      </c>
      <c r="AL2484" s="4">
        <v>1</v>
      </c>
      <c r="AM2484" s="4">
        <v>1</v>
      </c>
      <c r="AN2484" s="4">
        <v>0</v>
      </c>
      <c r="AO2484" s="4">
        <v>0</v>
      </c>
      <c r="AP2484" s="3" t="s">
        <v>58</v>
      </c>
      <c r="AQ2484" s="3" t="s">
        <v>58</v>
      </c>
      <c r="AS2484" s="6" t="str">
        <f>HYPERLINK("https://creighton-primo.hosted.exlibrisgroup.com/primo-explore/search?tab=default_tab&amp;search_scope=EVERYTHING&amp;vid=01CRU&amp;lang=en_US&amp;offset=0&amp;query=any,contains,991003687279702656","Catalog Record")</f>
        <v>Catalog Record</v>
      </c>
      <c r="AT2484" s="6" t="str">
        <f>HYPERLINK("http://www.worldcat.org/oclc/39086176","WorldCat Record")</f>
        <v>WorldCat Record</v>
      </c>
      <c r="AU2484" s="3" t="s">
        <v>30303</v>
      </c>
      <c r="AV2484" s="3" t="s">
        <v>30304</v>
      </c>
      <c r="AW2484" s="3" t="s">
        <v>30305</v>
      </c>
      <c r="AX2484" s="3" t="s">
        <v>30305</v>
      </c>
      <c r="AY2484" s="3" t="s">
        <v>30306</v>
      </c>
      <c r="AZ2484" s="3" t="s">
        <v>73</v>
      </c>
      <c r="BB2484" s="3" t="s">
        <v>30307</v>
      </c>
      <c r="BC2484" s="3" t="s">
        <v>30308</v>
      </c>
      <c r="BD2484" s="3" t="s">
        <v>30309</v>
      </c>
    </row>
    <row r="2485" spans="1:56" ht="51" customHeight="1" x14ac:dyDescent="0.25">
      <c r="A2485" s="7" t="s">
        <v>58</v>
      </c>
      <c r="B2485" s="2" t="s">
        <v>30310</v>
      </c>
      <c r="C2485" s="2" t="s">
        <v>30311</v>
      </c>
      <c r="D2485" s="2" t="s">
        <v>30312</v>
      </c>
      <c r="F2485" s="3" t="s">
        <v>58</v>
      </c>
      <c r="G2485" s="3" t="s">
        <v>59</v>
      </c>
      <c r="H2485" s="3" t="s">
        <v>58</v>
      </c>
      <c r="I2485" s="3" t="s">
        <v>58</v>
      </c>
      <c r="J2485" s="3" t="s">
        <v>60</v>
      </c>
      <c r="K2485" s="2" t="s">
        <v>30313</v>
      </c>
      <c r="L2485" s="2" t="s">
        <v>30314</v>
      </c>
      <c r="M2485" s="3" t="s">
        <v>1784</v>
      </c>
      <c r="O2485" s="3" t="s">
        <v>63</v>
      </c>
      <c r="P2485" s="3" t="s">
        <v>1837</v>
      </c>
      <c r="R2485" s="3" t="s">
        <v>65</v>
      </c>
      <c r="S2485" s="4">
        <v>3</v>
      </c>
      <c r="T2485" s="4">
        <v>3</v>
      </c>
      <c r="U2485" s="5" t="s">
        <v>30315</v>
      </c>
      <c r="V2485" s="5" t="s">
        <v>30315</v>
      </c>
      <c r="W2485" s="5" t="s">
        <v>30040</v>
      </c>
      <c r="X2485" s="5" t="s">
        <v>30040</v>
      </c>
      <c r="Y2485" s="4">
        <v>14</v>
      </c>
      <c r="Z2485" s="4">
        <v>10</v>
      </c>
      <c r="AA2485" s="4">
        <v>10</v>
      </c>
      <c r="AB2485" s="4">
        <v>1</v>
      </c>
      <c r="AC2485" s="4">
        <v>1</v>
      </c>
      <c r="AD2485" s="4">
        <v>1</v>
      </c>
      <c r="AE2485" s="4">
        <v>1</v>
      </c>
      <c r="AF2485" s="4">
        <v>1</v>
      </c>
      <c r="AG2485" s="4">
        <v>1</v>
      </c>
      <c r="AH2485" s="4">
        <v>0</v>
      </c>
      <c r="AI2485" s="4">
        <v>0</v>
      </c>
      <c r="AJ2485" s="4">
        <v>1</v>
      </c>
      <c r="AK2485" s="4">
        <v>1</v>
      </c>
      <c r="AL2485" s="4">
        <v>0</v>
      </c>
      <c r="AM2485" s="4">
        <v>0</v>
      </c>
      <c r="AN2485" s="4">
        <v>0</v>
      </c>
      <c r="AO2485" s="4">
        <v>0</v>
      </c>
      <c r="AP2485" s="3" t="s">
        <v>58</v>
      </c>
      <c r="AQ2485" s="3" t="s">
        <v>58</v>
      </c>
      <c r="AS2485" s="6" t="str">
        <f>HYPERLINK("https://creighton-primo.hosted.exlibrisgroup.com/primo-explore/search?tab=default_tab&amp;search_scope=EVERYTHING&amp;vid=01CRU&amp;lang=en_US&amp;offset=0&amp;query=any,contains,991004829799702656","Catalog Record")</f>
        <v>Catalog Record</v>
      </c>
      <c r="AT2485" s="6" t="str">
        <f>HYPERLINK("http://www.worldcat.org/oclc/5394537","WorldCat Record")</f>
        <v>WorldCat Record</v>
      </c>
      <c r="AU2485" s="3" t="s">
        <v>30316</v>
      </c>
      <c r="AV2485" s="3" t="s">
        <v>30317</v>
      </c>
      <c r="AW2485" s="3" t="s">
        <v>30318</v>
      </c>
      <c r="AX2485" s="3" t="s">
        <v>30318</v>
      </c>
      <c r="AY2485" s="3" t="s">
        <v>30319</v>
      </c>
      <c r="AZ2485" s="3" t="s">
        <v>73</v>
      </c>
      <c r="BB2485" s="3" t="s">
        <v>30320</v>
      </c>
      <c r="BC2485" s="3" t="s">
        <v>30321</v>
      </c>
      <c r="BD2485" s="3" t="s">
        <v>30322</v>
      </c>
    </row>
    <row r="2486" spans="1:56" ht="51" customHeight="1" x14ac:dyDescent="0.25">
      <c r="A2486" s="7" t="s">
        <v>58</v>
      </c>
      <c r="B2486" s="2" t="s">
        <v>30323</v>
      </c>
      <c r="C2486" s="2" t="s">
        <v>30324</v>
      </c>
      <c r="D2486" s="2" t="s">
        <v>30325</v>
      </c>
      <c r="F2486" s="3" t="s">
        <v>58</v>
      </c>
      <c r="G2486" s="3" t="s">
        <v>59</v>
      </c>
      <c r="H2486" s="3" t="s">
        <v>58</v>
      </c>
      <c r="I2486" s="3" t="s">
        <v>58</v>
      </c>
      <c r="J2486" s="3" t="s">
        <v>60</v>
      </c>
      <c r="K2486" s="2" t="s">
        <v>30326</v>
      </c>
      <c r="L2486" s="2" t="s">
        <v>30327</v>
      </c>
      <c r="M2486" s="3" t="s">
        <v>62</v>
      </c>
      <c r="O2486" s="3" t="s">
        <v>63</v>
      </c>
      <c r="P2486" s="3" t="s">
        <v>214</v>
      </c>
      <c r="R2486" s="3" t="s">
        <v>65</v>
      </c>
      <c r="S2486" s="4">
        <v>2</v>
      </c>
      <c r="T2486" s="4">
        <v>2</v>
      </c>
      <c r="U2486" s="5" t="s">
        <v>1639</v>
      </c>
      <c r="V2486" s="5" t="s">
        <v>1639</v>
      </c>
      <c r="W2486" s="5" t="s">
        <v>572</v>
      </c>
      <c r="X2486" s="5" t="s">
        <v>572</v>
      </c>
      <c r="Y2486" s="4">
        <v>271</v>
      </c>
      <c r="Z2486" s="4">
        <v>238</v>
      </c>
      <c r="AA2486" s="4">
        <v>580</v>
      </c>
      <c r="AB2486" s="4">
        <v>3</v>
      </c>
      <c r="AC2486" s="4">
        <v>5</v>
      </c>
      <c r="AD2486" s="4">
        <v>12</v>
      </c>
      <c r="AE2486" s="4">
        <v>27</v>
      </c>
      <c r="AF2486" s="4">
        <v>9</v>
      </c>
      <c r="AG2486" s="4">
        <v>11</v>
      </c>
      <c r="AH2486" s="4">
        <v>0</v>
      </c>
      <c r="AI2486" s="4">
        <v>6</v>
      </c>
      <c r="AJ2486" s="4">
        <v>6</v>
      </c>
      <c r="AK2486" s="4">
        <v>14</v>
      </c>
      <c r="AL2486" s="4">
        <v>2</v>
      </c>
      <c r="AM2486" s="4">
        <v>4</v>
      </c>
      <c r="AN2486" s="4">
        <v>0</v>
      </c>
      <c r="AO2486" s="4">
        <v>0</v>
      </c>
      <c r="AP2486" s="3" t="s">
        <v>58</v>
      </c>
      <c r="AQ2486" s="3" t="s">
        <v>58</v>
      </c>
      <c r="AR2486" s="6" t="str">
        <f>HYPERLINK("http://catalog.hathitrust.org/Record/004382993","HathiTrust Record")</f>
        <v>HathiTrust Record</v>
      </c>
      <c r="AS2486" s="6" t="str">
        <f>HYPERLINK("https://creighton-primo.hosted.exlibrisgroup.com/primo-explore/search?tab=default_tab&amp;search_scope=EVERYTHING&amp;vid=01CRU&amp;lang=en_US&amp;offset=0&amp;query=any,contains,991001239169702656","Catalog Record")</f>
        <v>Catalog Record</v>
      </c>
      <c r="AT2486" s="6" t="str">
        <f>HYPERLINK("http://www.worldcat.org/oclc/207826","WorldCat Record")</f>
        <v>WorldCat Record</v>
      </c>
      <c r="AU2486" s="3" t="s">
        <v>30328</v>
      </c>
      <c r="AV2486" s="3" t="s">
        <v>30329</v>
      </c>
      <c r="AW2486" s="3" t="s">
        <v>30330</v>
      </c>
      <c r="AX2486" s="3" t="s">
        <v>30330</v>
      </c>
      <c r="AY2486" s="3" t="s">
        <v>30331</v>
      </c>
      <c r="AZ2486" s="3" t="s">
        <v>73</v>
      </c>
      <c r="BB2486" s="3" t="s">
        <v>30332</v>
      </c>
      <c r="BC2486" s="3" t="s">
        <v>30333</v>
      </c>
      <c r="BD2486" s="3" t="s">
        <v>30334</v>
      </c>
    </row>
    <row r="2487" spans="1:56" ht="51" customHeight="1" x14ac:dyDescent="0.25">
      <c r="A2487" s="7" t="s">
        <v>58</v>
      </c>
      <c r="B2487" s="2" t="s">
        <v>30335</v>
      </c>
      <c r="C2487" s="2" t="s">
        <v>30336</v>
      </c>
      <c r="D2487" s="2" t="s">
        <v>30337</v>
      </c>
      <c r="F2487" s="3" t="s">
        <v>58</v>
      </c>
      <c r="G2487" s="3" t="s">
        <v>59</v>
      </c>
      <c r="H2487" s="3" t="s">
        <v>58</v>
      </c>
      <c r="I2487" s="3" t="s">
        <v>58</v>
      </c>
      <c r="J2487" s="3" t="s">
        <v>60</v>
      </c>
      <c r="K2487" s="2" t="s">
        <v>30338</v>
      </c>
      <c r="L2487" s="2" t="s">
        <v>30339</v>
      </c>
      <c r="M2487" s="3" t="s">
        <v>337</v>
      </c>
      <c r="O2487" s="3" t="s">
        <v>63</v>
      </c>
      <c r="P2487" s="3" t="s">
        <v>510</v>
      </c>
      <c r="Q2487" s="2" t="s">
        <v>30340</v>
      </c>
      <c r="R2487" s="3" t="s">
        <v>65</v>
      </c>
      <c r="S2487" s="4">
        <v>1</v>
      </c>
      <c r="T2487" s="4">
        <v>1</v>
      </c>
      <c r="U2487" s="5" t="s">
        <v>4325</v>
      </c>
      <c r="V2487" s="5" t="s">
        <v>4325</v>
      </c>
      <c r="W2487" s="5" t="s">
        <v>4325</v>
      </c>
      <c r="X2487" s="5" t="s">
        <v>4325</v>
      </c>
      <c r="Y2487" s="4">
        <v>176</v>
      </c>
      <c r="Z2487" s="4">
        <v>129</v>
      </c>
      <c r="AA2487" s="4">
        <v>673</v>
      </c>
      <c r="AB2487" s="4">
        <v>2</v>
      </c>
      <c r="AC2487" s="4">
        <v>17</v>
      </c>
      <c r="AD2487" s="4">
        <v>8</v>
      </c>
      <c r="AE2487" s="4">
        <v>22</v>
      </c>
      <c r="AF2487" s="4">
        <v>2</v>
      </c>
      <c r="AG2487" s="4">
        <v>6</v>
      </c>
      <c r="AH2487" s="4">
        <v>4</v>
      </c>
      <c r="AI2487" s="4">
        <v>5</v>
      </c>
      <c r="AJ2487" s="4">
        <v>4</v>
      </c>
      <c r="AK2487" s="4">
        <v>7</v>
      </c>
      <c r="AL2487" s="4">
        <v>1</v>
      </c>
      <c r="AM2487" s="4">
        <v>9</v>
      </c>
      <c r="AN2487" s="4">
        <v>0</v>
      </c>
      <c r="AO2487" s="4">
        <v>0</v>
      </c>
      <c r="AP2487" s="3" t="s">
        <v>58</v>
      </c>
      <c r="AQ2487" s="3" t="s">
        <v>68</v>
      </c>
      <c r="AR2487" s="6" t="str">
        <f>HYPERLINK("http://catalog.hathitrust.org/Record/004239773","HathiTrust Record")</f>
        <v>HathiTrust Record</v>
      </c>
      <c r="AS2487" s="6" t="str">
        <f>HYPERLINK("https://creighton-primo.hosted.exlibrisgroup.com/primo-explore/search?tab=default_tab&amp;search_scope=EVERYTHING&amp;vid=01CRU&amp;lang=en_US&amp;offset=0&amp;query=any,contains,991004017949702656","Catalog Record")</f>
        <v>Catalog Record</v>
      </c>
      <c r="AT2487" s="6" t="str">
        <f>HYPERLINK("http://www.worldcat.org/oclc/46969891","WorldCat Record")</f>
        <v>WorldCat Record</v>
      </c>
      <c r="AU2487" s="3" t="s">
        <v>30341</v>
      </c>
      <c r="AV2487" s="3" t="s">
        <v>30342</v>
      </c>
      <c r="AW2487" s="3" t="s">
        <v>30343</v>
      </c>
      <c r="AX2487" s="3" t="s">
        <v>30343</v>
      </c>
      <c r="AY2487" s="3" t="s">
        <v>30344</v>
      </c>
      <c r="AZ2487" s="3" t="s">
        <v>73</v>
      </c>
      <c r="BB2487" s="3" t="s">
        <v>30345</v>
      </c>
      <c r="BC2487" s="3" t="s">
        <v>30346</v>
      </c>
      <c r="BD2487" s="3" t="s">
        <v>30347</v>
      </c>
    </row>
    <row r="2488" spans="1:56" ht="51" customHeight="1" x14ac:dyDescent="0.25">
      <c r="A2488" s="7" t="s">
        <v>58</v>
      </c>
      <c r="B2488" s="2" t="s">
        <v>30348</v>
      </c>
      <c r="C2488" s="2" t="s">
        <v>30349</v>
      </c>
      <c r="D2488" s="2" t="s">
        <v>30350</v>
      </c>
      <c r="F2488" s="3" t="s">
        <v>58</v>
      </c>
      <c r="G2488" s="3" t="s">
        <v>59</v>
      </c>
      <c r="H2488" s="3" t="s">
        <v>58</v>
      </c>
      <c r="I2488" s="3" t="s">
        <v>58</v>
      </c>
      <c r="J2488" s="3" t="s">
        <v>60</v>
      </c>
      <c r="L2488" s="2" t="s">
        <v>30351</v>
      </c>
      <c r="M2488" s="3" t="s">
        <v>951</v>
      </c>
      <c r="N2488" s="2" t="s">
        <v>338</v>
      </c>
      <c r="O2488" s="3" t="s">
        <v>63</v>
      </c>
      <c r="P2488" s="3" t="s">
        <v>214</v>
      </c>
      <c r="R2488" s="3" t="s">
        <v>65</v>
      </c>
      <c r="S2488" s="4">
        <v>1</v>
      </c>
      <c r="T2488" s="4">
        <v>1</v>
      </c>
      <c r="U2488" s="5" t="s">
        <v>13303</v>
      </c>
      <c r="V2488" s="5" t="s">
        <v>13303</v>
      </c>
      <c r="W2488" s="5" t="s">
        <v>13303</v>
      </c>
      <c r="X2488" s="5" t="s">
        <v>13303</v>
      </c>
      <c r="Y2488" s="4">
        <v>254</v>
      </c>
      <c r="Z2488" s="4">
        <v>208</v>
      </c>
      <c r="AA2488" s="4">
        <v>226</v>
      </c>
      <c r="AB2488" s="4">
        <v>3</v>
      </c>
      <c r="AC2488" s="4">
        <v>3</v>
      </c>
      <c r="AD2488" s="4">
        <v>11</v>
      </c>
      <c r="AE2488" s="4">
        <v>12</v>
      </c>
      <c r="AF2488" s="4">
        <v>2</v>
      </c>
      <c r="AG2488" s="4">
        <v>2</v>
      </c>
      <c r="AH2488" s="4">
        <v>4</v>
      </c>
      <c r="AI2488" s="4">
        <v>5</v>
      </c>
      <c r="AJ2488" s="4">
        <v>5</v>
      </c>
      <c r="AK2488" s="4">
        <v>6</v>
      </c>
      <c r="AL2488" s="4">
        <v>2</v>
      </c>
      <c r="AM2488" s="4">
        <v>2</v>
      </c>
      <c r="AN2488" s="4">
        <v>0</v>
      </c>
      <c r="AO2488" s="4">
        <v>0</v>
      </c>
      <c r="AP2488" s="3" t="s">
        <v>58</v>
      </c>
      <c r="AQ2488" s="3" t="s">
        <v>58</v>
      </c>
      <c r="AS2488" s="6" t="str">
        <f>HYPERLINK("https://creighton-primo.hosted.exlibrisgroup.com/primo-explore/search?tab=default_tab&amp;search_scope=EVERYTHING&amp;vid=01CRU&amp;lang=en_US&amp;offset=0&amp;query=any,contains,991003356059702656","Catalog Record")</f>
        <v>Catalog Record</v>
      </c>
      <c r="AT2488" s="6" t="str">
        <f>HYPERLINK("http://www.worldcat.org/oclc/42454244","WorldCat Record")</f>
        <v>WorldCat Record</v>
      </c>
      <c r="AU2488" s="3" t="s">
        <v>30352</v>
      </c>
      <c r="AV2488" s="3" t="s">
        <v>30353</v>
      </c>
      <c r="AW2488" s="3" t="s">
        <v>30354</v>
      </c>
      <c r="AX2488" s="3" t="s">
        <v>30354</v>
      </c>
      <c r="AY2488" s="3" t="s">
        <v>30355</v>
      </c>
      <c r="AZ2488" s="3" t="s">
        <v>73</v>
      </c>
      <c r="BB2488" s="3" t="s">
        <v>30356</v>
      </c>
      <c r="BC2488" s="3" t="s">
        <v>30357</v>
      </c>
      <c r="BD2488" s="3" t="s">
        <v>30358</v>
      </c>
    </row>
    <row r="2489" spans="1:56" ht="51" customHeight="1" x14ac:dyDescent="0.25">
      <c r="A2489" s="7" t="s">
        <v>58</v>
      </c>
      <c r="B2489" s="2" t="s">
        <v>30359</v>
      </c>
      <c r="C2489" s="2" t="s">
        <v>30360</v>
      </c>
      <c r="D2489" s="2" t="s">
        <v>30361</v>
      </c>
      <c r="F2489" s="3" t="s">
        <v>58</v>
      </c>
      <c r="G2489" s="3" t="s">
        <v>59</v>
      </c>
      <c r="H2489" s="3" t="s">
        <v>58</v>
      </c>
      <c r="I2489" s="3" t="s">
        <v>58</v>
      </c>
      <c r="J2489" s="3" t="s">
        <v>60</v>
      </c>
      <c r="K2489" s="2" t="s">
        <v>30362</v>
      </c>
      <c r="L2489" s="2" t="s">
        <v>30363</v>
      </c>
      <c r="M2489" s="3" t="s">
        <v>30364</v>
      </c>
      <c r="O2489" s="3" t="s">
        <v>63</v>
      </c>
      <c r="P2489" s="3" t="s">
        <v>214</v>
      </c>
      <c r="R2489" s="3" t="s">
        <v>65</v>
      </c>
      <c r="S2489" s="4">
        <v>1</v>
      </c>
      <c r="T2489" s="4">
        <v>1</v>
      </c>
      <c r="U2489" s="5" t="s">
        <v>1694</v>
      </c>
      <c r="V2489" s="5" t="s">
        <v>1694</v>
      </c>
      <c r="W2489" s="5" t="s">
        <v>572</v>
      </c>
      <c r="X2489" s="5" t="s">
        <v>572</v>
      </c>
      <c r="Y2489" s="4">
        <v>227</v>
      </c>
      <c r="Z2489" s="4">
        <v>221</v>
      </c>
      <c r="AA2489" s="4">
        <v>232</v>
      </c>
      <c r="AB2489" s="4">
        <v>2</v>
      </c>
      <c r="AC2489" s="4">
        <v>2</v>
      </c>
      <c r="AD2489" s="4">
        <v>4</v>
      </c>
      <c r="AE2489" s="4">
        <v>4</v>
      </c>
      <c r="AF2489" s="4">
        <v>0</v>
      </c>
      <c r="AG2489" s="4">
        <v>0</v>
      </c>
      <c r="AH2489" s="4">
        <v>1</v>
      </c>
      <c r="AI2489" s="4">
        <v>1</v>
      </c>
      <c r="AJ2489" s="4">
        <v>2</v>
      </c>
      <c r="AK2489" s="4">
        <v>2</v>
      </c>
      <c r="AL2489" s="4">
        <v>1</v>
      </c>
      <c r="AM2489" s="4">
        <v>1</v>
      </c>
      <c r="AN2489" s="4">
        <v>0</v>
      </c>
      <c r="AO2489" s="4">
        <v>0</v>
      </c>
      <c r="AP2489" s="3" t="s">
        <v>68</v>
      </c>
      <c r="AQ2489" s="3" t="s">
        <v>58</v>
      </c>
      <c r="AR2489" s="6" t="str">
        <f>HYPERLINK("http://catalog.hathitrust.org/Record/001153159","HathiTrust Record")</f>
        <v>HathiTrust Record</v>
      </c>
      <c r="AS2489" s="6" t="str">
        <f>HYPERLINK("https://creighton-primo.hosted.exlibrisgroup.com/primo-explore/search?tab=default_tab&amp;search_scope=EVERYTHING&amp;vid=01CRU&amp;lang=en_US&amp;offset=0&amp;query=any,contains,991004028079702656","Catalog Record")</f>
        <v>Catalog Record</v>
      </c>
      <c r="AT2489" s="6" t="str">
        <f>HYPERLINK("http://www.worldcat.org/oclc/2143482","WorldCat Record")</f>
        <v>WorldCat Record</v>
      </c>
      <c r="AU2489" s="3" t="s">
        <v>30365</v>
      </c>
      <c r="AV2489" s="3" t="s">
        <v>30366</v>
      </c>
      <c r="AW2489" s="3" t="s">
        <v>30367</v>
      </c>
      <c r="AX2489" s="3" t="s">
        <v>30367</v>
      </c>
      <c r="AY2489" s="3" t="s">
        <v>30368</v>
      </c>
      <c r="AZ2489" s="3" t="s">
        <v>73</v>
      </c>
      <c r="BC2489" s="3" t="s">
        <v>30369</v>
      </c>
      <c r="BD2489" s="3" t="s">
        <v>30370</v>
      </c>
    </row>
    <row r="2490" spans="1:56" ht="51" customHeight="1" x14ac:dyDescent="0.25">
      <c r="A2490" s="7" t="s">
        <v>58</v>
      </c>
      <c r="B2490" s="2" t="s">
        <v>30371</v>
      </c>
      <c r="C2490" s="2" t="s">
        <v>30372</v>
      </c>
      <c r="D2490" s="2" t="s">
        <v>30373</v>
      </c>
      <c r="F2490" s="3" t="s">
        <v>58</v>
      </c>
      <c r="G2490" s="3" t="s">
        <v>59</v>
      </c>
      <c r="H2490" s="3" t="s">
        <v>58</v>
      </c>
      <c r="I2490" s="3" t="s">
        <v>58</v>
      </c>
      <c r="J2490" s="3" t="s">
        <v>60</v>
      </c>
      <c r="K2490" s="2" t="s">
        <v>30374</v>
      </c>
      <c r="L2490" s="2" t="s">
        <v>30375</v>
      </c>
      <c r="M2490" s="3" t="s">
        <v>261</v>
      </c>
      <c r="O2490" s="3" t="s">
        <v>63</v>
      </c>
      <c r="P2490" s="3" t="s">
        <v>1837</v>
      </c>
      <c r="Q2490" s="2" t="s">
        <v>30376</v>
      </c>
      <c r="R2490" s="3" t="s">
        <v>65</v>
      </c>
      <c r="S2490" s="4">
        <v>4</v>
      </c>
      <c r="T2490" s="4">
        <v>4</v>
      </c>
      <c r="U2490" s="5" t="s">
        <v>27790</v>
      </c>
      <c r="V2490" s="5" t="s">
        <v>27790</v>
      </c>
      <c r="W2490" s="5" t="s">
        <v>14172</v>
      </c>
      <c r="X2490" s="5" t="s">
        <v>14172</v>
      </c>
      <c r="Y2490" s="4">
        <v>676</v>
      </c>
      <c r="Z2490" s="4">
        <v>596</v>
      </c>
      <c r="AA2490" s="4">
        <v>602</v>
      </c>
      <c r="AB2490" s="4">
        <v>6</v>
      </c>
      <c r="AC2490" s="4">
        <v>6</v>
      </c>
      <c r="AD2490" s="4">
        <v>34</v>
      </c>
      <c r="AE2490" s="4">
        <v>34</v>
      </c>
      <c r="AF2490" s="4">
        <v>12</v>
      </c>
      <c r="AG2490" s="4">
        <v>12</v>
      </c>
      <c r="AH2490" s="4">
        <v>8</v>
      </c>
      <c r="AI2490" s="4">
        <v>8</v>
      </c>
      <c r="AJ2490" s="4">
        <v>17</v>
      </c>
      <c r="AK2490" s="4">
        <v>17</v>
      </c>
      <c r="AL2490" s="4">
        <v>5</v>
      </c>
      <c r="AM2490" s="4">
        <v>5</v>
      </c>
      <c r="AN2490" s="4">
        <v>2</v>
      </c>
      <c r="AO2490" s="4">
        <v>2</v>
      </c>
      <c r="AP2490" s="3" t="s">
        <v>58</v>
      </c>
      <c r="AQ2490" s="3" t="s">
        <v>68</v>
      </c>
      <c r="AR2490" s="6" t="str">
        <f>HYPERLINK("http://catalog.hathitrust.org/Record/000689959","HathiTrust Record")</f>
        <v>HathiTrust Record</v>
      </c>
      <c r="AS2490" s="6" t="str">
        <f>HYPERLINK("https://creighton-primo.hosted.exlibrisgroup.com/primo-explore/search?tab=default_tab&amp;search_scope=EVERYTHING&amp;vid=01CRU&amp;lang=en_US&amp;offset=0&amp;query=any,contains,991003939199702656","Catalog Record")</f>
        <v>Catalog Record</v>
      </c>
      <c r="AT2490" s="6" t="str">
        <f>HYPERLINK("http://www.worldcat.org/oclc/1924637","WorldCat Record")</f>
        <v>WorldCat Record</v>
      </c>
      <c r="AU2490" s="3" t="s">
        <v>30377</v>
      </c>
      <c r="AV2490" s="3" t="s">
        <v>30378</v>
      </c>
      <c r="AW2490" s="3" t="s">
        <v>30379</v>
      </c>
      <c r="AX2490" s="3" t="s">
        <v>30379</v>
      </c>
      <c r="AY2490" s="3" t="s">
        <v>30380</v>
      </c>
      <c r="AZ2490" s="3" t="s">
        <v>73</v>
      </c>
      <c r="BB2490" s="3" t="s">
        <v>30381</v>
      </c>
      <c r="BC2490" s="3" t="s">
        <v>30382</v>
      </c>
      <c r="BD2490" s="3" t="s">
        <v>30383</v>
      </c>
    </row>
    <row r="2491" spans="1:56" ht="51" customHeight="1" x14ac:dyDescent="0.25">
      <c r="A2491" s="7" t="s">
        <v>58</v>
      </c>
      <c r="B2491" s="2" t="s">
        <v>30384</v>
      </c>
      <c r="C2491" s="2" t="s">
        <v>30385</v>
      </c>
      <c r="D2491" s="2" t="s">
        <v>30386</v>
      </c>
      <c r="F2491" s="3" t="s">
        <v>58</v>
      </c>
      <c r="G2491" s="3" t="s">
        <v>59</v>
      </c>
      <c r="H2491" s="3" t="s">
        <v>58</v>
      </c>
      <c r="I2491" s="3" t="s">
        <v>58</v>
      </c>
      <c r="J2491" s="3" t="s">
        <v>60</v>
      </c>
      <c r="K2491" s="2" t="s">
        <v>30387</v>
      </c>
      <c r="L2491" s="2" t="s">
        <v>30388</v>
      </c>
      <c r="M2491" s="3" t="s">
        <v>570</v>
      </c>
      <c r="O2491" s="3" t="s">
        <v>63</v>
      </c>
      <c r="P2491" s="3" t="s">
        <v>214</v>
      </c>
      <c r="R2491" s="3" t="s">
        <v>65</v>
      </c>
      <c r="S2491" s="4">
        <v>2</v>
      </c>
      <c r="T2491" s="4">
        <v>2</v>
      </c>
      <c r="U2491" s="5" t="s">
        <v>10981</v>
      </c>
      <c r="V2491" s="5" t="s">
        <v>10981</v>
      </c>
      <c r="W2491" s="5" t="s">
        <v>572</v>
      </c>
      <c r="X2491" s="5" t="s">
        <v>572</v>
      </c>
      <c r="Y2491" s="4">
        <v>179</v>
      </c>
      <c r="Z2491" s="4">
        <v>151</v>
      </c>
      <c r="AA2491" s="4">
        <v>282</v>
      </c>
      <c r="AB2491" s="4">
        <v>3</v>
      </c>
      <c r="AC2491" s="4">
        <v>4</v>
      </c>
      <c r="AD2491" s="4">
        <v>4</v>
      </c>
      <c r="AE2491" s="4">
        <v>8</v>
      </c>
      <c r="AF2491" s="4">
        <v>0</v>
      </c>
      <c r="AG2491" s="4">
        <v>1</v>
      </c>
      <c r="AH2491" s="4">
        <v>2</v>
      </c>
      <c r="AI2491" s="4">
        <v>3</v>
      </c>
      <c r="AJ2491" s="4">
        <v>0</v>
      </c>
      <c r="AK2491" s="4">
        <v>1</v>
      </c>
      <c r="AL2491" s="4">
        <v>2</v>
      </c>
      <c r="AM2491" s="4">
        <v>3</v>
      </c>
      <c r="AN2491" s="4">
        <v>0</v>
      </c>
      <c r="AO2491" s="4">
        <v>0</v>
      </c>
      <c r="AP2491" s="3" t="s">
        <v>68</v>
      </c>
      <c r="AQ2491" s="3" t="s">
        <v>58</v>
      </c>
      <c r="AR2491" s="6" t="str">
        <f>HYPERLINK("http://catalog.hathitrust.org/Record/001158230","HathiTrust Record")</f>
        <v>HathiTrust Record</v>
      </c>
      <c r="AS2491" s="6" t="str">
        <f>HYPERLINK("https://creighton-primo.hosted.exlibrisgroup.com/primo-explore/search?tab=default_tab&amp;search_scope=EVERYTHING&amp;vid=01CRU&amp;lang=en_US&amp;offset=0&amp;query=any,contains,991003564499702656","Catalog Record")</f>
        <v>Catalog Record</v>
      </c>
      <c r="AT2491" s="6" t="str">
        <f>HYPERLINK("http://www.worldcat.org/oclc/1136965","WorldCat Record")</f>
        <v>WorldCat Record</v>
      </c>
      <c r="AU2491" s="3" t="s">
        <v>30389</v>
      </c>
      <c r="AV2491" s="3" t="s">
        <v>30390</v>
      </c>
      <c r="AW2491" s="3" t="s">
        <v>30391</v>
      </c>
      <c r="AX2491" s="3" t="s">
        <v>30391</v>
      </c>
      <c r="AY2491" s="3" t="s">
        <v>30392</v>
      </c>
      <c r="AZ2491" s="3" t="s">
        <v>73</v>
      </c>
      <c r="BC2491" s="3" t="s">
        <v>30393</v>
      </c>
      <c r="BD2491" s="3" t="s">
        <v>30394</v>
      </c>
    </row>
    <row r="2492" spans="1:56" ht="51" customHeight="1" x14ac:dyDescent="0.25">
      <c r="A2492" s="7" t="s">
        <v>58</v>
      </c>
      <c r="B2492" s="2" t="s">
        <v>30395</v>
      </c>
      <c r="C2492" s="2" t="s">
        <v>30396</v>
      </c>
      <c r="D2492" s="2" t="s">
        <v>30397</v>
      </c>
      <c r="F2492" s="3" t="s">
        <v>58</v>
      </c>
      <c r="G2492" s="3" t="s">
        <v>59</v>
      </c>
      <c r="H2492" s="3" t="s">
        <v>58</v>
      </c>
      <c r="I2492" s="3" t="s">
        <v>58</v>
      </c>
      <c r="J2492" s="3" t="s">
        <v>60</v>
      </c>
      <c r="K2492" s="2" t="s">
        <v>30398</v>
      </c>
      <c r="L2492" s="2" t="s">
        <v>30399</v>
      </c>
      <c r="M2492" s="3" t="s">
        <v>30400</v>
      </c>
      <c r="O2492" s="3" t="s">
        <v>63</v>
      </c>
      <c r="P2492" s="3" t="s">
        <v>816</v>
      </c>
      <c r="R2492" s="3" t="s">
        <v>65</v>
      </c>
      <c r="S2492" s="4">
        <v>2</v>
      </c>
      <c r="T2492" s="4">
        <v>2</v>
      </c>
      <c r="U2492" s="5" t="s">
        <v>1639</v>
      </c>
      <c r="V2492" s="5" t="s">
        <v>1639</v>
      </c>
      <c r="W2492" s="5" t="s">
        <v>572</v>
      </c>
      <c r="X2492" s="5" t="s">
        <v>572</v>
      </c>
      <c r="Y2492" s="4">
        <v>293</v>
      </c>
      <c r="Z2492" s="4">
        <v>260</v>
      </c>
      <c r="AA2492" s="4">
        <v>576</v>
      </c>
      <c r="AB2492" s="4">
        <v>4</v>
      </c>
      <c r="AC2492" s="4">
        <v>7</v>
      </c>
      <c r="AD2492" s="4">
        <v>10</v>
      </c>
      <c r="AE2492" s="4">
        <v>32</v>
      </c>
      <c r="AF2492" s="4">
        <v>2</v>
      </c>
      <c r="AG2492" s="4">
        <v>11</v>
      </c>
      <c r="AH2492" s="4">
        <v>1</v>
      </c>
      <c r="AI2492" s="4">
        <v>7</v>
      </c>
      <c r="AJ2492" s="4">
        <v>5</v>
      </c>
      <c r="AK2492" s="4">
        <v>15</v>
      </c>
      <c r="AL2492" s="4">
        <v>3</v>
      </c>
      <c r="AM2492" s="4">
        <v>5</v>
      </c>
      <c r="AN2492" s="4">
        <v>0</v>
      </c>
      <c r="AO2492" s="4">
        <v>2</v>
      </c>
      <c r="AP2492" s="3" t="s">
        <v>68</v>
      </c>
      <c r="AQ2492" s="3" t="s">
        <v>58</v>
      </c>
      <c r="AR2492" s="6" t="str">
        <f>HYPERLINK("http://catalog.hathitrust.org/Record/001259470","HathiTrust Record")</f>
        <v>HathiTrust Record</v>
      </c>
      <c r="AS2492" s="6" t="str">
        <f>HYPERLINK("https://creighton-primo.hosted.exlibrisgroup.com/primo-explore/search?tab=default_tab&amp;search_scope=EVERYTHING&amp;vid=01CRU&amp;lang=en_US&amp;offset=0&amp;query=any,contains,991003394819702656","Catalog Record")</f>
        <v>Catalog Record</v>
      </c>
      <c r="AT2492" s="6" t="str">
        <f>HYPERLINK("http://www.worldcat.org/oclc/933659","WorldCat Record")</f>
        <v>WorldCat Record</v>
      </c>
      <c r="AU2492" s="3" t="s">
        <v>30401</v>
      </c>
      <c r="AV2492" s="3" t="s">
        <v>30402</v>
      </c>
      <c r="AW2492" s="3" t="s">
        <v>30403</v>
      </c>
      <c r="AX2492" s="3" t="s">
        <v>30403</v>
      </c>
      <c r="AY2492" s="3" t="s">
        <v>30404</v>
      </c>
      <c r="AZ2492" s="3" t="s">
        <v>73</v>
      </c>
      <c r="BC2492" s="3" t="s">
        <v>30405</v>
      </c>
      <c r="BD2492" s="3" t="s">
        <v>30406</v>
      </c>
    </row>
    <row r="2493" spans="1:56" ht="51" customHeight="1" x14ac:dyDescent="0.25">
      <c r="A2493" s="7" t="s">
        <v>58</v>
      </c>
      <c r="B2493" s="2" t="s">
        <v>30407</v>
      </c>
      <c r="C2493" s="2" t="s">
        <v>30408</v>
      </c>
      <c r="D2493" s="2" t="s">
        <v>30409</v>
      </c>
      <c r="F2493" s="3" t="s">
        <v>58</v>
      </c>
      <c r="G2493" s="3" t="s">
        <v>59</v>
      </c>
      <c r="H2493" s="3" t="s">
        <v>58</v>
      </c>
      <c r="I2493" s="3" t="s">
        <v>58</v>
      </c>
      <c r="J2493" s="3" t="s">
        <v>60</v>
      </c>
      <c r="K2493" s="2" t="s">
        <v>30410</v>
      </c>
      <c r="L2493" s="2" t="s">
        <v>4259</v>
      </c>
      <c r="M2493" s="3" t="s">
        <v>759</v>
      </c>
      <c r="O2493" s="3" t="s">
        <v>63</v>
      </c>
      <c r="P2493" s="3" t="s">
        <v>214</v>
      </c>
      <c r="R2493" s="3" t="s">
        <v>65</v>
      </c>
      <c r="S2493" s="4">
        <v>4</v>
      </c>
      <c r="T2493" s="4">
        <v>4</v>
      </c>
      <c r="U2493" s="5" t="s">
        <v>30411</v>
      </c>
      <c r="V2493" s="5" t="s">
        <v>30411</v>
      </c>
      <c r="W2493" s="5" t="s">
        <v>30040</v>
      </c>
      <c r="X2493" s="5" t="s">
        <v>30040</v>
      </c>
      <c r="Y2493" s="4">
        <v>474</v>
      </c>
      <c r="Z2493" s="4">
        <v>384</v>
      </c>
      <c r="AA2493" s="4">
        <v>385</v>
      </c>
      <c r="AB2493" s="4">
        <v>3</v>
      </c>
      <c r="AC2493" s="4">
        <v>3</v>
      </c>
      <c r="AD2493" s="4">
        <v>22</v>
      </c>
      <c r="AE2493" s="4">
        <v>22</v>
      </c>
      <c r="AF2493" s="4">
        <v>8</v>
      </c>
      <c r="AG2493" s="4">
        <v>8</v>
      </c>
      <c r="AH2493" s="4">
        <v>5</v>
      </c>
      <c r="AI2493" s="4">
        <v>5</v>
      </c>
      <c r="AJ2493" s="4">
        <v>15</v>
      </c>
      <c r="AK2493" s="4">
        <v>15</v>
      </c>
      <c r="AL2493" s="4">
        <v>2</v>
      </c>
      <c r="AM2493" s="4">
        <v>2</v>
      </c>
      <c r="AN2493" s="4">
        <v>0</v>
      </c>
      <c r="AO2493" s="4">
        <v>0</v>
      </c>
      <c r="AP2493" s="3" t="s">
        <v>58</v>
      </c>
      <c r="AQ2493" s="3" t="s">
        <v>58</v>
      </c>
      <c r="AS2493" s="6" t="str">
        <f>HYPERLINK("https://creighton-primo.hosted.exlibrisgroup.com/primo-explore/search?tab=default_tab&amp;search_scope=EVERYTHING&amp;vid=01CRU&amp;lang=en_US&amp;offset=0&amp;query=any,contains,991004919959702656","Catalog Record")</f>
        <v>Catalog Record</v>
      </c>
      <c r="AT2493" s="6" t="str">
        <f>HYPERLINK("http://www.worldcat.org/oclc/6042764","WorldCat Record")</f>
        <v>WorldCat Record</v>
      </c>
      <c r="AU2493" s="3" t="s">
        <v>30412</v>
      </c>
      <c r="AV2493" s="3" t="s">
        <v>30413</v>
      </c>
      <c r="AW2493" s="3" t="s">
        <v>30414</v>
      </c>
      <c r="AX2493" s="3" t="s">
        <v>30414</v>
      </c>
      <c r="AY2493" s="3" t="s">
        <v>30415</v>
      </c>
      <c r="AZ2493" s="3" t="s">
        <v>73</v>
      </c>
      <c r="BB2493" s="3" t="s">
        <v>30416</v>
      </c>
      <c r="BC2493" s="3" t="s">
        <v>30417</v>
      </c>
      <c r="BD2493" s="3" t="s">
        <v>30418</v>
      </c>
    </row>
    <row r="2494" spans="1:56" ht="51" customHeight="1" x14ac:dyDescent="0.25">
      <c r="A2494" s="7" t="s">
        <v>58</v>
      </c>
      <c r="B2494" s="2" t="s">
        <v>30419</v>
      </c>
      <c r="C2494" s="2" t="s">
        <v>30420</v>
      </c>
      <c r="D2494" s="2" t="s">
        <v>30421</v>
      </c>
      <c r="F2494" s="3" t="s">
        <v>58</v>
      </c>
      <c r="G2494" s="3" t="s">
        <v>59</v>
      </c>
      <c r="H2494" s="3" t="s">
        <v>58</v>
      </c>
      <c r="I2494" s="3" t="s">
        <v>58</v>
      </c>
      <c r="J2494" s="3" t="s">
        <v>60</v>
      </c>
      <c r="K2494" s="2" t="s">
        <v>30422</v>
      </c>
      <c r="L2494" s="2" t="s">
        <v>30423</v>
      </c>
      <c r="M2494" s="3" t="s">
        <v>325</v>
      </c>
      <c r="O2494" s="3" t="s">
        <v>63</v>
      </c>
      <c r="P2494" s="3" t="s">
        <v>214</v>
      </c>
      <c r="Q2494" s="2" t="s">
        <v>30424</v>
      </c>
      <c r="R2494" s="3" t="s">
        <v>65</v>
      </c>
      <c r="S2494" s="4">
        <v>3</v>
      </c>
      <c r="T2494" s="4">
        <v>3</v>
      </c>
      <c r="U2494" s="5" t="s">
        <v>8036</v>
      </c>
      <c r="V2494" s="5" t="s">
        <v>8036</v>
      </c>
      <c r="W2494" s="5" t="s">
        <v>30425</v>
      </c>
      <c r="X2494" s="5" t="s">
        <v>30425</v>
      </c>
      <c r="Y2494" s="4">
        <v>539</v>
      </c>
      <c r="Z2494" s="4">
        <v>511</v>
      </c>
      <c r="AA2494" s="4">
        <v>1064</v>
      </c>
      <c r="AB2494" s="4">
        <v>3</v>
      </c>
      <c r="AC2494" s="4">
        <v>4</v>
      </c>
      <c r="AD2494" s="4">
        <v>14</v>
      </c>
      <c r="AE2494" s="4">
        <v>34</v>
      </c>
      <c r="AF2494" s="4">
        <v>7</v>
      </c>
      <c r="AG2494" s="4">
        <v>15</v>
      </c>
      <c r="AH2494" s="4">
        <v>4</v>
      </c>
      <c r="AI2494" s="4">
        <v>8</v>
      </c>
      <c r="AJ2494" s="4">
        <v>6</v>
      </c>
      <c r="AK2494" s="4">
        <v>20</v>
      </c>
      <c r="AL2494" s="4">
        <v>2</v>
      </c>
      <c r="AM2494" s="4">
        <v>3</v>
      </c>
      <c r="AN2494" s="4">
        <v>0</v>
      </c>
      <c r="AO2494" s="4">
        <v>0</v>
      </c>
      <c r="AP2494" s="3" t="s">
        <v>58</v>
      </c>
      <c r="AQ2494" s="3" t="s">
        <v>68</v>
      </c>
      <c r="AR2494" s="6" t="str">
        <f>HYPERLINK("http://catalog.hathitrust.org/Record/001259475","HathiTrust Record")</f>
        <v>HathiTrust Record</v>
      </c>
      <c r="AS2494" s="6" t="str">
        <f>HYPERLINK("https://creighton-primo.hosted.exlibrisgroup.com/primo-explore/search?tab=default_tab&amp;search_scope=EVERYTHING&amp;vid=01CRU&amp;lang=en_US&amp;offset=0&amp;query=any,contains,991003268459702656","Catalog Record")</f>
        <v>Catalog Record</v>
      </c>
      <c r="AT2494" s="6" t="str">
        <f>HYPERLINK("http://www.worldcat.org/oclc/794550","WorldCat Record")</f>
        <v>WorldCat Record</v>
      </c>
      <c r="AU2494" s="3" t="s">
        <v>30426</v>
      </c>
      <c r="AV2494" s="3" t="s">
        <v>30427</v>
      </c>
      <c r="AW2494" s="3" t="s">
        <v>30428</v>
      </c>
      <c r="AX2494" s="3" t="s">
        <v>30428</v>
      </c>
      <c r="AY2494" s="3" t="s">
        <v>30429</v>
      </c>
      <c r="AZ2494" s="3" t="s">
        <v>73</v>
      </c>
      <c r="BC2494" s="3" t="s">
        <v>30430</v>
      </c>
      <c r="BD2494" s="3" t="s">
        <v>30431</v>
      </c>
    </row>
    <row r="2495" spans="1:56" ht="51" customHeight="1" x14ac:dyDescent="0.25">
      <c r="A2495" s="7" t="s">
        <v>58</v>
      </c>
      <c r="B2495" s="2" t="s">
        <v>30432</v>
      </c>
      <c r="C2495" s="2" t="s">
        <v>30433</v>
      </c>
      <c r="D2495" s="2" t="s">
        <v>30434</v>
      </c>
      <c r="F2495" s="3" t="s">
        <v>58</v>
      </c>
      <c r="G2495" s="3" t="s">
        <v>59</v>
      </c>
      <c r="H2495" s="3" t="s">
        <v>58</v>
      </c>
      <c r="I2495" s="3" t="s">
        <v>58</v>
      </c>
      <c r="J2495" s="3" t="s">
        <v>60</v>
      </c>
      <c r="K2495" s="2" t="s">
        <v>30435</v>
      </c>
      <c r="L2495" s="2" t="s">
        <v>30436</v>
      </c>
      <c r="M2495" s="3" t="s">
        <v>249</v>
      </c>
      <c r="O2495" s="3" t="s">
        <v>63</v>
      </c>
      <c r="P2495" s="3" t="s">
        <v>1299</v>
      </c>
      <c r="Q2495" s="2" t="s">
        <v>30437</v>
      </c>
      <c r="R2495" s="3" t="s">
        <v>65</v>
      </c>
      <c r="S2495" s="4">
        <v>10</v>
      </c>
      <c r="T2495" s="4">
        <v>10</v>
      </c>
      <c r="U2495" s="5" t="s">
        <v>30143</v>
      </c>
      <c r="V2495" s="5" t="s">
        <v>30143</v>
      </c>
      <c r="W2495" s="5" t="s">
        <v>20416</v>
      </c>
      <c r="X2495" s="5" t="s">
        <v>20416</v>
      </c>
      <c r="Y2495" s="4">
        <v>459</v>
      </c>
      <c r="Z2495" s="4">
        <v>394</v>
      </c>
      <c r="AA2495" s="4">
        <v>484</v>
      </c>
      <c r="AB2495" s="4">
        <v>2</v>
      </c>
      <c r="AC2495" s="4">
        <v>2</v>
      </c>
      <c r="AD2495" s="4">
        <v>16</v>
      </c>
      <c r="AE2495" s="4">
        <v>20</v>
      </c>
      <c r="AF2495" s="4">
        <v>5</v>
      </c>
      <c r="AG2495" s="4">
        <v>6</v>
      </c>
      <c r="AH2495" s="4">
        <v>5</v>
      </c>
      <c r="AI2495" s="4">
        <v>7</v>
      </c>
      <c r="AJ2495" s="4">
        <v>10</v>
      </c>
      <c r="AK2495" s="4">
        <v>13</v>
      </c>
      <c r="AL2495" s="4">
        <v>1</v>
      </c>
      <c r="AM2495" s="4">
        <v>1</v>
      </c>
      <c r="AN2495" s="4">
        <v>0</v>
      </c>
      <c r="AO2495" s="4">
        <v>0</v>
      </c>
      <c r="AP2495" s="3" t="s">
        <v>58</v>
      </c>
      <c r="AQ2495" s="3" t="s">
        <v>68</v>
      </c>
      <c r="AR2495" s="6" t="str">
        <f>HYPERLINK("http://catalog.hathitrust.org/Record/001241731","HathiTrust Record")</f>
        <v>HathiTrust Record</v>
      </c>
      <c r="AS2495" s="6" t="str">
        <f>HYPERLINK("https://creighton-primo.hosted.exlibrisgroup.com/primo-explore/search?tab=default_tab&amp;search_scope=EVERYTHING&amp;vid=01CRU&amp;lang=en_US&amp;offset=0&amp;query=any,contains,991002675779702656","Catalog Record")</f>
        <v>Catalog Record</v>
      </c>
      <c r="AT2495" s="6" t="str">
        <f>HYPERLINK("http://www.worldcat.org/oclc/396928","WorldCat Record")</f>
        <v>WorldCat Record</v>
      </c>
      <c r="AU2495" s="3" t="s">
        <v>30438</v>
      </c>
      <c r="AV2495" s="3" t="s">
        <v>30439</v>
      </c>
      <c r="AW2495" s="3" t="s">
        <v>30440</v>
      </c>
      <c r="AX2495" s="3" t="s">
        <v>30440</v>
      </c>
      <c r="AY2495" s="3" t="s">
        <v>30441</v>
      </c>
      <c r="AZ2495" s="3" t="s">
        <v>73</v>
      </c>
      <c r="BC2495" s="3" t="s">
        <v>30442</v>
      </c>
      <c r="BD2495" s="3" t="s">
        <v>30443</v>
      </c>
    </row>
    <row r="2496" spans="1:56" ht="51" customHeight="1" x14ac:dyDescent="0.25">
      <c r="A2496" s="7" t="s">
        <v>58</v>
      </c>
      <c r="B2496" s="2" t="s">
        <v>30444</v>
      </c>
      <c r="C2496" s="2" t="s">
        <v>30445</v>
      </c>
      <c r="D2496" s="2" t="s">
        <v>30446</v>
      </c>
      <c r="F2496" s="3" t="s">
        <v>58</v>
      </c>
      <c r="G2496" s="3" t="s">
        <v>59</v>
      </c>
      <c r="H2496" s="3" t="s">
        <v>58</v>
      </c>
      <c r="I2496" s="3" t="s">
        <v>58</v>
      </c>
      <c r="J2496" s="3" t="s">
        <v>60</v>
      </c>
      <c r="K2496" s="2" t="s">
        <v>30447</v>
      </c>
      <c r="L2496" s="2" t="s">
        <v>30448</v>
      </c>
      <c r="M2496" s="3" t="s">
        <v>842</v>
      </c>
      <c r="O2496" s="3" t="s">
        <v>63</v>
      </c>
      <c r="P2496" s="3" t="s">
        <v>816</v>
      </c>
      <c r="Q2496" s="2" t="s">
        <v>30449</v>
      </c>
      <c r="R2496" s="3" t="s">
        <v>65</v>
      </c>
      <c r="S2496" s="4">
        <v>5</v>
      </c>
      <c r="T2496" s="4">
        <v>5</v>
      </c>
      <c r="U2496" s="5" t="s">
        <v>19728</v>
      </c>
      <c r="V2496" s="5" t="s">
        <v>19728</v>
      </c>
      <c r="W2496" s="5" t="s">
        <v>30040</v>
      </c>
      <c r="X2496" s="5" t="s">
        <v>30040</v>
      </c>
      <c r="Y2496" s="4">
        <v>373</v>
      </c>
      <c r="Z2496" s="4">
        <v>292</v>
      </c>
      <c r="AA2496" s="4">
        <v>359</v>
      </c>
      <c r="AB2496" s="4">
        <v>2</v>
      </c>
      <c r="AC2496" s="4">
        <v>3</v>
      </c>
      <c r="AD2496" s="4">
        <v>11</v>
      </c>
      <c r="AE2496" s="4">
        <v>21</v>
      </c>
      <c r="AF2496" s="4">
        <v>2</v>
      </c>
      <c r="AG2496" s="4">
        <v>9</v>
      </c>
      <c r="AH2496" s="4">
        <v>4</v>
      </c>
      <c r="AI2496" s="4">
        <v>6</v>
      </c>
      <c r="AJ2496" s="4">
        <v>7</v>
      </c>
      <c r="AK2496" s="4">
        <v>8</v>
      </c>
      <c r="AL2496" s="4">
        <v>1</v>
      </c>
      <c r="AM2496" s="4">
        <v>2</v>
      </c>
      <c r="AN2496" s="4">
        <v>0</v>
      </c>
      <c r="AO2496" s="4">
        <v>0</v>
      </c>
      <c r="AP2496" s="3" t="s">
        <v>58</v>
      </c>
      <c r="AQ2496" s="3" t="s">
        <v>68</v>
      </c>
      <c r="AR2496" s="6" t="str">
        <f>HYPERLINK("http://catalog.hathitrust.org/Record/000224431","HathiTrust Record")</f>
        <v>HathiTrust Record</v>
      </c>
      <c r="AS2496" s="6" t="str">
        <f>HYPERLINK("https://creighton-primo.hosted.exlibrisgroup.com/primo-explore/search?tab=default_tab&amp;search_scope=EVERYTHING&amp;vid=01CRU&amp;lang=en_US&amp;offset=0&amp;query=any,contains,991005125379702656","Catalog Record")</f>
        <v>Catalog Record</v>
      </c>
      <c r="AT2496" s="6" t="str">
        <f>HYPERLINK("http://www.worldcat.org/oclc/7553162","WorldCat Record")</f>
        <v>WorldCat Record</v>
      </c>
      <c r="AU2496" s="3" t="s">
        <v>30450</v>
      </c>
      <c r="AV2496" s="3" t="s">
        <v>30451</v>
      </c>
      <c r="AW2496" s="3" t="s">
        <v>30452</v>
      </c>
      <c r="AX2496" s="3" t="s">
        <v>30452</v>
      </c>
      <c r="AY2496" s="3" t="s">
        <v>30453</v>
      </c>
      <c r="AZ2496" s="3" t="s">
        <v>73</v>
      </c>
      <c r="BB2496" s="3" t="s">
        <v>30454</v>
      </c>
      <c r="BC2496" s="3" t="s">
        <v>30455</v>
      </c>
      <c r="BD2496" s="3" t="s">
        <v>30456</v>
      </c>
    </row>
    <row r="2497" spans="1:56" ht="51" customHeight="1" x14ac:dyDescent="0.25">
      <c r="A2497" s="7" t="s">
        <v>58</v>
      </c>
      <c r="B2497" s="2" t="s">
        <v>30457</v>
      </c>
      <c r="C2497" s="2" t="s">
        <v>30458</v>
      </c>
      <c r="D2497" s="2" t="s">
        <v>30459</v>
      </c>
      <c r="F2497" s="3" t="s">
        <v>58</v>
      </c>
      <c r="G2497" s="3" t="s">
        <v>59</v>
      </c>
      <c r="H2497" s="3" t="s">
        <v>58</v>
      </c>
      <c r="I2497" s="3" t="s">
        <v>58</v>
      </c>
      <c r="J2497" s="3" t="s">
        <v>60</v>
      </c>
      <c r="K2497" s="2" t="s">
        <v>30460</v>
      </c>
      <c r="L2497" s="2" t="s">
        <v>30461</v>
      </c>
      <c r="M2497" s="3" t="s">
        <v>2295</v>
      </c>
      <c r="O2497" s="3" t="s">
        <v>63</v>
      </c>
      <c r="P2497" s="3" t="s">
        <v>760</v>
      </c>
      <c r="Q2497" s="2" t="s">
        <v>30462</v>
      </c>
      <c r="R2497" s="3" t="s">
        <v>65</v>
      </c>
      <c r="S2497" s="4">
        <v>10</v>
      </c>
      <c r="T2497" s="4">
        <v>10</v>
      </c>
      <c r="U2497" s="5" t="s">
        <v>24561</v>
      </c>
      <c r="V2497" s="5" t="s">
        <v>24561</v>
      </c>
      <c r="W2497" s="5" t="s">
        <v>20351</v>
      </c>
      <c r="X2497" s="5" t="s">
        <v>20351</v>
      </c>
      <c r="Y2497" s="4">
        <v>298</v>
      </c>
      <c r="Z2497" s="4">
        <v>252</v>
      </c>
      <c r="AA2497" s="4">
        <v>256</v>
      </c>
      <c r="AB2497" s="4">
        <v>3</v>
      </c>
      <c r="AC2497" s="4">
        <v>3</v>
      </c>
      <c r="AD2497" s="4">
        <v>16</v>
      </c>
      <c r="AE2497" s="4">
        <v>16</v>
      </c>
      <c r="AF2497" s="4">
        <v>8</v>
      </c>
      <c r="AG2497" s="4">
        <v>8</v>
      </c>
      <c r="AH2497" s="4">
        <v>4</v>
      </c>
      <c r="AI2497" s="4">
        <v>4</v>
      </c>
      <c r="AJ2497" s="4">
        <v>9</v>
      </c>
      <c r="AK2497" s="4">
        <v>9</v>
      </c>
      <c r="AL2497" s="4">
        <v>2</v>
      </c>
      <c r="AM2497" s="4">
        <v>2</v>
      </c>
      <c r="AN2497" s="4">
        <v>0</v>
      </c>
      <c r="AO2497" s="4">
        <v>0</v>
      </c>
      <c r="AP2497" s="3" t="s">
        <v>58</v>
      </c>
      <c r="AQ2497" s="3" t="s">
        <v>68</v>
      </c>
      <c r="AR2497" s="6" t="str">
        <f>HYPERLINK("http://catalog.hathitrust.org/Record/003888357","HathiTrust Record")</f>
        <v>HathiTrust Record</v>
      </c>
      <c r="AS2497" s="6" t="str">
        <f>HYPERLINK("https://creighton-primo.hosted.exlibrisgroup.com/primo-explore/search?tab=default_tab&amp;search_scope=EVERYTHING&amp;vid=01CRU&amp;lang=en_US&amp;offset=0&amp;query=any,contains,991004543929702656","Catalog Record")</f>
        <v>Catalog Record</v>
      </c>
      <c r="AT2497" s="6" t="str">
        <f>HYPERLINK("http://www.worldcat.org/oclc/52216299","WorldCat Record")</f>
        <v>WorldCat Record</v>
      </c>
      <c r="AU2497" s="3" t="s">
        <v>30463</v>
      </c>
      <c r="AV2497" s="3" t="s">
        <v>30464</v>
      </c>
      <c r="AW2497" s="3" t="s">
        <v>30465</v>
      </c>
      <c r="AX2497" s="3" t="s">
        <v>30465</v>
      </c>
      <c r="AY2497" s="3" t="s">
        <v>30466</v>
      </c>
      <c r="AZ2497" s="3" t="s">
        <v>73</v>
      </c>
      <c r="BB2497" s="3" t="s">
        <v>30467</v>
      </c>
      <c r="BC2497" s="3" t="s">
        <v>30468</v>
      </c>
      <c r="BD2497" s="3" t="s">
        <v>30469</v>
      </c>
    </row>
    <row r="2498" spans="1:56" ht="51" customHeight="1" x14ac:dyDescent="0.25">
      <c r="A2498" s="7" t="s">
        <v>58</v>
      </c>
      <c r="B2498" s="2" t="s">
        <v>30470</v>
      </c>
      <c r="C2498" s="2" t="s">
        <v>30471</v>
      </c>
      <c r="D2498" s="2" t="s">
        <v>30472</v>
      </c>
      <c r="F2498" s="3" t="s">
        <v>58</v>
      </c>
      <c r="G2498" s="3" t="s">
        <v>59</v>
      </c>
      <c r="H2498" s="3" t="s">
        <v>58</v>
      </c>
      <c r="I2498" s="3" t="s">
        <v>58</v>
      </c>
      <c r="J2498" s="3" t="s">
        <v>60</v>
      </c>
      <c r="K2498" s="2" t="s">
        <v>30473</v>
      </c>
      <c r="L2498" s="2" t="s">
        <v>30474</v>
      </c>
      <c r="M2498" s="3" t="s">
        <v>842</v>
      </c>
      <c r="O2498" s="3" t="s">
        <v>63</v>
      </c>
      <c r="P2498" s="3" t="s">
        <v>354</v>
      </c>
      <c r="R2498" s="3" t="s">
        <v>65</v>
      </c>
      <c r="S2498" s="4">
        <v>6</v>
      </c>
      <c r="T2498" s="4">
        <v>6</v>
      </c>
      <c r="U2498" s="5" t="s">
        <v>30475</v>
      </c>
      <c r="V2498" s="5" t="s">
        <v>30475</v>
      </c>
      <c r="W2498" s="5" t="s">
        <v>30040</v>
      </c>
      <c r="X2498" s="5" t="s">
        <v>30040</v>
      </c>
      <c r="Y2498" s="4">
        <v>581</v>
      </c>
      <c r="Z2498" s="4">
        <v>465</v>
      </c>
      <c r="AA2498" s="4">
        <v>737</v>
      </c>
      <c r="AB2498" s="4">
        <v>4</v>
      </c>
      <c r="AC2498" s="4">
        <v>6</v>
      </c>
      <c r="AD2498" s="4">
        <v>24</v>
      </c>
      <c r="AE2498" s="4">
        <v>32</v>
      </c>
      <c r="AF2498" s="4">
        <v>7</v>
      </c>
      <c r="AG2498" s="4">
        <v>13</v>
      </c>
      <c r="AH2498" s="4">
        <v>7</v>
      </c>
      <c r="AI2498" s="4">
        <v>9</v>
      </c>
      <c r="AJ2498" s="4">
        <v>13</v>
      </c>
      <c r="AK2498" s="4">
        <v>15</v>
      </c>
      <c r="AL2498" s="4">
        <v>3</v>
      </c>
      <c r="AM2498" s="4">
        <v>4</v>
      </c>
      <c r="AN2498" s="4">
        <v>0</v>
      </c>
      <c r="AO2498" s="4">
        <v>0</v>
      </c>
      <c r="AP2498" s="3" t="s">
        <v>58</v>
      </c>
      <c r="AQ2498" s="3" t="s">
        <v>58</v>
      </c>
      <c r="AS2498" s="6" t="str">
        <f>HYPERLINK("https://creighton-primo.hosted.exlibrisgroup.com/primo-explore/search?tab=default_tab&amp;search_scope=EVERYTHING&amp;vid=01CRU&amp;lang=en_US&amp;offset=0&amp;query=any,contains,991004971009702656","Catalog Record")</f>
        <v>Catalog Record</v>
      </c>
      <c r="AT2498" s="6" t="str">
        <f>HYPERLINK("http://www.worldcat.org/oclc/6357654","WorldCat Record")</f>
        <v>WorldCat Record</v>
      </c>
      <c r="AU2498" s="3" t="s">
        <v>30476</v>
      </c>
      <c r="AV2498" s="3" t="s">
        <v>30477</v>
      </c>
      <c r="AW2498" s="3" t="s">
        <v>30478</v>
      </c>
      <c r="AX2498" s="3" t="s">
        <v>30478</v>
      </c>
      <c r="AY2498" s="3" t="s">
        <v>30479</v>
      </c>
      <c r="AZ2498" s="3" t="s">
        <v>73</v>
      </c>
      <c r="BB2498" s="3" t="s">
        <v>30480</v>
      </c>
      <c r="BC2498" s="3" t="s">
        <v>30481</v>
      </c>
      <c r="BD2498" s="3" t="s">
        <v>30482</v>
      </c>
    </row>
    <row r="2499" spans="1:56" ht="51" customHeight="1" x14ac:dyDescent="0.25">
      <c r="A2499" s="7" t="s">
        <v>58</v>
      </c>
      <c r="B2499" s="2" t="s">
        <v>30483</v>
      </c>
      <c r="C2499" s="2" t="s">
        <v>30484</v>
      </c>
      <c r="D2499" s="2" t="s">
        <v>30485</v>
      </c>
      <c r="F2499" s="3" t="s">
        <v>58</v>
      </c>
      <c r="G2499" s="3" t="s">
        <v>59</v>
      </c>
      <c r="H2499" s="3" t="s">
        <v>58</v>
      </c>
      <c r="I2499" s="3" t="s">
        <v>58</v>
      </c>
      <c r="J2499" s="3" t="s">
        <v>60</v>
      </c>
      <c r="K2499" s="2" t="s">
        <v>30486</v>
      </c>
      <c r="L2499" s="2" t="s">
        <v>22267</v>
      </c>
      <c r="M2499" s="3" t="s">
        <v>2295</v>
      </c>
      <c r="N2499" s="2" t="s">
        <v>1009</v>
      </c>
      <c r="O2499" s="3" t="s">
        <v>63</v>
      </c>
      <c r="P2499" s="3" t="s">
        <v>214</v>
      </c>
      <c r="R2499" s="3" t="s">
        <v>65</v>
      </c>
      <c r="S2499" s="4">
        <v>2</v>
      </c>
      <c r="T2499" s="4">
        <v>2</v>
      </c>
      <c r="U2499" s="5" t="s">
        <v>14490</v>
      </c>
      <c r="V2499" s="5" t="s">
        <v>14490</v>
      </c>
      <c r="W2499" s="5" t="s">
        <v>6714</v>
      </c>
      <c r="X2499" s="5" t="s">
        <v>6714</v>
      </c>
      <c r="Y2499" s="4">
        <v>805</v>
      </c>
      <c r="Z2499" s="4">
        <v>781</v>
      </c>
      <c r="AA2499" s="4">
        <v>861</v>
      </c>
      <c r="AB2499" s="4">
        <v>4</v>
      </c>
      <c r="AC2499" s="4">
        <v>5</v>
      </c>
      <c r="AD2499" s="4">
        <v>23</v>
      </c>
      <c r="AE2499" s="4">
        <v>23</v>
      </c>
      <c r="AF2499" s="4">
        <v>12</v>
      </c>
      <c r="AG2499" s="4">
        <v>12</v>
      </c>
      <c r="AH2499" s="4">
        <v>3</v>
      </c>
      <c r="AI2499" s="4">
        <v>3</v>
      </c>
      <c r="AJ2499" s="4">
        <v>10</v>
      </c>
      <c r="AK2499" s="4">
        <v>10</v>
      </c>
      <c r="AL2499" s="4">
        <v>3</v>
      </c>
      <c r="AM2499" s="4">
        <v>3</v>
      </c>
      <c r="AN2499" s="4">
        <v>0</v>
      </c>
      <c r="AO2499" s="4">
        <v>0</v>
      </c>
      <c r="AP2499" s="3" t="s">
        <v>58</v>
      </c>
      <c r="AQ2499" s="3" t="s">
        <v>58</v>
      </c>
      <c r="AS2499" s="6" t="str">
        <f>HYPERLINK("https://creighton-primo.hosted.exlibrisgroup.com/primo-explore/search?tab=default_tab&amp;search_scope=EVERYTHING&amp;vid=01CRU&amp;lang=en_US&amp;offset=0&amp;query=any,contains,991004002829702656","Catalog Record")</f>
        <v>Catalog Record</v>
      </c>
      <c r="AT2499" s="6" t="str">
        <f>HYPERLINK("http://www.worldcat.org/oclc/49901743","WorldCat Record")</f>
        <v>WorldCat Record</v>
      </c>
      <c r="AU2499" s="3" t="s">
        <v>30487</v>
      </c>
      <c r="AV2499" s="3" t="s">
        <v>30488</v>
      </c>
      <c r="AW2499" s="3" t="s">
        <v>30489</v>
      </c>
      <c r="AX2499" s="3" t="s">
        <v>30489</v>
      </c>
      <c r="AY2499" s="3" t="s">
        <v>30490</v>
      </c>
      <c r="AZ2499" s="3" t="s">
        <v>73</v>
      </c>
      <c r="BB2499" s="3" t="s">
        <v>30491</v>
      </c>
      <c r="BC2499" s="3" t="s">
        <v>30492</v>
      </c>
      <c r="BD2499" s="3" t="s">
        <v>30493</v>
      </c>
    </row>
    <row r="2500" spans="1:56" ht="51" customHeight="1" x14ac:dyDescent="0.25">
      <c r="A2500" s="7" t="s">
        <v>58</v>
      </c>
      <c r="B2500" s="2" t="s">
        <v>30494</v>
      </c>
      <c r="C2500" s="2" t="s">
        <v>30495</v>
      </c>
      <c r="D2500" s="2" t="s">
        <v>30496</v>
      </c>
      <c r="F2500" s="3" t="s">
        <v>58</v>
      </c>
      <c r="G2500" s="3" t="s">
        <v>59</v>
      </c>
      <c r="H2500" s="3" t="s">
        <v>58</v>
      </c>
      <c r="I2500" s="3" t="s">
        <v>58</v>
      </c>
      <c r="J2500" s="3" t="s">
        <v>60</v>
      </c>
      <c r="K2500" s="2" t="s">
        <v>20696</v>
      </c>
      <c r="L2500" s="2" t="s">
        <v>30497</v>
      </c>
      <c r="M2500" s="3" t="s">
        <v>552</v>
      </c>
      <c r="O2500" s="3" t="s">
        <v>63</v>
      </c>
      <c r="P2500" s="3" t="s">
        <v>214</v>
      </c>
      <c r="R2500" s="3" t="s">
        <v>65</v>
      </c>
      <c r="S2500" s="4">
        <v>13</v>
      </c>
      <c r="T2500" s="4">
        <v>13</v>
      </c>
      <c r="U2500" s="5" t="s">
        <v>8953</v>
      </c>
      <c r="V2500" s="5" t="s">
        <v>8953</v>
      </c>
      <c r="W2500" s="5" t="s">
        <v>15766</v>
      </c>
      <c r="X2500" s="5" t="s">
        <v>15766</v>
      </c>
      <c r="Y2500" s="4">
        <v>778</v>
      </c>
      <c r="Z2500" s="4">
        <v>738</v>
      </c>
      <c r="AA2500" s="4">
        <v>787</v>
      </c>
      <c r="AB2500" s="4">
        <v>4</v>
      </c>
      <c r="AC2500" s="4">
        <v>4</v>
      </c>
      <c r="AD2500" s="4">
        <v>23</v>
      </c>
      <c r="AE2500" s="4">
        <v>25</v>
      </c>
      <c r="AF2500" s="4">
        <v>11</v>
      </c>
      <c r="AG2500" s="4">
        <v>12</v>
      </c>
      <c r="AH2500" s="4">
        <v>5</v>
      </c>
      <c r="AI2500" s="4">
        <v>6</v>
      </c>
      <c r="AJ2500" s="4">
        <v>10</v>
      </c>
      <c r="AK2500" s="4">
        <v>11</v>
      </c>
      <c r="AL2500" s="4">
        <v>2</v>
      </c>
      <c r="AM2500" s="4">
        <v>2</v>
      </c>
      <c r="AN2500" s="4">
        <v>0</v>
      </c>
      <c r="AO2500" s="4">
        <v>0</v>
      </c>
      <c r="AP2500" s="3" t="s">
        <v>58</v>
      </c>
      <c r="AQ2500" s="3" t="s">
        <v>68</v>
      </c>
      <c r="AR2500" s="6" t="str">
        <f>HYPERLINK("http://catalog.hathitrust.org/Record/002235318","HathiTrust Record")</f>
        <v>HathiTrust Record</v>
      </c>
      <c r="AS2500" s="6" t="str">
        <f>HYPERLINK("https://creighton-primo.hosted.exlibrisgroup.com/primo-explore/search?tab=default_tab&amp;search_scope=EVERYTHING&amp;vid=01CRU&amp;lang=en_US&amp;offset=0&amp;query=any,contains,991005412329702656","Catalog Record")</f>
        <v>Catalog Record</v>
      </c>
      <c r="AT2500" s="6" t="str">
        <f>HYPERLINK("http://www.worldcat.org/oclc/21679122","WorldCat Record")</f>
        <v>WorldCat Record</v>
      </c>
      <c r="AU2500" s="3" t="s">
        <v>30498</v>
      </c>
      <c r="AV2500" s="3" t="s">
        <v>30499</v>
      </c>
      <c r="AW2500" s="3" t="s">
        <v>30500</v>
      </c>
      <c r="AX2500" s="3" t="s">
        <v>30500</v>
      </c>
      <c r="AY2500" s="3" t="s">
        <v>30501</v>
      </c>
      <c r="AZ2500" s="3" t="s">
        <v>73</v>
      </c>
      <c r="BB2500" s="3" t="s">
        <v>30502</v>
      </c>
      <c r="BC2500" s="3" t="s">
        <v>30503</v>
      </c>
      <c r="BD2500" s="3" t="s">
        <v>30504</v>
      </c>
    </row>
    <row r="2501" spans="1:56" ht="51" customHeight="1" x14ac:dyDescent="0.25">
      <c r="A2501" s="7" t="s">
        <v>58</v>
      </c>
      <c r="B2501" s="2" t="s">
        <v>30505</v>
      </c>
      <c r="C2501" s="2" t="s">
        <v>30506</v>
      </c>
      <c r="D2501" s="2" t="s">
        <v>30507</v>
      </c>
      <c r="F2501" s="3" t="s">
        <v>58</v>
      </c>
      <c r="G2501" s="3" t="s">
        <v>59</v>
      </c>
      <c r="H2501" s="3" t="s">
        <v>58</v>
      </c>
      <c r="I2501" s="3" t="s">
        <v>58</v>
      </c>
      <c r="J2501" s="3" t="s">
        <v>60</v>
      </c>
      <c r="K2501" s="2" t="s">
        <v>30508</v>
      </c>
      <c r="L2501" s="2" t="s">
        <v>30509</v>
      </c>
      <c r="M2501" s="3" t="s">
        <v>626</v>
      </c>
      <c r="O2501" s="3" t="s">
        <v>63</v>
      </c>
      <c r="P2501" s="3" t="s">
        <v>214</v>
      </c>
      <c r="R2501" s="3" t="s">
        <v>65</v>
      </c>
      <c r="S2501" s="4">
        <v>10</v>
      </c>
      <c r="T2501" s="4">
        <v>10</v>
      </c>
      <c r="U2501" s="5" t="s">
        <v>2933</v>
      </c>
      <c r="V2501" s="5" t="s">
        <v>2933</v>
      </c>
      <c r="W2501" s="5" t="s">
        <v>17640</v>
      </c>
      <c r="X2501" s="5" t="s">
        <v>17640</v>
      </c>
      <c r="Y2501" s="4">
        <v>245</v>
      </c>
      <c r="Z2501" s="4">
        <v>233</v>
      </c>
      <c r="AA2501" s="4">
        <v>580</v>
      </c>
      <c r="AB2501" s="4">
        <v>1</v>
      </c>
      <c r="AC2501" s="4">
        <v>3</v>
      </c>
      <c r="AD2501" s="4">
        <v>9</v>
      </c>
      <c r="AE2501" s="4">
        <v>18</v>
      </c>
      <c r="AF2501" s="4">
        <v>5</v>
      </c>
      <c r="AG2501" s="4">
        <v>6</v>
      </c>
      <c r="AH2501" s="4">
        <v>1</v>
      </c>
      <c r="AI2501" s="4">
        <v>4</v>
      </c>
      <c r="AJ2501" s="4">
        <v>5</v>
      </c>
      <c r="AK2501" s="4">
        <v>11</v>
      </c>
      <c r="AL2501" s="4">
        <v>0</v>
      </c>
      <c r="AM2501" s="4">
        <v>1</v>
      </c>
      <c r="AN2501" s="4">
        <v>0</v>
      </c>
      <c r="AO2501" s="4">
        <v>0</v>
      </c>
      <c r="AP2501" s="3" t="s">
        <v>58</v>
      </c>
      <c r="AQ2501" s="3" t="s">
        <v>58</v>
      </c>
      <c r="AS2501" s="6" t="str">
        <f>HYPERLINK("https://creighton-primo.hosted.exlibrisgroup.com/primo-explore/search?tab=default_tab&amp;search_scope=EVERYTHING&amp;vid=01CRU&amp;lang=en_US&amp;offset=0&amp;query=any,contains,991000353379702656","Catalog Record")</f>
        <v>Catalog Record</v>
      </c>
      <c r="AT2501" s="6" t="str">
        <f>HYPERLINK("http://www.worldcat.org/oclc/10322463","WorldCat Record")</f>
        <v>WorldCat Record</v>
      </c>
      <c r="AU2501" s="3" t="s">
        <v>30510</v>
      </c>
      <c r="AV2501" s="3" t="s">
        <v>30511</v>
      </c>
      <c r="AW2501" s="3" t="s">
        <v>30512</v>
      </c>
      <c r="AX2501" s="3" t="s">
        <v>30512</v>
      </c>
      <c r="AY2501" s="3" t="s">
        <v>30513</v>
      </c>
      <c r="AZ2501" s="3" t="s">
        <v>73</v>
      </c>
      <c r="BB2501" s="3" t="s">
        <v>30514</v>
      </c>
      <c r="BC2501" s="3" t="s">
        <v>30515</v>
      </c>
      <c r="BD2501" s="3" t="s">
        <v>30516</v>
      </c>
    </row>
    <row r="2502" spans="1:56" ht="51" customHeight="1" x14ac:dyDescent="0.25">
      <c r="A2502" s="7" t="s">
        <v>58</v>
      </c>
      <c r="B2502" s="2" t="s">
        <v>30517</v>
      </c>
      <c r="C2502" s="2" t="s">
        <v>30518</v>
      </c>
      <c r="D2502" s="2" t="s">
        <v>30519</v>
      </c>
      <c r="F2502" s="3" t="s">
        <v>58</v>
      </c>
      <c r="G2502" s="3" t="s">
        <v>59</v>
      </c>
      <c r="H2502" s="3" t="s">
        <v>58</v>
      </c>
      <c r="I2502" s="3" t="s">
        <v>58</v>
      </c>
      <c r="J2502" s="3" t="s">
        <v>60</v>
      </c>
      <c r="K2502" s="2" t="s">
        <v>28707</v>
      </c>
      <c r="L2502" s="2" t="s">
        <v>30520</v>
      </c>
      <c r="M2502" s="3" t="s">
        <v>759</v>
      </c>
      <c r="O2502" s="3" t="s">
        <v>63</v>
      </c>
      <c r="P2502" s="3" t="s">
        <v>584</v>
      </c>
      <c r="Q2502" s="2" t="s">
        <v>30521</v>
      </c>
      <c r="R2502" s="3" t="s">
        <v>65</v>
      </c>
      <c r="S2502" s="4">
        <v>7</v>
      </c>
      <c r="T2502" s="4">
        <v>7</v>
      </c>
      <c r="U2502" s="5" t="s">
        <v>8953</v>
      </c>
      <c r="V2502" s="5" t="s">
        <v>8953</v>
      </c>
      <c r="W2502" s="5" t="s">
        <v>585</v>
      </c>
      <c r="X2502" s="5" t="s">
        <v>585</v>
      </c>
      <c r="Y2502" s="4">
        <v>390</v>
      </c>
      <c r="Z2502" s="4">
        <v>292</v>
      </c>
      <c r="AA2502" s="4">
        <v>341</v>
      </c>
      <c r="AB2502" s="4">
        <v>2</v>
      </c>
      <c r="AC2502" s="4">
        <v>2</v>
      </c>
      <c r="AD2502" s="4">
        <v>12</v>
      </c>
      <c r="AE2502" s="4">
        <v>12</v>
      </c>
      <c r="AF2502" s="4">
        <v>3</v>
      </c>
      <c r="AG2502" s="4">
        <v>3</v>
      </c>
      <c r="AH2502" s="4">
        <v>5</v>
      </c>
      <c r="AI2502" s="4">
        <v>5</v>
      </c>
      <c r="AJ2502" s="4">
        <v>6</v>
      </c>
      <c r="AK2502" s="4">
        <v>6</v>
      </c>
      <c r="AL2502" s="4">
        <v>1</v>
      </c>
      <c r="AM2502" s="4">
        <v>1</v>
      </c>
      <c r="AN2502" s="4">
        <v>0</v>
      </c>
      <c r="AO2502" s="4">
        <v>0</v>
      </c>
      <c r="AP2502" s="3" t="s">
        <v>58</v>
      </c>
      <c r="AQ2502" s="3" t="s">
        <v>68</v>
      </c>
      <c r="AR2502" s="6" t="str">
        <f>HYPERLINK("http://catalog.hathitrust.org/Record/000709518","HathiTrust Record")</f>
        <v>HathiTrust Record</v>
      </c>
      <c r="AS2502" s="6" t="str">
        <f>HYPERLINK("https://creighton-primo.hosted.exlibrisgroup.com/primo-explore/search?tab=default_tab&amp;search_scope=EVERYTHING&amp;vid=01CRU&amp;lang=en_US&amp;offset=0&amp;query=any,contains,991004923609702656","Catalog Record")</f>
        <v>Catalog Record</v>
      </c>
      <c r="AT2502" s="6" t="str">
        <f>HYPERLINK("http://www.worldcat.org/oclc/6066245","WorldCat Record")</f>
        <v>WorldCat Record</v>
      </c>
      <c r="AU2502" s="3" t="s">
        <v>30522</v>
      </c>
      <c r="AV2502" s="3" t="s">
        <v>30523</v>
      </c>
      <c r="AW2502" s="3" t="s">
        <v>30524</v>
      </c>
      <c r="AX2502" s="3" t="s">
        <v>30524</v>
      </c>
      <c r="AY2502" s="3" t="s">
        <v>30525</v>
      </c>
      <c r="AZ2502" s="3" t="s">
        <v>73</v>
      </c>
      <c r="BB2502" s="3" t="s">
        <v>30526</v>
      </c>
      <c r="BC2502" s="3" t="s">
        <v>30527</v>
      </c>
      <c r="BD2502" s="3" t="s">
        <v>30528</v>
      </c>
    </row>
    <row r="2503" spans="1:56" ht="51" customHeight="1" x14ac:dyDescent="0.25">
      <c r="A2503" s="7" t="s">
        <v>58</v>
      </c>
      <c r="B2503" s="2" t="s">
        <v>30529</v>
      </c>
      <c r="C2503" s="2" t="s">
        <v>30530</v>
      </c>
      <c r="D2503" s="2" t="s">
        <v>30531</v>
      </c>
      <c r="F2503" s="3" t="s">
        <v>58</v>
      </c>
      <c r="G2503" s="3" t="s">
        <v>59</v>
      </c>
      <c r="H2503" s="3" t="s">
        <v>58</v>
      </c>
      <c r="I2503" s="3" t="s">
        <v>58</v>
      </c>
      <c r="J2503" s="3" t="s">
        <v>60</v>
      </c>
      <c r="K2503" s="2" t="s">
        <v>20348</v>
      </c>
      <c r="L2503" s="2" t="s">
        <v>30532</v>
      </c>
      <c r="M2503" s="3" t="s">
        <v>1061</v>
      </c>
      <c r="O2503" s="3" t="s">
        <v>63</v>
      </c>
      <c r="P2503" s="3" t="s">
        <v>354</v>
      </c>
      <c r="Q2503" s="2" t="s">
        <v>20350</v>
      </c>
      <c r="R2503" s="3" t="s">
        <v>65</v>
      </c>
      <c r="S2503" s="4">
        <v>10</v>
      </c>
      <c r="T2503" s="4">
        <v>10</v>
      </c>
      <c r="U2503" s="5" t="s">
        <v>2933</v>
      </c>
      <c r="V2503" s="5" t="s">
        <v>2933</v>
      </c>
      <c r="W2503" s="5" t="s">
        <v>11555</v>
      </c>
      <c r="X2503" s="5" t="s">
        <v>11555</v>
      </c>
      <c r="Y2503" s="4">
        <v>491</v>
      </c>
      <c r="Z2503" s="4">
        <v>427</v>
      </c>
      <c r="AA2503" s="4">
        <v>433</v>
      </c>
      <c r="AB2503" s="4">
        <v>3</v>
      </c>
      <c r="AC2503" s="4">
        <v>3</v>
      </c>
      <c r="AD2503" s="4">
        <v>13</v>
      </c>
      <c r="AE2503" s="4">
        <v>13</v>
      </c>
      <c r="AF2503" s="4">
        <v>5</v>
      </c>
      <c r="AG2503" s="4">
        <v>5</v>
      </c>
      <c r="AH2503" s="4">
        <v>4</v>
      </c>
      <c r="AI2503" s="4">
        <v>4</v>
      </c>
      <c r="AJ2503" s="4">
        <v>7</v>
      </c>
      <c r="AK2503" s="4">
        <v>7</v>
      </c>
      <c r="AL2503" s="4">
        <v>1</v>
      </c>
      <c r="AM2503" s="4">
        <v>1</v>
      </c>
      <c r="AN2503" s="4">
        <v>0</v>
      </c>
      <c r="AO2503" s="4">
        <v>0</v>
      </c>
      <c r="AP2503" s="3" t="s">
        <v>58</v>
      </c>
      <c r="AQ2503" s="3" t="s">
        <v>68</v>
      </c>
      <c r="AR2503" s="6" t="str">
        <f>HYPERLINK("http://catalog.hathitrust.org/Record/003124566","HathiTrust Record")</f>
        <v>HathiTrust Record</v>
      </c>
      <c r="AS2503" s="6" t="str">
        <f>HYPERLINK("https://creighton-primo.hosted.exlibrisgroup.com/primo-explore/search?tab=default_tab&amp;search_scope=EVERYTHING&amp;vid=01CRU&amp;lang=en_US&amp;offset=0&amp;query=any,contains,991002658979702656","Catalog Record")</f>
        <v>Catalog Record</v>
      </c>
      <c r="AT2503" s="6" t="str">
        <f>HYPERLINK("http://www.worldcat.org/oclc/34753518","WorldCat Record")</f>
        <v>WorldCat Record</v>
      </c>
      <c r="AU2503" s="3" t="s">
        <v>30533</v>
      </c>
      <c r="AV2503" s="3" t="s">
        <v>30534</v>
      </c>
      <c r="AW2503" s="3" t="s">
        <v>30535</v>
      </c>
      <c r="AX2503" s="3" t="s">
        <v>30535</v>
      </c>
      <c r="AY2503" s="3" t="s">
        <v>30536</v>
      </c>
      <c r="AZ2503" s="3" t="s">
        <v>73</v>
      </c>
      <c r="BB2503" s="3" t="s">
        <v>30537</v>
      </c>
      <c r="BC2503" s="3" t="s">
        <v>30538</v>
      </c>
      <c r="BD2503" s="3" t="s">
        <v>30539</v>
      </c>
    </row>
    <row r="2504" spans="1:56" ht="51" customHeight="1" x14ac:dyDescent="0.25">
      <c r="A2504" s="7" t="s">
        <v>58</v>
      </c>
      <c r="B2504" s="2" t="s">
        <v>30540</v>
      </c>
      <c r="C2504" s="2" t="s">
        <v>30541</v>
      </c>
      <c r="D2504" s="2" t="s">
        <v>30542</v>
      </c>
      <c r="F2504" s="3" t="s">
        <v>58</v>
      </c>
      <c r="G2504" s="3" t="s">
        <v>59</v>
      </c>
      <c r="H2504" s="3" t="s">
        <v>58</v>
      </c>
      <c r="I2504" s="3" t="s">
        <v>58</v>
      </c>
      <c r="J2504" s="3" t="s">
        <v>60</v>
      </c>
      <c r="K2504" s="2" t="s">
        <v>30543</v>
      </c>
      <c r="L2504" s="2" t="s">
        <v>30544</v>
      </c>
      <c r="M2504" s="3" t="s">
        <v>1499</v>
      </c>
      <c r="O2504" s="3" t="s">
        <v>63</v>
      </c>
      <c r="P2504" s="3" t="s">
        <v>214</v>
      </c>
      <c r="R2504" s="3" t="s">
        <v>65</v>
      </c>
      <c r="S2504" s="4">
        <v>3</v>
      </c>
      <c r="T2504" s="4">
        <v>3</v>
      </c>
      <c r="U2504" s="5" t="s">
        <v>30545</v>
      </c>
      <c r="V2504" s="5" t="s">
        <v>30545</v>
      </c>
      <c r="W2504" s="5" t="s">
        <v>20416</v>
      </c>
      <c r="X2504" s="5" t="s">
        <v>20416</v>
      </c>
      <c r="Y2504" s="4">
        <v>433</v>
      </c>
      <c r="Z2504" s="4">
        <v>351</v>
      </c>
      <c r="AA2504" s="4">
        <v>401</v>
      </c>
      <c r="AB2504" s="4">
        <v>3</v>
      </c>
      <c r="AC2504" s="4">
        <v>3</v>
      </c>
      <c r="AD2504" s="4">
        <v>16</v>
      </c>
      <c r="AE2504" s="4">
        <v>17</v>
      </c>
      <c r="AF2504" s="4">
        <v>7</v>
      </c>
      <c r="AG2504" s="4">
        <v>8</v>
      </c>
      <c r="AH2504" s="4">
        <v>4</v>
      </c>
      <c r="AI2504" s="4">
        <v>4</v>
      </c>
      <c r="AJ2504" s="4">
        <v>7</v>
      </c>
      <c r="AK2504" s="4">
        <v>8</v>
      </c>
      <c r="AL2504" s="4">
        <v>2</v>
      </c>
      <c r="AM2504" s="4">
        <v>2</v>
      </c>
      <c r="AN2504" s="4">
        <v>0</v>
      </c>
      <c r="AO2504" s="4">
        <v>0</v>
      </c>
      <c r="AP2504" s="3" t="s">
        <v>58</v>
      </c>
      <c r="AQ2504" s="3" t="s">
        <v>68</v>
      </c>
      <c r="AR2504" s="6" t="str">
        <f>HYPERLINK("http://catalog.hathitrust.org/Record/001241745","HathiTrust Record")</f>
        <v>HathiTrust Record</v>
      </c>
      <c r="AS2504" s="6" t="str">
        <f>HYPERLINK("https://creighton-primo.hosted.exlibrisgroup.com/primo-explore/search?tab=default_tab&amp;search_scope=EVERYTHING&amp;vid=01CRU&amp;lang=en_US&amp;offset=0&amp;query=any,contains,991002791809702656","Catalog Record")</f>
        <v>Catalog Record</v>
      </c>
      <c r="AT2504" s="6" t="str">
        <f>HYPERLINK("http://www.worldcat.org/oclc/443795","WorldCat Record")</f>
        <v>WorldCat Record</v>
      </c>
      <c r="AU2504" s="3" t="s">
        <v>30546</v>
      </c>
      <c r="AV2504" s="3" t="s">
        <v>30547</v>
      </c>
      <c r="AW2504" s="3" t="s">
        <v>30548</v>
      </c>
      <c r="AX2504" s="3" t="s">
        <v>30548</v>
      </c>
      <c r="AY2504" s="3" t="s">
        <v>30549</v>
      </c>
      <c r="AZ2504" s="3" t="s">
        <v>73</v>
      </c>
      <c r="BC2504" s="3" t="s">
        <v>30550</v>
      </c>
      <c r="BD2504" s="3" t="s">
        <v>30551</v>
      </c>
    </row>
    <row r="2505" spans="1:56" ht="51" customHeight="1" x14ac:dyDescent="0.25">
      <c r="A2505" s="7" t="s">
        <v>58</v>
      </c>
      <c r="B2505" s="2" t="s">
        <v>30552</v>
      </c>
      <c r="C2505" s="2" t="s">
        <v>30553</v>
      </c>
      <c r="D2505" s="2" t="s">
        <v>30554</v>
      </c>
      <c r="F2505" s="3" t="s">
        <v>58</v>
      </c>
      <c r="G2505" s="3" t="s">
        <v>59</v>
      </c>
      <c r="H2505" s="3" t="s">
        <v>58</v>
      </c>
      <c r="I2505" s="3" t="s">
        <v>58</v>
      </c>
      <c r="J2505" s="3" t="s">
        <v>60</v>
      </c>
      <c r="K2505" s="2" t="s">
        <v>30555</v>
      </c>
      <c r="L2505" s="2" t="s">
        <v>30556</v>
      </c>
      <c r="M2505" s="3" t="s">
        <v>397</v>
      </c>
      <c r="O2505" s="3" t="s">
        <v>63</v>
      </c>
      <c r="P2505" s="3" t="s">
        <v>584</v>
      </c>
      <c r="Q2505" s="2" t="s">
        <v>30557</v>
      </c>
      <c r="R2505" s="3" t="s">
        <v>65</v>
      </c>
      <c r="S2505" s="4">
        <v>8</v>
      </c>
      <c r="T2505" s="4">
        <v>8</v>
      </c>
      <c r="U2505" s="5" t="s">
        <v>8953</v>
      </c>
      <c r="V2505" s="5" t="s">
        <v>8953</v>
      </c>
      <c r="W2505" s="5" t="s">
        <v>17640</v>
      </c>
      <c r="X2505" s="5" t="s">
        <v>17640</v>
      </c>
      <c r="Y2505" s="4">
        <v>331</v>
      </c>
      <c r="Z2505" s="4">
        <v>238</v>
      </c>
      <c r="AA2505" s="4">
        <v>245</v>
      </c>
      <c r="AB2505" s="4">
        <v>3</v>
      </c>
      <c r="AC2505" s="4">
        <v>3</v>
      </c>
      <c r="AD2505" s="4">
        <v>10</v>
      </c>
      <c r="AE2505" s="4">
        <v>10</v>
      </c>
      <c r="AF2505" s="4">
        <v>0</v>
      </c>
      <c r="AG2505" s="4">
        <v>0</v>
      </c>
      <c r="AH2505" s="4">
        <v>5</v>
      </c>
      <c r="AI2505" s="4">
        <v>5</v>
      </c>
      <c r="AJ2505" s="4">
        <v>5</v>
      </c>
      <c r="AK2505" s="4">
        <v>5</v>
      </c>
      <c r="AL2505" s="4">
        <v>2</v>
      </c>
      <c r="AM2505" s="4">
        <v>2</v>
      </c>
      <c r="AN2505" s="4">
        <v>0</v>
      </c>
      <c r="AO2505" s="4">
        <v>0</v>
      </c>
      <c r="AP2505" s="3" t="s">
        <v>58</v>
      </c>
      <c r="AQ2505" s="3" t="s">
        <v>68</v>
      </c>
      <c r="AR2505" s="6" t="str">
        <f>HYPERLINK("http://catalog.hathitrust.org/Record/000570592","HathiTrust Record")</f>
        <v>HathiTrust Record</v>
      </c>
      <c r="AS2505" s="6" t="str">
        <f>HYPERLINK("https://creighton-primo.hosted.exlibrisgroup.com/primo-explore/search?tab=default_tab&amp;search_scope=EVERYTHING&amp;vid=01CRU&amp;lang=en_US&amp;offset=0&amp;query=any,contains,991000676709702656","Catalog Record")</f>
        <v>Catalog Record</v>
      </c>
      <c r="AT2505" s="6" t="str">
        <f>HYPERLINK("http://www.worldcat.org/oclc/12362098","WorldCat Record")</f>
        <v>WorldCat Record</v>
      </c>
      <c r="AU2505" s="3" t="s">
        <v>30558</v>
      </c>
      <c r="AV2505" s="3" t="s">
        <v>30559</v>
      </c>
      <c r="AW2505" s="3" t="s">
        <v>30560</v>
      </c>
      <c r="AX2505" s="3" t="s">
        <v>30560</v>
      </c>
      <c r="AY2505" s="3" t="s">
        <v>30561</v>
      </c>
      <c r="AZ2505" s="3" t="s">
        <v>73</v>
      </c>
      <c r="BB2505" s="3" t="s">
        <v>30562</v>
      </c>
      <c r="BC2505" s="3" t="s">
        <v>30563</v>
      </c>
      <c r="BD2505" s="3" t="s">
        <v>30564</v>
      </c>
    </row>
    <row r="2506" spans="1:56" ht="51" customHeight="1" x14ac:dyDescent="0.25">
      <c r="A2506" s="7" t="s">
        <v>58</v>
      </c>
      <c r="B2506" s="2" t="s">
        <v>30565</v>
      </c>
      <c r="C2506" s="2" t="s">
        <v>30566</v>
      </c>
      <c r="D2506" s="2" t="s">
        <v>30567</v>
      </c>
      <c r="F2506" s="3" t="s">
        <v>58</v>
      </c>
      <c r="G2506" s="3" t="s">
        <v>59</v>
      </c>
      <c r="H2506" s="3" t="s">
        <v>58</v>
      </c>
      <c r="I2506" s="3" t="s">
        <v>58</v>
      </c>
      <c r="J2506" s="3" t="s">
        <v>60</v>
      </c>
      <c r="K2506" s="2" t="s">
        <v>30568</v>
      </c>
      <c r="L2506" s="2" t="s">
        <v>30569</v>
      </c>
      <c r="M2506" s="3" t="s">
        <v>996</v>
      </c>
      <c r="O2506" s="3" t="s">
        <v>63</v>
      </c>
      <c r="P2506" s="3" t="s">
        <v>84</v>
      </c>
      <c r="Q2506" s="2" t="s">
        <v>30570</v>
      </c>
      <c r="R2506" s="3" t="s">
        <v>65</v>
      </c>
      <c r="S2506" s="4">
        <v>2</v>
      </c>
      <c r="T2506" s="4">
        <v>2</v>
      </c>
      <c r="U2506" s="5" t="s">
        <v>17129</v>
      </c>
      <c r="V2506" s="5" t="s">
        <v>17129</v>
      </c>
      <c r="W2506" s="5" t="s">
        <v>20416</v>
      </c>
      <c r="X2506" s="5" t="s">
        <v>20416</v>
      </c>
      <c r="Y2506" s="4">
        <v>397</v>
      </c>
      <c r="Z2506" s="4">
        <v>306</v>
      </c>
      <c r="AA2506" s="4">
        <v>314</v>
      </c>
      <c r="AB2506" s="4">
        <v>3</v>
      </c>
      <c r="AC2506" s="4">
        <v>3</v>
      </c>
      <c r="AD2506" s="4">
        <v>15</v>
      </c>
      <c r="AE2506" s="4">
        <v>15</v>
      </c>
      <c r="AF2506" s="4">
        <v>4</v>
      </c>
      <c r="AG2506" s="4">
        <v>4</v>
      </c>
      <c r="AH2506" s="4">
        <v>6</v>
      </c>
      <c r="AI2506" s="4">
        <v>6</v>
      </c>
      <c r="AJ2506" s="4">
        <v>7</v>
      </c>
      <c r="AK2506" s="4">
        <v>7</v>
      </c>
      <c r="AL2506" s="4">
        <v>2</v>
      </c>
      <c r="AM2506" s="4">
        <v>2</v>
      </c>
      <c r="AN2506" s="4">
        <v>0</v>
      </c>
      <c r="AO2506" s="4">
        <v>0</v>
      </c>
      <c r="AP2506" s="3" t="s">
        <v>58</v>
      </c>
      <c r="AQ2506" s="3" t="s">
        <v>58</v>
      </c>
      <c r="AR2506" s="6" t="str">
        <f>HYPERLINK("http://catalog.hathitrust.org/Record/010090865","HathiTrust Record")</f>
        <v>HathiTrust Record</v>
      </c>
      <c r="AS2506" s="6" t="str">
        <f>HYPERLINK("https://creighton-primo.hosted.exlibrisgroup.com/primo-explore/search?tab=default_tab&amp;search_scope=EVERYTHING&amp;vid=01CRU&amp;lang=en_US&amp;offset=0&amp;query=any,contains,991003045259702656","Catalog Record")</f>
        <v>Catalog Record</v>
      </c>
      <c r="AT2506" s="6" t="str">
        <f>HYPERLINK("http://www.worldcat.org/oclc/605989","WorldCat Record")</f>
        <v>WorldCat Record</v>
      </c>
      <c r="AU2506" s="3" t="s">
        <v>30571</v>
      </c>
      <c r="AV2506" s="3" t="s">
        <v>30572</v>
      </c>
      <c r="AW2506" s="3" t="s">
        <v>30573</v>
      </c>
      <c r="AX2506" s="3" t="s">
        <v>30573</v>
      </c>
      <c r="AY2506" s="3" t="s">
        <v>30574</v>
      </c>
      <c r="AZ2506" s="3" t="s">
        <v>73</v>
      </c>
      <c r="BB2506" s="3" t="s">
        <v>30575</v>
      </c>
      <c r="BC2506" s="3" t="s">
        <v>30576</v>
      </c>
      <c r="BD2506" s="3" t="s">
        <v>30577</v>
      </c>
    </row>
    <row r="2507" spans="1:56" ht="51" customHeight="1" x14ac:dyDescent="0.25">
      <c r="A2507" s="7" t="s">
        <v>58</v>
      </c>
      <c r="B2507" s="2" t="s">
        <v>30578</v>
      </c>
      <c r="C2507" s="2" t="s">
        <v>30579</v>
      </c>
      <c r="D2507" s="2" t="s">
        <v>30580</v>
      </c>
      <c r="F2507" s="3" t="s">
        <v>58</v>
      </c>
      <c r="G2507" s="3" t="s">
        <v>59</v>
      </c>
      <c r="H2507" s="3" t="s">
        <v>58</v>
      </c>
      <c r="I2507" s="3" t="s">
        <v>58</v>
      </c>
      <c r="J2507" s="3" t="s">
        <v>60</v>
      </c>
      <c r="K2507" s="2" t="s">
        <v>30568</v>
      </c>
      <c r="L2507" s="2" t="s">
        <v>30581</v>
      </c>
      <c r="M2507" s="3" t="s">
        <v>101</v>
      </c>
      <c r="O2507" s="3" t="s">
        <v>63</v>
      </c>
      <c r="P2507" s="3" t="s">
        <v>214</v>
      </c>
      <c r="R2507" s="3" t="s">
        <v>65</v>
      </c>
      <c r="S2507" s="4">
        <v>8</v>
      </c>
      <c r="T2507" s="4">
        <v>8</v>
      </c>
      <c r="U2507" s="5" t="s">
        <v>4298</v>
      </c>
      <c r="V2507" s="5" t="s">
        <v>4298</v>
      </c>
      <c r="W2507" s="5" t="s">
        <v>17640</v>
      </c>
      <c r="X2507" s="5" t="s">
        <v>17640</v>
      </c>
      <c r="Y2507" s="4">
        <v>858</v>
      </c>
      <c r="Z2507" s="4">
        <v>757</v>
      </c>
      <c r="AA2507" s="4">
        <v>1169</v>
      </c>
      <c r="AB2507" s="4">
        <v>6</v>
      </c>
      <c r="AC2507" s="4">
        <v>8</v>
      </c>
      <c r="AD2507" s="4">
        <v>23</v>
      </c>
      <c r="AE2507" s="4">
        <v>38</v>
      </c>
      <c r="AF2507" s="4">
        <v>8</v>
      </c>
      <c r="AG2507" s="4">
        <v>17</v>
      </c>
      <c r="AH2507" s="4">
        <v>6</v>
      </c>
      <c r="AI2507" s="4">
        <v>9</v>
      </c>
      <c r="AJ2507" s="4">
        <v>10</v>
      </c>
      <c r="AK2507" s="4">
        <v>15</v>
      </c>
      <c r="AL2507" s="4">
        <v>5</v>
      </c>
      <c r="AM2507" s="4">
        <v>7</v>
      </c>
      <c r="AN2507" s="4">
        <v>0</v>
      </c>
      <c r="AO2507" s="4">
        <v>1</v>
      </c>
      <c r="AP2507" s="3" t="s">
        <v>58</v>
      </c>
      <c r="AQ2507" s="3" t="s">
        <v>68</v>
      </c>
      <c r="AR2507" s="6" t="str">
        <f>HYPERLINK("http://catalog.hathitrust.org/Record/000280925","HathiTrust Record")</f>
        <v>HathiTrust Record</v>
      </c>
      <c r="AS2507" s="6" t="str">
        <f>HYPERLINK("https://creighton-primo.hosted.exlibrisgroup.com/primo-explore/search?tab=default_tab&amp;search_scope=EVERYTHING&amp;vid=01CRU&amp;lang=en_US&amp;offset=0&amp;query=any,contains,991000361949702656","Catalog Record")</f>
        <v>Catalog Record</v>
      </c>
      <c r="AT2507" s="6" t="str">
        <f>HYPERLINK("http://www.worldcat.org/oclc/10374930","WorldCat Record")</f>
        <v>WorldCat Record</v>
      </c>
      <c r="AU2507" s="3" t="s">
        <v>30582</v>
      </c>
      <c r="AV2507" s="3" t="s">
        <v>30583</v>
      </c>
      <c r="AW2507" s="3" t="s">
        <v>30584</v>
      </c>
      <c r="AX2507" s="3" t="s">
        <v>30584</v>
      </c>
      <c r="AY2507" s="3" t="s">
        <v>30585</v>
      </c>
      <c r="AZ2507" s="3" t="s">
        <v>73</v>
      </c>
      <c r="BB2507" s="3" t="s">
        <v>30586</v>
      </c>
      <c r="BC2507" s="3" t="s">
        <v>30587</v>
      </c>
      <c r="BD2507" s="3" t="s">
        <v>30588</v>
      </c>
    </row>
    <row r="2508" spans="1:56" ht="51" customHeight="1" x14ac:dyDescent="0.25">
      <c r="A2508" s="7" t="s">
        <v>58</v>
      </c>
      <c r="B2508" s="2" t="s">
        <v>30589</v>
      </c>
      <c r="C2508" s="2" t="s">
        <v>30590</v>
      </c>
      <c r="D2508" s="2" t="s">
        <v>30591</v>
      </c>
      <c r="F2508" s="3" t="s">
        <v>58</v>
      </c>
      <c r="G2508" s="3" t="s">
        <v>59</v>
      </c>
      <c r="H2508" s="3" t="s">
        <v>58</v>
      </c>
      <c r="I2508" s="3" t="s">
        <v>58</v>
      </c>
      <c r="J2508" s="3" t="s">
        <v>60</v>
      </c>
      <c r="K2508" s="2" t="s">
        <v>30141</v>
      </c>
      <c r="L2508" s="2" t="s">
        <v>30592</v>
      </c>
      <c r="M2508" s="3" t="s">
        <v>368</v>
      </c>
      <c r="O2508" s="3" t="s">
        <v>63</v>
      </c>
      <c r="P2508" s="3" t="s">
        <v>214</v>
      </c>
      <c r="R2508" s="3" t="s">
        <v>65</v>
      </c>
      <c r="S2508" s="4">
        <v>6</v>
      </c>
      <c r="T2508" s="4">
        <v>6</v>
      </c>
      <c r="U2508" s="5" t="s">
        <v>11875</v>
      </c>
      <c r="V2508" s="5" t="s">
        <v>11875</v>
      </c>
      <c r="W2508" s="5" t="s">
        <v>3723</v>
      </c>
      <c r="X2508" s="5" t="s">
        <v>3723</v>
      </c>
      <c r="Y2508" s="4">
        <v>530</v>
      </c>
      <c r="Z2508" s="4">
        <v>436</v>
      </c>
      <c r="AA2508" s="4">
        <v>457</v>
      </c>
      <c r="AB2508" s="4">
        <v>5</v>
      </c>
      <c r="AC2508" s="4">
        <v>6</v>
      </c>
      <c r="AD2508" s="4">
        <v>20</v>
      </c>
      <c r="AE2508" s="4">
        <v>22</v>
      </c>
      <c r="AF2508" s="4">
        <v>9</v>
      </c>
      <c r="AG2508" s="4">
        <v>9</v>
      </c>
      <c r="AH2508" s="4">
        <v>5</v>
      </c>
      <c r="AI2508" s="4">
        <v>5</v>
      </c>
      <c r="AJ2508" s="4">
        <v>7</v>
      </c>
      <c r="AK2508" s="4">
        <v>8</v>
      </c>
      <c r="AL2508" s="4">
        <v>4</v>
      </c>
      <c r="AM2508" s="4">
        <v>5</v>
      </c>
      <c r="AN2508" s="4">
        <v>0</v>
      </c>
      <c r="AO2508" s="4">
        <v>0</v>
      </c>
      <c r="AP2508" s="3" t="s">
        <v>58</v>
      </c>
      <c r="AQ2508" s="3" t="s">
        <v>68</v>
      </c>
      <c r="AR2508" s="6" t="str">
        <f>HYPERLINK("http://catalog.hathitrust.org/Record/000693370","HathiTrust Record")</f>
        <v>HathiTrust Record</v>
      </c>
      <c r="AS2508" s="6" t="str">
        <f>HYPERLINK("https://creighton-primo.hosted.exlibrisgroup.com/primo-explore/search?tab=default_tab&amp;search_scope=EVERYTHING&amp;vid=01CRU&amp;lang=en_US&amp;offset=0&amp;query=any,contains,991003969529702656","Catalog Record")</f>
        <v>Catalog Record</v>
      </c>
      <c r="AT2508" s="6" t="str">
        <f>HYPERLINK("http://www.worldcat.org/oclc/1991304","WorldCat Record")</f>
        <v>WorldCat Record</v>
      </c>
      <c r="AU2508" s="3" t="s">
        <v>30593</v>
      </c>
      <c r="AV2508" s="3" t="s">
        <v>30594</v>
      </c>
      <c r="AW2508" s="3" t="s">
        <v>30595</v>
      </c>
      <c r="AX2508" s="3" t="s">
        <v>30595</v>
      </c>
      <c r="AY2508" s="3" t="s">
        <v>30596</v>
      </c>
      <c r="AZ2508" s="3" t="s">
        <v>73</v>
      </c>
      <c r="BB2508" s="3" t="s">
        <v>30597</v>
      </c>
      <c r="BC2508" s="3" t="s">
        <v>30598</v>
      </c>
      <c r="BD2508" s="3" t="s">
        <v>30599</v>
      </c>
    </row>
    <row r="2509" spans="1:56" ht="51" customHeight="1" x14ac:dyDescent="0.25">
      <c r="A2509" s="7" t="s">
        <v>58</v>
      </c>
      <c r="B2509" s="2" t="s">
        <v>30600</v>
      </c>
      <c r="C2509" s="2" t="s">
        <v>30601</v>
      </c>
      <c r="D2509" s="2" t="s">
        <v>30602</v>
      </c>
      <c r="F2509" s="3" t="s">
        <v>58</v>
      </c>
      <c r="G2509" s="3" t="s">
        <v>59</v>
      </c>
      <c r="H2509" s="3" t="s">
        <v>58</v>
      </c>
      <c r="I2509" s="3" t="s">
        <v>58</v>
      </c>
      <c r="J2509" s="3" t="s">
        <v>60</v>
      </c>
      <c r="K2509" s="2" t="s">
        <v>30603</v>
      </c>
      <c r="L2509" s="2" t="s">
        <v>30604</v>
      </c>
      <c r="M2509" s="3" t="s">
        <v>898</v>
      </c>
      <c r="N2509" s="2" t="s">
        <v>30605</v>
      </c>
      <c r="O2509" s="3" t="s">
        <v>63</v>
      </c>
      <c r="P2509" s="3" t="s">
        <v>584</v>
      </c>
      <c r="R2509" s="3" t="s">
        <v>65</v>
      </c>
      <c r="S2509" s="4">
        <v>2</v>
      </c>
      <c r="T2509" s="4">
        <v>2</v>
      </c>
      <c r="U2509" s="5" t="s">
        <v>2933</v>
      </c>
      <c r="V2509" s="5" t="s">
        <v>2933</v>
      </c>
      <c r="W2509" s="5" t="s">
        <v>4423</v>
      </c>
      <c r="X2509" s="5" t="s">
        <v>4423</v>
      </c>
      <c r="Y2509" s="4">
        <v>208</v>
      </c>
      <c r="Z2509" s="4">
        <v>163</v>
      </c>
      <c r="AA2509" s="4">
        <v>167</v>
      </c>
      <c r="AB2509" s="4">
        <v>1</v>
      </c>
      <c r="AC2509" s="4">
        <v>1</v>
      </c>
      <c r="AD2509" s="4">
        <v>8</v>
      </c>
      <c r="AE2509" s="4">
        <v>9</v>
      </c>
      <c r="AF2509" s="4">
        <v>2</v>
      </c>
      <c r="AG2509" s="4">
        <v>3</v>
      </c>
      <c r="AH2509" s="4">
        <v>5</v>
      </c>
      <c r="AI2509" s="4">
        <v>5</v>
      </c>
      <c r="AJ2509" s="4">
        <v>4</v>
      </c>
      <c r="AK2509" s="4">
        <v>5</v>
      </c>
      <c r="AL2509" s="4">
        <v>0</v>
      </c>
      <c r="AM2509" s="4">
        <v>0</v>
      </c>
      <c r="AN2509" s="4">
        <v>0</v>
      </c>
      <c r="AO2509" s="4">
        <v>0</v>
      </c>
      <c r="AP2509" s="3" t="s">
        <v>58</v>
      </c>
      <c r="AQ2509" s="3" t="s">
        <v>68</v>
      </c>
      <c r="AR2509" s="6" t="str">
        <f>HYPERLINK("http://catalog.hathitrust.org/Record/005376027","HathiTrust Record")</f>
        <v>HathiTrust Record</v>
      </c>
      <c r="AS2509" s="6" t="str">
        <f>HYPERLINK("https://creighton-primo.hosted.exlibrisgroup.com/primo-explore/search?tab=default_tab&amp;search_scope=EVERYTHING&amp;vid=01CRU&amp;lang=en_US&amp;offset=0&amp;query=any,contains,991005033199702656","Catalog Record")</f>
        <v>Catalog Record</v>
      </c>
      <c r="AT2509" s="6" t="str">
        <f>HYPERLINK("http://www.worldcat.org/oclc/70954844","WorldCat Record")</f>
        <v>WorldCat Record</v>
      </c>
      <c r="AU2509" s="3" t="s">
        <v>30606</v>
      </c>
      <c r="AV2509" s="3" t="s">
        <v>30607</v>
      </c>
      <c r="AW2509" s="3" t="s">
        <v>30608</v>
      </c>
      <c r="AX2509" s="3" t="s">
        <v>30608</v>
      </c>
      <c r="AY2509" s="3" t="s">
        <v>30609</v>
      </c>
      <c r="AZ2509" s="3" t="s">
        <v>73</v>
      </c>
      <c r="BB2509" s="3" t="s">
        <v>30610</v>
      </c>
      <c r="BC2509" s="3" t="s">
        <v>30611</v>
      </c>
      <c r="BD2509" s="3" t="s">
        <v>30612</v>
      </c>
    </row>
    <row r="2510" spans="1:56" ht="51" customHeight="1" x14ac:dyDescent="0.25">
      <c r="A2510" s="7" t="s">
        <v>58</v>
      </c>
      <c r="B2510" s="2" t="s">
        <v>30613</v>
      </c>
      <c r="C2510" s="2" t="s">
        <v>30614</v>
      </c>
      <c r="D2510" s="2" t="s">
        <v>30615</v>
      </c>
      <c r="F2510" s="3" t="s">
        <v>58</v>
      </c>
      <c r="G2510" s="3" t="s">
        <v>59</v>
      </c>
      <c r="H2510" s="3" t="s">
        <v>58</v>
      </c>
      <c r="I2510" s="3" t="s">
        <v>58</v>
      </c>
      <c r="J2510" s="3" t="s">
        <v>60</v>
      </c>
      <c r="K2510" s="2" t="s">
        <v>30616</v>
      </c>
      <c r="L2510" s="2" t="s">
        <v>30617</v>
      </c>
      <c r="M2510" s="3" t="s">
        <v>800</v>
      </c>
      <c r="O2510" s="3" t="s">
        <v>63</v>
      </c>
      <c r="P2510" s="3" t="s">
        <v>584</v>
      </c>
      <c r="R2510" s="3" t="s">
        <v>65</v>
      </c>
      <c r="S2510" s="4">
        <v>5</v>
      </c>
      <c r="T2510" s="4">
        <v>5</v>
      </c>
      <c r="U2510" s="5" t="s">
        <v>30618</v>
      </c>
      <c r="V2510" s="5" t="s">
        <v>30618</v>
      </c>
      <c r="W2510" s="5" t="s">
        <v>10478</v>
      </c>
      <c r="X2510" s="5" t="s">
        <v>10478</v>
      </c>
      <c r="Y2510" s="4">
        <v>327</v>
      </c>
      <c r="Z2510" s="4">
        <v>232</v>
      </c>
      <c r="AA2510" s="4">
        <v>235</v>
      </c>
      <c r="AB2510" s="4">
        <v>1</v>
      </c>
      <c r="AC2510" s="4">
        <v>1</v>
      </c>
      <c r="AD2510" s="4">
        <v>12</v>
      </c>
      <c r="AE2510" s="4">
        <v>12</v>
      </c>
      <c r="AF2510" s="4">
        <v>4</v>
      </c>
      <c r="AG2510" s="4">
        <v>4</v>
      </c>
      <c r="AH2510" s="4">
        <v>6</v>
      </c>
      <c r="AI2510" s="4">
        <v>6</v>
      </c>
      <c r="AJ2510" s="4">
        <v>7</v>
      </c>
      <c r="AK2510" s="4">
        <v>7</v>
      </c>
      <c r="AL2510" s="4">
        <v>0</v>
      </c>
      <c r="AM2510" s="4">
        <v>0</v>
      </c>
      <c r="AN2510" s="4">
        <v>0</v>
      </c>
      <c r="AO2510" s="4">
        <v>0</v>
      </c>
      <c r="AP2510" s="3" t="s">
        <v>58</v>
      </c>
      <c r="AQ2510" s="3" t="s">
        <v>58</v>
      </c>
      <c r="AS2510" s="6" t="str">
        <f>HYPERLINK("https://creighton-primo.hosted.exlibrisgroup.com/primo-explore/search?tab=default_tab&amp;search_scope=EVERYTHING&amp;vid=01CRU&amp;lang=en_US&amp;offset=0&amp;query=any,contains,991002453359702656","Catalog Record")</f>
        <v>Catalog Record</v>
      </c>
      <c r="AT2510" s="6" t="str">
        <f>HYPERLINK("http://www.worldcat.org/oclc/32001060","WorldCat Record")</f>
        <v>WorldCat Record</v>
      </c>
      <c r="AU2510" s="3" t="s">
        <v>30619</v>
      </c>
      <c r="AV2510" s="3" t="s">
        <v>30620</v>
      </c>
      <c r="AW2510" s="3" t="s">
        <v>30621</v>
      </c>
      <c r="AX2510" s="3" t="s">
        <v>30621</v>
      </c>
      <c r="AY2510" s="3" t="s">
        <v>30622</v>
      </c>
      <c r="AZ2510" s="3" t="s">
        <v>73</v>
      </c>
      <c r="BB2510" s="3" t="s">
        <v>30623</v>
      </c>
      <c r="BC2510" s="3" t="s">
        <v>30624</v>
      </c>
      <c r="BD2510" s="3" t="s">
        <v>30625</v>
      </c>
    </row>
    <row r="2511" spans="1:56" ht="51" customHeight="1" x14ac:dyDescent="0.25">
      <c r="A2511" s="7" t="s">
        <v>58</v>
      </c>
      <c r="B2511" s="2" t="s">
        <v>30626</v>
      </c>
      <c r="C2511" s="2" t="s">
        <v>30627</v>
      </c>
      <c r="D2511" s="2" t="s">
        <v>30628</v>
      </c>
      <c r="F2511" s="3" t="s">
        <v>58</v>
      </c>
      <c r="G2511" s="3" t="s">
        <v>59</v>
      </c>
      <c r="H2511" s="3" t="s">
        <v>58</v>
      </c>
      <c r="I2511" s="3" t="s">
        <v>58</v>
      </c>
      <c r="J2511" s="3" t="s">
        <v>60</v>
      </c>
      <c r="K2511" s="2" t="s">
        <v>30629</v>
      </c>
      <c r="L2511" s="2" t="s">
        <v>30630</v>
      </c>
      <c r="M2511" s="3" t="s">
        <v>196</v>
      </c>
      <c r="O2511" s="3" t="s">
        <v>63</v>
      </c>
      <c r="P2511" s="3" t="s">
        <v>2630</v>
      </c>
      <c r="R2511" s="3" t="s">
        <v>65</v>
      </c>
      <c r="S2511" s="4">
        <v>1</v>
      </c>
      <c r="T2511" s="4">
        <v>1</v>
      </c>
      <c r="U2511" s="5" t="s">
        <v>30631</v>
      </c>
      <c r="V2511" s="5" t="s">
        <v>30631</v>
      </c>
      <c r="W2511" s="5" t="s">
        <v>30631</v>
      </c>
      <c r="X2511" s="5" t="s">
        <v>30631</v>
      </c>
      <c r="Y2511" s="4">
        <v>266</v>
      </c>
      <c r="Z2511" s="4">
        <v>230</v>
      </c>
      <c r="AA2511" s="4">
        <v>247</v>
      </c>
      <c r="AB2511" s="4">
        <v>6</v>
      </c>
      <c r="AC2511" s="4">
        <v>6</v>
      </c>
      <c r="AD2511" s="4">
        <v>8</v>
      </c>
      <c r="AE2511" s="4">
        <v>10</v>
      </c>
      <c r="AF2511" s="4">
        <v>0</v>
      </c>
      <c r="AG2511" s="4">
        <v>1</v>
      </c>
      <c r="AH2511" s="4">
        <v>3</v>
      </c>
      <c r="AI2511" s="4">
        <v>4</v>
      </c>
      <c r="AJ2511" s="4">
        <v>4</v>
      </c>
      <c r="AK2511" s="4">
        <v>4</v>
      </c>
      <c r="AL2511" s="4">
        <v>3</v>
      </c>
      <c r="AM2511" s="4">
        <v>3</v>
      </c>
      <c r="AN2511" s="4">
        <v>0</v>
      </c>
      <c r="AO2511" s="4">
        <v>0</v>
      </c>
      <c r="AP2511" s="3" t="s">
        <v>58</v>
      </c>
      <c r="AQ2511" s="3" t="s">
        <v>68</v>
      </c>
      <c r="AR2511" s="6" t="str">
        <f>HYPERLINK("http://catalog.hathitrust.org/Record/003052733","HathiTrust Record")</f>
        <v>HathiTrust Record</v>
      </c>
      <c r="AS2511" s="6" t="str">
        <f>HYPERLINK("https://creighton-primo.hosted.exlibrisgroup.com/primo-explore/search?tab=default_tab&amp;search_scope=EVERYTHING&amp;vid=01CRU&amp;lang=en_US&amp;offset=0&amp;query=any,contains,991004117359702656","Catalog Record")</f>
        <v>Catalog Record</v>
      </c>
      <c r="AT2511" s="6" t="str">
        <f>HYPERLINK("http://www.worldcat.org/oclc/33819840","WorldCat Record")</f>
        <v>WorldCat Record</v>
      </c>
      <c r="AU2511" s="3" t="s">
        <v>30632</v>
      </c>
      <c r="AV2511" s="3" t="s">
        <v>30633</v>
      </c>
      <c r="AW2511" s="3" t="s">
        <v>30634</v>
      </c>
      <c r="AX2511" s="3" t="s">
        <v>30634</v>
      </c>
      <c r="AY2511" s="3" t="s">
        <v>30635</v>
      </c>
      <c r="AZ2511" s="3" t="s">
        <v>73</v>
      </c>
      <c r="BB2511" s="3" t="s">
        <v>30636</v>
      </c>
      <c r="BC2511" s="3" t="s">
        <v>30637</v>
      </c>
      <c r="BD2511" s="3" t="s">
        <v>30638</v>
      </c>
    </row>
    <row r="2512" spans="1:56" ht="51" customHeight="1" x14ac:dyDescent="0.25">
      <c r="A2512" s="7" t="s">
        <v>58</v>
      </c>
      <c r="B2512" s="2" t="s">
        <v>30639</v>
      </c>
      <c r="C2512" s="2" t="s">
        <v>30640</v>
      </c>
      <c r="D2512" s="2" t="s">
        <v>30641</v>
      </c>
      <c r="F2512" s="3" t="s">
        <v>58</v>
      </c>
      <c r="G2512" s="3" t="s">
        <v>59</v>
      </c>
      <c r="H2512" s="3" t="s">
        <v>58</v>
      </c>
      <c r="I2512" s="3" t="s">
        <v>58</v>
      </c>
      <c r="J2512" s="3" t="s">
        <v>60</v>
      </c>
      <c r="K2512" s="2" t="s">
        <v>30642</v>
      </c>
      <c r="L2512" s="2" t="s">
        <v>30643</v>
      </c>
      <c r="M2512" s="3" t="s">
        <v>759</v>
      </c>
      <c r="O2512" s="3" t="s">
        <v>63</v>
      </c>
      <c r="P2512" s="3" t="s">
        <v>214</v>
      </c>
      <c r="R2512" s="3" t="s">
        <v>65</v>
      </c>
      <c r="S2512" s="4">
        <v>10</v>
      </c>
      <c r="T2512" s="4">
        <v>10</v>
      </c>
      <c r="U2512" s="5" t="s">
        <v>30143</v>
      </c>
      <c r="V2512" s="5" t="s">
        <v>30143</v>
      </c>
      <c r="W2512" s="5" t="s">
        <v>17640</v>
      </c>
      <c r="X2512" s="5" t="s">
        <v>17640</v>
      </c>
      <c r="Y2512" s="4">
        <v>496</v>
      </c>
      <c r="Z2512" s="4">
        <v>392</v>
      </c>
      <c r="AA2512" s="4">
        <v>394</v>
      </c>
      <c r="AB2512" s="4">
        <v>5</v>
      </c>
      <c r="AC2512" s="4">
        <v>5</v>
      </c>
      <c r="AD2512" s="4">
        <v>18</v>
      </c>
      <c r="AE2512" s="4">
        <v>18</v>
      </c>
      <c r="AF2512" s="4">
        <v>6</v>
      </c>
      <c r="AG2512" s="4">
        <v>6</v>
      </c>
      <c r="AH2512" s="4">
        <v>5</v>
      </c>
      <c r="AI2512" s="4">
        <v>5</v>
      </c>
      <c r="AJ2512" s="4">
        <v>8</v>
      </c>
      <c r="AK2512" s="4">
        <v>8</v>
      </c>
      <c r="AL2512" s="4">
        <v>4</v>
      </c>
      <c r="AM2512" s="4">
        <v>4</v>
      </c>
      <c r="AN2512" s="4">
        <v>0</v>
      </c>
      <c r="AO2512" s="4">
        <v>0</v>
      </c>
      <c r="AP2512" s="3" t="s">
        <v>58</v>
      </c>
      <c r="AQ2512" s="3" t="s">
        <v>68</v>
      </c>
      <c r="AR2512" s="6" t="str">
        <f>HYPERLINK("http://catalog.hathitrust.org/Record/000695864","HathiTrust Record")</f>
        <v>HathiTrust Record</v>
      </c>
      <c r="AS2512" s="6" t="str">
        <f>HYPERLINK("https://creighton-primo.hosted.exlibrisgroup.com/primo-explore/search?tab=default_tab&amp;search_scope=EVERYTHING&amp;vid=01CRU&amp;lang=en_US&amp;offset=0&amp;query=any,contains,991004820979702656","Catalog Record")</f>
        <v>Catalog Record</v>
      </c>
      <c r="AT2512" s="6" t="str">
        <f>HYPERLINK("http://www.worldcat.org/oclc/5333766","WorldCat Record")</f>
        <v>WorldCat Record</v>
      </c>
      <c r="AU2512" s="3" t="s">
        <v>30644</v>
      </c>
      <c r="AV2512" s="3" t="s">
        <v>30645</v>
      </c>
      <c r="AW2512" s="3" t="s">
        <v>30646</v>
      </c>
      <c r="AX2512" s="3" t="s">
        <v>30646</v>
      </c>
      <c r="AY2512" s="3" t="s">
        <v>30647</v>
      </c>
      <c r="AZ2512" s="3" t="s">
        <v>73</v>
      </c>
      <c r="BB2512" s="3" t="s">
        <v>30648</v>
      </c>
      <c r="BC2512" s="3" t="s">
        <v>30649</v>
      </c>
      <c r="BD2512" s="3" t="s">
        <v>30650</v>
      </c>
    </row>
    <row r="2513" spans="1:56" ht="51" customHeight="1" x14ac:dyDescent="0.25">
      <c r="A2513" s="7" t="s">
        <v>58</v>
      </c>
      <c r="B2513" s="2" t="s">
        <v>30651</v>
      </c>
      <c r="C2513" s="2" t="s">
        <v>30652</v>
      </c>
      <c r="D2513" s="2" t="s">
        <v>30653</v>
      </c>
      <c r="F2513" s="3" t="s">
        <v>58</v>
      </c>
      <c r="G2513" s="3" t="s">
        <v>59</v>
      </c>
      <c r="H2513" s="3" t="s">
        <v>58</v>
      </c>
      <c r="I2513" s="3" t="s">
        <v>58</v>
      </c>
      <c r="J2513" s="3" t="s">
        <v>60</v>
      </c>
      <c r="K2513" s="2" t="s">
        <v>30654</v>
      </c>
      <c r="L2513" s="2" t="s">
        <v>30655</v>
      </c>
      <c r="M2513" s="3" t="s">
        <v>951</v>
      </c>
      <c r="O2513" s="3" t="s">
        <v>63</v>
      </c>
      <c r="P2513" s="3" t="s">
        <v>816</v>
      </c>
      <c r="R2513" s="3" t="s">
        <v>65</v>
      </c>
      <c r="S2513" s="4">
        <v>1</v>
      </c>
      <c r="T2513" s="4">
        <v>1</v>
      </c>
      <c r="U2513" s="5" t="s">
        <v>30656</v>
      </c>
      <c r="V2513" s="5" t="s">
        <v>30656</v>
      </c>
      <c r="W2513" s="5" t="s">
        <v>30656</v>
      </c>
      <c r="X2513" s="5" t="s">
        <v>30656</v>
      </c>
      <c r="Y2513" s="4">
        <v>262</v>
      </c>
      <c r="Z2513" s="4">
        <v>217</v>
      </c>
      <c r="AA2513" s="4">
        <v>250</v>
      </c>
      <c r="AB2513" s="4">
        <v>3</v>
      </c>
      <c r="AC2513" s="4">
        <v>3</v>
      </c>
      <c r="AD2513" s="4">
        <v>17</v>
      </c>
      <c r="AE2513" s="4">
        <v>18</v>
      </c>
      <c r="AF2513" s="4">
        <v>4</v>
      </c>
      <c r="AG2513" s="4">
        <v>4</v>
      </c>
      <c r="AH2513" s="4">
        <v>4</v>
      </c>
      <c r="AI2513" s="4">
        <v>5</v>
      </c>
      <c r="AJ2513" s="4">
        <v>11</v>
      </c>
      <c r="AK2513" s="4">
        <v>12</v>
      </c>
      <c r="AL2513" s="4">
        <v>2</v>
      </c>
      <c r="AM2513" s="4">
        <v>2</v>
      </c>
      <c r="AN2513" s="4">
        <v>0</v>
      </c>
      <c r="AO2513" s="4">
        <v>0</v>
      </c>
      <c r="AP2513" s="3" t="s">
        <v>58</v>
      </c>
      <c r="AQ2513" s="3" t="s">
        <v>58</v>
      </c>
      <c r="AS2513" s="6" t="str">
        <f>HYPERLINK("https://creighton-primo.hosted.exlibrisgroup.com/primo-explore/search?tab=default_tab&amp;search_scope=EVERYTHING&amp;vid=01CRU&amp;lang=en_US&amp;offset=0&amp;query=any,contains,991004346149702656","Catalog Record")</f>
        <v>Catalog Record</v>
      </c>
      <c r="AT2513" s="6" t="str">
        <f>HYPERLINK("http://www.worldcat.org/oclc/41572625","WorldCat Record")</f>
        <v>WorldCat Record</v>
      </c>
      <c r="AU2513" s="3" t="s">
        <v>30657</v>
      </c>
      <c r="AV2513" s="3" t="s">
        <v>30658</v>
      </c>
      <c r="AW2513" s="3" t="s">
        <v>30659</v>
      </c>
      <c r="AX2513" s="3" t="s">
        <v>30659</v>
      </c>
      <c r="AY2513" s="3" t="s">
        <v>30660</v>
      </c>
      <c r="AZ2513" s="3" t="s">
        <v>73</v>
      </c>
      <c r="BB2513" s="3" t="s">
        <v>30661</v>
      </c>
      <c r="BC2513" s="3" t="s">
        <v>30662</v>
      </c>
      <c r="BD2513" s="3" t="s">
        <v>30663</v>
      </c>
    </row>
    <row r="2514" spans="1:56" ht="51" customHeight="1" x14ac:dyDescent="0.25">
      <c r="A2514" s="7" t="s">
        <v>58</v>
      </c>
      <c r="B2514" s="2" t="s">
        <v>30664</v>
      </c>
      <c r="C2514" s="2" t="s">
        <v>30665</v>
      </c>
      <c r="D2514" s="2" t="s">
        <v>30666</v>
      </c>
      <c r="F2514" s="3" t="s">
        <v>58</v>
      </c>
      <c r="G2514" s="3" t="s">
        <v>59</v>
      </c>
      <c r="H2514" s="3" t="s">
        <v>58</v>
      </c>
      <c r="I2514" s="3" t="s">
        <v>58</v>
      </c>
      <c r="J2514" s="3" t="s">
        <v>60</v>
      </c>
      <c r="L2514" s="2" t="s">
        <v>30667</v>
      </c>
      <c r="M2514" s="3" t="s">
        <v>1784</v>
      </c>
      <c r="O2514" s="3" t="s">
        <v>63</v>
      </c>
      <c r="P2514" s="3" t="s">
        <v>214</v>
      </c>
      <c r="Q2514" s="2" t="s">
        <v>3418</v>
      </c>
      <c r="R2514" s="3" t="s">
        <v>65</v>
      </c>
      <c r="S2514" s="4">
        <v>11</v>
      </c>
      <c r="T2514" s="4">
        <v>11</v>
      </c>
      <c r="U2514" s="5" t="s">
        <v>30143</v>
      </c>
      <c r="V2514" s="5" t="s">
        <v>30143</v>
      </c>
      <c r="W2514" s="5" t="s">
        <v>585</v>
      </c>
      <c r="X2514" s="5" t="s">
        <v>585</v>
      </c>
      <c r="Y2514" s="4">
        <v>631</v>
      </c>
      <c r="Z2514" s="4">
        <v>522</v>
      </c>
      <c r="AA2514" s="4">
        <v>530</v>
      </c>
      <c r="AB2514" s="4">
        <v>4</v>
      </c>
      <c r="AC2514" s="4">
        <v>4</v>
      </c>
      <c r="AD2514" s="4">
        <v>21</v>
      </c>
      <c r="AE2514" s="4">
        <v>21</v>
      </c>
      <c r="AF2514" s="4">
        <v>5</v>
      </c>
      <c r="AG2514" s="4">
        <v>5</v>
      </c>
      <c r="AH2514" s="4">
        <v>6</v>
      </c>
      <c r="AI2514" s="4">
        <v>6</v>
      </c>
      <c r="AJ2514" s="4">
        <v>11</v>
      </c>
      <c r="AK2514" s="4">
        <v>11</v>
      </c>
      <c r="AL2514" s="4">
        <v>3</v>
      </c>
      <c r="AM2514" s="4">
        <v>3</v>
      </c>
      <c r="AN2514" s="4">
        <v>0</v>
      </c>
      <c r="AO2514" s="4">
        <v>0</v>
      </c>
      <c r="AP2514" s="3" t="s">
        <v>58</v>
      </c>
      <c r="AQ2514" s="3" t="s">
        <v>68</v>
      </c>
      <c r="AR2514" s="6" t="str">
        <f>HYPERLINK("http://catalog.hathitrust.org/Record/000297510","HathiTrust Record")</f>
        <v>HathiTrust Record</v>
      </c>
      <c r="AS2514" s="6" t="str">
        <f>HYPERLINK("https://creighton-primo.hosted.exlibrisgroup.com/primo-explore/search?tab=default_tab&amp;search_scope=EVERYTHING&amp;vid=01CRU&amp;lang=en_US&amp;offset=0&amp;query=any,contains,991004712859702656","Catalog Record")</f>
        <v>Catalog Record</v>
      </c>
      <c r="AT2514" s="6" t="str">
        <f>HYPERLINK("http://www.worldcat.org/oclc/4774851","WorldCat Record")</f>
        <v>WorldCat Record</v>
      </c>
      <c r="AU2514" s="3" t="s">
        <v>30668</v>
      </c>
      <c r="AV2514" s="3" t="s">
        <v>30669</v>
      </c>
      <c r="AW2514" s="3" t="s">
        <v>30670</v>
      </c>
      <c r="AX2514" s="3" t="s">
        <v>30670</v>
      </c>
      <c r="AY2514" s="3" t="s">
        <v>30671</v>
      </c>
      <c r="AZ2514" s="3" t="s">
        <v>73</v>
      </c>
      <c r="BB2514" s="3" t="s">
        <v>30672</v>
      </c>
      <c r="BC2514" s="3" t="s">
        <v>30673</v>
      </c>
      <c r="BD2514" s="3" t="s">
        <v>30674</v>
      </c>
    </row>
    <row r="2515" spans="1:56" ht="51" customHeight="1" x14ac:dyDescent="0.25">
      <c r="A2515" s="7" t="s">
        <v>58</v>
      </c>
      <c r="B2515" s="2" t="s">
        <v>30675</v>
      </c>
      <c r="C2515" s="2" t="s">
        <v>30676</v>
      </c>
      <c r="D2515" s="2" t="s">
        <v>30677</v>
      </c>
      <c r="F2515" s="3" t="s">
        <v>58</v>
      </c>
      <c r="G2515" s="3" t="s">
        <v>59</v>
      </c>
      <c r="H2515" s="3" t="s">
        <v>58</v>
      </c>
      <c r="I2515" s="3" t="s">
        <v>58</v>
      </c>
      <c r="J2515" s="3" t="s">
        <v>60</v>
      </c>
      <c r="K2515" s="2" t="s">
        <v>30678</v>
      </c>
      <c r="L2515" s="2" t="s">
        <v>3200</v>
      </c>
      <c r="M2515" s="3" t="s">
        <v>653</v>
      </c>
      <c r="O2515" s="3" t="s">
        <v>63</v>
      </c>
      <c r="P2515" s="3" t="s">
        <v>214</v>
      </c>
      <c r="R2515" s="3" t="s">
        <v>65</v>
      </c>
      <c r="S2515" s="4">
        <v>4</v>
      </c>
      <c r="T2515" s="4">
        <v>4</v>
      </c>
      <c r="U2515" s="5" t="s">
        <v>8953</v>
      </c>
      <c r="V2515" s="5" t="s">
        <v>8953</v>
      </c>
      <c r="W2515" s="5" t="s">
        <v>30679</v>
      </c>
      <c r="X2515" s="5" t="s">
        <v>30679</v>
      </c>
      <c r="Y2515" s="4">
        <v>279</v>
      </c>
      <c r="Z2515" s="4">
        <v>233</v>
      </c>
      <c r="AA2515" s="4">
        <v>564</v>
      </c>
      <c r="AB2515" s="4">
        <v>2</v>
      </c>
      <c r="AC2515" s="4">
        <v>5</v>
      </c>
      <c r="AD2515" s="4">
        <v>12</v>
      </c>
      <c r="AE2515" s="4">
        <v>20</v>
      </c>
      <c r="AF2515" s="4">
        <v>3</v>
      </c>
      <c r="AG2515" s="4">
        <v>7</v>
      </c>
      <c r="AH2515" s="4">
        <v>4</v>
      </c>
      <c r="AI2515" s="4">
        <v>5</v>
      </c>
      <c r="AJ2515" s="4">
        <v>8</v>
      </c>
      <c r="AK2515" s="4">
        <v>10</v>
      </c>
      <c r="AL2515" s="4">
        <v>1</v>
      </c>
      <c r="AM2515" s="4">
        <v>4</v>
      </c>
      <c r="AN2515" s="4">
        <v>0</v>
      </c>
      <c r="AO2515" s="4">
        <v>0</v>
      </c>
      <c r="AP2515" s="3" t="s">
        <v>58</v>
      </c>
      <c r="AQ2515" s="3" t="s">
        <v>68</v>
      </c>
      <c r="AR2515" s="6" t="str">
        <f>HYPERLINK("http://catalog.hathitrust.org/Record/002446625","HathiTrust Record")</f>
        <v>HathiTrust Record</v>
      </c>
      <c r="AS2515" s="6" t="str">
        <f>HYPERLINK("https://creighton-primo.hosted.exlibrisgroup.com/primo-explore/search?tab=default_tab&amp;search_scope=EVERYTHING&amp;vid=01CRU&amp;lang=en_US&amp;offset=0&amp;query=any,contains,991001784609702656","Catalog Record")</f>
        <v>Catalog Record</v>
      </c>
      <c r="AT2515" s="6" t="str">
        <f>HYPERLINK("http://www.worldcat.org/oclc/22493223","WorldCat Record")</f>
        <v>WorldCat Record</v>
      </c>
      <c r="AU2515" s="3" t="s">
        <v>30680</v>
      </c>
      <c r="AV2515" s="3" t="s">
        <v>30681</v>
      </c>
      <c r="AW2515" s="3" t="s">
        <v>30682</v>
      </c>
      <c r="AX2515" s="3" t="s">
        <v>30682</v>
      </c>
      <c r="AY2515" s="3" t="s">
        <v>30683</v>
      </c>
      <c r="AZ2515" s="3" t="s">
        <v>73</v>
      </c>
      <c r="BB2515" s="3" t="s">
        <v>30684</v>
      </c>
      <c r="BC2515" s="3" t="s">
        <v>30685</v>
      </c>
      <c r="BD2515" s="3" t="s">
        <v>30686</v>
      </c>
    </row>
    <row r="2516" spans="1:56" ht="51" customHeight="1" x14ac:dyDescent="0.25">
      <c r="A2516" s="7" t="s">
        <v>58</v>
      </c>
      <c r="B2516" s="2" t="s">
        <v>30687</v>
      </c>
      <c r="C2516" s="2" t="s">
        <v>30688</v>
      </c>
      <c r="D2516" s="2" t="s">
        <v>30689</v>
      </c>
      <c r="F2516" s="3" t="s">
        <v>58</v>
      </c>
      <c r="G2516" s="3" t="s">
        <v>59</v>
      </c>
      <c r="H2516" s="3" t="s">
        <v>58</v>
      </c>
      <c r="I2516" s="3" t="s">
        <v>58</v>
      </c>
      <c r="J2516" s="3" t="s">
        <v>60</v>
      </c>
      <c r="K2516" s="2" t="s">
        <v>30690</v>
      </c>
      <c r="L2516" s="2" t="s">
        <v>30691</v>
      </c>
      <c r="M2516" s="3" t="s">
        <v>397</v>
      </c>
      <c r="O2516" s="3" t="s">
        <v>63</v>
      </c>
      <c r="P2516" s="3" t="s">
        <v>584</v>
      </c>
      <c r="R2516" s="3" t="s">
        <v>65</v>
      </c>
      <c r="S2516" s="4">
        <v>6</v>
      </c>
      <c r="T2516" s="4">
        <v>6</v>
      </c>
      <c r="U2516" s="5" t="s">
        <v>11875</v>
      </c>
      <c r="V2516" s="5" t="s">
        <v>11875</v>
      </c>
      <c r="W2516" s="5" t="s">
        <v>585</v>
      </c>
      <c r="X2516" s="5" t="s">
        <v>585</v>
      </c>
      <c r="Y2516" s="4">
        <v>78</v>
      </c>
      <c r="Z2516" s="4">
        <v>34</v>
      </c>
      <c r="AA2516" s="4">
        <v>121</v>
      </c>
      <c r="AB2516" s="4">
        <v>3</v>
      </c>
      <c r="AC2516" s="4">
        <v>3</v>
      </c>
      <c r="AD2516" s="4">
        <v>2</v>
      </c>
      <c r="AE2516" s="4">
        <v>4</v>
      </c>
      <c r="AF2516" s="4">
        <v>0</v>
      </c>
      <c r="AG2516" s="4">
        <v>1</v>
      </c>
      <c r="AH2516" s="4">
        <v>0</v>
      </c>
      <c r="AI2516" s="4">
        <v>2</v>
      </c>
      <c r="AJ2516" s="4">
        <v>0</v>
      </c>
      <c r="AK2516" s="4">
        <v>1</v>
      </c>
      <c r="AL2516" s="4">
        <v>2</v>
      </c>
      <c r="AM2516" s="4">
        <v>2</v>
      </c>
      <c r="AN2516" s="4">
        <v>0</v>
      </c>
      <c r="AO2516" s="4">
        <v>0</v>
      </c>
      <c r="AP2516" s="3" t="s">
        <v>58</v>
      </c>
      <c r="AQ2516" s="3" t="s">
        <v>58</v>
      </c>
      <c r="AS2516" s="6" t="str">
        <f>HYPERLINK("https://creighton-primo.hosted.exlibrisgroup.com/primo-explore/search?tab=default_tab&amp;search_scope=EVERYTHING&amp;vid=01CRU&amp;lang=en_US&amp;offset=0&amp;query=any,contains,991000693419702656","Catalog Record")</f>
        <v>Catalog Record</v>
      </c>
      <c r="AT2516" s="6" t="str">
        <f>HYPERLINK("http://www.worldcat.org/oclc/60061185","WorldCat Record")</f>
        <v>WorldCat Record</v>
      </c>
      <c r="AU2516" s="3" t="s">
        <v>30692</v>
      </c>
      <c r="AV2516" s="3" t="s">
        <v>30693</v>
      </c>
      <c r="AW2516" s="3" t="s">
        <v>30694</v>
      </c>
      <c r="AX2516" s="3" t="s">
        <v>30694</v>
      </c>
      <c r="AY2516" s="3" t="s">
        <v>30695</v>
      </c>
      <c r="AZ2516" s="3" t="s">
        <v>73</v>
      </c>
      <c r="BB2516" s="3" t="s">
        <v>30696</v>
      </c>
      <c r="BC2516" s="3" t="s">
        <v>30697</v>
      </c>
      <c r="BD2516" s="3" t="s">
        <v>30698</v>
      </c>
    </row>
    <row r="2517" spans="1:56" ht="51" customHeight="1" x14ac:dyDescent="0.25">
      <c r="A2517" s="7" t="s">
        <v>58</v>
      </c>
      <c r="B2517" s="2" t="s">
        <v>30699</v>
      </c>
      <c r="C2517" s="2" t="s">
        <v>30700</v>
      </c>
      <c r="D2517" s="2" t="s">
        <v>30701</v>
      </c>
      <c r="F2517" s="3" t="s">
        <v>58</v>
      </c>
      <c r="G2517" s="3" t="s">
        <v>59</v>
      </c>
      <c r="H2517" s="3" t="s">
        <v>58</v>
      </c>
      <c r="I2517" s="3" t="s">
        <v>58</v>
      </c>
      <c r="J2517" s="3" t="s">
        <v>60</v>
      </c>
      <c r="L2517" s="2" t="s">
        <v>27391</v>
      </c>
      <c r="M2517" s="3" t="s">
        <v>1399</v>
      </c>
      <c r="O2517" s="3" t="s">
        <v>63</v>
      </c>
      <c r="P2517" s="3" t="s">
        <v>214</v>
      </c>
      <c r="R2517" s="3" t="s">
        <v>65</v>
      </c>
      <c r="S2517" s="4">
        <v>2</v>
      </c>
      <c r="T2517" s="4">
        <v>2</v>
      </c>
      <c r="U2517" s="5" t="s">
        <v>30702</v>
      </c>
      <c r="V2517" s="5" t="s">
        <v>30702</v>
      </c>
      <c r="W2517" s="5" t="s">
        <v>5722</v>
      </c>
      <c r="X2517" s="5" t="s">
        <v>5722</v>
      </c>
      <c r="Y2517" s="4">
        <v>331</v>
      </c>
      <c r="Z2517" s="4">
        <v>268</v>
      </c>
      <c r="AA2517" s="4">
        <v>275</v>
      </c>
      <c r="AB2517" s="4">
        <v>3</v>
      </c>
      <c r="AC2517" s="4">
        <v>3</v>
      </c>
      <c r="AD2517" s="4">
        <v>15</v>
      </c>
      <c r="AE2517" s="4">
        <v>15</v>
      </c>
      <c r="AF2517" s="4">
        <v>3</v>
      </c>
      <c r="AG2517" s="4">
        <v>3</v>
      </c>
      <c r="AH2517" s="4">
        <v>5</v>
      </c>
      <c r="AI2517" s="4">
        <v>5</v>
      </c>
      <c r="AJ2517" s="4">
        <v>8</v>
      </c>
      <c r="AK2517" s="4">
        <v>8</v>
      </c>
      <c r="AL2517" s="4">
        <v>2</v>
      </c>
      <c r="AM2517" s="4">
        <v>2</v>
      </c>
      <c r="AN2517" s="4">
        <v>0</v>
      </c>
      <c r="AO2517" s="4">
        <v>0</v>
      </c>
      <c r="AP2517" s="3" t="s">
        <v>58</v>
      </c>
      <c r="AQ2517" s="3" t="s">
        <v>68</v>
      </c>
      <c r="AR2517" s="6" t="str">
        <f>HYPERLINK("http://catalog.hathitrust.org/Record/001081102","HathiTrust Record")</f>
        <v>HathiTrust Record</v>
      </c>
      <c r="AS2517" s="6" t="str">
        <f>HYPERLINK("https://creighton-primo.hosted.exlibrisgroup.com/primo-explore/search?tab=default_tab&amp;search_scope=EVERYTHING&amp;vid=01CRU&amp;lang=en_US&amp;offset=0&amp;query=any,contains,991001265489702656","Catalog Record")</f>
        <v>Catalog Record</v>
      </c>
      <c r="AT2517" s="6" t="str">
        <f>HYPERLINK("http://www.worldcat.org/oclc/17805118","WorldCat Record")</f>
        <v>WorldCat Record</v>
      </c>
      <c r="AU2517" s="3" t="s">
        <v>30703</v>
      </c>
      <c r="AV2517" s="3" t="s">
        <v>30704</v>
      </c>
      <c r="AW2517" s="3" t="s">
        <v>30705</v>
      </c>
      <c r="AX2517" s="3" t="s">
        <v>30705</v>
      </c>
      <c r="AY2517" s="3" t="s">
        <v>30706</v>
      </c>
      <c r="AZ2517" s="3" t="s">
        <v>73</v>
      </c>
      <c r="BB2517" s="3" t="s">
        <v>30707</v>
      </c>
      <c r="BC2517" s="3" t="s">
        <v>30708</v>
      </c>
      <c r="BD2517" s="3" t="s">
        <v>30709</v>
      </c>
    </row>
    <row r="2518" spans="1:56" ht="51" customHeight="1" x14ac:dyDescent="0.25">
      <c r="A2518" s="7" t="s">
        <v>58</v>
      </c>
      <c r="B2518" s="2" t="s">
        <v>30710</v>
      </c>
      <c r="C2518" s="2" t="s">
        <v>30711</v>
      </c>
      <c r="D2518" s="2" t="s">
        <v>30712</v>
      </c>
      <c r="F2518" s="3" t="s">
        <v>58</v>
      </c>
      <c r="G2518" s="3" t="s">
        <v>59</v>
      </c>
      <c r="H2518" s="3" t="s">
        <v>58</v>
      </c>
      <c r="I2518" s="3" t="s">
        <v>58</v>
      </c>
      <c r="J2518" s="3" t="s">
        <v>60</v>
      </c>
      <c r="K2518" s="2" t="s">
        <v>30713</v>
      </c>
      <c r="L2518" s="2" t="s">
        <v>29330</v>
      </c>
      <c r="M2518" s="3" t="s">
        <v>815</v>
      </c>
      <c r="N2518" s="2" t="s">
        <v>338</v>
      </c>
      <c r="O2518" s="3" t="s">
        <v>63</v>
      </c>
      <c r="P2518" s="3" t="s">
        <v>214</v>
      </c>
      <c r="R2518" s="3" t="s">
        <v>65</v>
      </c>
      <c r="S2518" s="4">
        <v>3</v>
      </c>
      <c r="T2518" s="4">
        <v>3</v>
      </c>
      <c r="U2518" s="5" t="s">
        <v>30714</v>
      </c>
      <c r="V2518" s="5" t="s">
        <v>30714</v>
      </c>
      <c r="W2518" s="5" t="s">
        <v>30714</v>
      </c>
      <c r="X2518" s="5" t="s">
        <v>30714</v>
      </c>
      <c r="Y2518" s="4">
        <v>372</v>
      </c>
      <c r="Z2518" s="4">
        <v>297</v>
      </c>
      <c r="AA2518" s="4">
        <v>347</v>
      </c>
      <c r="AB2518" s="4">
        <v>2</v>
      </c>
      <c r="AC2518" s="4">
        <v>2</v>
      </c>
      <c r="AD2518" s="4">
        <v>16</v>
      </c>
      <c r="AE2518" s="4">
        <v>16</v>
      </c>
      <c r="AF2518" s="4">
        <v>6</v>
      </c>
      <c r="AG2518" s="4">
        <v>6</v>
      </c>
      <c r="AH2518" s="4">
        <v>4</v>
      </c>
      <c r="AI2518" s="4">
        <v>4</v>
      </c>
      <c r="AJ2518" s="4">
        <v>9</v>
      </c>
      <c r="AK2518" s="4">
        <v>9</v>
      </c>
      <c r="AL2518" s="4">
        <v>1</v>
      </c>
      <c r="AM2518" s="4">
        <v>1</v>
      </c>
      <c r="AN2518" s="4">
        <v>1</v>
      </c>
      <c r="AO2518" s="4">
        <v>1</v>
      </c>
      <c r="AP2518" s="3" t="s">
        <v>58</v>
      </c>
      <c r="AQ2518" s="3" t="s">
        <v>58</v>
      </c>
      <c r="AS2518" s="6" t="str">
        <f>HYPERLINK("https://creighton-primo.hosted.exlibrisgroup.com/primo-explore/search?tab=default_tab&amp;search_scope=EVERYTHING&amp;vid=01CRU&amp;lang=en_US&amp;offset=0&amp;query=any,contains,991005297089702656","Catalog Record")</f>
        <v>Catalog Record</v>
      </c>
      <c r="AT2518" s="6" t="str">
        <f>HYPERLINK("http://www.worldcat.org/oclc/181601125","WorldCat Record")</f>
        <v>WorldCat Record</v>
      </c>
      <c r="AU2518" s="3" t="s">
        <v>30715</v>
      </c>
      <c r="AV2518" s="3" t="s">
        <v>30716</v>
      </c>
      <c r="AW2518" s="3" t="s">
        <v>30717</v>
      </c>
      <c r="AX2518" s="3" t="s">
        <v>30717</v>
      </c>
      <c r="AY2518" s="3" t="s">
        <v>30718</v>
      </c>
      <c r="AZ2518" s="3" t="s">
        <v>73</v>
      </c>
      <c r="BB2518" s="3" t="s">
        <v>30719</v>
      </c>
      <c r="BC2518" s="3" t="s">
        <v>30720</v>
      </c>
      <c r="BD2518" s="3" t="s">
        <v>30721</v>
      </c>
    </row>
    <row r="2519" spans="1:56" ht="51" customHeight="1" x14ac:dyDescent="0.25">
      <c r="A2519" s="7" t="s">
        <v>58</v>
      </c>
      <c r="B2519" s="2" t="s">
        <v>30722</v>
      </c>
      <c r="C2519" s="2" t="s">
        <v>30723</v>
      </c>
      <c r="D2519" s="2" t="s">
        <v>30724</v>
      </c>
      <c r="F2519" s="3" t="s">
        <v>58</v>
      </c>
      <c r="G2519" s="3" t="s">
        <v>59</v>
      </c>
      <c r="H2519" s="3" t="s">
        <v>58</v>
      </c>
      <c r="I2519" s="3" t="s">
        <v>58</v>
      </c>
      <c r="J2519" s="3" t="s">
        <v>60</v>
      </c>
      <c r="K2519" s="2" t="s">
        <v>30725</v>
      </c>
      <c r="L2519" s="2" t="s">
        <v>30726</v>
      </c>
      <c r="M2519" s="3" t="s">
        <v>2132</v>
      </c>
      <c r="O2519" s="3" t="s">
        <v>63</v>
      </c>
      <c r="P2519" s="3" t="s">
        <v>6817</v>
      </c>
      <c r="R2519" s="3" t="s">
        <v>65</v>
      </c>
      <c r="S2519" s="4">
        <v>3</v>
      </c>
      <c r="T2519" s="4">
        <v>3</v>
      </c>
      <c r="U2519" s="5" t="s">
        <v>30727</v>
      </c>
      <c r="V2519" s="5" t="s">
        <v>30727</v>
      </c>
      <c r="W2519" s="5" t="s">
        <v>572</v>
      </c>
      <c r="X2519" s="5" t="s">
        <v>572</v>
      </c>
      <c r="Y2519" s="4">
        <v>673</v>
      </c>
      <c r="Z2519" s="4">
        <v>585</v>
      </c>
      <c r="AA2519" s="4">
        <v>637</v>
      </c>
      <c r="AB2519" s="4">
        <v>6</v>
      </c>
      <c r="AC2519" s="4">
        <v>6</v>
      </c>
      <c r="AD2519" s="4">
        <v>31</v>
      </c>
      <c r="AE2519" s="4">
        <v>33</v>
      </c>
      <c r="AF2519" s="4">
        <v>12</v>
      </c>
      <c r="AG2519" s="4">
        <v>14</v>
      </c>
      <c r="AH2519" s="4">
        <v>7</v>
      </c>
      <c r="AI2519" s="4">
        <v>7</v>
      </c>
      <c r="AJ2519" s="4">
        <v>17</v>
      </c>
      <c r="AK2519" s="4">
        <v>18</v>
      </c>
      <c r="AL2519" s="4">
        <v>5</v>
      </c>
      <c r="AM2519" s="4">
        <v>5</v>
      </c>
      <c r="AN2519" s="4">
        <v>0</v>
      </c>
      <c r="AO2519" s="4">
        <v>0</v>
      </c>
      <c r="AP2519" s="3" t="s">
        <v>58</v>
      </c>
      <c r="AQ2519" s="3" t="s">
        <v>68</v>
      </c>
      <c r="AR2519" s="6" t="str">
        <f>HYPERLINK("http://catalog.hathitrust.org/Record/001968355","HathiTrust Record")</f>
        <v>HathiTrust Record</v>
      </c>
      <c r="AS2519" s="6" t="str">
        <f>HYPERLINK("https://creighton-primo.hosted.exlibrisgroup.com/primo-explore/search?tab=default_tab&amp;search_scope=EVERYTHING&amp;vid=01CRU&amp;lang=en_US&amp;offset=0&amp;query=any,contains,991002722509702656","Catalog Record")</f>
        <v>Catalog Record</v>
      </c>
      <c r="AT2519" s="6" t="str">
        <f>HYPERLINK("http://www.worldcat.org/oclc/413108","WorldCat Record")</f>
        <v>WorldCat Record</v>
      </c>
      <c r="AU2519" s="3" t="s">
        <v>30728</v>
      </c>
      <c r="AV2519" s="3" t="s">
        <v>30729</v>
      </c>
      <c r="AW2519" s="3" t="s">
        <v>30730</v>
      </c>
      <c r="AX2519" s="3" t="s">
        <v>30730</v>
      </c>
      <c r="AY2519" s="3" t="s">
        <v>30731</v>
      </c>
      <c r="AZ2519" s="3" t="s">
        <v>73</v>
      </c>
      <c r="BC2519" s="3" t="s">
        <v>30732</v>
      </c>
      <c r="BD2519" s="3" t="s">
        <v>30733</v>
      </c>
    </row>
    <row r="2520" spans="1:56" ht="51" customHeight="1" x14ac:dyDescent="0.25">
      <c r="A2520" s="7" t="s">
        <v>58</v>
      </c>
      <c r="B2520" s="2" t="s">
        <v>30734</v>
      </c>
      <c r="C2520" s="2" t="s">
        <v>30735</v>
      </c>
      <c r="D2520" s="2" t="s">
        <v>30736</v>
      </c>
      <c r="F2520" s="3" t="s">
        <v>58</v>
      </c>
      <c r="G2520" s="3" t="s">
        <v>59</v>
      </c>
      <c r="H2520" s="3" t="s">
        <v>58</v>
      </c>
      <c r="I2520" s="3" t="s">
        <v>58</v>
      </c>
      <c r="J2520" s="3" t="s">
        <v>60</v>
      </c>
      <c r="K2520" s="2" t="s">
        <v>30737</v>
      </c>
      <c r="L2520" s="2" t="s">
        <v>30738</v>
      </c>
      <c r="M2520" s="3" t="s">
        <v>1499</v>
      </c>
      <c r="O2520" s="3" t="s">
        <v>63</v>
      </c>
      <c r="P2520" s="3" t="s">
        <v>354</v>
      </c>
      <c r="R2520" s="3" t="s">
        <v>65</v>
      </c>
      <c r="S2520" s="4">
        <v>7</v>
      </c>
      <c r="T2520" s="4">
        <v>7</v>
      </c>
      <c r="U2520" s="5" t="s">
        <v>30739</v>
      </c>
      <c r="V2520" s="5" t="s">
        <v>30739</v>
      </c>
      <c r="W2520" s="5" t="s">
        <v>30040</v>
      </c>
      <c r="X2520" s="5" t="s">
        <v>30040</v>
      </c>
      <c r="Y2520" s="4">
        <v>865</v>
      </c>
      <c r="Z2520" s="4">
        <v>718</v>
      </c>
      <c r="AA2520" s="4">
        <v>913</v>
      </c>
      <c r="AB2520" s="4">
        <v>6</v>
      </c>
      <c r="AC2520" s="4">
        <v>8</v>
      </c>
      <c r="AD2520" s="4">
        <v>36</v>
      </c>
      <c r="AE2520" s="4">
        <v>43</v>
      </c>
      <c r="AF2520" s="4">
        <v>13</v>
      </c>
      <c r="AG2520" s="4">
        <v>19</v>
      </c>
      <c r="AH2520" s="4">
        <v>11</v>
      </c>
      <c r="AI2520" s="4">
        <v>11</v>
      </c>
      <c r="AJ2520" s="4">
        <v>17</v>
      </c>
      <c r="AK2520" s="4">
        <v>19</v>
      </c>
      <c r="AL2520" s="4">
        <v>5</v>
      </c>
      <c r="AM2520" s="4">
        <v>6</v>
      </c>
      <c r="AN2520" s="4">
        <v>0</v>
      </c>
      <c r="AO2520" s="4">
        <v>0</v>
      </c>
      <c r="AP2520" s="3" t="s">
        <v>58</v>
      </c>
      <c r="AQ2520" s="3" t="s">
        <v>58</v>
      </c>
      <c r="AS2520" s="6" t="str">
        <f>HYPERLINK("https://creighton-primo.hosted.exlibrisgroup.com/primo-explore/search?tab=default_tab&amp;search_scope=EVERYTHING&amp;vid=01CRU&amp;lang=en_US&amp;offset=0&amp;query=any,contains,991002184009702656","Catalog Record")</f>
        <v>Catalog Record</v>
      </c>
      <c r="AT2520" s="6" t="str">
        <f>HYPERLINK("http://www.worldcat.org/oclc/279633","WorldCat Record")</f>
        <v>WorldCat Record</v>
      </c>
      <c r="AU2520" s="3" t="s">
        <v>30740</v>
      </c>
      <c r="AV2520" s="3" t="s">
        <v>30741</v>
      </c>
      <c r="AW2520" s="3" t="s">
        <v>30742</v>
      </c>
      <c r="AX2520" s="3" t="s">
        <v>30742</v>
      </c>
      <c r="AY2520" s="3" t="s">
        <v>30743</v>
      </c>
      <c r="AZ2520" s="3" t="s">
        <v>73</v>
      </c>
      <c r="BC2520" s="3" t="s">
        <v>30744</v>
      </c>
      <c r="BD2520" s="3" t="s">
        <v>30745</v>
      </c>
    </row>
    <row r="2521" spans="1:56" ht="51" customHeight="1" x14ac:dyDescent="0.25">
      <c r="A2521" s="7" t="s">
        <v>58</v>
      </c>
      <c r="B2521" s="2" t="s">
        <v>30746</v>
      </c>
      <c r="C2521" s="2" t="s">
        <v>30747</v>
      </c>
      <c r="D2521" s="2" t="s">
        <v>30748</v>
      </c>
      <c r="F2521" s="3" t="s">
        <v>58</v>
      </c>
      <c r="G2521" s="3" t="s">
        <v>59</v>
      </c>
      <c r="H2521" s="3" t="s">
        <v>68</v>
      </c>
      <c r="I2521" s="3" t="s">
        <v>58</v>
      </c>
      <c r="J2521" s="3" t="s">
        <v>60</v>
      </c>
      <c r="K2521" s="2" t="s">
        <v>30038</v>
      </c>
      <c r="L2521" s="2" t="s">
        <v>30749</v>
      </c>
      <c r="M2521" s="3" t="s">
        <v>745</v>
      </c>
      <c r="O2521" s="3" t="s">
        <v>63</v>
      </c>
      <c r="P2521" s="3" t="s">
        <v>816</v>
      </c>
      <c r="Q2521" s="2" t="s">
        <v>30750</v>
      </c>
      <c r="R2521" s="3" t="s">
        <v>65</v>
      </c>
      <c r="S2521" s="4">
        <v>13</v>
      </c>
      <c r="T2521" s="4">
        <v>13</v>
      </c>
      <c r="U2521" s="5" t="s">
        <v>30739</v>
      </c>
      <c r="V2521" s="5" t="s">
        <v>30739</v>
      </c>
      <c r="W2521" s="5" t="s">
        <v>30751</v>
      </c>
      <c r="X2521" s="5" t="s">
        <v>30751</v>
      </c>
      <c r="Y2521" s="4">
        <v>625</v>
      </c>
      <c r="Z2521" s="4">
        <v>510</v>
      </c>
      <c r="AA2521" s="4">
        <v>589</v>
      </c>
      <c r="AB2521" s="4">
        <v>5</v>
      </c>
      <c r="AC2521" s="4">
        <v>8</v>
      </c>
      <c r="AD2521" s="4">
        <v>24</v>
      </c>
      <c r="AE2521" s="4">
        <v>34</v>
      </c>
      <c r="AF2521" s="4">
        <v>8</v>
      </c>
      <c r="AG2521" s="4">
        <v>12</v>
      </c>
      <c r="AH2521" s="4">
        <v>7</v>
      </c>
      <c r="AI2521" s="4">
        <v>8</v>
      </c>
      <c r="AJ2521" s="4">
        <v>13</v>
      </c>
      <c r="AK2521" s="4">
        <v>17</v>
      </c>
      <c r="AL2521" s="4">
        <v>3</v>
      </c>
      <c r="AM2521" s="4">
        <v>6</v>
      </c>
      <c r="AN2521" s="4">
        <v>0</v>
      </c>
      <c r="AO2521" s="4">
        <v>0</v>
      </c>
      <c r="AP2521" s="3" t="s">
        <v>58</v>
      </c>
      <c r="AQ2521" s="3" t="s">
        <v>68</v>
      </c>
      <c r="AR2521" s="6" t="str">
        <f>HYPERLINK("http://catalog.hathitrust.org/Record/001606380","HathiTrust Record")</f>
        <v>HathiTrust Record</v>
      </c>
      <c r="AS2521" s="6" t="str">
        <f>HYPERLINK("https://creighton-primo.hosted.exlibrisgroup.com/primo-explore/search?tab=default_tab&amp;search_scope=EVERYTHING&amp;vid=01CRU&amp;lang=en_US&amp;offset=0&amp;query=any,contains,991001622529702656","Catalog Record")</f>
        <v>Catalog Record</v>
      </c>
      <c r="AT2521" s="6" t="str">
        <f>HYPERLINK("http://www.worldcat.org/oclc/279623","WorldCat Record")</f>
        <v>WorldCat Record</v>
      </c>
      <c r="AU2521" s="3" t="s">
        <v>30752</v>
      </c>
      <c r="AV2521" s="3" t="s">
        <v>30753</v>
      </c>
      <c r="AW2521" s="3" t="s">
        <v>30754</v>
      </c>
      <c r="AX2521" s="3" t="s">
        <v>30754</v>
      </c>
      <c r="AY2521" s="3" t="s">
        <v>30755</v>
      </c>
      <c r="AZ2521" s="3" t="s">
        <v>73</v>
      </c>
      <c r="BC2521" s="3" t="s">
        <v>30756</v>
      </c>
      <c r="BD2521" s="3" t="s">
        <v>30757</v>
      </c>
    </row>
    <row r="2522" spans="1:56" ht="51" customHeight="1" x14ac:dyDescent="0.25">
      <c r="A2522" s="7" t="s">
        <v>58</v>
      </c>
      <c r="B2522" s="2" t="s">
        <v>30758</v>
      </c>
      <c r="C2522" s="2" t="s">
        <v>30759</v>
      </c>
      <c r="D2522" s="2" t="s">
        <v>30760</v>
      </c>
      <c r="F2522" s="3" t="s">
        <v>58</v>
      </c>
      <c r="G2522" s="3" t="s">
        <v>59</v>
      </c>
      <c r="H2522" s="3" t="s">
        <v>58</v>
      </c>
      <c r="I2522" s="3" t="s">
        <v>58</v>
      </c>
      <c r="J2522" s="3" t="s">
        <v>60</v>
      </c>
      <c r="K2522" s="2" t="s">
        <v>30761</v>
      </c>
      <c r="L2522" s="2" t="s">
        <v>30762</v>
      </c>
      <c r="M2522" s="3" t="s">
        <v>1499</v>
      </c>
      <c r="O2522" s="3" t="s">
        <v>63</v>
      </c>
      <c r="P2522" s="3" t="s">
        <v>214</v>
      </c>
      <c r="Q2522" s="2" t="s">
        <v>30763</v>
      </c>
      <c r="R2522" s="3" t="s">
        <v>65</v>
      </c>
      <c r="S2522" s="4">
        <v>5</v>
      </c>
      <c r="T2522" s="4">
        <v>5</v>
      </c>
      <c r="U2522" s="5" t="s">
        <v>11096</v>
      </c>
      <c r="V2522" s="5" t="s">
        <v>11096</v>
      </c>
      <c r="W2522" s="5" t="s">
        <v>15035</v>
      </c>
      <c r="X2522" s="5" t="s">
        <v>15035</v>
      </c>
      <c r="Y2522" s="4">
        <v>799</v>
      </c>
      <c r="Z2522" s="4">
        <v>656</v>
      </c>
      <c r="AA2522" s="4">
        <v>657</v>
      </c>
      <c r="AB2522" s="4">
        <v>3</v>
      </c>
      <c r="AC2522" s="4">
        <v>3</v>
      </c>
      <c r="AD2522" s="4">
        <v>33</v>
      </c>
      <c r="AE2522" s="4">
        <v>33</v>
      </c>
      <c r="AF2522" s="4">
        <v>16</v>
      </c>
      <c r="AG2522" s="4">
        <v>16</v>
      </c>
      <c r="AH2522" s="4">
        <v>7</v>
      </c>
      <c r="AI2522" s="4">
        <v>7</v>
      </c>
      <c r="AJ2522" s="4">
        <v>19</v>
      </c>
      <c r="AK2522" s="4">
        <v>19</v>
      </c>
      <c r="AL2522" s="4">
        <v>2</v>
      </c>
      <c r="AM2522" s="4">
        <v>2</v>
      </c>
      <c r="AN2522" s="4">
        <v>0</v>
      </c>
      <c r="AO2522" s="4">
        <v>0</v>
      </c>
      <c r="AP2522" s="3" t="s">
        <v>58</v>
      </c>
      <c r="AQ2522" s="3" t="s">
        <v>58</v>
      </c>
      <c r="AS2522" s="6" t="str">
        <f>HYPERLINK("https://creighton-primo.hosted.exlibrisgroup.com/primo-explore/search?tab=default_tab&amp;search_scope=EVERYTHING&amp;vid=01CRU&amp;lang=en_US&amp;offset=0&amp;query=any,contains,991002184249702656","Catalog Record")</f>
        <v>Catalog Record</v>
      </c>
      <c r="AT2522" s="6" t="str">
        <f>HYPERLINK("http://www.worldcat.org/oclc/279637","WorldCat Record")</f>
        <v>WorldCat Record</v>
      </c>
      <c r="AU2522" s="3" t="s">
        <v>30764</v>
      </c>
      <c r="AV2522" s="3" t="s">
        <v>30765</v>
      </c>
      <c r="AW2522" s="3" t="s">
        <v>30766</v>
      </c>
      <c r="AX2522" s="3" t="s">
        <v>30766</v>
      </c>
      <c r="AY2522" s="3" t="s">
        <v>30767</v>
      </c>
      <c r="AZ2522" s="3" t="s">
        <v>73</v>
      </c>
      <c r="BC2522" s="3" t="s">
        <v>30768</v>
      </c>
      <c r="BD2522" s="3" t="s">
        <v>30769</v>
      </c>
    </row>
    <row r="2523" spans="1:56" ht="51" customHeight="1" x14ac:dyDescent="0.25">
      <c r="A2523" s="7" t="s">
        <v>58</v>
      </c>
      <c r="B2523" s="2" t="s">
        <v>30770</v>
      </c>
      <c r="C2523" s="2" t="s">
        <v>30771</v>
      </c>
      <c r="D2523" s="2" t="s">
        <v>30772</v>
      </c>
      <c r="F2523" s="3" t="s">
        <v>58</v>
      </c>
      <c r="G2523" s="3" t="s">
        <v>59</v>
      </c>
      <c r="H2523" s="3" t="s">
        <v>58</v>
      </c>
      <c r="I2523" s="3" t="s">
        <v>58</v>
      </c>
      <c r="J2523" s="3" t="s">
        <v>60</v>
      </c>
      <c r="L2523" s="2" t="s">
        <v>30773</v>
      </c>
      <c r="M2523" s="3" t="s">
        <v>653</v>
      </c>
      <c r="O2523" s="3" t="s">
        <v>63</v>
      </c>
      <c r="P2523" s="3" t="s">
        <v>411</v>
      </c>
      <c r="R2523" s="3" t="s">
        <v>65</v>
      </c>
      <c r="S2523" s="4">
        <v>6</v>
      </c>
      <c r="T2523" s="4">
        <v>6</v>
      </c>
      <c r="U2523" s="5" t="s">
        <v>8992</v>
      </c>
      <c r="V2523" s="5" t="s">
        <v>8992</v>
      </c>
      <c r="W2523" s="5" t="s">
        <v>30774</v>
      </c>
      <c r="X2523" s="5" t="s">
        <v>30774</v>
      </c>
      <c r="Y2523" s="4">
        <v>442</v>
      </c>
      <c r="Z2523" s="4">
        <v>339</v>
      </c>
      <c r="AA2523" s="4">
        <v>339</v>
      </c>
      <c r="AB2523" s="4">
        <v>5</v>
      </c>
      <c r="AC2523" s="4">
        <v>5</v>
      </c>
      <c r="AD2523" s="4">
        <v>23</v>
      </c>
      <c r="AE2523" s="4">
        <v>23</v>
      </c>
      <c r="AF2523" s="4">
        <v>5</v>
      </c>
      <c r="AG2523" s="4">
        <v>5</v>
      </c>
      <c r="AH2523" s="4">
        <v>8</v>
      </c>
      <c r="AI2523" s="4">
        <v>8</v>
      </c>
      <c r="AJ2523" s="4">
        <v>12</v>
      </c>
      <c r="AK2523" s="4">
        <v>12</v>
      </c>
      <c r="AL2523" s="4">
        <v>4</v>
      </c>
      <c r="AM2523" s="4">
        <v>4</v>
      </c>
      <c r="AN2523" s="4">
        <v>0</v>
      </c>
      <c r="AO2523" s="4">
        <v>0</v>
      </c>
      <c r="AP2523" s="3" t="s">
        <v>58</v>
      </c>
      <c r="AQ2523" s="3" t="s">
        <v>58</v>
      </c>
      <c r="AS2523" s="6" t="str">
        <f>HYPERLINK("https://creighton-primo.hosted.exlibrisgroup.com/primo-explore/search?tab=default_tab&amp;search_scope=EVERYTHING&amp;vid=01CRU&amp;lang=en_US&amp;offset=0&amp;query=any,contains,991001848849702656","Catalog Record")</f>
        <v>Catalog Record</v>
      </c>
      <c r="AT2523" s="6" t="str">
        <f>HYPERLINK("http://www.worldcat.org/oclc/23213000","WorldCat Record")</f>
        <v>WorldCat Record</v>
      </c>
      <c r="AU2523" s="3" t="s">
        <v>30775</v>
      </c>
      <c r="AV2523" s="3" t="s">
        <v>30776</v>
      </c>
      <c r="AW2523" s="3" t="s">
        <v>30777</v>
      </c>
      <c r="AX2523" s="3" t="s">
        <v>30777</v>
      </c>
      <c r="AY2523" s="3" t="s">
        <v>30778</v>
      </c>
      <c r="AZ2523" s="3" t="s">
        <v>73</v>
      </c>
      <c r="BB2523" s="3" t="s">
        <v>30779</v>
      </c>
      <c r="BC2523" s="3" t="s">
        <v>30780</v>
      </c>
      <c r="BD2523" s="3" t="s">
        <v>30781</v>
      </c>
    </row>
    <row r="2524" spans="1:56" ht="51" customHeight="1" x14ac:dyDescent="0.25">
      <c r="A2524" s="7" t="s">
        <v>58</v>
      </c>
      <c r="B2524" s="2" t="s">
        <v>30782</v>
      </c>
      <c r="C2524" s="2" t="s">
        <v>30783</v>
      </c>
      <c r="D2524" s="2" t="s">
        <v>30784</v>
      </c>
      <c r="F2524" s="3" t="s">
        <v>58</v>
      </c>
      <c r="G2524" s="3" t="s">
        <v>59</v>
      </c>
      <c r="H2524" s="3" t="s">
        <v>58</v>
      </c>
      <c r="I2524" s="3" t="s">
        <v>58</v>
      </c>
      <c r="J2524" s="3" t="s">
        <v>60</v>
      </c>
      <c r="K2524" s="2" t="s">
        <v>30785</v>
      </c>
      <c r="L2524" s="2" t="s">
        <v>30786</v>
      </c>
      <c r="M2524" s="3" t="s">
        <v>337</v>
      </c>
      <c r="O2524" s="3" t="s">
        <v>63</v>
      </c>
      <c r="P2524" s="3" t="s">
        <v>10160</v>
      </c>
      <c r="R2524" s="3" t="s">
        <v>65</v>
      </c>
      <c r="S2524" s="4">
        <v>4</v>
      </c>
      <c r="T2524" s="4">
        <v>4</v>
      </c>
      <c r="U2524" s="5" t="s">
        <v>19340</v>
      </c>
      <c r="V2524" s="5" t="s">
        <v>19340</v>
      </c>
      <c r="W2524" s="5" t="s">
        <v>23914</v>
      </c>
      <c r="X2524" s="5" t="s">
        <v>23914</v>
      </c>
      <c r="Y2524" s="4">
        <v>329</v>
      </c>
      <c r="Z2524" s="4">
        <v>280</v>
      </c>
      <c r="AA2524" s="4">
        <v>504</v>
      </c>
      <c r="AB2524" s="4">
        <v>3</v>
      </c>
      <c r="AC2524" s="4">
        <v>3</v>
      </c>
      <c r="AD2524" s="4">
        <v>18</v>
      </c>
      <c r="AE2524" s="4">
        <v>26</v>
      </c>
      <c r="AF2524" s="4">
        <v>4</v>
      </c>
      <c r="AG2524" s="4">
        <v>10</v>
      </c>
      <c r="AH2524" s="4">
        <v>6</v>
      </c>
      <c r="AI2524" s="4">
        <v>8</v>
      </c>
      <c r="AJ2524" s="4">
        <v>9</v>
      </c>
      <c r="AK2524" s="4">
        <v>12</v>
      </c>
      <c r="AL2524" s="4">
        <v>2</v>
      </c>
      <c r="AM2524" s="4">
        <v>2</v>
      </c>
      <c r="AN2524" s="4">
        <v>0</v>
      </c>
      <c r="AO2524" s="4">
        <v>1</v>
      </c>
      <c r="AP2524" s="3" t="s">
        <v>58</v>
      </c>
      <c r="AQ2524" s="3" t="s">
        <v>68</v>
      </c>
      <c r="AR2524" s="6" t="str">
        <f>HYPERLINK("http://catalog.hathitrust.org/Record/004197845","HathiTrust Record")</f>
        <v>HathiTrust Record</v>
      </c>
      <c r="AS2524" s="6" t="str">
        <f>HYPERLINK("https://creighton-primo.hosted.exlibrisgroup.com/primo-explore/search?tab=default_tab&amp;search_scope=EVERYTHING&amp;vid=01CRU&amp;lang=en_US&amp;offset=0&amp;query=any,contains,991003911569702656","Catalog Record")</f>
        <v>Catalog Record</v>
      </c>
      <c r="AT2524" s="6" t="str">
        <f>HYPERLINK("http://www.worldcat.org/oclc/46565103","WorldCat Record")</f>
        <v>WorldCat Record</v>
      </c>
      <c r="AU2524" s="3" t="s">
        <v>30787</v>
      </c>
      <c r="AV2524" s="3" t="s">
        <v>30788</v>
      </c>
      <c r="AW2524" s="3" t="s">
        <v>30789</v>
      </c>
      <c r="AX2524" s="3" t="s">
        <v>30789</v>
      </c>
      <c r="AY2524" s="3" t="s">
        <v>30790</v>
      </c>
      <c r="AZ2524" s="3" t="s">
        <v>73</v>
      </c>
      <c r="BB2524" s="3" t="s">
        <v>30791</v>
      </c>
      <c r="BC2524" s="3" t="s">
        <v>30792</v>
      </c>
      <c r="BD2524" s="3" t="s">
        <v>30793</v>
      </c>
    </row>
    <row r="2525" spans="1:56" ht="51" customHeight="1" x14ac:dyDescent="0.25">
      <c r="A2525" s="7" t="s">
        <v>58</v>
      </c>
      <c r="B2525" s="2" t="s">
        <v>30794</v>
      </c>
      <c r="C2525" s="2" t="s">
        <v>30795</v>
      </c>
      <c r="D2525" s="2" t="s">
        <v>30796</v>
      </c>
      <c r="F2525" s="3" t="s">
        <v>58</v>
      </c>
      <c r="G2525" s="3" t="s">
        <v>59</v>
      </c>
      <c r="H2525" s="3" t="s">
        <v>58</v>
      </c>
      <c r="I2525" s="3" t="s">
        <v>58</v>
      </c>
      <c r="J2525" s="3" t="s">
        <v>60</v>
      </c>
      <c r="K2525" s="2" t="s">
        <v>30797</v>
      </c>
      <c r="L2525" s="2" t="s">
        <v>30798</v>
      </c>
      <c r="M2525" s="3" t="s">
        <v>1399</v>
      </c>
      <c r="O2525" s="3" t="s">
        <v>63</v>
      </c>
      <c r="P2525" s="3" t="s">
        <v>816</v>
      </c>
      <c r="Q2525" s="2" t="s">
        <v>30799</v>
      </c>
      <c r="R2525" s="3" t="s">
        <v>65</v>
      </c>
      <c r="S2525" s="4">
        <v>6</v>
      </c>
      <c r="T2525" s="4">
        <v>6</v>
      </c>
      <c r="U2525" s="5" t="s">
        <v>30739</v>
      </c>
      <c r="V2525" s="5" t="s">
        <v>30739</v>
      </c>
      <c r="W2525" s="5" t="s">
        <v>15185</v>
      </c>
      <c r="X2525" s="5" t="s">
        <v>15185</v>
      </c>
      <c r="Y2525" s="4">
        <v>416</v>
      </c>
      <c r="Z2525" s="4">
        <v>308</v>
      </c>
      <c r="AA2525" s="4">
        <v>346</v>
      </c>
      <c r="AB2525" s="4">
        <v>2</v>
      </c>
      <c r="AC2525" s="4">
        <v>3</v>
      </c>
      <c r="AD2525" s="4">
        <v>14</v>
      </c>
      <c r="AE2525" s="4">
        <v>21</v>
      </c>
      <c r="AF2525" s="4">
        <v>4</v>
      </c>
      <c r="AG2525" s="4">
        <v>9</v>
      </c>
      <c r="AH2525" s="4">
        <v>5</v>
      </c>
      <c r="AI2525" s="4">
        <v>6</v>
      </c>
      <c r="AJ2525" s="4">
        <v>8</v>
      </c>
      <c r="AK2525" s="4">
        <v>9</v>
      </c>
      <c r="AL2525" s="4">
        <v>1</v>
      </c>
      <c r="AM2525" s="4">
        <v>2</v>
      </c>
      <c r="AN2525" s="4">
        <v>0</v>
      </c>
      <c r="AO2525" s="4">
        <v>0</v>
      </c>
      <c r="AP2525" s="3" t="s">
        <v>58</v>
      </c>
      <c r="AQ2525" s="3" t="s">
        <v>68</v>
      </c>
      <c r="AR2525" s="6" t="str">
        <f>HYPERLINK("http://catalog.hathitrust.org/Record/000951836","HathiTrust Record")</f>
        <v>HathiTrust Record</v>
      </c>
      <c r="AS2525" s="6" t="str">
        <f>HYPERLINK("https://creighton-primo.hosted.exlibrisgroup.com/primo-explore/search?tab=default_tab&amp;search_scope=EVERYTHING&amp;vid=01CRU&amp;lang=en_US&amp;offset=0&amp;query=any,contains,991001178009702656","Catalog Record")</f>
        <v>Catalog Record</v>
      </c>
      <c r="AT2525" s="6" t="str">
        <f>HYPERLINK("http://www.worldcat.org/oclc/17105058","WorldCat Record")</f>
        <v>WorldCat Record</v>
      </c>
      <c r="AU2525" s="3" t="s">
        <v>30800</v>
      </c>
      <c r="AV2525" s="3" t="s">
        <v>30801</v>
      </c>
      <c r="AW2525" s="3" t="s">
        <v>30802</v>
      </c>
      <c r="AX2525" s="3" t="s">
        <v>30802</v>
      </c>
      <c r="AY2525" s="3" t="s">
        <v>30803</v>
      </c>
      <c r="AZ2525" s="3" t="s">
        <v>73</v>
      </c>
      <c r="BB2525" s="3" t="s">
        <v>30804</v>
      </c>
      <c r="BC2525" s="3" t="s">
        <v>30805</v>
      </c>
      <c r="BD2525" s="3" t="s">
        <v>30806</v>
      </c>
    </row>
    <row r="2526" spans="1:56" ht="51" customHeight="1" x14ac:dyDescent="0.25">
      <c r="A2526" s="7" t="s">
        <v>58</v>
      </c>
      <c r="B2526" s="2" t="s">
        <v>30807</v>
      </c>
      <c r="C2526" s="2" t="s">
        <v>30808</v>
      </c>
      <c r="D2526" s="2" t="s">
        <v>30809</v>
      </c>
      <c r="F2526" s="3" t="s">
        <v>58</v>
      </c>
      <c r="G2526" s="3" t="s">
        <v>59</v>
      </c>
      <c r="H2526" s="3" t="s">
        <v>58</v>
      </c>
      <c r="I2526" s="3" t="s">
        <v>58</v>
      </c>
      <c r="J2526" s="3" t="s">
        <v>60</v>
      </c>
      <c r="K2526" s="2" t="s">
        <v>29964</v>
      </c>
      <c r="L2526" s="2" t="s">
        <v>30810</v>
      </c>
      <c r="M2526" s="3" t="s">
        <v>138</v>
      </c>
      <c r="O2526" s="3" t="s">
        <v>63</v>
      </c>
      <c r="P2526" s="3" t="s">
        <v>510</v>
      </c>
      <c r="Q2526" s="2" t="s">
        <v>30811</v>
      </c>
      <c r="R2526" s="3" t="s">
        <v>65</v>
      </c>
      <c r="S2526" s="4">
        <v>4</v>
      </c>
      <c r="T2526" s="4">
        <v>4</v>
      </c>
      <c r="U2526" s="5" t="s">
        <v>29588</v>
      </c>
      <c r="V2526" s="5" t="s">
        <v>29588</v>
      </c>
      <c r="W2526" s="5" t="s">
        <v>30040</v>
      </c>
      <c r="X2526" s="5" t="s">
        <v>30040</v>
      </c>
      <c r="Y2526" s="4">
        <v>60</v>
      </c>
      <c r="Z2526" s="4">
        <v>48</v>
      </c>
      <c r="AA2526" s="4">
        <v>365</v>
      </c>
      <c r="AB2526" s="4">
        <v>2</v>
      </c>
      <c r="AC2526" s="4">
        <v>3</v>
      </c>
      <c r="AD2526" s="4">
        <v>5</v>
      </c>
      <c r="AE2526" s="4">
        <v>16</v>
      </c>
      <c r="AF2526" s="4">
        <v>2</v>
      </c>
      <c r="AG2526" s="4">
        <v>7</v>
      </c>
      <c r="AH2526" s="4">
        <v>0</v>
      </c>
      <c r="AI2526" s="4">
        <v>5</v>
      </c>
      <c r="AJ2526" s="4">
        <v>3</v>
      </c>
      <c r="AK2526" s="4">
        <v>9</v>
      </c>
      <c r="AL2526" s="4">
        <v>1</v>
      </c>
      <c r="AM2526" s="4">
        <v>2</v>
      </c>
      <c r="AN2526" s="4">
        <v>0</v>
      </c>
      <c r="AO2526" s="4">
        <v>0</v>
      </c>
      <c r="AP2526" s="3" t="s">
        <v>58</v>
      </c>
      <c r="AQ2526" s="3" t="s">
        <v>58</v>
      </c>
      <c r="AS2526" s="6" t="str">
        <f>HYPERLINK("https://creighton-primo.hosted.exlibrisgroup.com/primo-explore/search?tab=default_tab&amp;search_scope=EVERYTHING&amp;vid=01CRU&amp;lang=en_US&amp;offset=0&amp;query=any,contains,991005212389702656","Catalog Record")</f>
        <v>Catalog Record</v>
      </c>
      <c r="AT2526" s="6" t="str">
        <f>HYPERLINK("http://www.worldcat.org/oclc/8170365","WorldCat Record")</f>
        <v>WorldCat Record</v>
      </c>
      <c r="AU2526" s="3" t="s">
        <v>30812</v>
      </c>
      <c r="AV2526" s="3" t="s">
        <v>30813</v>
      </c>
      <c r="AW2526" s="3" t="s">
        <v>30814</v>
      </c>
      <c r="AX2526" s="3" t="s">
        <v>30814</v>
      </c>
      <c r="AY2526" s="3" t="s">
        <v>30815</v>
      </c>
      <c r="AZ2526" s="3" t="s">
        <v>73</v>
      </c>
      <c r="BB2526" s="3" t="s">
        <v>30816</v>
      </c>
      <c r="BC2526" s="3" t="s">
        <v>30817</v>
      </c>
      <c r="BD2526" s="3" t="s">
        <v>30818</v>
      </c>
    </row>
    <row r="2527" spans="1:56" ht="51" customHeight="1" x14ac:dyDescent="0.25">
      <c r="A2527" s="7" t="s">
        <v>58</v>
      </c>
      <c r="B2527" s="2" t="s">
        <v>30819</v>
      </c>
      <c r="C2527" s="2" t="s">
        <v>30820</v>
      </c>
      <c r="D2527" s="2" t="s">
        <v>30821</v>
      </c>
      <c r="F2527" s="3" t="s">
        <v>68</v>
      </c>
      <c r="G2527" s="3" t="s">
        <v>59</v>
      </c>
      <c r="H2527" s="3" t="s">
        <v>68</v>
      </c>
      <c r="I2527" s="3" t="s">
        <v>58</v>
      </c>
      <c r="J2527" s="3" t="s">
        <v>60</v>
      </c>
      <c r="K2527" s="2" t="s">
        <v>30822</v>
      </c>
      <c r="L2527" s="2" t="s">
        <v>30823</v>
      </c>
      <c r="M2527" s="3" t="s">
        <v>1499</v>
      </c>
      <c r="O2527" s="3" t="s">
        <v>63</v>
      </c>
      <c r="P2527" s="3" t="s">
        <v>10900</v>
      </c>
      <c r="Q2527" s="2" t="s">
        <v>30824</v>
      </c>
      <c r="R2527" s="3" t="s">
        <v>65</v>
      </c>
      <c r="S2527" s="4">
        <v>4</v>
      </c>
      <c r="T2527" s="4">
        <v>7</v>
      </c>
      <c r="U2527" s="5" t="s">
        <v>30411</v>
      </c>
      <c r="V2527" s="5" t="s">
        <v>30411</v>
      </c>
      <c r="W2527" s="5" t="s">
        <v>30040</v>
      </c>
      <c r="X2527" s="5" t="s">
        <v>30040</v>
      </c>
      <c r="Y2527" s="4">
        <v>381</v>
      </c>
      <c r="Z2527" s="4">
        <v>320</v>
      </c>
      <c r="AA2527" s="4">
        <v>322</v>
      </c>
      <c r="AB2527" s="4">
        <v>2</v>
      </c>
      <c r="AC2527" s="4">
        <v>2</v>
      </c>
      <c r="AD2527" s="4">
        <v>14</v>
      </c>
      <c r="AE2527" s="4">
        <v>14</v>
      </c>
      <c r="AF2527" s="4">
        <v>5</v>
      </c>
      <c r="AG2527" s="4">
        <v>5</v>
      </c>
      <c r="AH2527" s="4">
        <v>4</v>
      </c>
      <c r="AI2527" s="4">
        <v>4</v>
      </c>
      <c r="AJ2527" s="4">
        <v>9</v>
      </c>
      <c r="AK2527" s="4">
        <v>9</v>
      </c>
      <c r="AL2527" s="4">
        <v>1</v>
      </c>
      <c r="AM2527" s="4">
        <v>1</v>
      </c>
      <c r="AN2527" s="4">
        <v>0</v>
      </c>
      <c r="AO2527" s="4">
        <v>0</v>
      </c>
      <c r="AP2527" s="3" t="s">
        <v>58</v>
      </c>
      <c r="AQ2527" s="3" t="s">
        <v>68</v>
      </c>
      <c r="AR2527" s="6" t="str">
        <f>HYPERLINK("http://catalog.hathitrust.org/Record/001604976","HathiTrust Record")</f>
        <v>HathiTrust Record</v>
      </c>
      <c r="AS2527" s="6" t="str">
        <f>HYPERLINK("https://creighton-primo.hosted.exlibrisgroup.com/primo-explore/search?tab=default_tab&amp;search_scope=EVERYTHING&amp;vid=01CRU&amp;lang=en_US&amp;offset=0&amp;query=any,contains,991000128169702656","Catalog Record")</f>
        <v>Catalog Record</v>
      </c>
      <c r="AT2527" s="6" t="str">
        <f>HYPERLINK("http://www.worldcat.org/oclc/52794","WorldCat Record")</f>
        <v>WorldCat Record</v>
      </c>
      <c r="AU2527" s="3" t="s">
        <v>30825</v>
      </c>
      <c r="AV2527" s="3" t="s">
        <v>30826</v>
      </c>
      <c r="AW2527" s="3" t="s">
        <v>30827</v>
      </c>
      <c r="AX2527" s="3" t="s">
        <v>30827</v>
      </c>
      <c r="AY2527" s="3" t="s">
        <v>30828</v>
      </c>
      <c r="AZ2527" s="3" t="s">
        <v>73</v>
      </c>
      <c r="BC2527" s="3" t="s">
        <v>30829</v>
      </c>
      <c r="BD2527" s="3" t="s">
        <v>30830</v>
      </c>
    </row>
    <row r="2528" spans="1:56" ht="51" customHeight="1" x14ac:dyDescent="0.25">
      <c r="A2528" s="7" t="s">
        <v>58</v>
      </c>
      <c r="B2528" s="2" t="s">
        <v>30831</v>
      </c>
      <c r="C2528" s="2" t="s">
        <v>30832</v>
      </c>
      <c r="D2528" s="2" t="s">
        <v>30821</v>
      </c>
      <c r="E2528" s="3" t="s">
        <v>9079</v>
      </c>
      <c r="F2528" s="3" t="s">
        <v>68</v>
      </c>
      <c r="G2528" s="3" t="s">
        <v>59</v>
      </c>
      <c r="H2528" s="3" t="s">
        <v>58</v>
      </c>
      <c r="I2528" s="3" t="s">
        <v>58</v>
      </c>
      <c r="J2528" s="3" t="s">
        <v>60</v>
      </c>
      <c r="K2528" s="2" t="s">
        <v>30822</v>
      </c>
      <c r="L2528" s="2" t="s">
        <v>30823</v>
      </c>
      <c r="M2528" s="3" t="s">
        <v>1499</v>
      </c>
      <c r="O2528" s="3" t="s">
        <v>63</v>
      </c>
      <c r="P2528" s="3" t="s">
        <v>10900</v>
      </c>
      <c r="Q2528" s="2" t="s">
        <v>30824</v>
      </c>
      <c r="R2528" s="3" t="s">
        <v>65</v>
      </c>
      <c r="S2528" s="4">
        <v>3</v>
      </c>
      <c r="T2528" s="4">
        <v>7</v>
      </c>
      <c r="U2528" s="5" t="s">
        <v>30411</v>
      </c>
      <c r="V2528" s="5" t="s">
        <v>30411</v>
      </c>
      <c r="W2528" s="5" t="s">
        <v>30040</v>
      </c>
      <c r="X2528" s="5" t="s">
        <v>30040</v>
      </c>
      <c r="Y2528" s="4">
        <v>381</v>
      </c>
      <c r="Z2528" s="4">
        <v>320</v>
      </c>
      <c r="AA2528" s="4">
        <v>322</v>
      </c>
      <c r="AB2528" s="4">
        <v>2</v>
      </c>
      <c r="AC2528" s="4">
        <v>2</v>
      </c>
      <c r="AD2528" s="4">
        <v>14</v>
      </c>
      <c r="AE2528" s="4">
        <v>14</v>
      </c>
      <c r="AF2528" s="4">
        <v>5</v>
      </c>
      <c r="AG2528" s="4">
        <v>5</v>
      </c>
      <c r="AH2528" s="4">
        <v>4</v>
      </c>
      <c r="AI2528" s="4">
        <v>4</v>
      </c>
      <c r="AJ2528" s="4">
        <v>9</v>
      </c>
      <c r="AK2528" s="4">
        <v>9</v>
      </c>
      <c r="AL2528" s="4">
        <v>1</v>
      </c>
      <c r="AM2528" s="4">
        <v>1</v>
      </c>
      <c r="AN2528" s="4">
        <v>0</v>
      </c>
      <c r="AO2528" s="4">
        <v>0</v>
      </c>
      <c r="AP2528" s="3" t="s">
        <v>58</v>
      </c>
      <c r="AQ2528" s="3" t="s">
        <v>68</v>
      </c>
      <c r="AR2528" s="6" t="str">
        <f>HYPERLINK("http://catalog.hathitrust.org/Record/001604976","HathiTrust Record")</f>
        <v>HathiTrust Record</v>
      </c>
      <c r="AS2528" s="6" t="str">
        <f>HYPERLINK("https://creighton-primo.hosted.exlibrisgroup.com/primo-explore/search?tab=default_tab&amp;search_scope=EVERYTHING&amp;vid=01CRU&amp;lang=en_US&amp;offset=0&amp;query=any,contains,991000128169702656","Catalog Record")</f>
        <v>Catalog Record</v>
      </c>
      <c r="AT2528" s="6" t="str">
        <f>HYPERLINK("http://www.worldcat.org/oclc/52794","WorldCat Record")</f>
        <v>WorldCat Record</v>
      </c>
      <c r="AU2528" s="3" t="s">
        <v>30825</v>
      </c>
      <c r="AV2528" s="3" t="s">
        <v>30826</v>
      </c>
      <c r="AW2528" s="3" t="s">
        <v>30827</v>
      </c>
      <c r="AX2528" s="3" t="s">
        <v>30827</v>
      </c>
      <c r="AY2528" s="3" t="s">
        <v>30828</v>
      </c>
      <c r="AZ2528" s="3" t="s">
        <v>73</v>
      </c>
      <c r="BC2528" s="3" t="s">
        <v>30833</v>
      </c>
      <c r="BD2528" s="3" t="s">
        <v>30834</v>
      </c>
    </row>
    <row r="2529" spans="1:56" ht="51" customHeight="1" x14ac:dyDescent="0.25">
      <c r="A2529" s="7" t="s">
        <v>58</v>
      </c>
      <c r="B2529" s="2" t="s">
        <v>30835</v>
      </c>
      <c r="C2529" s="2" t="s">
        <v>30836</v>
      </c>
      <c r="D2529" s="2" t="s">
        <v>30837</v>
      </c>
      <c r="F2529" s="3" t="s">
        <v>58</v>
      </c>
      <c r="G2529" s="3" t="s">
        <v>59</v>
      </c>
      <c r="H2529" s="3" t="s">
        <v>58</v>
      </c>
      <c r="I2529" s="3" t="s">
        <v>58</v>
      </c>
      <c r="J2529" s="3" t="s">
        <v>60</v>
      </c>
      <c r="K2529" s="2" t="s">
        <v>29976</v>
      </c>
      <c r="L2529" s="2" t="s">
        <v>30838</v>
      </c>
      <c r="M2529" s="3" t="s">
        <v>1091</v>
      </c>
      <c r="N2529" s="2" t="s">
        <v>3417</v>
      </c>
      <c r="O2529" s="3" t="s">
        <v>63</v>
      </c>
      <c r="P2529" s="3" t="s">
        <v>2630</v>
      </c>
      <c r="R2529" s="3" t="s">
        <v>65</v>
      </c>
      <c r="S2529" s="4">
        <v>8</v>
      </c>
      <c r="T2529" s="4">
        <v>8</v>
      </c>
      <c r="U2529" s="5" t="s">
        <v>28053</v>
      </c>
      <c r="V2529" s="5" t="s">
        <v>28053</v>
      </c>
      <c r="W2529" s="5" t="s">
        <v>30839</v>
      </c>
      <c r="X2529" s="5" t="s">
        <v>30839</v>
      </c>
      <c r="Y2529" s="4">
        <v>320</v>
      </c>
      <c r="Z2529" s="4">
        <v>238</v>
      </c>
      <c r="AA2529" s="4">
        <v>1214</v>
      </c>
      <c r="AB2529" s="4">
        <v>3</v>
      </c>
      <c r="AC2529" s="4">
        <v>7</v>
      </c>
      <c r="AD2529" s="4">
        <v>14</v>
      </c>
      <c r="AE2529" s="4">
        <v>48</v>
      </c>
      <c r="AF2529" s="4">
        <v>6</v>
      </c>
      <c r="AG2529" s="4">
        <v>23</v>
      </c>
      <c r="AH2529" s="4">
        <v>3</v>
      </c>
      <c r="AI2529" s="4">
        <v>10</v>
      </c>
      <c r="AJ2529" s="4">
        <v>10</v>
      </c>
      <c r="AK2529" s="4">
        <v>22</v>
      </c>
      <c r="AL2529" s="4">
        <v>2</v>
      </c>
      <c r="AM2529" s="4">
        <v>6</v>
      </c>
      <c r="AN2529" s="4">
        <v>0</v>
      </c>
      <c r="AO2529" s="4">
        <v>0</v>
      </c>
      <c r="AP2529" s="3" t="s">
        <v>58</v>
      </c>
      <c r="AQ2529" s="3" t="s">
        <v>68</v>
      </c>
      <c r="AR2529" s="6" t="str">
        <f>HYPERLINK("http://catalog.hathitrust.org/Record/004159629","HathiTrust Record")</f>
        <v>HathiTrust Record</v>
      </c>
      <c r="AS2529" s="6" t="str">
        <f>HYPERLINK("https://creighton-primo.hosted.exlibrisgroup.com/primo-explore/search?tab=default_tab&amp;search_scope=EVERYTHING&amp;vid=01CRU&amp;lang=en_US&amp;offset=0&amp;query=any,contains,991003632909702656","Catalog Record")</f>
        <v>Catalog Record</v>
      </c>
      <c r="AT2529" s="6" t="str">
        <f>HYPERLINK("http://www.worldcat.org/oclc/45100139","WorldCat Record")</f>
        <v>WorldCat Record</v>
      </c>
      <c r="AU2529" s="3" t="s">
        <v>30840</v>
      </c>
      <c r="AV2529" s="3" t="s">
        <v>30841</v>
      </c>
      <c r="AW2529" s="3" t="s">
        <v>30842</v>
      </c>
      <c r="AX2529" s="3" t="s">
        <v>30842</v>
      </c>
      <c r="AY2529" s="3" t="s">
        <v>30843</v>
      </c>
      <c r="AZ2529" s="3" t="s">
        <v>73</v>
      </c>
      <c r="BB2529" s="3" t="s">
        <v>30844</v>
      </c>
      <c r="BC2529" s="3" t="s">
        <v>30845</v>
      </c>
      <c r="BD2529" s="3" t="s">
        <v>30846</v>
      </c>
    </row>
    <row r="2530" spans="1:56" ht="51" customHeight="1" x14ac:dyDescent="0.25">
      <c r="A2530" s="7" t="s">
        <v>58</v>
      </c>
      <c r="B2530" s="2" t="s">
        <v>30847</v>
      </c>
      <c r="C2530" s="2" t="s">
        <v>30848</v>
      </c>
      <c r="D2530" s="2" t="s">
        <v>30849</v>
      </c>
      <c r="F2530" s="3" t="s">
        <v>58</v>
      </c>
      <c r="G2530" s="3" t="s">
        <v>59</v>
      </c>
      <c r="H2530" s="3" t="s">
        <v>58</v>
      </c>
      <c r="I2530" s="3" t="s">
        <v>58</v>
      </c>
      <c r="J2530" s="3" t="s">
        <v>60</v>
      </c>
      <c r="L2530" s="2" t="s">
        <v>3851</v>
      </c>
      <c r="M2530" s="3" t="s">
        <v>138</v>
      </c>
      <c r="O2530" s="3" t="s">
        <v>63</v>
      </c>
      <c r="P2530" s="3" t="s">
        <v>354</v>
      </c>
      <c r="R2530" s="3" t="s">
        <v>65</v>
      </c>
      <c r="S2530" s="4">
        <v>4</v>
      </c>
      <c r="T2530" s="4">
        <v>4</v>
      </c>
      <c r="U2530" s="5" t="s">
        <v>30227</v>
      </c>
      <c r="V2530" s="5" t="s">
        <v>30227</v>
      </c>
      <c r="W2530" s="5" t="s">
        <v>30040</v>
      </c>
      <c r="X2530" s="5" t="s">
        <v>30040</v>
      </c>
      <c r="Y2530" s="4">
        <v>526</v>
      </c>
      <c r="Z2530" s="4">
        <v>377</v>
      </c>
      <c r="AA2530" s="4">
        <v>390</v>
      </c>
      <c r="AB2530" s="4">
        <v>4</v>
      </c>
      <c r="AC2530" s="4">
        <v>4</v>
      </c>
      <c r="AD2530" s="4">
        <v>21</v>
      </c>
      <c r="AE2530" s="4">
        <v>21</v>
      </c>
      <c r="AF2530" s="4">
        <v>9</v>
      </c>
      <c r="AG2530" s="4">
        <v>9</v>
      </c>
      <c r="AH2530" s="4">
        <v>4</v>
      </c>
      <c r="AI2530" s="4">
        <v>4</v>
      </c>
      <c r="AJ2530" s="4">
        <v>13</v>
      </c>
      <c r="AK2530" s="4">
        <v>13</v>
      </c>
      <c r="AL2530" s="4">
        <v>3</v>
      </c>
      <c r="AM2530" s="4">
        <v>3</v>
      </c>
      <c r="AN2530" s="4">
        <v>0</v>
      </c>
      <c r="AO2530" s="4">
        <v>0</v>
      </c>
      <c r="AP2530" s="3" t="s">
        <v>58</v>
      </c>
      <c r="AQ2530" s="3" t="s">
        <v>58</v>
      </c>
      <c r="AS2530" s="6" t="str">
        <f>HYPERLINK("https://creighton-primo.hosted.exlibrisgroup.com/primo-explore/search?tab=default_tab&amp;search_scope=EVERYTHING&amp;vid=01CRU&amp;lang=en_US&amp;offset=0&amp;query=any,contains,991005227929702656","Catalog Record")</f>
        <v>Catalog Record</v>
      </c>
      <c r="AT2530" s="6" t="str">
        <f>HYPERLINK("http://www.worldcat.org/oclc/8284272","WorldCat Record")</f>
        <v>WorldCat Record</v>
      </c>
      <c r="AU2530" s="3" t="s">
        <v>30850</v>
      </c>
      <c r="AV2530" s="3" t="s">
        <v>30851</v>
      </c>
      <c r="AW2530" s="3" t="s">
        <v>30852</v>
      </c>
      <c r="AX2530" s="3" t="s">
        <v>30852</v>
      </c>
      <c r="AY2530" s="3" t="s">
        <v>30853</v>
      </c>
      <c r="AZ2530" s="3" t="s">
        <v>73</v>
      </c>
      <c r="BB2530" s="3" t="s">
        <v>30854</v>
      </c>
      <c r="BC2530" s="3" t="s">
        <v>30855</v>
      </c>
      <c r="BD2530" s="3" t="s">
        <v>30856</v>
      </c>
    </row>
    <row r="2531" spans="1:56" ht="51" customHeight="1" x14ac:dyDescent="0.25">
      <c r="A2531" s="7" t="s">
        <v>58</v>
      </c>
      <c r="B2531" s="2" t="s">
        <v>30857</v>
      </c>
      <c r="C2531" s="2" t="s">
        <v>30858</v>
      </c>
      <c r="D2531" s="2" t="s">
        <v>30859</v>
      </c>
      <c r="F2531" s="3" t="s">
        <v>58</v>
      </c>
      <c r="G2531" s="3" t="s">
        <v>59</v>
      </c>
      <c r="H2531" s="3" t="s">
        <v>58</v>
      </c>
      <c r="I2531" s="3" t="s">
        <v>58</v>
      </c>
      <c r="J2531" s="3" t="s">
        <v>60</v>
      </c>
      <c r="K2531" s="2" t="s">
        <v>30860</v>
      </c>
      <c r="L2531" s="2" t="s">
        <v>30861</v>
      </c>
      <c r="M2531" s="3" t="s">
        <v>1357</v>
      </c>
      <c r="O2531" s="3" t="s">
        <v>63</v>
      </c>
      <c r="P2531" s="3" t="s">
        <v>2061</v>
      </c>
      <c r="Q2531" s="2" t="s">
        <v>28936</v>
      </c>
      <c r="R2531" s="3" t="s">
        <v>65</v>
      </c>
      <c r="S2531" s="4">
        <v>1</v>
      </c>
      <c r="T2531" s="4">
        <v>1</v>
      </c>
      <c r="U2531" s="5" t="s">
        <v>30739</v>
      </c>
      <c r="V2531" s="5" t="s">
        <v>30739</v>
      </c>
      <c r="W2531" s="5" t="s">
        <v>15035</v>
      </c>
      <c r="X2531" s="5" t="s">
        <v>15035</v>
      </c>
      <c r="Y2531" s="4">
        <v>781</v>
      </c>
      <c r="Z2531" s="4">
        <v>631</v>
      </c>
      <c r="AA2531" s="4">
        <v>645</v>
      </c>
      <c r="AB2531" s="4">
        <v>7</v>
      </c>
      <c r="AC2531" s="4">
        <v>7</v>
      </c>
      <c r="AD2531" s="4">
        <v>32</v>
      </c>
      <c r="AE2531" s="4">
        <v>32</v>
      </c>
      <c r="AF2531" s="4">
        <v>10</v>
      </c>
      <c r="AG2531" s="4">
        <v>10</v>
      </c>
      <c r="AH2531" s="4">
        <v>7</v>
      </c>
      <c r="AI2531" s="4">
        <v>7</v>
      </c>
      <c r="AJ2531" s="4">
        <v>16</v>
      </c>
      <c r="AK2531" s="4">
        <v>16</v>
      </c>
      <c r="AL2531" s="4">
        <v>6</v>
      </c>
      <c r="AM2531" s="4">
        <v>6</v>
      </c>
      <c r="AN2531" s="4">
        <v>0</v>
      </c>
      <c r="AO2531" s="4">
        <v>0</v>
      </c>
      <c r="AP2531" s="3" t="s">
        <v>58</v>
      </c>
      <c r="AQ2531" s="3" t="s">
        <v>58</v>
      </c>
      <c r="AS2531" s="6" t="str">
        <f>HYPERLINK("https://creighton-primo.hosted.exlibrisgroup.com/primo-explore/search?tab=default_tab&amp;search_scope=EVERYTHING&amp;vid=01CRU&amp;lang=en_US&amp;offset=0&amp;query=any,contains,991000446389702656","Catalog Record")</f>
        <v>Catalog Record</v>
      </c>
      <c r="AT2531" s="6" t="str">
        <f>HYPERLINK("http://www.worldcat.org/oclc/76627","WorldCat Record")</f>
        <v>WorldCat Record</v>
      </c>
      <c r="AU2531" s="3" t="s">
        <v>30862</v>
      </c>
      <c r="AV2531" s="3" t="s">
        <v>30863</v>
      </c>
      <c r="AW2531" s="3" t="s">
        <v>30864</v>
      </c>
      <c r="AX2531" s="3" t="s">
        <v>30864</v>
      </c>
      <c r="AY2531" s="3" t="s">
        <v>30865</v>
      </c>
      <c r="AZ2531" s="3" t="s">
        <v>73</v>
      </c>
      <c r="BB2531" s="3" t="s">
        <v>30866</v>
      </c>
      <c r="BC2531" s="3" t="s">
        <v>30867</v>
      </c>
      <c r="BD2531" s="3" t="s">
        <v>30868</v>
      </c>
    </row>
    <row r="2532" spans="1:56" ht="51" customHeight="1" x14ac:dyDescent="0.25">
      <c r="A2532" s="7" t="s">
        <v>58</v>
      </c>
      <c r="B2532" s="2" t="s">
        <v>30869</v>
      </c>
      <c r="C2532" s="2" t="s">
        <v>30870</v>
      </c>
      <c r="D2532" s="2" t="s">
        <v>30871</v>
      </c>
      <c r="F2532" s="3" t="s">
        <v>58</v>
      </c>
      <c r="G2532" s="3" t="s">
        <v>59</v>
      </c>
      <c r="H2532" s="3" t="s">
        <v>58</v>
      </c>
      <c r="I2532" s="3" t="s">
        <v>68</v>
      </c>
      <c r="J2532" s="3" t="s">
        <v>60</v>
      </c>
      <c r="K2532" s="2" t="s">
        <v>25329</v>
      </c>
      <c r="L2532" s="2" t="s">
        <v>30872</v>
      </c>
      <c r="M2532" s="3" t="s">
        <v>4851</v>
      </c>
      <c r="O2532" s="3" t="s">
        <v>63</v>
      </c>
      <c r="P2532" s="3" t="s">
        <v>354</v>
      </c>
      <c r="R2532" s="3" t="s">
        <v>65</v>
      </c>
      <c r="S2532" s="4">
        <v>4</v>
      </c>
      <c r="T2532" s="4">
        <v>4</v>
      </c>
      <c r="U2532" s="5" t="s">
        <v>30227</v>
      </c>
      <c r="V2532" s="5" t="s">
        <v>30227</v>
      </c>
      <c r="W2532" s="5" t="s">
        <v>29645</v>
      </c>
      <c r="X2532" s="5" t="s">
        <v>29645</v>
      </c>
      <c r="Y2532" s="4">
        <v>581</v>
      </c>
      <c r="Z2532" s="4">
        <v>483</v>
      </c>
      <c r="AA2532" s="4">
        <v>920</v>
      </c>
      <c r="AB2532" s="4">
        <v>3</v>
      </c>
      <c r="AC2532" s="4">
        <v>5</v>
      </c>
      <c r="AD2532" s="4">
        <v>21</v>
      </c>
      <c r="AE2532" s="4">
        <v>44</v>
      </c>
      <c r="AF2532" s="4">
        <v>8</v>
      </c>
      <c r="AG2532" s="4">
        <v>24</v>
      </c>
      <c r="AH2532" s="4">
        <v>6</v>
      </c>
      <c r="AI2532" s="4">
        <v>9</v>
      </c>
      <c r="AJ2532" s="4">
        <v>10</v>
      </c>
      <c r="AK2532" s="4">
        <v>20</v>
      </c>
      <c r="AL2532" s="4">
        <v>2</v>
      </c>
      <c r="AM2532" s="4">
        <v>4</v>
      </c>
      <c r="AN2532" s="4">
        <v>0</v>
      </c>
      <c r="AO2532" s="4">
        <v>0</v>
      </c>
      <c r="AP2532" s="3" t="s">
        <v>58</v>
      </c>
      <c r="AQ2532" s="3" t="s">
        <v>68</v>
      </c>
      <c r="AR2532" s="6" t="str">
        <f>HYPERLINK("http://catalog.hathitrust.org/Record/001606393","HathiTrust Record")</f>
        <v>HathiTrust Record</v>
      </c>
      <c r="AS2532" s="6" t="str">
        <f>HYPERLINK("https://creighton-primo.hosted.exlibrisgroup.com/primo-explore/search?tab=default_tab&amp;search_scope=EVERYTHING&amp;vid=01CRU&amp;lang=en_US&amp;offset=0&amp;query=any,contains,991002722539702656","Catalog Record")</f>
        <v>Catalog Record</v>
      </c>
      <c r="AT2532" s="6" t="str">
        <f>HYPERLINK("http://www.worldcat.org/oclc/413111","WorldCat Record")</f>
        <v>WorldCat Record</v>
      </c>
      <c r="AU2532" s="3" t="s">
        <v>30873</v>
      </c>
      <c r="AV2532" s="3" t="s">
        <v>30874</v>
      </c>
      <c r="AW2532" s="3" t="s">
        <v>30875</v>
      </c>
      <c r="AX2532" s="3" t="s">
        <v>30875</v>
      </c>
      <c r="AY2532" s="3" t="s">
        <v>30876</v>
      </c>
      <c r="AZ2532" s="3" t="s">
        <v>73</v>
      </c>
      <c r="BC2532" s="3" t="s">
        <v>30877</v>
      </c>
      <c r="BD2532" s="3" t="s">
        <v>30878</v>
      </c>
    </row>
    <row r="2533" spans="1:56" ht="51" customHeight="1" x14ac:dyDescent="0.25">
      <c r="A2533" s="7" t="s">
        <v>58</v>
      </c>
      <c r="B2533" s="2" t="s">
        <v>30879</v>
      </c>
      <c r="C2533" s="2" t="s">
        <v>30880</v>
      </c>
      <c r="D2533" s="2" t="s">
        <v>30881</v>
      </c>
      <c r="F2533" s="3" t="s">
        <v>58</v>
      </c>
      <c r="G2533" s="3" t="s">
        <v>59</v>
      </c>
      <c r="H2533" s="3" t="s">
        <v>58</v>
      </c>
      <c r="I2533" s="3" t="s">
        <v>68</v>
      </c>
      <c r="J2533" s="3" t="s">
        <v>60</v>
      </c>
      <c r="K2533" s="2" t="s">
        <v>25329</v>
      </c>
      <c r="L2533" s="2" t="s">
        <v>30882</v>
      </c>
      <c r="M2533" s="3" t="s">
        <v>479</v>
      </c>
      <c r="N2533" s="2" t="s">
        <v>30883</v>
      </c>
      <c r="O2533" s="3" t="s">
        <v>63</v>
      </c>
      <c r="P2533" s="3" t="s">
        <v>214</v>
      </c>
      <c r="R2533" s="3" t="s">
        <v>65</v>
      </c>
      <c r="S2533" s="4">
        <v>1</v>
      </c>
      <c r="T2533" s="4">
        <v>1</v>
      </c>
      <c r="U2533" s="5" t="s">
        <v>30884</v>
      </c>
      <c r="V2533" s="5" t="s">
        <v>30884</v>
      </c>
      <c r="W2533" s="5" t="s">
        <v>30884</v>
      </c>
      <c r="X2533" s="5" t="s">
        <v>30884</v>
      </c>
      <c r="Y2533" s="4">
        <v>273</v>
      </c>
      <c r="Z2533" s="4">
        <v>203</v>
      </c>
      <c r="AA2533" s="4">
        <v>920</v>
      </c>
      <c r="AB2533" s="4">
        <v>1</v>
      </c>
      <c r="AC2533" s="4">
        <v>5</v>
      </c>
      <c r="AD2533" s="4">
        <v>10</v>
      </c>
      <c r="AE2533" s="4">
        <v>44</v>
      </c>
      <c r="AF2533" s="4">
        <v>5</v>
      </c>
      <c r="AG2533" s="4">
        <v>24</v>
      </c>
      <c r="AH2533" s="4">
        <v>3</v>
      </c>
      <c r="AI2533" s="4">
        <v>9</v>
      </c>
      <c r="AJ2533" s="4">
        <v>6</v>
      </c>
      <c r="AK2533" s="4">
        <v>20</v>
      </c>
      <c r="AL2533" s="4">
        <v>0</v>
      </c>
      <c r="AM2533" s="4">
        <v>4</v>
      </c>
      <c r="AN2533" s="4">
        <v>0</v>
      </c>
      <c r="AO2533" s="4">
        <v>0</v>
      </c>
      <c r="AP2533" s="3" t="s">
        <v>58</v>
      </c>
      <c r="AQ2533" s="3" t="s">
        <v>58</v>
      </c>
      <c r="AS2533" s="6" t="str">
        <f>HYPERLINK("https://creighton-primo.hosted.exlibrisgroup.com/primo-explore/search?tab=default_tab&amp;search_scope=EVERYTHING&amp;vid=01CRU&amp;lang=en_US&amp;offset=0&amp;query=any,contains,991005307569702656","Catalog Record")</f>
        <v>Catalog Record</v>
      </c>
      <c r="AT2533" s="6" t="str">
        <f>HYPERLINK("http://www.worldcat.org/oclc/31374601","WorldCat Record")</f>
        <v>WorldCat Record</v>
      </c>
      <c r="AU2533" s="3" t="s">
        <v>30873</v>
      </c>
      <c r="AV2533" s="3" t="s">
        <v>30885</v>
      </c>
      <c r="AW2533" s="3" t="s">
        <v>30886</v>
      </c>
      <c r="AX2533" s="3" t="s">
        <v>30886</v>
      </c>
      <c r="AY2533" s="3" t="s">
        <v>30887</v>
      </c>
      <c r="AZ2533" s="3" t="s">
        <v>73</v>
      </c>
      <c r="BB2533" s="3" t="s">
        <v>30888</v>
      </c>
      <c r="BC2533" s="3" t="s">
        <v>30889</v>
      </c>
      <c r="BD2533" s="3" t="s">
        <v>30890</v>
      </c>
    </row>
    <row r="2534" spans="1:56" ht="51" customHeight="1" x14ac:dyDescent="0.25">
      <c r="A2534" s="7" t="s">
        <v>58</v>
      </c>
      <c r="B2534" s="2" t="s">
        <v>30891</v>
      </c>
      <c r="C2534" s="2" t="s">
        <v>30892</v>
      </c>
      <c r="D2534" s="2" t="s">
        <v>30893</v>
      </c>
      <c r="F2534" s="3" t="s">
        <v>58</v>
      </c>
      <c r="G2534" s="3" t="s">
        <v>59</v>
      </c>
      <c r="H2534" s="3" t="s">
        <v>58</v>
      </c>
      <c r="I2534" s="3" t="s">
        <v>58</v>
      </c>
      <c r="J2534" s="3" t="s">
        <v>60</v>
      </c>
      <c r="K2534" s="2" t="s">
        <v>30038</v>
      </c>
      <c r="L2534" s="2" t="s">
        <v>30894</v>
      </c>
      <c r="M2534" s="3" t="s">
        <v>759</v>
      </c>
      <c r="O2534" s="3" t="s">
        <v>63</v>
      </c>
      <c r="P2534" s="3" t="s">
        <v>10160</v>
      </c>
      <c r="R2534" s="3" t="s">
        <v>65</v>
      </c>
      <c r="S2534" s="4">
        <v>8</v>
      </c>
      <c r="T2534" s="4">
        <v>8</v>
      </c>
      <c r="U2534" s="5" t="s">
        <v>30895</v>
      </c>
      <c r="V2534" s="5" t="s">
        <v>30895</v>
      </c>
      <c r="W2534" s="5" t="s">
        <v>30040</v>
      </c>
      <c r="X2534" s="5" t="s">
        <v>30040</v>
      </c>
      <c r="Y2534" s="4">
        <v>671</v>
      </c>
      <c r="Z2534" s="4">
        <v>537</v>
      </c>
      <c r="AA2534" s="4">
        <v>721</v>
      </c>
      <c r="AB2534" s="4">
        <v>6</v>
      </c>
      <c r="AC2534" s="4">
        <v>6</v>
      </c>
      <c r="AD2534" s="4">
        <v>32</v>
      </c>
      <c r="AE2534" s="4">
        <v>33</v>
      </c>
      <c r="AF2534" s="4">
        <v>14</v>
      </c>
      <c r="AG2534" s="4">
        <v>15</v>
      </c>
      <c r="AH2534" s="4">
        <v>6</v>
      </c>
      <c r="AI2534" s="4">
        <v>6</v>
      </c>
      <c r="AJ2534" s="4">
        <v>16</v>
      </c>
      <c r="AK2534" s="4">
        <v>16</v>
      </c>
      <c r="AL2534" s="4">
        <v>5</v>
      </c>
      <c r="AM2534" s="4">
        <v>5</v>
      </c>
      <c r="AN2534" s="4">
        <v>0</v>
      </c>
      <c r="AO2534" s="4">
        <v>0</v>
      </c>
      <c r="AP2534" s="3" t="s">
        <v>58</v>
      </c>
      <c r="AQ2534" s="3" t="s">
        <v>68</v>
      </c>
      <c r="AR2534" s="6" t="str">
        <f>HYPERLINK("http://catalog.hathitrust.org/Record/000031620","HathiTrust Record")</f>
        <v>HathiTrust Record</v>
      </c>
      <c r="AS2534" s="6" t="str">
        <f>HYPERLINK("https://creighton-primo.hosted.exlibrisgroup.com/primo-explore/search?tab=default_tab&amp;search_scope=EVERYTHING&amp;vid=01CRU&amp;lang=en_US&amp;offset=0&amp;query=any,contains,991004839679702656","Catalog Record")</f>
        <v>Catalog Record</v>
      </c>
      <c r="AT2534" s="6" t="str">
        <f>HYPERLINK("http://www.worldcat.org/oclc/5495030","WorldCat Record")</f>
        <v>WorldCat Record</v>
      </c>
      <c r="AU2534" s="3" t="s">
        <v>30896</v>
      </c>
      <c r="AV2534" s="3" t="s">
        <v>30897</v>
      </c>
      <c r="AW2534" s="3" t="s">
        <v>30898</v>
      </c>
      <c r="AX2534" s="3" t="s">
        <v>30898</v>
      </c>
      <c r="AY2534" s="3" t="s">
        <v>30899</v>
      </c>
      <c r="AZ2534" s="3" t="s">
        <v>73</v>
      </c>
      <c r="BC2534" s="3" t="s">
        <v>30900</v>
      </c>
      <c r="BD2534" s="3" t="s">
        <v>30901</v>
      </c>
    </row>
    <row r="2535" spans="1:56" ht="51" customHeight="1" x14ac:dyDescent="0.25">
      <c r="A2535" s="7" t="s">
        <v>58</v>
      </c>
      <c r="B2535" s="2" t="s">
        <v>30902</v>
      </c>
      <c r="C2535" s="2" t="s">
        <v>30903</v>
      </c>
      <c r="D2535" s="2" t="s">
        <v>30904</v>
      </c>
      <c r="F2535" s="3" t="s">
        <v>58</v>
      </c>
      <c r="G2535" s="3" t="s">
        <v>59</v>
      </c>
      <c r="H2535" s="3" t="s">
        <v>58</v>
      </c>
      <c r="I2535" s="3" t="s">
        <v>58</v>
      </c>
      <c r="J2535" s="3" t="s">
        <v>60</v>
      </c>
      <c r="K2535" s="2" t="s">
        <v>30905</v>
      </c>
      <c r="L2535" s="2" t="s">
        <v>29952</v>
      </c>
      <c r="M2535" s="3" t="s">
        <v>1153</v>
      </c>
      <c r="N2535" s="2" t="s">
        <v>30906</v>
      </c>
      <c r="O2535" s="3" t="s">
        <v>63</v>
      </c>
      <c r="P2535" s="3" t="s">
        <v>16203</v>
      </c>
      <c r="R2535" s="3" t="s">
        <v>65</v>
      </c>
      <c r="S2535" s="4">
        <v>5</v>
      </c>
      <c r="T2535" s="4">
        <v>5</v>
      </c>
      <c r="U2535" s="5" t="s">
        <v>30907</v>
      </c>
      <c r="V2535" s="5" t="s">
        <v>30907</v>
      </c>
      <c r="W2535" s="5" t="s">
        <v>15035</v>
      </c>
      <c r="X2535" s="5" t="s">
        <v>15035</v>
      </c>
      <c r="Y2535" s="4">
        <v>131</v>
      </c>
      <c r="Z2535" s="4">
        <v>108</v>
      </c>
      <c r="AA2535" s="4">
        <v>139</v>
      </c>
      <c r="AB2535" s="4">
        <v>1</v>
      </c>
      <c r="AC2535" s="4">
        <v>2</v>
      </c>
      <c r="AD2535" s="4">
        <v>1</v>
      </c>
      <c r="AE2535" s="4">
        <v>4</v>
      </c>
      <c r="AF2535" s="4">
        <v>0</v>
      </c>
      <c r="AG2535" s="4">
        <v>0</v>
      </c>
      <c r="AH2535" s="4">
        <v>1</v>
      </c>
      <c r="AI2535" s="4">
        <v>3</v>
      </c>
      <c r="AJ2535" s="4">
        <v>1</v>
      </c>
      <c r="AK2535" s="4">
        <v>1</v>
      </c>
      <c r="AL2535" s="4">
        <v>0</v>
      </c>
      <c r="AM2535" s="4">
        <v>1</v>
      </c>
      <c r="AN2535" s="4">
        <v>0</v>
      </c>
      <c r="AO2535" s="4">
        <v>0</v>
      </c>
      <c r="AP2535" s="3" t="s">
        <v>58</v>
      </c>
      <c r="AQ2535" s="3" t="s">
        <v>58</v>
      </c>
      <c r="AS2535" s="6" t="str">
        <f>HYPERLINK("https://creighton-primo.hosted.exlibrisgroup.com/primo-explore/search?tab=default_tab&amp;search_scope=EVERYTHING&amp;vid=01CRU&amp;lang=en_US&amp;offset=0&amp;query=any,contains,991003194899702656","Catalog Record")</f>
        <v>Catalog Record</v>
      </c>
      <c r="AT2535" s="6" t="str">
        <f>HYPERLINK("http://www.worldcat.org/oclc/720304","WorldCat Record")</f>
        <v>WorldCat Record</v>
      </c>
      <c r="AU2535" s="3" t="s">
        <v>30908</v>
      </c>
      <c r="AV2535" s="3" t="s">
        <v>30909</v>
      </c>
      <c r="AW2535" s="3" t="s">
        <v>30910</v>
      </c>
      <c r="AX2535" s="3" t="s">
        <v>30910</v>
      </c>
      <c r="AY2535" s="3" t="s">
        <v>30911</v>
      </c>
      <c r="AZ2535" s="3" t="s">
        <v>73</v>
      </c>
      <c r="BB2535" s="3" t="s">
        <v>30912</v>
      </c>
      <c r="BC2535" s="3" t="s">
        <v>30913</v>
      </c>
      <c r="BD2535" s="3" t="s">
        <v>30914</v>
      </c>
    </row>
    <row r="2536" spans="1:56" ht="51" customHeight="1" x14ac:dyDescent="0.25">
      <c r="A2536" s="7" t="s">
        <v>58</v>
      </c>
      <c r="B2536" s="2" t="s">
        <v>30915</v>
      </c>
      <c r="C2536" s="2" t="s">
        <v>30916</v>
      </c>
      <c r="D2536" s="2" t="s">
        <v>30917</v>
      </c>
      <c r="F2536" s="3" t="s">
        <v>58</v>
      </c>
      <c r="G2536" s="3" t="s">
        <v>59</v>
      </c>
      <c r="H2536" s="3" t="s">
        <v>58</v>
      </c>
      <c r="I2536" s="3" t="s">
        <v>58</v>
      </c>
      <c r="J2536" s="3" t="s">
        <v>60</v>
      </c>
      <c r="K2536" s="2" t="s">
        <v>30918</v>
      </c>
      <c r="L2536" s="2" t="s">
        <v>30919</v>
      </c>
      <c r="M2536" s="3" t="s">
        <v>423</v>
      </c>
      <c r="O2536" s="3" t="s">
        <v>63</v>
      </c>
      <c r="P2536" s="3" t="s">
        <v>411</v>
      </c>
      <c r="Q2536" s="2" t="s">
        <v>30920</v>
      </c>
      <c r="R2536" s="3" t="s">
        <v>65</v>
      </c>
      <c r="S2536" s="4">
        <v>5</v>
      </c>
      <c r="T2536" s="4">
        <v>5</v>
      </c>
      <c r="U2536" s="5" t="s">
        <v>24834</v>
      </c>
      <c r="V2536" s="5" t="s">
        <v>24834</v>
      </c>
      <c r="W2536" s="5" t="s">
        <v>21947</v>
      </c>
      <c r="X2536" s="5" t="s">
        <v>21947</v>
      </c>
      <c r="Y2536" s="4">
        <v>460</v>
      </c>
      <c r="Z2536" s="4">
        <v>377</v>
      </c>
      <c r="AA2536" s="4">
        <v>383</v>
      </c>
      <c r="AB2536" s="4">
        <v>3</v>
      </c>
      <c r="AC2536" s="4">
        <v>3</v>
      </c>
      <c r="AD2536" s="4">
        <v>19</v>
      </c>
      <c r="AE2536" s="4">
        <v>19</v>
      </c>
      <c r="AF2536" s="4">
        <v>6</v>
      </c>
      <c r="AG2536" s="4">
        <v>6</v>
      </c>
      <c r="AH2536" s="4">
        <v>6</v>
      </c>
      <c r="AI2536" s="4">
        <v>6</v>
      </c>
      <c r="AJ2536" s="4">
        <v>10</v>
      </c>
      <c r="AK2536" s="4">
        <v>10</v>
      </c>
      <c r="AL2536" s="4">
        <v>2</v>
      </c>
      <c r="AM2536" s="4">
        <v>2</v>
      </c>
      <c r="AN2536" s="4">
        <v>0</v>
      </c>
      <c r="AO2536" s="4">
        <v>0</v>
      </c>
      <c r="AP2536" s="3" t="s">
        <v>58</v>
      </c>
      <c r="AQ2536" s="3" t="s">
        <v>58</v>
      </c>
      <c r="AS2536" s="6" t="str">
        <f>HYPERLINK("https://creighton-primo.hosted.exlibrisgroup.com/primo-explore/search?tab=default_tab&amp;search_scope=EVERYTHING&amp;vid=01CRU&amp;lang=en_US&amp;offset=0&amp;query=any,contains,991002928509702656","Catalog Record")</f>
        <v>Catalog Record</v>
      </c>
      <c r="AT2536" s="6" t="str">
        <f>HYPERLINK("http://www.worldcat.org/oclc/38930536","WorldCat Record")</f>
        <v>WorldCat Record</v>
      </c>
      <c r="AU2536" s="3" t="s">
        <v>30921</v>
      </c>
      <c r="AV2536" s="3" t="s">
        <v>30922</v>
      </c>
      <c r="AW2536" s="3" t="s">
        <v>30923</v>
      </c>
      <c r="AX2536" s="3" t="s">
        <v>30923</v>
      </c>
      <c r="AY2536" s="3" t="s">
        <v>30924</v>
      </c>
      <c r="AZ2536" s="3" t="s">
        <v>73</v>
      </c>
      <c r="BB2536" s="3" t="s">
        <v>30925</v>
      </c>
      <c r="BC2536" s="3" t="s">
        <v>30926</v>
      </c>
      <c r="BD2536" s="3" t="s">
        <v>30927</v>
      </c>
    </row>
    <row r="2537" spans="1:56" ht="51" customHeight="1" x14ac:dyDescent="0.25">
      <c r="A2537" s="7" t="s">
        <v>58</v>
      </c>
      <c r="B2537" s="2" t="s">
        <v>30928</v>
      </c>
      <c r="C2537" s="2" t="s">
        <v>30929</v>
      </c>
      <c r="D2537" s="2" t="s">
        <v>30930</v>
      </c>
      <c r="F2537" s="3" t="s">
        <v>58</v>
      </c>
      <c r="G2537" s="3" t="s">
        <v>59</v>
      </c>
      <c r="H2537" s="3" t="s">
        <v>58</v>
      </c>
      <c r="I2537" s="3" t="s">
        <v>58</v>
      </c>
      <c r="J2537" s="3" t="s">
        <v>60</v>
      </c>
      <c r="K2537" s="2" t="s">
        <v>30931</v>
      </c>
      <c r="L2537" s="2" t="s">
        <v>30932</v>
      </c>
      <c r="M2537" s="3" t="s">
        <v>1153</v>
      </c>
      <c r="O2537" s="3" t="s">
        <v>63</v>
      </c>
      <c r="P2537" s="3" t="s">
        <v>816</v>
      </c>
      <c r="Q2537" s="2" t="s">
        <v>30933</v>
      </c>
      <c r="R2537" s="3" t="s">
        <v>65</v>
      </c>
      <c r="S2537" s="4">
        <v>2</v>
      </c>
      <c r="T2537" s="4">
        <v>2</v>
      </c>
      <c r="U2537" s="5" t="s">
        <v>30934</v>
      </c>
      <c r="V2537" s="5" t="s">
        <v>30934</v>
      </c>
      <c r="W2537" s="5" t="s">
        <v>30934</v>
      </c>
      <c r="X2537" s="5" t="s">
        <v>30934</v>
      </c>
      <c r="Y2537" s="4">
        <v>503</v>
      </c>
      <c r="Z2537" s="4">
        <v>381</v>
      </c>
      <c r="AA2537" s="4">
        <v>389</v>
      </c>
      <c r="AB2537" s="4">
        <v>2</v>
      </c>
      <c r="AC2537" s="4">
        <v>2</v>
      </c>
      <c r="AD2537" s="4">
        <v>20</v>
      </c>
      <c r="AE2537" s="4">
        <v>20</v>
      </c>
      <c r="AF2537" s="4">
        <v>7</v>
      </c>
      <c r="AG2537" s="4">
        <v>7</v>
      </c>
      <c r="AH2537" s="4">
        <v>6</v>
      </c>
      <c r="AI2537" s="4">
        <v>6</v>
      </c>
      <c r="AJ2537" s="4">
        <v>11</v>
      </c>
      <c r="AK2537" s="4">
        <v>11</v>
      </c>
      <c r="AL2537" s="4">
        <v>1</v>
      </c>
      <c r="AM2537" s="4">
        <v>1</v>
      </c>
      <c r="AN2537" s="4">
        <v>0</v>
      </c>
      <c r="AO2537" s="4">
        <v>0</v>
      </c>
      <c r="AP2537" s="3" t="s">
        <v>58</v>
      </c>
      <c r="AQ2537" s="3" t="s">
        <v>68</v>
      </c>
      <c r="AR2537" s="6" t="str">
        <f>HYPERLINK("http://catalog.hathitrust.org/Record/001652815","HathiTrust Record")</f>
        <v>HathiTrust Record</v>
      </c>
      <c r="AS2537" s="6" t="str">
        <f>HYPERLINK("https://creighton-primo.hosted.exlibrisgroup.com/primo-explore/search?tab=default_tab&amp;search_scope=EVERYTHING&amp;vid=01CRU&amp;lang=en_US&amp;offset=0&amp;query=any,contains,991003997159702656","Catalog Record")</f>
        <v>Catalog Record</v>
      </c>
      <c r="AT2537" s="6" t="str">
        <f>HYPERLINK("http://www.worldcat.org/oclc/623165","WorldCat Record")</f>
        <v>WorldCat Record</v>
      </c>
      <c r="AU2537" s="3" t="s">
        <v>30935</v>
      </c>
      <c r="AV2537" s="3" t="s">
        <v>30936</v>
      </c>
      <c r="AW2537" s="3" t="s">
        <v>30937</v>
      </c>
      <c r="AX2537" s="3" t="s">
        <v>30937</v>
      </c>
      <c r="AY2537" s="3" t="s">
        <v>30938</v>
      </c>
      <c r="AZ2537" s="3" t="s">
        <v>73</v>
      </c>
      <c r="BB2537" s="3" t="s">
        <v>30939</v>
      </c>
      <c r="BC2537" s="3" t="s">
        <v>30940</v>
      </c>
      <c r="BD2537" s="3" t="s">
        <v>30941</v>
      </c>
    </row>
    <row r="2538" spans="1:56" ht="51" customHeight="1" x14ac:dyDescent="0.25">
      <c r="A2538" s="7" t="s">
        <v>58</v>
      </c>
      <c r="B2538" s="2" t="s">
        <v>30942</v>
      </c>
      <c r="C2538" s="2" t="s">
        <v>30943</v>
      </c>
      <c r="D2538" s="2" t="s">
        <v>30944</v>
      </c>
      <c r="F2538" s="3" t="s">
        <v>58</v>
      </c>
      <c r="G2538" s="3" t="s">
        <v>59</v>
      </c>
      <c r="H2538" s="3" t="s">
        <v>58</v>
      </c>
      <c r="I2538" s="3" t="s">
        <v>58</v>
      </c>
      <c r="J2538" s="3" t="s">
        <v>60</v>
      </c>
      <c r="K2538" s="2" t="s">
        <v>30945</v>
      </c>
      <c r="L2538" s="2" t="s">
        <v>30946</v>
      </c>
      <c r="M2538" s="3" t="s">
        <v>2295</v>
      </c>
      <c r="O2538" s="3" t="s">
        <v>63</v>
      </c>
      <c r="P2538" s="3" t="s">
        <v>354</v>
      </c>
      <c r="R2538" s="3" t="s">
        <v>65</v>
      </c>
      <c r="S2538" s="4">
        <v>4</v>
      </c>
      <c r="T2538" s="4">
        <v>4</v>
      </c>
      <c r="U2538" s="5" t="s">
        <v>30947</v>
      </c>
      <c r="V2538" s="5" t="s">
        <v>30947</v>
      </c>
      <c r="W2538" s="5" t="s">
        <v>30067</v>
      </c>
      <c r="X2538" s="5" t="s">
        <v>30067</v>
      </c>
      <c r="Y2538" s="4">
        <v>872</v>
      </c>
      <c r="Z2538" s="4">
        <v>729</v>
      </c>
      <c r="AA2538" s="4">
        <v>1394</v>
      </c>
      <c r="AB2538" s="4">
        <v>6</v>
      </c>
      <c r="AC2538" s="4">
        <v>34</v>
      </c>
      <c r="AD2538" s="4">
        <v>20</v>
      </c>
      <c r="AE2538" s="4">
        <v>36</v>
      </c>
      <c r="AF2538" s="4">
        <v>9</v>
      </c>
      <c r="AG2538" s="4">
        <v>13</v>
      </c>
      <c r="AH2538" s="4">
        <v>4</v>
      </c>
      <c r="AI2538" s="4">
        <v>6</v>
      </c>
      <c r="AJ2538" s="4">
        <v>10</v>
      </c>
      <c r="AK2538" s="4">
        <v>12</v>
      </c>
      <c r="AL2538" s="4">
        <v>2</v>
      </c>
      <c r="AM2538" s="4">
        <v>12</v>
      </c>
      <c r="AN2538" s="4">
        <v>0</v>
      </c>
      <c r="AO2538" s="4">
        <v>0</v>
      </c>
      <c r="AP2538" s="3" t="s">
        <v>58</v>
      </c>
      <c r="AQ2538" s="3" t="s">
        <v>58</v>
      </c>
      <c r="AS2538" s="6" t="str">
        <f>HYPERLINK("https://creighton-primo.hosted.exlibrisgroup.com/primo-explore/search?tab=default_tab&amp;search_scope=EVERYTHING&amp;vid=01CRU&amp;lang=en_US&amp;offset=0&amp;query=any,contains,991005106119702656","Catalog Record")</f>
        <v>Catalog Record</v>
      </c>
      <c r="AT2538" s="6" t="str">
        <f>HYPERLINK("http://www.worldcat.org/oclc/51898842","WorldCat Record")</f>
        <v>WorldCat Record</v>
      </c>
      <c r="AU2538" s="3" t="s">
        <v>30948</v>
      </c>
      <c r="AV2538" s="3" t="s">
        <v>30949</v>
      </c>
      <c r="AW2538" s="3" t="s">
        <v>30950</v>
      </c>
      <c r="AX2538" s="3" t="s">
        <v>30950</v>
      </c>
      <c r="AY2538" s="3" t="s">
        <v>30951</v>
      </c>
      <c r="AZ2538" s="3" t="s">
        <v>73</v>
      </c>
      <c r="BB2538" s="3" t="s">
        <v>30952</v>
      </c>
      <c r="BC2538" s="3" t="s">
        <v>30953</v>
      </c>
      <c r="BD2538" s="3" t="s">
        <v>30954</v>
      </c>
    </row>
    <row r="2539" spans="1:56" ht="51" customHeight="1" x14ac:dyDescent="0.25">
      <c r="A2539" s="7" t="s">
        <v>58</v>
      </c>
      <c r="B2539" s="2" t="s">
        <v>30955</v>
      </c>
      <c r="C2539" s="2" t="s">
        <v>30956</v>
      </c>
      <c r="D2539" s="2" t="s">
        <v>30957</v>
      </c>
      <c r="F2539" s="3" t="s">
        <v>58</v>
      </c>
      <c r="G2539" s="3" t="s">
        <v>59</v>
      </c>
      <c r="H2539" s="3" t="s">
        <v>58</v>
      </c>
      <c r="I2539" s="3" t="s">
        <v>58</v>
      </c>
      <c r="J2539" s="3" t="s">
        <v>60</v>
      </c>
      <c r="K2539" s="2" t="s">
        <v>30958</v>
      </c>
      <c r="L2539" s="2" t="s">
        <v>30959</v>
      </c>
      <c r="M2539" s="3" t="s">
        <v>479</v>
      </c>
      <c r="O2539" s="3" t="s">
        <v>63</v>
      </c>
      <c r="P2539" s="3" t="s">
        <v>10900</v>
      </c>
      <c r="R2539" s="3" t="s">
        <v>65</v>
      </c>
      <c r="S2539" s="4">
        <v>15</v>
      </c>
      <c r="T2539" s="4">
        <v>15</v>
      </c>
      <c r="U2539" s="5" t="s">
        <v>28053</v>
      </c>
      <c r="V2539" s="5" t="s">
        <v>28053</v>
      </c>
      <c r="W2539" s="5" t="s">
        <v>30960</v>
      </c>
      <c r="X2539" s="5" t="s">
        <v>30960</v>
      </c>
      <c r="Y2539" s="4">
        <v>504</v>
      </c>
      <c r="Z2539" s="4">
        <v>359</v>
      </c>
      <c r="AA2539" s="4">
        <v>365</v>
      </c>
      <c r="AB2539" s="4">
        <v>5</v>
      </c>
      <c r="AC2539" s="4">
        <v>5</v>
      </c>
      <c r="AD2539" s="4">
        <v>23</v>
      </c>
      <c r="AE2539" s="4">
        <v>23</v>
      </c>
      <c r="AF2539" s="4">
        <v>6</v>
      </c>
      <c r="AG2539" s="4">
        <v>6</v>
      </c>
      <c r="AH2539" s="4">
        <v>6</v>
      </c>
      <c r="AI2539" s="4">
        <v>6</v>
      </c>
      <c r="AJ2539" s="4">
        <v>10</v>
      </c>
      <c r="AK2539" s="4">
        <v>10</v>
      </c>
      <c r="AL2539" s="4">
        <v>4</v>
      </c>
      <c r="AM2539" s="4">
        <v>4</v>
      </c>
      <c r="AN2539" s="4">
        <v>1</v>
      </c>
      <c r="AO2539" s="4">
        <v>1</v>
      </c>
      <c r="AP2539" s="3" t="s">
        <v>58</v>
      </c>
      <c r="AQ2539" s="3" t="s">
        <v>68</v>
      </c>
      <c r="AR2539" s="6" t="str">
        <f>HYPERLINK("http://catalog.hathitrust.org/Record/002887663","HathiTrust Record")</f>
        <v>HathiTrust Record</v>
      </c>
      <c r="AS2539" s="6" t="str">
        <f>HYPERLINK("https://creighton-primo.hosted.exlibrisgroup.com/primo-explore/search?tab=default_tab&amp;search_scope=EVERYTHING&amp;vid=01CRU&amp;lang=en_US&amp;offset=0&amp;query=any,contains,991002365879702656","Catalog Record")</f>
        <v>Catalog Record</v>
      </c>
      <c r="AT2539" s="6" t="str">
        <f>HYPERLINK("http://www.worldcat.org/oclc/30753057","WorldCat Record")</f>
        <v>WorldCat Record</v>
      </c>
      <c r="AU2539" s="3" t="s">
        <v>30961</v>
      </c>
      <c r="AV2539" s="3" t="s">
        <v>30962</v>
      </c>
      <c r="AW2539" s="3" t="s">
        <v>30963</v>
      </c>
      <c r="AX2539" s="3" t="s">
        <v>30963</v>
      </c>
      <c r="AY2539" s="3" t="s">
        <v>30964</v>
      </c>
      <c r="AZ2539" s="3" t="s">
        <v>73</v>
      </c>
      <c r="BB2539" s="3" t="s">
        <v>30965</v>
      </c>
      <c r="BC2539" s="3" t="s">
        <v>30966</v>
      </c>
      <c r="BD2539" s="3" t="s">
        <v>30967</v>
      </c>
    </row>
    <row r="2540" spans="1:56" ht="51" customHeight="1" x14ac:dyDescent="0.25">
      <c r="A2540" s="7" t="s">
        <v>58</v>
      </c>
      <c r="B2540" s="2" t="s">
        <v>30968</v>
      </c>
      <c r="C2540" s="2" t="s">
        <v>30969</v>
      </c>
      <c r="D2540" s="2" t="s">
        <v>30970</v>
      </c>
      <c r="F2540" s="3" t="s">
        <v>58</v>
      </c>
      <c r="G2540" s="3" t="s">
        <v>59</v>
      </c>
      <c r="H2540" s="3" t="s">
        <v>58</v>
      </c>
      <c r="I2540" s="3" t="s">
        <v>58</v>
      </c>
      <c r="J2540" s="3" t="s">
        <v>60</v>
      </c>
      <c r="K2540" s="2" t="s">
        <v>30971</v>
      </c>
      <c r="L2540" s="2" t="s">
        <v>30972</v>
      </c>
      <c r="M2540" s="3" t="s">
        <v>382</v>
      </c>
      <c r="O2540" s="3" t="s">
        <v>63</v>
      </c>
      <c r="P2540" s="3" t="s">
        <v>214</v>
      </c>
      <c r="Q2540" s="2" t="s">
        <v>30973</v>
      </c>
      <c r="R2540" s="3" t="s">
        <v>65</v>
      </c>
      <c r="S2540" s="4">
        <v>4</v>
      </c>
      <c r="T2540" s="4">
        <v>4</v>
      </c>
      <c r="U2540" s="5" t="s">
        <v>8165</v>
      </c>
      <c r="V2540" s="5" t="s">
        <v>8165</v>
      </c>
      <c r="W2540" s="5" t="s">
        <v>23914</v>
      </c>
      <c r="X2540" s="5" t="s">
        <v>23914</v>
      </c>
      <c r="Y2540" s="4">
        <v>675</v>
      </c>
      <c r="Z2540" s="4">
        <v>573</v>
      </c>
      <c r="AA2540" s="4">
        <v>577</v>
      </c>
      <c r="AB2540" s="4">
        <v>5</v>
      </c>
      <c r="AC2540" s="4">
        <v>5</v>
      </c>
      <c r="AD2540" s="4">
        <v>35</v>
      </c>
      <c r="AE2540" s="4">
        <v>35</v>
      </c>
      <c r="AF2540" s="4">
        <v>15</v>
      </c>
      <c r="AG2540" s="4">
        <v>15</v>
      </c>
      <c r="AH2540" s="4">
        <v>8</v>
      </c>
      <c r="AI2540" s="4">
        <v>8</v>
      </c>
      <c r="AJ2540" s="4">
        <v>14</v>
      </c>
      <c r="AK2540" s="4">
        <v>14</v>
      </c>
      <c r="AL2540" s="4">
        <v>4</v>
      </c>
      <c r="AM2540" s="4">
        <v>4</v>
      </c>
      <c r="AN2540" s="4">
        <v>0</v>
      </c>
      <c r="AO2540" s="4">
        <v>0</v>
      </c>
      <c r="AP2540" s="3" t="s">
        <v>58</v>
      </c>
      <c r="AQ2540" s="3" t="s">
        <v>58</v>
      </c>
      <c r="AS2540" s="6" t="str">
        <f>HYPERLINK("https://creighton-primo.hosted.exlibrisgroup.com/primo-explore/search?tab=default_tab&amp;search_scope=EVERYTHING&amp;vid=01CRU&amp;lang=en_US&amp;offset=0&amp;query=any,contains,991003913209702656","Catalog Record")</f>
        <v>Catalog Record</v>
      </c>
      <c r="AT2540" s="6" t="str">
        <f>HYPERLINK("http://www.worldcat.org/oclc/40609354","WorldCat Record")</f>
        <v>WorldCat Record</v>
      </c>
      <c r="AU2540" s="3" t="s">
        <v>30974</v>
      </c>
      <c r="AV2540" s="3" t="s">
        <v>30975</v>
      </c>
      <c r="AW2540" s="3" t="s">
        <v>30976</v>
      </c>
      <c r="AX2540" s="3" t="s">
        <v>30976</v>
      </c>
      <c r="AY2540" s="3" t="s">
        <v>30977</v>
      </c>
      <c r="AZ2540" s="3" t="s">
        <v>73</v>
      </c>
      <c r="BB2540" s="3" t="s">
        <v>30978</v>
      </c>
      <c r="BC2540" s="3" t="s">
        <v>30979</v>
      </c>
      <c r="BD2540" s="3" t="s">
        <v>30980</v>
      </c>
    </row>
    <row r="2541" spans="1:56" ht="51" customHeight="1" x14ac:dyDescent="0.25">
      <c r="A2541" s="7" t="s">
        <v>58</v>
      </c>
      <c r="B2541" s="2" t="s">
        <v>30981</v>
      </c>
      <c r="C2541" s="2" t="s">
        <v>30982</v>
      </c>
      <c r="D2541" s="2" t="s">
        <v>30983</v>
      </c>
      <c r="F2541" s="3" t="s">
        <v>58</v>
      </c>
      <c r="G2541" s="3" t="s">
        <v>59</v>
      </c>
      <c r="H2541" s="3" t="s">
        <v>58</v>
      </c>
      <c r="I2541" s="3" t="s">
        <v>58</v>
      </c>
      <c r="J2541" s="3" t="s">
        <v>60</v>
      </c>
      <c r="K2541" s="2" t="s">
        <v>26633</v>
      </c>
      <c r="L2541" s="2" t="s">
        <v>30984</v>
      </c>
      <c r="M2541" s="3" t="s">
        <v>2295</v>
      </c>
      <c r="N2541" s="2" t="s">
        <v>30985</v>
      </c>
      <c r="O2541" s="3" t="s">
        <v>63</v>
      </c>
      <c r="P2541" s="3" t="s">
        <v>214</v>
      </c>
      <c r="Q2541" s="2" t="s">
        <v>30986</v>
      </c>
      <c r="R2541" s="3" t="s">
        <v>65</v>
      </c>
      <c r="S2541" s="4">
        <v>7</v>
      </c>
      <c r="T2541" s="4">
        <v>7</v>
      </c>
      <c r="U2541" s="5" t="s">
        <v>30987</v>
      </c>
      <c r="V2541" s="5" t="s">
        <v>30987</v>
      </c>
      <c r="W2541" s="5" t="s">
        <v>30988</v>
      </c>
      <c r="X2541" s="5" t="s">
        <v>30988</v>
      </c>
      <c r="Y2541" s="4">
        <v>1079</v>
      </c>
      <c r="Z2541" s="4">
        <v>974</v>
      </c>
      <c r="AA2541" s="4">
        <v>1057</v>
      </c>
      <c r="AB2541" s="4">
        <v>10</v>
      </c>
      <c r="AC2541" s="4">
        <v>11</v>
      </c>
      <c r="AD2541" s="4">
        <v>36</v>
      </c>
      <c r="AE2541" s="4">
        <v>36</v>
      </c>
      <c r="AF2541" s="4">
        <v>15</v>
      </c>
      <c r="AG2541" s="4">
        <v>15</v>
      </c>
      <c r="AH2541" s="4">
        <v>8</v>
      </c>
      <c r="AI2541" s="4">
        <v>8</v>
      </c>
      <c r="AJ2541" s="4">
        <v>14</v>
      </c>
      <c r="AK2541" s="4">
        <v>14</v>
      </c>
      <c r="AL2541" s="4">
        <v>7</v>
      </c>
      <c r="AM2541" s="4">
        <v>7</v>
      </c>
      <c r="AN2541" s="4">
        <v>0</v>
      </c>
      <c r="AO2541" s="4">
        <v>0</v>
      </c>
      <c r="AP2541" s="3" t="s">
        <v>58</v>
      </c>
      <c r="AQ2541" s="3" t="s">
        <v>68</v>
      </c>
      <c r="AR2541" s="6" t="str">
        <f>HYPERLINK("http://catalog.hathitrust.org/Record/004355901","HathiTrust Record")</f>
        <v>HathiTrust Record</v>
      </c>
      <c r="AS2541" s="6" t="str">
        <f>HYPERLINK("https://creighton-primo.hosted.exlibrisgroup.com/primo-explore/search?tab=default_tab&amp;search_scope=EVERYTHING&amp;vid=01CRU&amp;lang=en_US&amp;offset=0&amp;query=any,contains,991004233919702656","Catalog Record")</f>
        <v>Catalog Record</v>
      </c>
      <c r="AT2541" s="6" t="str">
        <f>HYPERLINK("http://www.worldcat.org/oclc/50041628","WorldCat Record")</f>
        <v>WorldCat Record</v>
      </c>
      <c r="AU2541" s="3" t="s">
        <v>30989</v>
      </c>
      <c r="AV2541" s="3" t="s">
        <v>30990</v>
      </c>
      <c r="AW2541" s="3" t="s">
        <v>30991</v>
      </c>
      <c r="AX2541" s="3" t="s">
        <v>30991</v>
      </c>
      <c r="AY2541" s="3" t="s">
        <v>30992</v>
      </c>
      <c r="AZ2541" s="3" t="s">
        <v>73</v>
      </c>
      <c r="BB2541" s="3" t="s">
        <v>30993</v>
      </c>
      <c r="BC2541" s="3" t="s">
        <v>30994</v>
      </c>
      <c r="BD2541" s="3" t="s">
        <v>30995</v>
      </c>
    </row>
    <row r="2542" spans="1:56" ht="51" customHeight="1" x14ac:dyDescent="0.25">
      <c r="A2542" s="7" t="s">
        <v>58</v>
      </c>
      <c r="B2542" s="2" t="s">
        <v>30996</v>
      </c>
      <c r="C2542" s="2" t="s">
        <v>30997</v>
      </c>
      <c r="D2542" s="2" t="s">
        <v>30998</v>
      </c>
      <c r="F2542" s="3" t="s">
        <v>58</v>
      </c>
      <c r="G2542" s="3" t="s">
        <v>59</v>
      </c>
      <c r="H2542" s="3" t="s">
        <v>58</v>
      </c>
      <c r="I2542" s="3" t="s">
        <v>58</v>
      </c>
      <c r="J2542" s="3" t="s">
        <v>60</v>
      </c>
      <c r="K2542" s="2" t="s">
        <v>30999</v>
      </c>
      <c r="L2542" s="2" t="s">
        <v>31000</v>
      </c>
      <c r="M2542" s="3" t="s">
        <v>423</v>
      </c>
      <c r="N2542" s="2" t="s">
        <v>424</v>
      </c>
      <c r="O2542" s="3" t="s">
        <v>63</v>
      </c>
      <c r="P2542" s="3" t="s">
        <v>816</v>
      </c>
      <c r="R2542" s="3" t="s">
        <v>65</v>
      </c>
      <c r="S2542" s="4">
        <v>11</v>
      </c>
      <c r="T2542" s="4">
        <v>11</v>
      </c>
      <c r="U2542" s="5" t="s">
        <v>25176</v>
      </c>
      <c r="V2542" s="5" t="s">
        <v>25176</v>
      </c>
      <c r="W2542" s="5" t="s">
        <v>21241</v>
      </c>
      <c r="X2542" s="5" t="s">
        <v>21241</v>
      </c>
      <c r="Y2542" s="4">
        <v>488</v>
      </c>
      <c r="Z2542" s="4">
        <v>377</v>
      </c>
      <c r="AA2542" s="4">
        <v>383</v>
      </c>
      <c r="AB2542" s="4">
        <v>2</v>
      </c>
      <c r="AC2542" s="4">
        <v>2</v>
      </c>
      <c r="AD2542" s="4">
        <v>17</v>
      </c>
      <c r="AE2542" s="4">
        <v>17</v>
      </c>
      <c r="AF2542" s="4">
        <v>8</v>
      </c>
      <c r="AG2542" s="4">
        <v>8</v>
      </c>
      <c r="AH2542" s="4">
        <v>6</v>
      </c>
      <c r="AI2542" s="4">
        <v>6</v>
      </c>
      <c r="AJ2542" s="4">
        <v>10</v>
      </c>
      <c r="AK2542" s="4">
        <v>10</v>
      </c>
      <c r="AL2542" s="4">
        <v>1</v>
      </c>
      <c r="AM2542" s="4">
        <v>1</v>
      </c>
      <c r="AN2542" s="4">
        <v>0</v>
      </c>
      <c r="AO2542" s="4">
        <v>0</v>
      </c>
      <c r="AP2542" s="3" t="s">
        <v>58</v>
      </c>
      <c r="AQ2542" s="3" t="s">
        <v>68</v>
      </c>
      <c r="AR2542" s="6" t="str">
        <f>HYPERLINK("http://catalog.hathitrust.org/Record/003529917","HathiTrust Record")</f>
        <v>HathiTrust Record</v>
      </c>
      <c r="AS2542" s="6" t="str">
        <f>HYPERLINK("https://creighton-primo.hosted.exlibrisgroup.com/primo-explore/search?tab=default_tab&amp;search_scope=EVERYTHING&amp;vid=01CRU&amp;lang=en_US&amp;offset=0&amp;query=any,contains,991002899929702656","Catalog Record")</f>
        <v>Catalog Record</v>
      </c>
      <c r="AT2542" s="6" t="str">
        <f>HYPERLINK("http://www.worldcat.org/oclc/38228076","WorldCat Record")</f>
        <v>WorldCat Record</v>
      </c>
      <c r="AU2542" s="3" t="s">
        <v>31001</v>
      </c>
      <c r="AV2542" s="3" t="s">
        <v>31002</v>
      </c>
      <c r="AW2542" s="3" t="s">
        <v>31003</v>
      </c>
      <c r="AX2542" s="3" t="s">
        <v>31003</v>
      </c>
      <c r="AY2542" s="3" t="s">
        <v>31004</v>
      </c>
      <c r="AZ2542" s="3" t="s">
        <v>73</v>
      </c>
      <c r="BB2542" s="3" t="s">
        <v>31005</v>
      </c>
      <c r="BC2542" s="3" t="s">
        <v>31006</v>
      </c>
      <c r="BD2542" s="3" t="s">
        <v>31007</v>
      </c>
    </row>
    <row r="2543" spans="1:56" ht="51" customHeight="1" x14ac:dyDescent="0.25">
      <c r="A2543" s="7" t="s">
        <v>58</v>
      </c>
      <c r="B2543" s="2" t="s">
        <v>31008</v>
      </c>
      <c r="C2543" s="2" t="s">
        <v>31009</v>
      </c>
      <c r="D2543" s="2" t="s">
        <v>31010</v>
      </c>
      <c r="F2543" s="3" t="s">
        <v>58</v>
      </c>
      <c r="G2543" s="3" t="s">
        <v>59</v>
      </c>
      <c r="H2543" s="3" t="s">
        <v>58</v>
      </c>
      <c r="I2543" s="3" t="s">
        <v>58</v>
      </c>
      <c r="J2543" s="3" t="s">
        <v>60</v>
      </c>
      <c r="K2543" s="2" t="s">
        <v>31011</v>
      </c>
      <c r="L2543" s="2" t="s">
        <v>31012</v>
      </c>
      <c r="M2543" s="3" t="s">
        <v>479</v>
      </c>
      <c r="O2543" s="3" t="s">
        <v>63</v>
      </c>
      <c r="P2543" s="3" t="s">
        <v>510</v>
      </c>
      <c r="R2543" s="3" t="s">
        <v>65</v>
      </c>
      <c r="S2543" s="4">
        <v>2</v>
      </c>
      <c r="T2543" s="4">
        <v>2</v>
      </c>
      <c r="U2543" s="5" t="s">
        <v>4064</v>
      </c>
      <c r="V2543" s="5" t="s">
        <v>4064</v>
      </c>
      <c r="W2543" s="5" t="s">
        <v>31013</v>
      </c>
      <c r="X2543" s="5" t="s">
        <v>31013</v>
      </c>
      <c r="Y2543" s="4">
        <v>873</v>
      </c>
      <c r="Z2543" s="4">
        <v>691</v>
      </c>
      <c r="AA2543" s="4">
        <v>846</v>
      </c>
      <c r="AB2543" s="4">
        <v>8</v>
      </c>
      <c r="AC2543" s="4">
        <v>8</v>
      </c>
      <c r="AD2543" s="4">
        <v>35</v>
      </c>
      <c r="AE2543" s="4">
        <v>40</v>
      </c>
      <c r="AF2543" s="4">
        <v>13</v>
      </c>
      <c r="AG2543" s="4">
        <v>17</v>
      </c>
      <c r="AH2543" s="4">
        <v>6</v>
      </c>
      <c r="AI2543" s="4">
        <v>8</v>
      </c>
      <c r="AJ2543" s="4">
        <v>17</v>
      </c>
      <c r="AK2543" s="4">
        <v>18</v>
      </c>
      <c r="AL2543" s="4">
        <v>7</v>
      </c>
      <c r="AM2543" s="4">
        <v>7</v>
      </c>
      <c r="AN2543" s="4">
        <v>1</v>
      </c>
      <c r="AO2543" s="4">
        <v>1</v>
      </c>
      <c r="AP2543" s="3" t="s">
        <v>58</v>
      </c>
      <c r="AQ2543" s="3" t="s">
        <v>58</v>
      </c>
      <c r="AS2543" s="6" t="str">
        <f>HYPERLINK("https://creighton-primo.hosted.exlibrisgroup.com/primo-explore/search?tab=default_tab&amp;search_scope=EVERYTHING&amp;vid=01CRU&amp;lang=en_US&amp;offset=0&amp;query=any,contains,991002249519702656","Catalog Record")</f>
        <v>Catalog Record</v>
      </c>
      <c r="AT2543" s="6" t="str">
        <f>HYPERLINK("http://www.worldcat.org/oclc/29029686","WorldCat Record")</f>
        <v>WorldCat Record</v>
      </c>
      <c r="AU2543" s="3" t="s">
        <v>31014</v>
      </c>
      <c r="AV2543" s="3" t="s">
        <v>31015</v>
      </c>
      <c r="AW2543" s="3" t="s">
        <v>31016</v>
      </c>
      <c r="AX2543" s="3" t="s">
        <v>31016</v>
      </c>
      <c r="AY2543" s="3" t="s">
        <v>31017</v>
      </c>
      <c r="AZ2543" s="3" t="s">
        <v>73</v>
      </c>
      <c r="BB2543" s="3" t="s">
        <v>31018</v>
      </c>
      <c r="BC2543" s="3" t="s">
        <v>31019</v>
      </c>
      <c r="BD2543" s="3" t="s">
        <v>31020</v>
      </c>
    </row>
    <row r="2544" spans="1:56" ht="51" customHeight="1" x14ac:dyDescent="0.25">
      <c r="A2544" s="7" t="s">
        <v>58</v>
      </c>
      <c r="B2544" s="2" t="s">
        <v>31021</v>
      </c>
      <c r="C2544" s="2" t="s">
        <v>31022</v>
      </c>
      <c r="D2544" s="2" t="s">
        <v>31023</v>
      </c>
      <c r="F2544" s="3" t="s">
        <v>58</v>
      </c>
      <c r="G2544" s="3" t="s">
        <v>59</v>
      </c>
      <c r="H2544" s="3" t="s">
        <v>58</v>
      </c>
      <c r="I2544" s="3" t="s">
        <v>58</v>
      </c>
      <c r="J2544" s="3" t="s">
        <v>60</v>
      </c>
      <c r="L2544" s="2" t="s">
        <v>31024</v>
      </c>
      <c r="M2544" s="3" t="s">
        <v>1499</v>
      </c>
      <c r="O2544" s="3" t="s">
        <v>63</v>
      </c>
      <c r="P2544" s="3" t="s">
        <v>10900</v>
      </c>
      <c r="R2544" s="3" t="s">
        <v>65</v>
      </c>
      <c r="S2544" s="4">
        <v>3</v>
      </c>
      <c r="T2544" s="4">
        <v>3</v>
      </c>
      <c r="U2544" s="5" t="s">
        <v>1639</v>
      </c>
      <c r="V2544" s="5" t="s">
        <v>1639</v>
      </c>
      <c r="W2544" s="5" t="s">
        <v>30040</v>
      </c>
      <c r="X2544" s="5" t="s">
        <v>30040</v>
      </c>
      <c r="Y2544" s="4">
        <v>401</v>
      </c>
      <c r="Z2544" s="4">
        <v>327</v>
      </c>
      <c r="AA2544" s="4">
        <v>333</v>
      </c>
      <c r="AB2544" s="4">
        <v>2</v>
      </c>
      <c r="AC2544" s="4">
        <v>2</v>
      </c>
      <c r="AD2544" s="4">
        <v>17</v>
      </c>
      <c r="AE2544" s="4">
        <v>17</v>
      </c>
      <c r="AF2544" s="4">
        <v>6</v>
      </c>
      <c r="AG2544" s="4">
        <v>6</v>
      </c>
      <c r="AH2544" s="4">
        <v>6</v>
      </c>
      <c r="AI2544" s="4">
        <v>6</v>
      </c>
      <c r="AJ2544" s="4">
        <v>10</v>
      </c>
      <c r="AK2544" s="4">
        <v>10</v>
      </c>
      <c r="AL2544" s="4">
        <v>1</v>
      </c>
      <c r="AM2544" s="4">
        <v>1</v>
      </c>
      <c r="AN2544" s="4">
        <v>0</v>
      </c>
      <c r="AO2544" s="4">
        <v>0</v>
      </c>
      <c r="AP2544" s="3" t="s">
        <v>58</v>
      </c>
      <c r="AQ2544" s="3" t="s">
        <v>68</v>
      </c>
      <c r="AR2544" s="6" t="str">
        <f>HYPERLINK("http://catalog.hathitrust.org/Record/001606407","HathiTrust Record")</f>
        <v>HathiTrust Record</v>
      </c>
      <c r="AS2544" s="6" t="str">
        <f>HYPERLINK("https://creighton-primo.hosted.exlibrisgroup.com/primo-explore/search?tab=default_tab&amp;search_scope=EVERYTHING&amp;vid=01CRU&amp;lang=en_US&amp;offset=0&amp;query=any,contains,991002751989702656","Catalog Record")</f>
        <v>Catalog Record</v>
      </c>
      <c r="AT2544" s="6" t="str">
        <f>HYPERLINK("http://www.worldcat.org/oclc/425073","WorldCat Record")</f>
        <v>WorldCat Record</v>
      </c>
      <c r="AU2544" s="3" t="s">
        <v>31025</v>
      </c>
      <c r="AV2544" s="3" t="s">
        <v>31026</v>
      </c>
      <c r="AW2544" s="3" t="s">
        <v>31027</v>
      </c>
      <c r="AX2544" s="3" t="s">
        <v>31027</v>
      </c>
      <c r="AY2544" s="3" t="s">
        <v>31028</v>
      </c>
      <c r="AZ2544" s="3" t="s">
        <v>73</v>
      </c>
      <c r="BC2544" s="3" t="s">
        <v>31029</v>
      </c>
      <c r="BD2544" s="3" t="s">
        <v>31030</v>
      </c>
    </row>
    <row r="2545" spans="1:56" ht="51" customHeight="1" x14ac:dyDescent="0.25">
      <c r="A2545" s="7" t="s">
        <v>58</v>
      </c>
      <c r="B2545" s="2" t="s">
        <v>31031</v>
      </c>
      <c r="C2545" s="2" t="s">
        <v>31032</v>
      </c>
      <c r="D2545" s="2" t="s">
        <v>31033</v>
      </c>
      <c r="F2545" s="3" t="s">
        <v>58</v>
      </c>
      <c r="G2545" s="3" t="s">
        <v>59</v>
      </c>
      <c r="H2545" s="3" t="s">
        <v>58</v>
      </c>
      <c r="I2545" s="3" t="s">
        <v>58</v>
      </c>
      <c r="J2545" s="3" t="s">
        <v>60</v>
      </c>
      <c r="K2545" s="2" t="s">
        <v>31034</v>
      </c>
      <c r="L2545" s="2" t="s">
        <v>31035</v>
      </c>
      <c r="M2545" s="3" t="s">
        <v>337</v>
      </c>
      <c r="N2545" s="2" t="s">
        <v>338</v>
      </c>
      <c r="O2545" s="3" t="s">
        <v>63</v>
      </c>
      <c r="P2545" s="3" t="s">
        <v>214</v>
      </c>
      <c r="R2545" s="3" t="s">
        <v>65</v>
      </c>
      <c r="S2545" s="4">
        <v>11</v>
      </c>
      <c r="T2545" s="4">
        <v>11</v>
      </c>
      <c r="U2545" s="5" t="s">
        <v>31036</v>
      </c>
      <c r="V2545" s="5" t="s">
        <v>31036</v>
      </c>
      <c r="W2545" s="5" t="s">
        <v>25919</v>
      </c>
      <c r="X2545" s="5" t="s">
        <v>25919</v>
      </c>
      <c r="Y2545" s="4">
        <v>1717</v>
      </c>
      <c r="Z2545" s="4">
        <v>1543</v>
      </c>
      <c r="AA2545" s="4">
        <v>1570</v>
      </c>
      <c r="AB2545" s="4">
        <v>9</v>
      </c>
      <c r="AC2545" s="4">
        <v>9</v>
      </c>
      <c r="AD2545" s="4">
        <v>41</v>
      </c>
      <c r="AE2545" s="4">
        <v>41</v>
      </c>
      <c r="AF2545" s="4">
        <v>21</v>
      </c>
      <c r="AG2545" s="4">
        <v>21</v>
      </c>
      <c r="AH2545" s="4">
        <v>11</v>
      </c>
      <c r="AI2545" s="4">
        <v>11</v>
      </c>
      <c r="AJ2545" s="4">
        <v>18</v>
      </c>
      <c r="AK2545" s="4">
        <v>18</v>
      </c>
      <c r="AL2545" s="4">
        <v>4</v>
      </c>
      <c r="AM2545" s="4">
        <v>4</v>
      </c>
      <c r="AN2545" s="4">
        <v>0</v>
      </c>
      <c r="AO2545" s="4">
        <v>0</v>
      </c>
      <c r="AP2545" s="3" t="s">
        <v>58</v>
      </c>
      <c r="AQ2545" s="3" t="s">
        <v>58</v>
      </c>
      <c r="AS2545" s="6" t="str">
        <f>HYPERLINK("https://creighton-primo.hosted.exlibrisgroup.com/primo-explore/search?tab=default_tab&amp;search_scope=EVERYTHING&amp;vid=01CRU&amp;lang=en_US&amp;offset=0&amp;query=any,contains,991003649569702656","Catalog Record")</f>
        <v>Catalog Record</v>
      </c>
      <c r="AT2545" s="6" t="str">
        <f>HYPERLINK("http://www.worldcat.org/oclc/47013231","WorldCat Record")</f>
        <v>WorldCat Record</v>
      </c>
      <c r="AU2545" s="3" t="s">
        <v>31037</v>
      </c>
      <c r="AV2545" s="3" t="s">
        <v>31038</v>
      </c>
      <c r="AW2545" s="3" t="s">
        <v>31039</v>
      </c>
      <c r="AX2545" s="3" t="s">
        <v>31039</v>
      </c>
      <c r="AY2545" s="3" t="s">
        <v>31040</v>
      </c>
      <c r="AZ2545" s="3" t="s">
        <v>73</v>
      </c>
      <c r="BB2545" s="3" t="s">
        <v>31041</v>
      </c>
      <c r="BC2545" s="3" t="s">
        <v>31042</v>
      </c>
      <c r="BD2545" s="3" t="s">
        <v>31043</v>
      </c>
    </row>
    <row r="2546" spans="1:56" ht="51" customHeight="1" x14ac:dyDescent="0.25">
      <c r="A2546" s="7" t="s">
        <v>58</v>
      </c>
      <c r="B2546" s="2" t="s">
        <v>31044</v>
      </c>
      <c r="C2546" s="2" t="s">
        <v>31045</v>
      </c>
      <c r="D2546" s="2" t="s">
        <v>31046</v>
      </c>
      <c r="F2546" s="3" t="s">
        <v>58</v>
      </c>
      <c r="G2546" s="3" t="s">
        <v>59</v>
      </c>
      <c r="H2546" s="3" t="s">
        <v>58</v>
      </c>
      <c r="I2546" s="3" t="s">
        <v>58</v>
      </c>
      <c r="J2546" s="3" t="s">
        <v>60</v>
      </c>
      <c r="K2546" s="2" t="s">
        <v>31047</v>
      </c>
      <c r="L2546" s="2" t="s">
        <v>24510</v>
      </c>
      <c r="M2546" s="3" t="s">
        <v>1385</v>
      </c>
      <c r="O2546" s="3" t="s">
        <v>63</v>
      </c>
      <c r="P2546" s="3" t="s">
        <v>214</v>
      </c>
      <c r="Q2546" s="2" t="s">
        <v>30763</v>
      </c>
      <c r="R2546" s="3" t="s">
        <v>65</v>
      </c>
      <c r="S2546" s="4">
        <v>7</v>
      </c>
      <c r="T2546" s="4">
        <v>7</v>
      </c>
      <c r="U2546" s="5" t="s">
        <v>1639</v>
      </c>
      <c r="V2546" s="5" t="s">
        <v>1639</v>
      </c>
      <c r="W2546" s="5" t="s">
        <v>11401</v>
      </c>
      <c r="X2546" s="5" t="s">
        <v>11401</v>
      </c>
      <c r="Y2546" s="4">
        <v>732</v>
      </c>
      <c r="Z2546" s="4">
        <v>594</v>
      </c>
      <c r="AA2546" s="4">
        <v>600</v>
      </c>
      <c r="AB2546" s="4">
        <v>4</v>
      </c>
      <c r="AC2546" s="4">
        <v>4</v>
      </c>
      <c r="AD2546" s="4">
        <v>21</v>
      </c>
      <c r="AE2546" s="4">
        <v>21</v>
      </c>
      <c r="AF2546" s="4">
        <v>6</v>
      </c>
      <c r="AG2546" s="4">
        <v>6</v>
      </c>
      <c r="AH2546" s="4">
        <v>7</v>
      </c>
      <c r="AI2546" s="4">
        <v>7</v>
      </c>
      <c r="AJ2546" s="4">
        <v>9</v>
      </c>
      <c r="AK2546" s="4">
        <v>9</v>
      </c>
      <c r="AL2546" s="4">
        <v>3</v>
      </c>
      <c r="AM2546" s="4">
        <v>3</v>
      </c>
      <c r="AN2546" s="4">
        <v>0</v>
      </c>
      <c r="AO2546" s="4">
        <v>0</v>
      </c>
      <c r="AP2546" s="3" t="s">
        <v>58</v>
      </c>
      <c r="AQ2546" s="3" t="s">
        <v>68</v>
      </c>
      <c r="AR2546" s="6" t="str">
        <f>HYPERLINK("http://catalog.hathitrust.org/Record/001604978","HathiTrust Record")</f>
        <v>HathiTrust Record</v>
      </c>
      <c r="AS2546" s="6" t="str">
        <f>HYPERLINK("https://creighton-primo.hosted.exlibrisgroup.com/primo-explore/search?tab=default_tab&amp;search_scope=EVERYTHING&amp;vid=01CRU&amp;lang=en_US&amp;offset=0&amp;query=any,contains,991003214799702656","Catalog Record")</f>
        <v>Catalog Record</v>
      </c>
      <c r="AT2546" s="6" t="str">
        <f>HYPERLINK("http://www.worldcat.org/oclc/740958","WorldCat Record")</f>
        <v>WorldCat Record</v>
      </c>
      <c r="AU2546" s="3" t="s">
        <v>31048</v>
      </c>
      <c r="AV2546" s="3" t="s">
        <v>31049</v>
      </c>
      <c r="AW2546" s="3" t="s">
        <v>31050</v>
      </c>
      <c r="AX2546" s="3" t="s">
        <v>31050</v>
      </c>
      <c r="AY2546" s="3" t="s">
        <v>31051</v>
      </c>
      <c r="AZ2546" s="3" t="s">
        <v>73</v>
      </c>
      <c r="BC2546" s="3" t="s">
        <v>31052</v>
      </c>
      <c r="BD2546" s="3" t="s">
        <v>31053</v>
      </c>
    </row>
    <row r="2547" spans="1:56" ht="51" customHeight="1" x14ac:dyDescent="0.25">
      <c r="A2547" s="7" t="s">
        <v>58</v>
      </c>
      <c r="B2547" s="2" t="s">
        <v>31054</v>
      </c>
      <c r="C2547" s="2" t="s">
        <v>31055</v>
      </c>
      <c r="D2547" s="2" t="s">
        <v>31056</v>
      </c>
      <c r="F2547" s="3" t="s">
        <v>58</v>
      </c>
      <c r="G2547" s="3" t="s">
        <v>59</v>
      </c>
      <c r="H2547" s="3" t="s">
        <v>58</v>
      </c>
      <c r="I2547" s="3" t="s">
        <v>58</v>
      </c>
      <c r="J2547" s="3" t="s">
        <v>60</v>
      </c>
      <c r="K2547" s="2" t="s">
        <v>31057</v>
      </c>
      <c r="L2547" s="2" t="s">
        <v>31058</v>
      </c>
      <c r="M2547" s="3" t="s">
        <v>83</v>
      </c>
      <c r="O2547" s="3" t="s">
        <v>63</v>
      </c>
      <c r="P2547" s="3" t="s">
        <v>816</v>
      </c>
      <c r="Q2547" s="2" t="s">
        <v>31059</v>
      </c>
      <c r="R2547" s="3" t="s">
        <v>65</v>
      </c>
      <c r="S2547" s="4">
        <v>11</v>
      </c>
      <c r="T2547" s="4">
        <v>11</v>
      </c>
      <c r="U2547" s="5" t="s">
        <v>29810</v>
      </c>
      <c r="V2547" s="5" t="s">
        <v>29810</v>
      </c>
      <c r="W2547" s="5" t="s">
        <v>17013</v>
      </c>
      <c r="X2547" s="5" t="s">
        <v>17013</v>
      </c>
      <c r="Y2547" s="4">
        <v>336</v>
      </c>
      <c r="Z2547" s="4">
        <v>257</v>
      </c>
      <c r="AA2547" s="4">
        <v>431</v>
      </c>
      <c r="AB2547" s="4">
        <v>4</v>
      </c>
      <c r="AC2547" s="4">
        <v>4</v>
      </c>
      <c r="AD2547" s="4">
        <v>9</v>
      </c>
      <c r="AE2547" s="4">
        <v>16</v>
      </c>
      <c r="AF2547" s="4">
        <v>1</v>
      </c>
      <c r="AG2547" s="4">
        <v>6</v>
      </c>
      <c r="AH2547" s="4">
        <v>3</v>
      </c>
      <c r="AI2547" s="4">
        <v>4</v>
      </c>
      <c r="AJ2547" s="4">
        <v>3</v>
      </c>
      <c r="AK2547" s="4">
        <v>8</v>
      </c>
      <c r="AL2547" s="4">
        <v>3</v>
      </c>
      <c r="AM2547" s="4">
        <v>3</v>
      </c>
      <c r="AN2547" s="4">
        <v>0</v>
      </c>
      <c r="AO2547" s="4">
        <v>0</v>
      </c>
      <c r="AP2547" s="3" t="s">
        <v>58</v>
      </c>
      <c r="AQ2547" s="3" t="s">
        <v>68</v>
      </c>
      <c r="AR2547" s="6" t="str">
        <f>HYPERLINK("http://catalog.hathitrust.org/Record/003084089","HathiTrust Record")</f>
        <v>HathiTrust Record</v>
      </c>
      <c r="AS2547" s="6" t="str">
        <f>HYPERLINK("https://creighton-primo.hosted.exlibrisgroup.com/primo-explore/search?tab=default_tab&amp;search_scope=EVERYTHING&amp;vid=01CRU&amp;lang=en_US&amp;offset=0&amp;query=any,contains,991004544749702656","Catalog Record")</f>
        <v>Catalog Record</v>
      </c>
      <c r="AT2547" s="6" t="str">
        <f>HYPERLINK("http://www.worldcat.org/oclc/3912804","WorldCat Record")</f>
        <v>WorldCat Record</v>
      </c>
      <c r="AU2547" s="3" t="s">
        <v>31060</v>
      </c>
      <c r="AV2547" s="3" t="s">
        <v>31061</v>
      </c>
      <c r="AW2547" s="3" t="s">
        <v>31062</v>
      </c>
      <c r="AX2547" s="3" t="s">
        <v>31062</v>
      </c>
      <c r="AY2547" s="3" t="s">
        <v>31063</v>
      </c>
      <c r="AZ2547" s="3" t="s">
        <v>73</v>
      </c>
      <c r="BB2547" s="3" t="s">
        <v>31064</v>
      </c>
      <c r="BC2547" s="3" t="s">
        <v>31065</v>
      </c>
      <c r="BD2547" s="3" t="s">
        <v>31066</v>
      </c>
    </row>
    <row r="2548" spans="1:56" ht="51" customHeight="1" x14ac:dyDescent="0.25">
      <c r="A2548" s="7" t="s">
        <v>58</v>
      </c>
      <c r="B2548" s="2" t="s">
        <v>31067</v>
      </c>
      <c r="C2548" s="2" t="s">
        <v>31068</v>
      </c>
      <c r="D2548" s="2" t="s">
        <v>31069</v>
      </c>
      <c r="F2548" s="3" t="s">
        <v>58</v>
      </c>
      <c r="G2548" s="3" t="s">
        <v>59</v>
      </c>
      <c r="H2548" s="3" t="s">
        <v>58</v>
      </c>
      <c r="I2548" s="3" t="s">
        <v>58</v>
      </c>
      <c r="J2548" s="3" t="s">
        <v>60</v>
      </c>
      <c r="K2548" s="2" t="s">
        <v>30300</v>
      </c>
      <c r="L2548" s="2" t="s">
        <v>31070</v>
      </c>
      <c r="M2548" s="3" t="s">
        <v>1091</v>
      </c>
      <c r="O2548" s="3" t="s">
        <v>63</v>
      </c>
      <c r="P2548" s="3" t="s">
        <v>214</v>
      </c>
      <c r="R2548" s="3" t="s">
        <v>65</v>
      </c>
      <c r="S2548" s="4">
        <v>4</v>
      </c>
      <c r="T2548" s="4">
        <v>4</v>
      </c>
      <c r="U2548" s="5" t="s">
        <v>31071</v>
      </c>
      <c r="V2548" s="5" t="s">
        <v>31071</v>
      </c>
      <c r="W2548" s="5" t="s">
        <v>31072</v>
      </c>
      <c r="X2548" s="5" t="s">
        <v>31072</v>
      </c>
      <c r="Y2548" s="4">
        <v>271</v>
      </c>
      <c r="Z2548" s="4">
        <v>232</v>
      </c>
      <c r="AA2548" s="4">
        <v>252</v>
      </c>
      <c r="AB2548" s="4">
        <v>2</v>
      </c>
      <c r="AC2548" s="4">
        <v>2</v>
      </c>
      <c r="AD2548" s="4">
        <v>9</v>
      </c>
      <c r="AE2548" s="4">
        <v>11</v>
      </c>
      <c r="AF2548" s="4">
        <v>3</v>
      </c>
      <c r="AG2548" s="4">
        <v>3</v>
      </c>
      <c r="AH2548" s="4">
        <v>2</v>
      </c>
      <c r="AI2548" s="4">
        <v>4</v>
      </c>
      <c r="AJ2548" s="4">
        <v>5</v>
      </c>
      <c r="AK2548" s="4">
        <v>7</v>
      </c>
      <c r="AL2548" s="4">
        <v>1</v>
      </c>
      <c r="AM2548" s="4">
        <v>1</v>
      </c>
      <c r="AN2548" s="4">
        <v>0</v>
      </c>
      <c r="AO2548" s="4">
        <v>0</v>
      </c>
      <c r="AP2548" s="3" t="s">
        <v>58</v>
      </c>
      <c r="AQ2548" s="3" t="s">
        <v>58</v>
      </c>
      <c r="AS2548" s="6" t="str">
        <f>HYPERLINK("https://creighton-primo.hosted.exlibrisgroup.com/primo-explore/search?tab=default_tab&amp;search_scope=EVERYTHING&amp;vid=01CRU&amp;lang=en_US&amp;offset=0&amp;query=any,contains,991004158379702656","Catalog Record")</f>
        <v>Catalog Record</v>
      </c>
      <c r="AT2548" s="6" t="str">
        <f>HYPERLINK("http://www.worldcat.org/oclc/45172740","WorldCat Record")</f>
        <v>WorldCat Record</v>
      </c>
      <c r="AU2548" s="3" t="s">
        <v>31073</v>
      </c>
      <c r="AV2548" s="3" t="s">
        <v>31074</v>
      </c>
      <c r="AW2548" s="3" t="s">
        <v>31075</v>
      </c>
      <c r="AX2548" s="3" t="s">
        <v>31075</v>
      </c>
      <c r="AY2548" s="3" t="s">
        <v>31076</v>
      </c>
      <c r="AZ2548" s="3" t="s">
        <v>73</v>
      </c>
      <c r="BB2548" s="3" t="s">
        <v>31077</v>
      </c>
      <c r="BC2548" s="3" t="s">
        <v>31078</v>
      </c>
      <c r="BD2548" s="3" t="s">
        <v>31079</v>
      </c>
    </row>
    <row r="2549" spans="1:56" ht="51" customHeight="1" x14ac:dyDescent="0.25">
      <c r="A2549" s="7" t="s">
        <v>58</v>
      </c>
      <c r="B2549" s="2" t="s">
        <v>31080</v>
      </c>
      <c r="C2549" s="2" t="s">
        <v>31081</v>
      </c>
      <c r="D2549" s="2" t="s">
        <v>31082</v>
      </c>
      <c r="F2549" s="3" t="s">
        <v>58</v>
      </c>
      <c r="G2549" s="3" t="s">
        <v>59</v>
      </c>
      <c r="H2549" s="3" t="s">
        <v>58</v>
      </c>
      <c r="I2549" s="3" t="s">
        <v>58</v>
      </c>
      <c r="J2549" s="3" t="s">
        <v>60</v>
      </c>
      <c r="K2549" s="2" t="s">
        <v>31083</v>
      </c>
      <c r="L2549" s="2" t="s">
        <v>11084</v>
      </c>
      <c r="M2549" s="3" t="s">
        <v>1499</v>
      </c>
      <c r="O2549" s="3" t="s">
        <v>63</v>
      </c>
      <c r="P2549" s="3" t="s">
        <v>354</v>
      </c>
      <c r="Q2549" s="2" t="s">
        <v>31084</v>
      </c>
      <c r="R2549" s="3" t="s">
        <v>65</v>
      </c>
      <c r="S2549" s="4">
        <v>6</v>
      </c>
      <c r="T2549" s="4">
        <v>6</v>
      </c>
      <c r="U2549" s="5" t="s">
        <v>18360</v>
      </c>
      <c r="V2549" s="5" t="s">
        <v>18360</v>
      </c>
      <c r="W2549" s="5" t="s">
        <v>572</v>
      </c>
      <c r="X2549" s="5" t="s">
        <v>572</v>
      </c>
      <c r="Y2549" s="4">
        <v>1017</v>
      </c>
      <c r="Z2549" s="4">
        <v>843</v>
      </c>
      <c r="AA2549" s="4">
        <v>872</v>
      </c>
      <c r="AB2549" s="4">
        <v>10</v>
      </c>
      <c r="AC2549" s="4">
        <v>10</v>
      </c>
      <c r="AD2549" s="4">
        <v>44</v>
      </c>
      <c r="AE2549" s="4">
        <v>47</v>
      </c>
      <c r="AF2549" s="4">
        <v>17</v>
      </c>
      <c r="AG2549" s="4">
        <v>19</v>
      </c>
      <c r="AH2549" s="4">
        <v>9</v>
      </c>
      <c r="AI2549" s="4">
        <v>9</v>
      </c>
      <c r="AJ2549" s="4">
        <v>23</v>
      </c>
      <c r="AK2549" s="4">
        <v>23</v>
      </c>
      <c r="AL2549" s="4">
        <v>8</v>
      </c>
      <c r="AM2549" s="4">
        <v>8</v>
      </c>
      <c r="AN2549" s="4">
        <v>0</v>
      </c>
      <c r="AO2549" s="4">
        <v>1</v>
      </c>
      <c r="AP2549" s="3" t="s">
        <v>58</v>
      </c>
      <c r="AQ2549" s="3" t="s">
        <v>58</v>
      </c>
      <c r="AS2549" s="6" t="str">
        <f>HYPERLINK("https://creighton-primo.hosted.exlibrisgroup.com/primo-explore/search?tab=default_tab&amp;search_scope=EVERYTHING&amp;vid=01CRU&amp;lang=en_US&amp;offset=0&amp;query=any,contains,991002728119702656","Catalog Record")</f>
        <v>Catalog Record</v>
      </c>
      <c r="AT2549" s="6" t="str">
        <f>HYPERLINK("http://www.worldcat.org/oclc/414986","WorldCat Record")</f>
        <v>WorldCat Record</v>
      </c>
      <c r="AU2549" s="3" t="s">
        <v>31085</v>
      </c>
      <c r="AV2549" s="3" t="s">
        <v>31086</v>
      </c>
      <c r="AW2549" s="3" t="s">
        <v>31087</v>
      </c>
      <c r="AX2549" s="3" t="s">
        <v>31087</v>
      </c>
      <c r="AY2549" s="3" t="s">
        <v>31088</v>
      </c>
      <c r="AZ2549" s="3" t="s">
        <v>73</v>
      </c>
      <c r="BC2549" s="3" t="s">
        <v>31089</v>
      </c>
      <c r="BD2549" s="3" t="s">
        <v>31090</v>
      </c>
    </row>
    <row r="2550" spans="1:56" ht="51" customHeight="1" x14ac:dyDescent="0.25">
      <c r="A2550" s="7" t="s">
        <v>58</v>
      </c>
      <c r="B2550" s="2" t="s">
        <v>31091</v>
      </c>
      <c r="C2550" s="2" t="s">
        <v>31092</v>
      </c>
      <c r="D2550" s="2" t="s">
        <v>31093</v>
      </c>
      <c r="F2550" s="3" t="s">
        <v>58</v>
      </c>
      <c r="G2550" s="3" t="s">
        <v>59</v>
      </c>
      <c r="H2550" s="3" t="s">
        <v>58</v>
      </c>
      <c r="I2550" s="3" t="s">
        <v>58</v>
      </c>
      <c r="J2550" s="3" t="s">
        <v>60</v>
      </c>
      <c r="K2550" s="2" t="s">
        <v>31094</v>
      </c>
      <c r="L2550" s="2" t="s">
        <v>31095</v>
      </c>
      <c r="M2550" s="3" t="s">
        <v>196</v>
      </c>
      <c r="O2550" s="3" t="s">
        <v>63</v>
      </c>
      <c r="P2550" s="3" t="s">
        <v>584</v>
      </c>
      <c r="R2550" s="3" t="s">
        <v>65</v>
      </c>
      <c r="S2550" s="4">
        <v>7</v>
      </c>
      <c r="T2550" s="4">
        <v>7</v>
      </c>
      <c r="U2550" s="5" t="s">
        <v>31096</v>
      </c>
      <c r="V2550" s="5" t="s">
        <v>31096</v>
      </c>
      <c r="W2550" s="5" t="s">
        <v>31013</v>
      </c>
      <c r="X2550" s="5" t="s">
        <v>31013</v>
      </c>
      <c r="Y2550" s="4">
        <v>446</v>
      </c>
      <c r="Z2550" s="4">
        <v>277</v>
      </c>
      <c r="AA2550" s="4">
        <v>277</v>
      </c>
      <c r="AB2550" s="4">
        <v>3</v>
      </c>
      <c r="AC2550" s="4">
        <v>3</v>
      </c>
      <c r="AD2550" s="4">
        <v>18</v>
      </c>
      <c r="AE2550" s="4">
        <v>18</v>
      </c>
      <c r="AF2550" s="4">
        <v>5</v>
      </c>
      <c r="AG2550" s="4">
        <v>5</v>
      </c>
      <c r="AH2550" s="4">
        <v>6</v>
      </c>
      <c r="AI2550" s="4">
        <v>6</v>
      </c>
      <c r="AJ2550" s="4">
        <v>11</v>
      </c>
      <c r="AK2550" s="4">
        <v>11</v>
      </c>
      <c r="AL2550" s="4">
        <v>2</v>
      </c>
      <c r="AM2550" s="4">
        <v>2</v>
      </c>
      <c r="AN2550" s="4">
        <v>1</v>
      </c>
      <c r="AO2550" s="4">
        <v>1</v>
      </c>
      <c r="AP2550" s="3" t="s">
        <v>58</v>
      </c>
      <c r="AQ2550" s="3" t="s">
        <v>58</v>
      </c>
      <c r="AS2550" s="6" t="str">
        <f>HYPERLINK("https://creighton-primo.hosted.exlibrisgroup.com/primo-explore/search?tab=default_tab&amp;search_scope=EVERYTHING&amp;vid=01CRU&amp;lang=en_US&amp;offset=0&amp;query=any,contains,991002521079702656","Catalog Record")</f>
        <v>Catalog Record</v>
      </c>
      <c r="AT2550" s="6" t="str">
        <f>HYPERLINK("http://www.worldcat.org/oclc/32779675","WorldCat Record")</f>
        <v>WorldCat Record</v>
      </c>
      <c r="AU2550" s="3" t="s">
        <v>31097</v>
      </c>
      <c r="AV2550" s="3" t="s">
        <v>31098</v>
      </c>
      <c r="AW2550" s="3" t="s">
        <v>31099</v>
      </c>
      <c r="AX2550" s="3" t="s">
        <v>31099</v>
      </c>
      <c r="AY2550" s="3" t="s">
        <v>31100</v>
      </c>
      <c r="AZ2550" s="3" t="s">
        <v>73</v>
      </c>
      <c r="BB2550" s="3" t="s">
        <v>31101</v>
      </c>
      <c r="BC2550" s="3" t="s">
        <v>31102</v>
      </c>
      <c r="BD2550" s="3" t="s">
        <v>31103</v>
      </c>
    </row>
    <row r="2551" spans="1:56" ht="51" customHeight="1" x14ac:dyDescent="0.25">
      <c r="A2551" s="7" t="s">
        <v>58</v>
      </c>
      <c r="B2551" s="2" t="s">
        <v>31104</v>
      </c>
      <c r="C2551" s="2" t="s">
        <v>31105</v>
      </c>
      <c r="D2551" s="2" t="s">
        <v>31106</v>
      </c>
      <c r="F2551" s="3" t="s">
        <v>58</v>
      </c>
      <c r="G2551" s="3" t="s">
        <v>59</v>
      </c>
      <c r="H2551" s="3" t="s">
        <v>58</v>
      </c>
      <c r="I2551" s="3" t="s">
        <v>58</v>
      </c>
      <c r="J2551" s="3" t="s">
        <v>60</v>
      </c>
      <c r="K2551" s="2" t="s">
        <v>31107</v>
      </c>
      <c r="L2551" s="2" t="s">
        <v>31108</v>
      </c>
      <c r="M2551" s="3" t="s">
        <v>397</v>
      </c>
      <c r="O2551" s="3" t="s">
        <v>63</v>
      </c>
      <c r="P2551" s="3" t="s">
        <v>354</v>
      </c>
      <c r="Q2551" s="2" t="s">
        <v>30763</v>
      </c>
      <c r="R2551" s="3" t="s">
        <v>65</v>
      </c>
      <c r="S2551" s="4">
        <v>6</v>
      </c>
      <c r="T2551" s="4">
        <v>6</v>
      </c>
      <c r="U2551" s="5" t="s">
        <v>31109</v>
      </c>
      <c r="V2551" s="5" t="s">
        <v>31109</v>
      </c>
      <c r="W2551" s="5" t="s">
        <v>30040</v>
      </c>
      <c r="X2551" s="5" t="s">
        <v>30040</v>
      </c>
      <c r="Y2551" s="4">
        <v>801</v>
      </c>
      <c r="Z2551" s="4">
        <v>600</v>
      </c>
      <c r="AA2551" s="4">
        <v>600</v>
      </c>
      <c r="AB2551" s="4">
        <v>5</v>
      </c>
      <c r="AC2551" s="4">
        <v>5</v>
      </c>
      <c r="AD2551" s="4">
        <v>31</v>
      </c>
      <c r="AE2551" s="4">
        <v>31</v>
      </c>
      <c r="AF2551" s="4">
        <v>7</v>
      </c>
      <c r="AG2551" s="4">
        <v>7</v>
      </c>
      <c r="AH2551" s="4">
        <v>10</v>
      </c>
      <c r="AI2551" s="4">
        <v>10</v>
      </c>
      <c r="AJ2551" s="4">
        <v>18</v>
      </c>
      <c r="AK2551" s="4">
        <v>18</v>
      </c>
      <c r="AL2551" s="4">
        <v>4</v>
      </c>
      <c r="AM2551" s="4">
        <v>4</v>
      </c>
      <c r="AN2551" s="4">
        <v>0</v>
      </c>
      <c r="AO2551" s="4">
        <v>0</v>
      </c>
      <c r="AP2551" s="3" t="s">
        <v>58</v>
      </c>
      <c r="AQ2551" s="3" t="s">
        <v>58</v>
      </c>
      <c r="AS2551" s="6" t="str">
        <f>HYPERLINK("https://creighton-primo.hosted.exlibrisgroup.com/primo-explore/search?tab=default_tab&amp;search_scope=EVERYTHING&amp;vid=01CRU&amp;lang=en_US&amp;offset=0&amp;query=any,contains,991000574669702656","Catalog Record")</f>
        <v>Catalog Record</v>
      </c>
      <c r="AT2551" s="6" t="str">
        <f>HYPERLINK("http://www.worldcat.org/oclc/11676767","WorldCat Record")</f>
        <v>WorldCat Record</v>
      </c>
      <c r="AU2551" s="3" t="s">
        <v>31110</v>
      </c>
      <c r="AV2551" s="3" t="s">
        <v>31111</v>
      </c>
      <c r="AW2551" s="3" t="s">
        <v>31112</v>
      </c>
      <c r="AX2551" s="3" t="s">
        <v>31112</v>
      </c>
      <c r="AY2551" s="3" t="s">
        <v>31113</v>
      </c>
      <c r="AZ2551" s="3" t="s">
        <v>73</v>
      </c>
      <c r="BB2551" s="3" t="s">
        <v>31114</v>
      </c>
      <c r="BC2551" s="3" t="s">
        <v>31115</v>
      </c>
      <c r="BD2551" s="3" t="s">
        <v>31116</v>
      </c>
    </row>
    <row r="2552" spans="1:56" ht="51" customHeight="1" x14ac:dyDescent="0.25">
      <c r="A2552" s="7" t="s">
        <v>58</v>
      </c>
      <c r="B2552" s="2" t="s">
        <v>31117</v>
      </c>
      <c r="C2552" s="2" t="s">
        <v>31118</v>
      </c>
      <c r="D2552" s="2" t="s">
        <v>31119</v>
      </c>
      <c r="F2552" s="3" t="s">
        <v>58</v>
      </c>
      <c r="G2552" s="3" t="s">
        <v>59</v>
      </c>
      <c r="H2552" s="3" t="s">
        <v>58</v>
      </c>
      <c r="I2552" s="3" t="s">
        <v>58</v>
      </c>
      <c r="J2552" s="3" t="s">
        <v>60</v>
      </c>
      <c r="K2552" s="2" t="s">
        <v>31120</v>
      </c>
      <c r="L2552" s="2" t="s">
        <v>30351</v>
      </c>
      <c r="M2552" s="3" t="s">
        <v>951</v>
      </c>
      <c r="N2552" s="2" t="s">
        <v>19140</v>
      </c>
      <c r="O2552" s="3" t="s">
        <v>63</v>
      </c>
      <c r="P2552" s="3" t="s">
        <v>584</v>
      </c>
      <c r="R2552" s="3" t="s">
        <v>65</v>
      </c>
      <c r="S2552" s="4">
        <v>13</v>
      </c>
      <c r="T2552" s="4">
        <v>13</v>
      </c>
      <c r="U2552" s="5" t="s">
        <v>4024</v>
      </c>
      <c r="V2552" s="5" t="s">
        <v>4024</v>
      </c>
      <c r="W2552" s="5" t="s">
        <v>19413</v>
      </c>
      <c r="X2552" s="5" t="s">
        <v>19413</v>
      </c>
      <c r="Y2552" s="4">
        <v>13</v>
      </c>
      <c r="Z2552" s="4">
        <v>3</v>
      </c>
      <c r="AA2552" s="4">
        <v>364</v>
      </c>
      <c r="AB2552" s="4">
        <v>1</v>
      </c>
      <c r="AC2552" s="4">
        <v>4</v>
      </c>
      <c r="AD2552" s="4">
        <v>0</v>
      </c>
      <c r="AE2552" s="4">
        <v>23</v>
      </c>
      <c r="AF2552" s="4">
        <v>0</v>
      </c>
      <c r="AG2552" s="4">
        <v>7</v>
      </c>
      <c r="AH2552" s="4">
        <v>0</v>
      </c>
      <c r="AI2552" s="4">
        <v>7</v>
      </c>
      <c r="AJ2552" s="4">
        <v>0</v>
      </c>
      <c r="AK2552" s="4">
        <v>15</v>
      </c>
      <c r="AL2552" s="4">
        <v>0</v>
      </c>
      <c r="AM2552" s="4">
        <v>3</v>
      </c>
      <c r="AN2552" s="4">
        <v>0</v>
      </c>
      <c r="AO2552" s="4">
        <v>0</v>
      </c>
      <c r="AP2552" s="3" t="s">
        <v>58</v>
      </c>
      <c r="AQ2552" s="3" t="s">
        <v>58</v>
      </c>
      <c r="AS2552" s="6" t="str">
        <f>HYPERLINK("https://creighton-primo.hosted.exlibrisgroup.com/primo-explore/search?tab=default_tab&amp;search_scope=EVERYTHING&amp;vid=01CRU&amp;lang=en_US&amp;offset=0&amp;query=any,contains,991003358289702656","Catalog Record")</f>
        <v>Catalog Record</v>
      </c>
      <c r="AT2552" s="6" t="str">
        <f>HYPERLINK("http://www.worldcat.org/oclc/44851995","WorldCat Record")</f>
        <v>WorldCat Record</v>
      </c>
      <c r="AU2552" s="3" t="s">
        <v>31121</v>
      </c>
      <c r="AV2552" s="3" t="s">
        <v>31122</v>
      </c>
      <c r="AW2552" s="3" t="s">
        <v>31123</v>
      </c>
      <c r="AX2552" s="3" t="s">
        <v>31123</v>
      </c>
      <c r="AY2552" s="3" t="s">
        <v>31124</v>
      </c>
      <c r="AZ2552" s="3" t="s">
        <v>73</v>
      </c>
      <c r="BB2552" s="3" t="s">
        <v>31125</v>
      </c>
      <c r="BC2552" s="3" t="s">
        <v>31126</v>
      </c>
      <c r="BD2552" s="3" t="s">
        <v>31127</v>
      </c>
    </row>
    <row r="2553" spans="1:56" ht="51" customHeight="1" x14ac:dyDescent="0.25">
      <c r="A2553" s="7" t="s">
        <v>58</v>
      </c>
      <c r="B2553" s="2" t="s">
        <v>31128</v>
      </c>
      <c r="C2553" s="2" t="s">
        <v>31129</v>
      </c>
      <c r="D2553" s="2" t="s">
        <v>31130</v>
      </c>
      <c r="F2553" s="3" t="s">
        <v>58</v>
      </c>
      <c r="G2553" s="3" t="s">
        <v>59</v>
      </c>
      <c r="H2553" s="3" t="s">
        <v>58</v>
      </c>
      <c r="I2553" s="3" t="s">
        <v>58</v>
      </c>
      <c r="J2553" s="3" t="s">
        <v>60</v>
      </c>
      <c r="K2553" s="2" t="s">
        <v>31131</v>
      </c>
      <c r="L2553" s="2" t="s">
        <v>31132</v>
      </c>
      <c r="M2553" s="3" t="s">
        <v>855</v>
      </c>
      <c r="N2553" s="2" t="s">
        <v>338</v>
      </c>
      <c r="O2553" s="3" t="s">
        <v>63</v>
      </c>
      <c r="P2553" s="3" t="s">
        <v>10900</v>
      </c>
      <c r="Q2553" s="2" t="s">
        <v>31133</v>
      </c>
      <c r="R2553" s="3" t="s">
        <v>65</v>
      </c>
      <c r="S2553" s="4">
        <v>3</v>
      </c>
      <c r="T2553" s="4">
        <v>3</v>
      </c>
      <c r="U2553" s="5" t="s">
        <v>4064</v>
      </c>
      <c r="V2553" s="5" t="s">
        <v>4064</v>
      </c>
      <c r="W2553" s="5" t="s">
        <v>26374</v>
      </c>
      <c r="X2553" s="5" t="s">
        <v>26374</v>
      </c>
      <c r="Y2553" s="4">
        <v>227</v>
      </c>
      <c r="Z2553" s="4">
        <v>163</v>
      </c>
      <c r="AA2553" s="4">
        <v>174</v>
      </c>
      <c r="AB2553" s="4">
        <v>2</v>
      </c>
      <c r="AC2553" s="4">
        <v>2</v>
      </c>
      <c r="AD2553" s="4">
        <v>12</v>
      </c>
      <c r="AE2553" s="4">
        <v>12</v>
      </c>
      <c r="AF2553" s="4">
        <v>4</v>
      </c>
      <c r="AG2553" s="4">
        <v>4</v>
      </c>
      <c r="AH2553" s="4">
        <v>4</v>
      </c>
      <c r="AI2553" s="4">
        <v>4</v>
      </c>
      <c r="AJ2553" s="4">
        <v>7</v>
      </c>
      <c r="AK2553" s="4">
        <v>7</v>
      </c>
      <c r="AL2553" s="4">
        <v>1</v>
      </c>
      <c r="AM2553" s="4">
        <v>1</v>
      </c>
      <c r="AN2553" s="4">
        <v>0</v>
      </c>
      <c r="AO2553" s="4">
        <v>0</v>
      </c>
      <c r="AP2553" s="3" t="s">
        <v>58</v>
      </c>
      <c r="AQ2553" s="3" t="s">
        <v>58</v>
      </c>
      <c r="AS2553" s="6" t="str">
        <f>HYPERLINK("https://creighton-primo.hosted.exlibrisgroup.com/primo-explore/search?tab=default_tab&amp;search_scope=EVERYTHING&amp;vid=01CRU&amp;lang=en_US&amp;offset=0&amp;query=any,contains,991002213649702656","Catalog Record")</f>
        <v>Catalog Record</v>
      </c>
      <c r="AT2553" s="6" t="str">
        <f>HYPERLINK("http://www.worldcat.org/oclc/28503994","WorldCat Record")</f>
        <v>WorldCat Record</v>
      </c>
      <c r="AU2553" s="3" t="s">
        <v>31134</v>
      </c>
      <c r="AV2553" s="3" t="s">
        <v>31135</v>
      </c>
      <c r="AW2553" s="3" t="s">
        <v>31136</v>
      </c>
      <c r="AX2553" s="3" t="s">
        <v>31136</v>
      </c>
      <c r="AY2553" s="3" t="s">
        <v>31137</v>
      </c>
      <c r="AZ2553" s="3" t="s">
        <v>73</v>
      </c>
      <c r="BB2553" s="3" t="s">
        <v>31138</v>
      </c>
      <c r="BC2553" s="3" t="s">
        <v>31139</v>
      </c>
      <c r="BD2553" s="3" t="s">
        <v>31140</v>
      </c>
    </row>
    <row r="2554" spans="1:56" ht="51" customHeight="1" x14ac:dyDescent="0.25">
      <c r="A2554" s="7" t="s">
        <v>58</v>
      </c>
      <c r="B2554" s="2" t="s">
        <v>31141</v>
      </c>
      <c r="C2554" s="2" t="s">
        <v>31142</v>
      </c>
      <c r="D2554" s="2" t="s">
        <v>31143</v>
      </c>
      <c r="F2554" s="3" t="s">
        <v>58</v>
      </c>
      <c r="G2554" s="3" t="s">
        <v>59</v>
      </c>
      <c r="H2554" s="3" t="s">
        <v>58</v>
      </c>
      <c r="I2554" s="3" t="s">
        <v>58</v>
      </c>
      <c r="J2554" s="3" t="s">
        <v>60</v>
      </c>
      <c r="K2554" s="2" t="s">
        <v>31144</v>
      </c>
      <c r="L2554" s="2" t="s">
        <v>31145</v>
      </c>
      <c r="M2554" s="3" t="s">
        <v>524</v>
      </c>
      <c r="O2554" s="3" t="s">
        <v>63</v>
      </c>
      <c r="P2554" s="3" t="s">
        <v>816</v>
      </c>
      <c r="R2554" s="3" t="s">
        <v>65</v>
      </c>
      <c r="S2554" s="4">
        <v>8</v>
      </c>
      <c r="T2554" s="4">
        <v>8</v>
      </c>
      <c r="U2554" s="5" t="s">
        <v>29098</v>
      </c>
      <c r="V2554" s="5" t="s">
        <v>29098</v>
      </c>
      <c r="W2554" s="5" t="s">
        <v>30040</v>
      </c>
      <c r="X2554" s="5" t="s">
        <v>30040</v>
      </c>
      <c r="Y2554" s="4">
        <v>1192</v>
      </c>
      <c r="Z2554" s="4">
        <v>1030</v>
      </c>
      <c r="AA2554" s="4">
        <v>1056</v>
      </c>
      <c r="AB2554" s="4">
        <v>5</v>
      </c>
      <c r="AC2554" s="4">
        <v>5</v>
      </c>
      <c r="AD2554" s="4">
        <v>32</v>
      </c>
      <c r="AE2554" s="4">
        <v>32</v>
      </c>
      <c r="AF2554" s="4">
        <v>11</v>
      </c>
      <c r="AG2554" s="4">
        <v>11</v>
      </c>
      <c r="AH2554" s="4">
        <v>11</v>
      </c>
      <c r="AI2554" s="4">
        <v>11</v>
      </c>
      <c r="AJ2554" s="4">
        <v>17</v>
      </c>
      <c r="AK2554" s="4">
        <v>17</v>
      </c>
      <c r="AL2554" s="4">
        <v>4</v>
      </c>
      <c r="AM2554" s="4">
        <v>4</v>
      </c>
      <c r="AN2554" s="4">
        <v>0</v>
      </c>
      <c r="AO2554" s="4">
        <v>0</v>
      </c>
      <c r="AP2554" s="3" t="s">
        <v>58</v>
      </c>
      <c r="AQ2554" s="3" t="s">
        <v>68</v>
      </c>
      <c r="AR2554" s="6" t="str">
        <f>HYPERLINK("http://catalog.hathitrust.org/Record/000430907","HathiTrust Record")</f>
        <v>HathiTrust Record</v>
      </c>
      <c r="AS2554" s="6" t="str">
        <f>HYPERLINK("https://creighton-primo.hosted.exlibrisgroup.com/primo-explore/search?tab=default_tab&amp;search_scope=EVERYTHING&amp;vid=01CRU&amp;lang=en_US&amp;offset=0&amp;query=any,contains,991000710709702656","Catalog Record")</f>
        <v>Catalog Record</v>
      </c>
      <c r="AT2554" s="6" t="str">
        <f>HYPERLINK("http://www.worldcat.org/oclc/12582732","WorldCat Record")</f>
        <v>WorldCat Record</v>
      </c>
      <c r="AU2554" s="3" t="s">
        <v>31146</v>
      </c>
      <c r="AV2554" s="3" t="s">
        <v>31147</v>
      </c>
      <c r="AW2554" s="3" t="s">
        <v>31148</v>
      </c>
      <c r="AX2554" s="3" t="s">
        <v>31148</v>
      </c>
      <c r="AY2554" s="3" t="s">
        <v>31149</v>
      </c>
      <c r="AZ2554" s="3" t="s">
        <v>73</v>
      </c>
      <c r="BB2554" s="3" t="s">
        <v>31150</v>
      </c>
      <c r="BC2554" s="3" t="s">
        <v>31151</v>
      </c>
      <c r="BD2554" s="3" t="s">
        <v>31152</v>
      </c>
    </row>
    <row r="2555" spans="1:56" ht="51" customHeight="1" x14ac:dyDescent="0.25">
      <c r="A2555" s="7" t="s">
        <v>58</v>
      </c>
      <c r="B2555" s="2" t="s">
        <v>31153</v>
      </c>
      <c r="C2555" s="2" t="s">
        <v>31154</v>
      </c>
      <c r="D2555" s="2" t="s">
        <v>31155</v>
      </c>
      <c r="F2555" s="3" t="s">
        <v>58</v>
      </c>
      <c r="G2555" s="3" t="s">
        <v>59</v>
      </c>
      <c r="H2555" s="3" t="s">
        <v>58</v>
      </c>
      <c r="I2555" s="3" t="s">
        <v>58</v>
      </c>
      <c r="J2555" s="3" t="s">
        <v>60</v>
      </c>
      <c r="K2555" s="2" t="s">
        <v>31156</v>
      </c>
      <c r="L2555" s="2" t="s">
        <v>31157</v>
      </c>
      <c r="M2555" s="3" t="s">
        <v>62</v>
      </c>
      <c r="O2555" s="3" t="s">
        <v>63</v>
      </c>
      <c r="P2555" s="3" t="s">
        <v>17407</v>
      </c>
      <c r="Q2555" s="2" t="s">
        <v>31158</v>
      </c>
      <c r="R2555" s="3" t="s">
        <v>65</v>
      </c>
      <c r="S2555" s="4">
        <v>3</v>
      </c>
      <c r="T2555" s="4">
        <v>3</v>
      </c>
      <c r="U2555" s="5" t="s">
        <v>25369</v>
      </c>
      <c r="V2555" s="5" t="s">
        <v>25369</v>
      </c>
      <c r="W2555" s="5" t="s">
        <v>15035</v>
      </c>
      <c r="X2555" s="5" t="s">
        <v>15035</v>
      </c>
      <c r="Y2555" s="4">
        <v>338</v>
      </c>
      <c r="Z2555" s="4">
        <v>283</v>
      </c>
      <c r="AA2555" s="4">
        <v>285</v>
      </c>
      <c r="AB2555" s="4">
        <v>5</v>
      </c>
      <c r="AC2555" s="4">
        <v>5</v>
      </c>
      <c r="AD2555" s="4">
        <v>12</v>
      </c>
      <c r="AE2555" s="4">
        <v>12</v>
      </c>
      <c r="AF2555" s="4">
        <v>1</v>
      </c>
      <c r="AG2555" s="4">
        <v>1</v>
      </c>
      <c r="AH2555" s="4">
        <v>5</v>
      </c>
      <c r="AI2555" s="4">
        <v>5</v>
      </c>
      <c r="AJ2555" s="4">
        <v>5</v>
      </c>
      <c r="AK2555" s="4">
        <v>5</v>
      </c>
      <c r="AL2555" s="4">
        <v>4</v>
      </c>
      <c r="AM2555" s="4">
        <v>4</v>
      </c>
      <c r="AN2555" s="4">
        <v>0</v>
      </c>
      <c r="AO2555" s="4">
        <v>0</v>
      </c>
      <c r="AP2555" s="3" t="s">
        <v>58</v>
      </c>
      <c r="AQ2555" s="3" t="s">
        <v>68</v>
      </c>
      <c r="AR2555" s="6" t="str">
        <f>HYPERLINK("http://catalog.hathitrust.org/Record/006035034","HathiTrust Record")</f>
        <v>HathiTrust Record</v>
      </c>
      <c r="AS2555" s="6" t="str">
        <f>HYPERLINK("https://creighton-primo.hosted.exlibrisgroup.com/primo-explore/search?tab=default_tab&amp;search_scope=EVERYTHING&amp;vid=01CRU&amp;lang=en_US&amp;offset=0&amp;query=any,contains,991002175519702656","Catalog Record")</f>
        <v>Catalog Record</v>
      </c>
      <c r="AT2555" s="6" t="str">
        <f>HYPERLINK("http://www.worldcat.org/oclc/277985","WorldCat Record")</f>
        <v>WorldCat Record</v>
      </c>
      <c r="AU2555" s="3" t="s">
        <v>31159</v>
      </c>
      <c r="AV2555" s="3" t="s">
        <v>31160</v>
      </c>
      <c r="AW2555" s="3" t="s">
        <v>31161</v>
      </c>
      <c r="AX2555" s="3" t="s">
        <v>31161</v>
      </c>
      <c r="AY2555" s="3" t="s">
        <v>31162</v>
      </c>
      <c r="AZ2555" s="3" t="s">
        <v>73</v>
      </c>
      <c r="BB2555" s="3" t="s">
        <v>31163</v>
      </c>
      <c r="BC2555" s="3" t="s">
        <v>31164</v>
      </c>
      <c r="BD2555" s="3" t="s">
        <v>31165</v>
      </c>
    </row>
    <row r="2556" spans="1:56" ht="51" customHeight="1" x14ac:dyDescent="0.25">
      <c r="A2556" s="7" t="s">
        <v>58</v>
      </c>
      <c r="B2556" s="2" t="s">
        <v>31166</v>
      </c>
      <c r="C2556" s="2" t="s">
        <v>31167</v>
      </c>
      <c r="D2556" s="2" t="s">
        <v>31168</v>
      </c>
      <c r="F2556" s="3" t="s">
        <v>58</v>
      </c>
      <c r="G2556" s="3" t="s">
        <v>59</v>
      </c>
      <c r="H2556" s="3" t="s">
        <v>58</v>
      </c>
      <c r="I2556" s="3" t="s">
        <v>58</v>
      </c>
      <c r="J2556" s="3" t="s">
        <v>60</v>
      </c>
      <c r="K2556" s="2" t="s">
        <v>31169</v>
      </c>
      <c r="L2556" s="2" t="s">
        <v>31170</v>
      </c>
      <c r="M2556" s="3" t="s">
        <v>261</v>
      </c>
      <c r="N2556" s="2" t="s">
        <v>338</v>
      </c>
      <c r="O2556" s="3" t="s">
        <v>63</v>
      </c>
      <c r="P2556" s="3" t="s">
        <v>214</v>
      </c>
      <c r="Q2556" s="2" t="s">
        <v>31171</v>
      </c>
      <c r="R2556" s="3" t="s">
        <v>65</v>
      </c>
      <c r="S2556" s="4">
        <v>5</v>
      </c>
      <c r="T2556" s="4">
        <v>5</v>
      </c>
      <c r="U2556" s="5" t="s">
        <v>31172</v>
      </c>
      <c r="V2556" s="5" t="s">
        <v>31172</v>
      </c>
      <c r="W2556" s="5" t="s">
        <v>15035</v>
      </c>
      <c r="X2556" s="5" t="s">
        <v>15035</v>
      </c>
      <c r="Y2556" s="4">
        <v>713</v>
      </c>
      <c r="Z2556" s="4">
        <v>549</v>
      </c>
      <c r="AA2556" s="4">
        <v>554</v>
      </c>
      <c r="AB2556" s="4">
        <v>4</v>
      </c>
      <c r="AC2556" s="4">
        <v>4</v>
      </c>
      <c r="AD2556" s="4">
        <v>29</v>
      </c>
      <c r="AE2556" s="4">
        <v>29</v>
      </c>
      <c r="AF2556" s="4">
        <v>11</v>
      </c>
      <c r="AG2556" s="4">
        <v>11</v>
      </c>
      <c r="AH2556" s="4">
        <v>7</v>
      </c>
      <c r="AI2556" s="4">
        <v>7</v>
      </c>
      <c r="AJ2556" s="4">
        <v>15</v>
      </c>
      <c r="AK2556" s="4">
        <v>15</v>
      </c>
      <c r="AL2556" s="4">
        <v>3</v>
      </c>
      <c r="AM2556" s="4">
        <v>3</v>
      </c>
      <c r="AN2556" s="4">
        <v>0</v>
      </c>
      <c r="AO2556" s="4">
        <v>0</v>
      </c>
      <c r="AP2556" s="3" t="s">
        <v>58</v>
      </c>
      <c r="AQ2556" s="3" t="s">
        <v>68</v>
      </c>
      <c r="AR2556" s="6" t="str">
        <f>HYPERLINK("http://catalog.hathitrust.org/Record/000032144","HathiTrust Record")</f>
        <v>HathiTrust Record</v>
      </c>
      <c r="AS2556" s="6" t="str">
        <f>HYPERLINK("https://creighton-primo.hosted.exlibrisgroup.com/primo-explore/search?tab=default_tab&amp;search_scope=EVERYTHING&amp;vid=01CRU&amp;lang=en_US&amp;offset=0&amp;query=any,contains,991003537439702656","Catalog Record")</f>
        <v>Catalog Record</v>
      </c>
      <c r="AT2556" s="6" t="str">
        <f>HYPERLINK("http://www.worldcat.org/oclc/1102943","WorldCat Record")</f>
        <v>WorldCat Record</v>
      </c>
      <c r="AU2556" s="3" t="s">
        <v>31173</v>
      </c>
      <c r="AV2556" s="3" t="s">
        <v>31174</v>
      </c>
      <c r="AW2556" s="3" t="s">
        <v>31175</v>
      </c>
      <c r="AX2556" s="3" t="s">
        <v>31175</v>
      </c>
      <c r="AY2556" s="3" t="s">
        <v>31176</v>
      </c>
      <c r="AZ2556" s="3" t="s">
        <v>73</v>
      </c>
      <c r="BB2556" s="3" t="s">
        <v>31177</v>
      </c>
      <c r="BC2556" s="3" t="s">
        <v>31178</v>
      </c>
      <c r="BD2556" s="3" t="s">
        <v>31179</v>
      </c>
    </row>
    <row r="2557" spans="1:56" ht="51" customHeight="1" x14ac:dyDescent="0.25">
      <c r="A2557" s="7" t="s">
        <v>58</v>
      </c>
      <c r="B2557" s="2" t="s">
        <v>31180</v>
      </c>
      <c r="C2557" s="2" t="s">
        <v>31181</v>
      </c>
      <c r="D2557" s="2" t="s">
        <v>31182</v>
      </c>
      <c r="F2557" s="3" t="s">
        <v>58</v>
      </c>
      <c r="G2557" s="3" t="s">
        <v>59</v>
      </c>
      <c r="H2557" s="3" t="s">
        <v>58</v>
      </c>
      <c r="I2557" s="3" t="s">
        <v>58</v>
      </c>
      <c r="J2557" s="3" t="s">
        <v>60</v>
      </c>
      <c r="K2557" s="2" t="s">
        <v>31183</v>
      </c>
      <c r="L2557" s="2" t="s">
        <v>21723</v>
      </c>
      <c r="M2557" s="3" t="s">
        <v>759</v>
      </c>
      <c r="O2557" s="3" t="s">
        <v>63</v>
      </c>
      <c r="P2557" s="3" t="s">
        <v>2061</v>
      </c>
      <c r="R2557" s="3" t="s">
        <v>65</v>
      </c>
      <c r="S2557" s="4">
        <v>3</v>
      </c>
      <c r="T2557" s="4">
        <v>3</v>
      </c>
      <c r="U2557" s="5" t="s">
        <v>14388</v>
      </c>
      <c r="V2557" s="5" t="s">
        <v>14388</v>
      </c>
      <c r="W2557" s="5" t="s">
        <v>30040</v>
      </c>
      <c r="X2557" s="5" t="s">
        <v>30040</v>
      </c>
      <c r="Y2557" s="4">
        <v>631</v>
      </c>
      <c r="Z2557" s="4">
        <v>490</v>
      </c>
      <c r="AA2557" s="4">
        <v>492</v>
      </c>
      <c r="AB2557" s="4">
        <v>3</v>
      </c>
      <c r="AC2557" s="4">
        <v>3</v>
      </c>
      <c r="AD2557" s="4">
        <v>25</v>
      </c>
      <c r="AE2557" s="4">
        <v>25</v>
      </c>
      <c r="AF2557" s="4">
        <v>11</v>
      </c>
      <c r="AG2557" s="4">
        <v>11</v>
      </c>
      <c r="AH2557" s="4">
        <v>8</v>
      </c>
      <c r="AI2557" s="4">
        <v>8</v>
      </c>
      <c r="AJ2557" s="4">
        <v>12</v>
      </c>
      <c r="AK2557" s="4">
        <v>12</v>
      </c>
      <c r="AL2557" s="4">
        <v>2</v>
      </c>
      <c r="AM2557" s="4">
        <v>2</v>
      </c>
      <c r="AN2557" s="4">
        <v>0</v>
      </c>
      <c r="AO2557" s="4">
        <v>0</v>
      </c>
      <c r="AP2557" s="3" t="s">
        <v>58</v>
      </c>
      <c r="AQ2557" s="3" t="s">
        <v>58</v>
      </c>
      <c r="AS2557" s="6" t="str">
        <f>HYPERLINK("https://creighton-primo.hosted.exlibrisgroup.com/primo-explore/search?tab=default_tab&amp;search_scope=EVERYTHING&amp;vid=01CRU&amp;lang=en_US&amp;offset=0&amp;query=any,contains,991004809479702656","Catalog Record")</f>
        <v>Catalog Record</v>
      </c>
      <c r="AT2557" s="6" t="str">
        <f>HYPERLINK("http://www.worldcat.org/oclc/5265194","WorldCat Record")</f>
        <v>WorldCat Record</v>
      </c>
      <c r="AU2557" s="3" t="s">
        <v>31184</v>
      </c>
      <c r="AV2557" s="3" t="s">
        <v>31185</v>
      </c>
      <c r="AW2557" s="3" t="s">
        <v>31186</v>
      </c>
      <c r="AX2557" s="3" t="s">
        <v>31186</v>
      </c>
      <c r="AY2557" s="3" t="s">
        <v>31187</v>
      </c>
      <c r="AZ2557" s="3" t="s">
        <v>73</v>
      </c>
      <c r="BB2557" s="3" t="s">
        <v>31188</v>
      </c>
      <c r="BC2557" s="3" t="s">
        <v>31189</v>
      </c>
      <c r="BD2557" s="3" t="s">
        <v>31190</v>
      </c>
    </row>
    <row r="2558" spans="1:56" ht="51" customHeight="1" x14ac:dyDescent="0.25">
      <c r="A2558" s="7" t="s">
        <v>58</v>
      </c>
      <c r="B2558" s="2" t="s">
        <v>31191</v>
      </c>
      <c r="C2558" s="2" t="s">
        <v>31192</v>
      </c>
      <c r="D2558" s="2" t="s">
        <v>31193</v>
      </c>
      <c r="F2558" s="3" t="s">
        <v>58</v>
      </c>
      <c r="G2558" s="3" t="s">
        <v>59</v>
      </c>
      <c r="H2558" s="3" t="s">
        <v>58</v>
      </c>
      <c r="I2558" s="3" t="s">
        <v>58</v>
      </c>
      <c r="J2558" s="3" t="s">
        <v>60</v>
      </c>
      <c r="K2558" s="2" t="s">
        <v>31194</v>
      </c>
      <c r="L2558" s="2" t="s">
        <v>31195</v>
      </c>
      <c r="M2558" s="3" t="s">
        <v>1784</v>
      </c>
      <c r="O2558" s="3" t="s">
        <v>63</v>
      </c>
      <c r="P2558" s="3" t="s">
        <v>571</v>
      </c>
      <c r="Q2558" s="2" t="s">
        <v>31196</v>
      </c>
      <c r="R2558" s="3" t="s">
        <v>65</v>
      </c>
      <c r="S2558" s="4">
        <v>1</v>
      </c>
      <c r="T2558" s="4">
        <v>1</v>
      </c>
      <c r="U2558" s="5" t="s">
        <v>31197</v>
      </c>
      <c r="V2558" s="5" t="s">
        <v>31197</v>
      </c>
      <c r="W2558" s="5" t="s">
        <v>30040</v>
      </c>
      <c r="X2558" s="5" t="s">
        <v>30040</v>
      </c>
      <c r="Y2558" s="4">
        <v>129</v>
      </c>
      <c r="Z2558" s="4">
        <v>99</v>
      </c>
      <c r="AA2558" s="4">
        <v>151</v>
      </c>
      <c r="AB2558" s="4">
        <v>1</v>
      </c>
      <c r="AC2558" s="4">
        <v>1</v>
      </c>
      <c r="AD2558" s="4">
        <v>4</v>
      </c>
      <c r="AE2558" s="4">
        <v>5</v>
      </c>
      <c r="AF2558" s="4">
        <v>2</v>
      </c>
      <c r="AG2558" s="4">
        <v>2</v>
      </c>
      <c r="AH2558" s="4">
        <v>1</v>
      </c>
      <c r="AI2558" s="4">
        <v>2</v>
      </c>
      <c r="AJ2558" s="4">
        <v>3</v>
      </c>
      <c r="AK2558" s="4">
        <v>4</v>
      </c>
      <c r="AL2558" s="4">
        <v>0</v>
      </c>
      <c r="AM2558" s="4">
        <v>0</v>
      </c>
      <c r="AN2558" s="4">
        <v>0</v>
      </c>
      <c r="AO2558" s="4">
        <v>0</v>
      </c>
      <c r="AP2558" s="3" t="s">
        <v>58</v>
      </c>
      <c r="AQ2558" s="3" t="s">
        <v>68</v>
      </c>
      <c r="AR2558" s="6" t="str">
        <f>HYPERLINK("http://catalog.hathitrust.org/Record/000099488","HathiTrust Record")</f>
        <v>HathiTrust Record</v>
      </c>
      <c r="AS2558" s="6" t="str">
        <f>HYPERLINK("https://creighton-primo.hosted.exlibrisgroup.com/primo-explore/search?tab=default_tab&amp;search_scope=EVERYTHING&amp;vid=01CRU&amp;lang=en_US&amp;offset=0&amp;query=any,contains,991004833609702656","Catalog Record")</f>
        <v>Catalog Record</v>
      </c>
      <c r="AT2558" s="6" t="str">
        <f>HYPERLINK("http://www.worldcat.org/oclc/5423458","WorldCat Record")</f>
        <v>WorldCat Record</v>
      </c>
      <c r="AU2558" s="3" t="s">
        <v>31198</v>
      </c>
      <c r="AV2558" s="3" t="s">
        <v>31199</v>
      </c>
      <c r="AW2558" s="3" t="s">
        <v>31200</v>
      </c>
      <c r="AX2558" s="3" t="s">
        <v>31200</v>
      </c>
      <c r="AY2558" s="3" t="s">
        <v>31201</v>
      </c>
      <c r="AZ2558" s="3" t="s">
        <v>73</v>
      </c>
      <c r="BB2558" s="3" t="s">
        <v>31202</v>
      </c>
      <c r="BC2558" s="3" t="s">
        <v>31203</v>
      </c>
      <c r="BD2558" s="3" t="s">
        <v>31204</v>
      </c>
    </row>
    <row r="2559" spans="1:56" ht="51" customHeight="1" x14ac:dyDescent="0.25">
      <c r="A2559" s="7" t="s">
        <v>58</v>
      </c>
      <c r="B2559" s="2" t="s">
        <v>31205</v>
      </c>
      <c r="C2559" s="2" t="s">
        <v>31206</v>
      </c>
      <c r="D2559" s="2" t="s">
        <v>31207</v>
      </c>
      <c r="F2559" s="3" t="s">
        <v>58</v>
      </c>
      <c r="G2559" s="3" t="s">
        <v>59</v>
      </c>
      <c r="H2559" s="3" t="s">
        <v>58</v>
      </c>
      <c r="I2559" s="3" t="s">
        <v>58</v>
      </c>
      <c r="J2559" s="3" t="s">
        <v>60</v>
      </c>
      <c r="K2559" s="2" t="s">
        <v>31208</v>
      </c>
      <c r="L2559" s="2" t="s">
        <v>31209</v>
      </c>
      <c r="M2559" s="3" t="s">
        <v>382</v>
      </c>
      <c r="O2559" s="3" t="s">
        <v>63</v>
      </c>
      <c r="P2559" s="3" t="s">
        <v>214</v>
      </c>
      <c r="R2559" s="3" t="s">
        <v>65</v>
      </c>
      <c r="S2559" s="4">
        <v>2</v>
      </c>
      <c r="T2559" s="4">
        <v>2</v>
      </c>
      <c r="U2559" s="5" t="s">
        <v>31210</v>
      </c>
      <c r="V2559" s="5" t="s">
        <v>31210</v>
      </c>
      <c r="W2559" s="5" t="s">
        <v>30839</v>
      </c>
      <c r="X2559" s="5" t="s">
        <v>30839</v>
      </c>
      <c r="Y2559" s="4">
        <v>955</v>
      </c>
      <c r="Z2559" s="4">
        <v>913</v>
      </c>
      <c r="AA2559" s="4">
        <v>1007</v>
      </c>
      <c r="AB2559" s="4">
        <v>8</v>
      </c>
      <c r="AC2559" s="4">
        <v>8</v>
      </c>
      <c r="AD2559" s="4">
        <v>28</v>
      </c>
      <c r="AE2559" s="4">
        <v>31</v>
      </c>
      <c r="AF2559" s="4">
        <v>10</v>
      </c>
      <c r="AG2559" s="4">
        <v>12</v>
      </c>
      <c r="AH2559" s="4">
        <v>8</v>
      </c>
      <c r="AI2559" s="4">
        <v>8</v>
      </c>
      <c r="AJ2559" s="4">
        <v>13</v>
      </c>
      <c r="AK2559" s="4">
        <v>15</v>
      </c>
      <c r="AL2559" s="4">
        <v>4</v>
      </c>
      <c r="AM2559" s="4">
        <v>4</v>
      </c>
      <c r="AN2559" s="4">
        <v>0</v>
      </c>
      <c r="AO2559" s="4">
        <v>0</v>
      </c>
      <c r="AP2559" s="3" t="s">
        <v>58</v>
      </c>
      <c r="AQ2559" s="3" t="s">
        <v>68</v>
      </c>
      <c r="AR2559" s="6" t="str">
        <f>HYPERLINK("http://catalog.hathitrust.org/Record/004094441","HathiTrust Record")</f>
        <v>HathiTrust Record</v>
      </c>
      <c r="AS2559" s="6" t="str">
        <f>HYPERLINK("https://creighton-primo.hosted.exlibrisgroup.com/primo-explore/search?tab=default_tab&amp;search_scope=EVERYTHING&amp;vid=01CRU&amp;lang=en_US&amp;offset=0&amp;query=any,contains,991003623579702656","Catalog Record")</f>
        <v>Catalog Record</v>
      </c>
      <c r="AT2559" s="6" t="str">
        <f>HYPERLINK("http://www.worldcat.org/oclc/42476782","WorldCat Record")</f>
        <v>WorldCat Record</v>
      </c>
      <c r="AU2559" s="3" t="s">
        <v>31211</v>
      </c>
      <c r="AV2559" s="3" t="s">
        <v>31212</v>
      </c>
      <c r="AW2559" s="3" t="s">
        <v>31213</v>
      </c>
      <c r="AX2559" s="3" t="s">
        <v>31213</v>
      </c>
      <c r="AY2559" s="3" t="s">
        <v>31214</v>
      </c>
      <c r="AZ2559" s="3" t="s">
        <v>73</v>
      </c>
      <c r="BB2559" s="3" t="s">
        <v>31215</v>
      </c>
      <c r="BC2559" s="3" t="s">
        <v>31216</v>
      </c>
      <c r="BD2559" s="3" t="s">
        <v>31217</v>
      </c>
    </row>
    <row r="2560" spans="1:56" ht="51" customHeight="1" x14ac:dyDescent="0.25">
      <c r="A2560" s="7" t="s">
        <v>58</v>
      </c>
      <c r="B2560" s="2" t="s">
        <v>31218</v>
      </c>
      <c r="C2560" s="2" t="s">
        <v>31219</v>
      </c>
      <c r="D2560" s="2" t="s">
        <v>31220</v>
      </c>
      <c r="F2560" s="3" t="s">
        <v>58</v>
      </c>
      <c r="G2560" s="3" t="s">
        <v>59</v>
      </c>
      <c r="H2560" s="3" t="s">
        <v>58</v>
      </c>
      <c r="I2560" s="3" t="s">
        <v>58</v>
      </c>
      <c r="J2560" s="3" t="s">
        <v>60</v>
      </c>
      <c r="K2560" s="2" t="s">
        <v>31221</v>
      </c>
      <c r="L2560" s="2" t="s">
        <v>31222</v>
      </c>
      <c r="M2560" s="3" t="s">
        <v>382</v>
      </c>
      <c r="O2560" s="3" t="s">
        <v>63</v>
      </c>
      <c r="P2560" s="3" t="s">
        <v>354</v>
      </c>
      <c r="R2560" s="3" t="s">
        <v>65</v>
      </c>
      <c r="S2560" s="4">
        <v>2</v>
      </c>
      <c r="T2560" s="4">
        <v>2</v>
      </c>
      <c r="U2560" s="5" t="s">
        <v>27914</v>
      </c>
      <c r="V2560" s="5" t="s">
        <v>27914</v>
      </c>
      <c r="W2560" s="5" t="s">
        <v>15615</v>
      </c>
      <c r="X2560" s="5" t="s">
        <v>15615</v>
      </c>
      <c r="Y2560" s="4">
        <v>304</v>
      </c>
      <c r="Z2560" s="4">
        <v>244</v>
      </c>
      <c r="AA2560" s="4">
        <v>250</v>
      </c>
      <c r="AB2560" s="4">
        <v>3</v>
      </c>
      <c r="AC2560" s="4">
        <v>3</v>
      </c>
      <c r="AD2560" s="4">
        <v>15</v>
      </c>
      <c r="AE2560" s="4">
        <v>15</v>
      </c>
      <c r="AF2560" s="4">
        <v>5</v>
      </c>
      <c r="AG2560" s="4">
        <v>5</v>
      </c>
      <c r="AH2560" s="4">
        <v>3</v>
      </c>
      <c r="AI2560" s="4">
        <v>3</v>
      </c>
      <c r="AJ2560" s="4">
        <v>10</v>
      </c>
      <c r="AK2560" s="4">
        <v>10</v>
      </c>
      <c r="AL2560" s="4">
        <v>2</v>
      </c>
      <c r="AM2560" s="4">
        <v>2</v>
      </c>
      <c r="AN2560" s="4">
        <v>0</v>
      </c>
      <c r="AO2560" s="4">
        <v>0</v>
      </c>
      <c r="AP2560" s="3" t="s">
        <v>58</v>
      </c>
      <c r="AQ2560" s="3" t="s">
        <v>68</v>
      </c>
      <c r="AR2560" s="6" t="str">
        <f>HYPERLINK("http://catalog.hathitrust.org/Record/004049021","HathiTrust Record")</f>
        <v>HathiTrust Record</v>
      </c>
      <c r="AS2560" s="6" t="str">
        <f>HYPERLINK("https://creighton-primo.hosted.exlibrisgroup.com/primo-explore/search?tab=default_tab&amp;search_scope=EVERYTHING&amp;vid=01CRU&amp;lang=en_US&amp;offset=0&amp;query=any,contains,991003687509702656","Catalog Record")</f>
        <v>Catalog Record</v>
      </c>
      <c r="AT2560" s="6" t="str">
        <f>HYPERLINK("http://www.worldcat.org/oclc/40397853","WorldCat Record")</f>
        <v>WorldCat Record</v>
      </c>
      <c r="AU2560" s="3" t="s">
        <v>31223</v>
      </c>
      <c r="AV2560" s="3" t="s">
        <v>31224</v>
      </c>
      <c r="AW2560" s="3" t="s">
        <v>31225</v>
      </c>
      <c r="AX2560" s="3" t="s">
        <v>31225</v>
      </c>
      <c r="AY2560" s="3" t="s">
        <v>31226</v>
      </c>
      <c r="AZ2560" s="3" t="s">
        <v>73</v>
      </c>
      <c r="BB2560" s="3" t="s">
        <v>31227</v>
      </c>
      <c r="BC2560" s="3" t="s">
        <v>31228</v>
      </c>
      <c r="BD2560" s="3" t="s">
        <v>31229</v>
      </c>
    </row>
    <row r="2561" spans="1:56" ht="51" customHeight="1" x14ac:dyDescent="0.25">
      <c r="A2561" s="7" t="s">
        <v>58</v>
      </c>
      <c r="B2561" s="2" t="s">
        <v>31230</v>
      </c>
      <c r="C2561" s="2" t="s">
        <v>31231</v>
      </c>
      <c r="D2561" s="2" t="s">
        <v>31232</v>
      </c>
      <c r="F2561" s="3" t="s">
        <v>58</v>
      </c>
      <c r="G2561" s="3" t="s">
        <v>59</v>
      </c>
      <c r="H2561" s="3" t="s">
        <v>58</v>
      </c>
      <c r="I2561" s="3" t="s">
        <v>58</v>
      </c>
      <c r="J2561" s="3" t="s">
        <v>60</v>
      </c>
      <c r="K2561" s="2" t="s">
        <v>31233</v>
      </c>
      <c r="L2561" s="2" t="s">
        <v>31234</v>
      </c>
      <c r="M2561" s="3" t="s">
        <v>1784</v>
      </c>
      <c r="O2561" s="3" t="s">
        <v>63</v>
      </c>
      <c r="P2561" s="3" t="s">
        <v>354</v>
      </c>
      <c r="R2561" s="3" t="s">
        <v>65</v>
      </c>
      <c r="S2561" s="4">
        <v>3</v>
      </c>
      <c r="T2561" s="4">
        <v>3</v>
      </c>
      <c r="U2561" s="5" t="s">
        <v>5527</v>
      </c>
      <c r="V2561" s="5" t="s">
        <v>5527</v>
      </c>
      <c r="W2561" s="5" t="s">
        <v>30040</v>
      </c>
      <c r="X2561" s="5" t="s">
        <v>30040</v>
      </c>
      <c r="Y2561" s="4">
        <v>241</v>
      </c>
      <c r="Z2561" s="4">
        <v>189</v>
      </c>
      <c r="AA2561" s="4">
        <v>200</v>
      </c>
      <c r="AB2561" s="4">
        <v>3</v>
      </c>
      <c r="AC2561" s="4">
        <v>3</v>
      </c>
      <c r="AD2561" s="4">
        <v>7</v>
      </c>
      <c r="AE2561" s="4">
        <v>8</v>
      </c>
      <c r="AF2561" s="4">
        <v>1</v>
      </c>
      <c r="AG2561" s="4">
        <v>1</v>
      </c>
      <c r="AH2561" s="4">
        <v>3</v>
      </c>
      <c r="AI2561" s="4">
        <v>4</v>
      </c>
      <c r="AJ2561" s="4">
        <v>3</v>
      </c>
      <c r="AK2561" s="4">
        <v>4</v>
      </c>
      <c r="AL2561" s="4">
        <v>2</v>
      </c>
      <c r="AM2561" s="4">
        <v>2</v>
      </c>
      <c r="AN2561" s="4">
        <v>0</v>
      </c>
      <c r="AO2561" s="4">
        <v>0</v>
      </c>
      <c r="AP2561" s="3" t="s">
        <v>58</v>
      </c>
      <c r="AQ2561" s="3" t="s">
        <v>68</v>
      </c>
      <c r="AR2561" s="6" t="str">
        <f>HYPERLINK("http://catalog.hathitrust.org/Record/000741965","HathiTrust Record")</f>
        <v>HathiTrust Record</v>
      </c>
      <c r="AS2561" s="6" t="str">
        <f>HYPERLINK("https://creighton-primo.hosted.exlibrisgroup.com/primo-explore/search?tab=default_tab&amp;search_scope=EVERYTHING&amp;vid=01CRU&amp;lang=en_US&amp;offset=0&amp;query=any,contains,991004664859702656","Catalog Record")</f>
        <v>Catalog Record</v>
      </c>
      <c r="AT2561" s="6" t="str">
        <f>HYPERLINK("http://www.worldcat.org/oclc/4500394","WorldCat Record")</f>
        <v>WorldCat Record</v>
      </c>
      <c r="AU2561" s="3" t="s">
        <v>31235</v>
      </c>
      <c r="AV2561" s="3" t="s">
        <v>31236</v>
      </c>
      <c r="AW2561" s="3" t="s">
        <v>31237</v>
      </c>
      <c r="AX2561" s="3" t="s">
        <v>31237</v>
      </c>
      <c r="AY2561" s="3" t="s">
        <v>31238</v>
      </c>
      <c r="AZ2561" s="3" t="s">
        <v>73</v>
      </c>
      <c r="BB2561" s="3" t="s">
        <v>31239</v>
      </c>
      <c r="BC2561" s="3" t="s">
        <v>31240</v>
      </c>
      <c r="BD2561" s="3" t="s">
        <v>31241</v>
      </c>
    </row>
    <row r="2562" spans="1:56" ht="51" customHeight="1" x14ac:dyDescent="0.25">
      <c r="A2562" s="7" t="s">
        <v>58</v>
      </c>
      <c r="B2562" s="2" t="s">
        <v>31242</v>
      </c>
      <c r="C2562" s="2" t="s">
        <v>31243</v>
      </c>
      <c r="D2562" s="2" t="s">
        <v>31244</v>
      </c>
      <c r="F2562" s="3" t="s">
        <v>58</v>
      </c>
      <c r="G2562" s="3" t="s">
        <v>59</v>
      </c>
      <c r="H2562" s="3" t="s">
        <v>58</v>
      </c>
      <c r="I2562" s="3" t="s">
        <v>58</v>
      </c>
      <c r="J2562" s="3" t="s">
        <v>60</v>
      </c>
      <c r="K2562" s="2" t="s">
        <v>31245</v>
      </c>
      <c r="L2562" s="2" t="s">
        <v>31246</v>
      </c>
      <c r="M2562" s="3" t="s">
        <v>10955</v>
      </c>
      <c r="O2562" s="3" t="s">
        <v>63</v>
      </c>
      <c r="P2562" s="3" t="s">
        <v>495</v>
      </c>
      <c r="R2562" s="3" t="s">
        <v>65</v>
      </c>
      <c r="S2562" s="4">
        <v>4</v>
      </c>
      <c r="T2562" s="4">
        <v>4</v>
      </c>
      <c r="U2562" s="5" t="s">
        <v>31247</v>
      </c>
      <c r="V2562" s="5" t="s">
        <v>31247</v>
      </c>
      <c r="W2562" s="5" t="s">
        <v>572</v>
      </c>
      <c r="X2562" s="5" t="s">
        <v>572</v>
      </c>
      <c r="Y2562" s="4">
        <v>278</v>
      </c>
      <c r="Z2562" s="4">
        <v>251</v>
      </c>
      <c r="AA2562" s="4">
        <v>252</v>
      </c>
      <c r="AB2562" s="4">
        <v>3</v>
      </c>
      <c r="AC2562" s="4">
        <v>3</v>
      </c>
      <c r="AD2562" s="4">
        <v>12</v>
      </c>
      <c r="AE2562" s="4">
        <v>12</v>
      </c>
      <c r="AF2562" s="4">
        <v>3</v>
      </c>
      <c r="AG2562" s="4">
        <v>3</v>
      </c>
      <c r="AH2562" s="4">
        <v>4</v>
      </c>
      <c r="AI2562" s="4">
        <v>4</v>
      </c>
      <c r="AJ2562" s="4">
        <v>8</v>
      </c>
      <c r="AK2562" s="4">
        <v>8</v>
      </c>
      <c r="AL2562" s="4">
        <v>2</v>
      </c>
      <c r="AM2562" s="4">
        <v>2</v>
      </c>
      <c r="AN2562" s="4">
        <v>0</v>
      </c>
      <c r="AO2562" s="4">
        <v>0</v>
      </c>
      <c r="AP2562" s="3" t="s">
        <v>58</v>
      </c>
      <c r="AQ2562" s="3" t="s">
        <v>68</v>
      </c>
      <c r="AR2562" s="6" t="str">
        <f>HYPERLINK("http://catalog.hathitrust.org/Record/001606429","HathiTrust Record")</f>
        <v>HathiTrust Record</v>
      </c>
      <c r="AS2562" s="6" t="str">
        <f>HYPERLINK("https://creighton-primo.hosted.exlibrisgroup.com/primo-explore/search?tab=default_tab&amp;search_scope=EVERYTHING&amp;vid=01CRU&amp;lang=en_US&amp;offset=0&amp;query=any,contains,991002722559702656","Catalog Record")</f>
        <v>Catalog Record</v>
      </c>
      <c r="AT2562" s="6" t="str">
        <f>HYPERLINK("http://www.worldcat.org/oclc/413121","WorldCat Record")</f>
        <v>WorldCat Record</v>
      </c>
      <c r="AU2562" s="3" t="s">
        <v>31248</v>
      </c>
      <c r="AV2562" s="3" t="s">
        <v>31249</v>
      </c>
      <c r="AW2562" s="3" t="s">
        <v>31250</v>
      </c>
      <c r="AX2562" s="3" t="s">
        <v>31250</v>
      </c>
      <c r="AY2562" s="3" t="s">
        <v>31251</v>
      </c>
      <c r="AZ2562" s="3" t="s">
        <v>73</v>
      </c>
      <c r="BC2562" s="3" t="s">
        <v>31252</v>
      </c>
      <c r="BD2562" s="3" t="s">
        <v>31253</v>
      </c>
    </row>
    <row r="2563" spans="1:56" ht="51" customHeight="1" x14ac:dyDescent="0.25">
      <c r="A2563" s="7" t="s">
        <v>58</v>
      </c>
      <c r="B2563" s="2" t="s">
        <v>31254</v>
      </c>
      <c r="C2563" s="2" t="s">
        <v>31255</v>
      </c>
      <c r="D2563" s="2" t="s">
        <v>31256</v>
      </c>
      <c r="F2563" s="3" t="s">
        <v>58</v>
      </c>
      <c r="G2563" s="3" t="s">
        <v>59</v>
      </c>
      <c r="H2563" s="3" t="s">
        <v>58</v>
      </c>
      <c r="I2563" s="3" t="s">
        <v>58</v>
      </c>
      <c r="J2563" s="3" t="s">
        <v>60</v>
      </c>
      <c r="K2563" s="2" t="s">
        <v>31257</v>
      </c>
      <c r="L2563" s="2" t="s">
        <v>31258</v>
      </c>
      <c r="M2563" s="3" t="s">
        <v>62</v>
      </c>
      <c r="O2563" s="3" t="s">
        <v>63</v>
      </c>
      <c r="P2563" s="3" t="s">
        <v>816</v>
      </c>
      <c r="Q2563" s="2" t="s">
        <v>31259</v>
      </c>
      <c r="R2563" s="3" t="s">
        <v>65</v>
      </c>
      <c r="S2563" s="4">
        <v>1</v>
      </c>
      <c r="T2563" s="4">
        <v>1</v>
      </c>
      <c r="U2563" s="5" t="s">
        <v>31260</v>
      </c>
      <c r="V2563" s="5" t="s">
        <v>31260</v>
      </c>
      <c r="W2563" s="5" t="s">
        <v>572</v>
      </c>
      <c r="X2563" s="5" t="s">
        <v>572</v>
      </c>
      <c r="Y2563" s="4">
        <v>592</v>
      </c>
      <c r="Z2563" s="4">
        <v>484</v>
      </c>
      <c r="AA2563" s="4">
        <v>491</v>
      </c>
      <c r="AB2563" s="4">
        <v>4</v>
      </c>
      <c r="AC2563" s="4">
        <v>4</v>
      </c>
      <c r="AD2563" s="4">
        <v>26</v>
      </c>
      <c r="AE2563" s="4">
        <v>26</v>
      </c>
      <c r="AF2563" s="4">
        <v>10</v>
      </c>
      <c r="AG2563" s="4">
        <v>10</v>
      </c>
      <c r="AH2563" s="4">
        <v>8</v>
      </c>
      <c r="AI2563" s="4">
        <v>8</v>
      </c>
      <c r="AJ2563" s="4">
        <v>14</v>
      </c>
      <c r="AK2563" s="4">
        <v>14</v>
      </c>
      <c r="AL2563" s="4">
        <v>3</v>
      </c>
      <c r="AM2563" s="4">
        <v>3</v>
      </c>
      <c r="AN2563" s="4">
        <v>0</v>
      </c>
      <c r="AO2563" s="4">
        <v>0</v>
      </c>
      <c r="AP2563" s="3" t="s">
        <v>58</v>
      </c>
      <c r="AQ2563" s="3" t="s">
        <v>68</v>
      </c>
      <c r="AR2563" s="6" t="str">
        <f>HYPERLINK("http://catalog.hathitrust.org/Record/001662693","HathiTrust Record")</f>
        <v>HathiTrust Record</v>
      </c>
      <c r="AS2563" s="6" t="str">
        <f>HYPERLINK("https://creighton-primo.hosted.exlibrisgroup.com/primo-explore/search?tab=default_tab&amp;search_scope=EVERYTHING&amp;vid=01CRU&amp;lang=en_US&amp;offset=0&amp;query=any,contains,991000820359702656","Catalog Record")</f>
        <v>Catalog Record</v>
      </c>
      <c r="AT2563" s="6" t="str">
        <f>HYPERLINK("http://www.worldcat.org/oclc/144501","WorldCat Record")</f>
        <v>WorldCat Record</v>
      </c>
      <c r="AU2563" s="3" t="s">
        <v>31261</v>
      </c>
      <c r="AV2563" s="3" t="s">
        <v>31262</v>
      </c>
      <c r="AW2563" s="3" t="s">
        <v>31263</v>
      </c>
      <c r="AX2563" s="3" t="s">
        <v>31263</v>
      </c>
      <c r="AY2563" s="3" t="s">
        <v>31264</v>
      </c>
      <c r="AZ2563" s="3" t="s">
        <v>73</v>
      </c>
      <c r="BB2563" s="3" t="s">
        <v>31265</v>
      </c>
      <c r="BC2563" s="3" t="s">
        <v>31266</v>
      </c>
      <c r="BD2563" s="3" t="s">
        <v>31267</v>
      </c>
    </row>
    <row r="2564" spans="1:56" ht="51" customHeight="1" x14ac:dyDescent="0.25">
      <c r="A2564" s="7" t="s">
        <v>58</v>
      </c>
      <c r="B2564" s="2" t="s">
        <v>31268</v>
      </c>
      <c r="C2564" s="2" t="s">
        <v>31269</v>
      </c>
      <c r="D2564" s="2" t="s">
        <v>31270</v>
      </c>
      <c r="F2564" s="3" t="s">
        <v>58</v>
      </c>
      <c r="G2564" s="3" t="s">
        <v>59</v>
      </c>
      <c r="H2564" s="3" t="s">
        <v>58</v>
      </c>
      <c r="I2564" s="3" t="s">
        <v>58</v>
      </c>
      <c r="J2564" s="3" t="s">
        <v>60</v>
      </c>
      <c r="K2564" s="2" t="s">
        <v>31271</v>
      </c>
      <c r="L2564" s="2" t="s">
        <v>31272</v>
      </c>
      <c r="M2564" s="3" t="s">
        <v>62</v>
      </c>
      <c r="O2564" s="3" t="s">
        <v>63</v>
      </c>
      <c r="P2564" s="3" t="s">
        <v>214</v>
      </c>
      <c r="Q2564" s="2" t="s">
        <v>31273</v>
      </c>
      <c r="R2564" s="3" t="s">
        <v>65</v>
      </c>
      <c r="S2564" s="4">
        <v>7</v>
      </c>
      <c r="T2564" s="4">
        <v>7</v>
      </c>
      <c r="U2564" s="5" t="s">
        <v>31274</v>
      </c>
      <c r="V2564" s="5" t="s">
        <v>31274</v>
      </c>
      <c r="W2564" s="5" t="s">
        <v>31275</v>
      </c>
      <c r="X2564" s="5" t="s">
        <v>31275</v>
      </c>
      <c r="Y2564" s="4">
        <v>346</v>
      </c>
      <c r="Z2564" s="4">
        <v>287</v>
      </c>
      <c r="AA2564" s="4">
        <v>288</v>
      </c>
      <c r="AB2564" s="4">
        <v>3</v>
      </c>
      <c r="AC2564" s="4">
        <v>3</v>
      </c>
      <c r="AD2564" s="4">
        <v>9</v>
      </c>
      <c r="AE2564" s="4">
        <v>9</v>
      </c>
      <c r="AF2564" s="4">
        <v>2</v>
      </c>
      <c r="AG2564" s="4">
        <v>2</v>
      </c>
      <c r="AH2564" s="4">
        <v>4</v>
      </c>
      <c r="AI2564" s="4">
        <v>4</v>
      </c>
      <c r="AJ2564" s="4">
        <v>4</v>
      </c>
      <c r="AK2564" s="4">
        <v>4</v>
      </c>
      <c r="AL2564" s="4">
        <v>1</v>
      </c>
      <c r="AM2564" s="4">
        <v>1</v>
      </c>
      <c r="AN2564" s="4">
        <v>0</v>
      </c>
      <c r="AO2564" s="4">
        <v>0</v>
      </c>
      <c r="AP2564" s="3" t="s">
        <v>58</v>
      </c>
      <c r="AQ2564" s="3" t="s">
        <v>68</v>
      </c>
      <c r="AR2564" s="6" t="str">
        <f>HYPERLINK("http://catalog.hathitrust.org/Record/001606434","HathiTrust Record")</f>
        <v>HathiTrust Record</v>
      </c>
      <c r="AS2564" s="6" t="str">
        <f>HYPERLINK("https://creighton-primo.hosted.exlibrisgroup.com/primo-explore/search?tab=default_tab&amp;search_scope=EVERYTHING&amp;vid=01CRU&amp;lang=en_US&amp;offset=0&amp;query=any,contains,991000904989702656","Catalog Record")</f>
        <v>Catalog Record</v>
      </c>
      <c r="AT2564" s="6" t="str">
        <f>HYPERLINK("http://www.worldcat.org/oclc/156699","WorldCat Record")</f>
        <v>WorldCat Record</v>
      </c>
      <c r="AU2564" s="3" t="s">
        <v>31276</v>
      </c>
      <c r="AV2564" s="3" t="s">
        <v>31277</v>
      </c>
      <c r="AW2564" s="3" t="s">
        <v>31278</v>
      </c>
      <c r="AX2564" s="3" t="s">
        <v>31278</v>
      </c>
      <c r="AY2564" s="3" t="s">
        <v>31279</v>
      </c>
      <c r="AZ2564" s="3" t="s">
        <v>73</v>
      </c>
      <c r="BC2564" s="3" t="s">
        <v>31280</v>
      </c>
      <c r="BD2564" s="3" t="s">
        <v>31281</v>
      </c>
    </row>
    <row r="2565" spans="1:56" ht="51" customHeight="1" x14ac:dyDescent="0.25">
      <c r="A2565" s="7" t="s">
        <v>58</v>
      </c>
      <c r="B2565" s="2" t="s">
        <v>31282</v>
      </c>
      <c r="C2565" s="2" t="s">
        <v>31283</v>
      </c>
      <c r="D2565" s="2" t="s">
        <v>31284</v>
      </c>
      <c r="F2565" s="3" t="s">
        <v>58</v>
      </c>
      <c r="G2565" s="3" t="s">
        <v>59</v>
      </c>
      <c r="H2565" s="3" t="s">
        <v>58</v>
      </c>
      <c r="I2565" s="3" t="s">
        <v>58</v>
      </c>
      <c r="J2565" s="3" t="s">
        <v>60</v>
      </c>
      <c r="K2565" s="2" t="s">
        <v>31285</v>
      </c>
      <c r="L2565" s="2" t="s">
        <v>31286</v>
      </c>
      <c r="M2565" s="3" t="s">
        <v>249</v>
      </c>
      <c r="O2565" s="3" t="s">
        <v>63</v>
      </c>
      <c r="P2565" s="3" t="s">
        <v>571</v>
      </c>
      <c r="R2565" s="3" t="s">
        <v>65</v>
      </c>
      <c r="S2565" s="4">
        <v>8</v>
      </c>
      <c r="T2565" s="4">
        <v>8</v>
      </c>
      <c r="U2565" s="5" t="s">
        <v>29098</v>
      </c>
      <c r="V2565" s="5" t="s">
        <v>29098</v>
      </c>
      <c r="W2565" s="5" t="s">
        <v>31275</v>
      </c>
      <c r="X2565" s="5" t="s">
        <v>31275</v>
      </c>
      <c r="Y2565" s="4">
        <v>203</v>
      </c>
      <c r="Z2565" s="4">
        <v>163</v>
      </c>
      <c r="AA2565" s="4">
        <v>165</v>
      </c>
      <c r="AB2565" s="4">
        <v>1</v>
      </c>
      <c r="AC2565" s="4">
        <v>1</v>
      </c>
      <c r="AD2565" s="4">
        <v>6</v>
      </c>
      <c r="AE2565" s="4">
        <v>6</v>
      </c>
      <c r="AF2565" s="4">
        <v>2</v>
      </c>
      <c r="AG2565" s="4">
        <v>2</v>
      </c>
      <c r="AH2565" s="4">
        <v>1</v>
      </c>
      <c r="AI2565" s="4">
        <v>1</v>
      </c>
      <c r="AJ2565" s="4">
        <v>4</v>
      </c>
      <c r="AK2565" s="4">
        <v>4</v>
      </c>
      <c r="AL2565" s="4">
        <v>0</v>
      </c>
      <c r="AM2565" s="4">
        <v>0</v>
      </c>
      <c r="AN2565" s="4">
        <v>0</v>
      </c>
      <c r="AO2565" s="4">
        <v>0</v>
      </c>
      <c r="AP2565" s="3" t="s">
        <v>58</v>
      </c>
      <c r="AQ2565" s="3" t="s">
        <v>68</v>
      </c>
      <c r="AR2565" s="6" t="str">
        <f>HYPERLINK("http://catalog.hathitrust.org/Record/001968376","HathiTrust Record")</f>
        <v>HathiTrust Record</v>
      </c>
      <c r="AS2565" s="6" t="str">
        <f>HYPERLINK("https://creighton-primo.hosted.exlibrisgroup.com/primo-explore/search?tab=default_tab&amp;search_scope=EVERYTHING&amp;vid=01CRU&amp;lang=en_US&amp;offset=0&amp;query=any,contains,991003732459702656","Catalog Record")</f>
        <v>Catalog Record</v>
      </c>
      <c r="AT2565" s="6" t="str">
        <f>HYPERLINK("http://www.worldcat.org/oclc/1384155","WorldCat Record")</f>
        <v>WorldCat Record</v>
      </c>
      <c r="AU2565" s="3" t="s">
        <v>31287</v>
      </c>
      <c r="AV2565" s="3" t="s">
        <v>31288</v>
      </c>
      <c r="AW2565" s="3" t="s">
        <v>31289</v>
      </c>
      <c r="AX2565" s="3" t="s">
        <v>31289</v>
      </c>
      <c r="AY2565" s="3" t="s">
        <v>31290</v>
      </c>
      <c r="AZ2565" s="3" t="s">
        <v>73</v>
      </c>
      <c r="BC2565" s="3" t="s">
        <v>31291</v>
      </c>
      <c r="BD2565" s="3" t="s">
        <v>31292</v>
      </c>
    </row>
    <row r="2566" spans="1:56" ht="51" customHeight="1" x14ac:dyDescent="0.25">
      <c r="A2566" s="7" t="s">
        <v>58</v>
      </c>
      <c r="B2566" s="2" t="s">
        <v>31293</v>
      </c>
      <c r="C2566" s="2" t="s">
        <v>31294</v>
      </c>
      <c r="D2566" s="2" t="s">
        <v>31295</v>
      </c>
      <c r="F2566" s="3" t="s">
        <v>58</v>
      </c>
      <c r="G2566" s="3" t="s">
        <v>59</v>
      </c>
      <c r="H2566" s="3" t="s">
        <v>58</v>
      </c>
      <c r="I2566" s="3" t="s">
        <v>58</v>
      </c>
      <c r="J2566" s="3" t="s">
        <v>60</v>
      </c>
      <c r="K2566" s="2" t="s">
        <v>31296</v>
      </c>
      <c r="L2566" s="2" t="s">
        <v>31297</v>
      </c>
      <c r="M2566" s="3" t="s">
        <v>1091</v>
      </c>
      <c r="O2566" s="3" t="s">
        <v>63</v>
      </c>
      <c r="P2566" s="3" t="s">
        <v>354</v>
      </c>
      <c r="R2566" s="3" t="s">
        <v>65</v>
      </c>
      <c r="S2566" s="4">
        <v>2</v>
      </c>
      <c r="T2566" s="4">
        <v>2</v>
      </c>
      <c r="U2566" s="5" t="s">
        <v>10355</v>
      </c>
      <c r="V2566" s="5" t="s">
        <v>10355</v>
      </c>
      <c r="W2566" s="5" t="s">
        <v>12042</v>
      </c>
      <c r="X2566" s="5" t="s">
        <v>12042</v>
      </c>
      <c r="Y2566" s="4">
        <v>383</v>
      </c>
      <c r="Z2566" s="4">
        <v>319</v>
      </c>
      <c r="AA2566" s="4">
        <v>320</v>
      </c>
      <c r="AB2566" s="4">
        <v>3</v>
      </c>
      <c r="AC2566" s="4">
        <v>3</v>
      </c>
      <c r="AD2566" s="4">
        <v>21</v>
      </c>
      <c r="AE2566" s="4">
        <v>21</v>
      </c>
      <c r="AF2566" s="4">
        <v>7</v>
      </c>
      <c r="AG2566" s="4">
        <v>7</v>
      </c>
      <c r="AH2566" s="4">
        <v>7</v>
      </c>
      <c r="AI2566" s="4">
        <v>7</v>
      </c>
      <c r="AJ2566" s="4">
        <v>10</v>
      </c>
      <c r="AK2566" s="4">
        <v>10</v>
      </c>
      <c r="AL2566" s="4">
        <v>2</v>
      </c>
      <c r="AM2566" s="4">
        <v>2</v>
      </c>
      <c r="AN2566" s="4">
        <v>1</v>
      </c>
      <c r="AO2566" s="4">
        <v>1</v>
      </c>
      <c r="AP2566" s="3" t="s">
        <v>58</v>
      </c>
      <c r="AQ2566" s="3" t="s">
        <v>58</v>
      </c>
      <c r="AS2566" s="6" t="str">
        <f>HYPERLINK("https://creighton-primo.hosted.exlibrisgroup.com/primo-explore/search?tab=default_tab&amp;search_scope=EVERYTHING&amp;vid=01CRU&amp;lang=en_US&amp;offset=0&amp;query=any,contains,991003967159702656","Catalog Record")</f>
        <v>Catalog Record</v>
      </c>
      <c r="AT2566" s="6" t="str">
        <f>HYPERLINK("http://www.worldcat.org/oclc/45363447","WorldCat Record")</f>
        <v>WorldCat Record</v>
      </c>
      <c r="AU2566" s="3" t="s">
        <v>31298</v>
      </c>
      <c r="AV2566" s="3" t="s">
        <v>31299</v>
      </c>
      <c r="AW2566" s="3" t="s">
        <v>31300</v>
      </c>
      <c r="AX2566" s="3" t="s">
        <v>31300</v>
      </c>
      <c r="AY2566" s="3" t="s">
        <v>31301</v>
      </c>
      <c r="AZ2566" s="3" t="s">
        <v>73</v>
      </c>
      <c r="BB2566" s="3" t="s">
        <v>31302</v>
      </c>
      <c r="BC2566" s="3" t="s">
        <v>31303</v>
      </c>
      <c r="BD2566" s="3" t="s">
        <v>31304</v>
      </c>
    </row>
    <row r="2567" spans="1:56" ht="51" customHeight="1" x14ac:dyDescent="0.25">
      <c r="A2567" s="7" t="s">
        <v>58</v>
      </c>
      <c r="B2567" s="2" t="s">
        <v>31305</v>
      </c>
      <c r="C2567" s="2" t="s">
        <v>31306</v>
      </c>
      <c r="D2567" s="2" t="s">
        <v>31307</v>
      </c>
      <c r="F2567" s="3" t="s">
        <v>58</v>
      </c>
      <c r="G2567" s="3" t="s">
        <v>59</v>
      </c>
      <c r="H2567" s="3" t="s">
        <v>58</v>
      </c>
      <c r="I2567" s="3" t="s">
        <v>58</v>
      </c>
      <c r="J2567" s="3" t="s">
        <v>60</v>
      </c>
      <c r="K2567" s="2" t="s">
        <v>31308</v>
      </c>
      <c r="L2567" s="2" t="s">
        <v>19998</v>
      </c>
      <c r="M2567" s="3" t="s">
        <v>538</v>
      </c>
      <c r="O2567" s="3" t="s">
        <v>63</v>
      </c>
      <c r="P2567" s="3" t="s">
        <v>816</v>
      </c>
      <c r="Q2567" s="2" t="s">
        <v>31309</v>
      </c>
      <c r="R2567" s="3" t="s">
        <v>65</v>
      </c>
      <c r="S2567" s="4">
        <v>2</v>
      </c>
      <c r="T2567" s="4">
        <v>2</v>
      </c>
      <c r="U2567" s="5" t="s">
        <v>14465</v>
      </c>
      <c r="V2567" s="5" t="s">
        <v>14465</v>
      </c>
      <c r="W2567" s="5" t="s">
        <v>572</v>
      </c>
      <c r="X2567" s="5" t="s">
        <v>572</v>
      </c>
      <c r="Y2567" s="4">
        <v>664</v>
      </c>
      <c r="Z2567" s="4">
        <v>555</v>
      </c>
      <c r="AA2567" s="4">
        <v>562</v>
      </c>
      <c r="AB2567" s="4">
        <v>4</v>
      </c>
      <c r="AC2567" s="4">
        <v>4</v>
      </c>
      <c r="AD2567" s="4">
        <v>28</v>
      </c>
      <c r="AE2567" s="4">
        <v>28</v>
      </c>
      <c r="AF2567" s="4">
        <v>10</v>
      </c>
      <c r="AG2567" s="4">
        <v>10</v>
      </c>
      <c r="AH2567" s="4">
        <v>8</v>
      </c>
      <c r="AI2567" s="4">
        <v>8</v>
      </c>
      <c r="AJ2567" s="4">
        <v>16</v>
      </c>
      <c r="AK2567" s="4">
        <v>16</v>
      </c>
      <c r="AL2567" s="4">
        <v>3</v>
      </c>
      <c r="AM2567" s="4">
        <v>3</v>
      </c>
      <c r="AN2567" s="4">
        <v>0</v>
      </c>
      <c r="AO2567" s="4">
        <v>0</v>
      </c>
      <c r="AP2567" s="3" t="s">
        <v>58</v>
      </c>
      <c r="AQ2567" s="3" t="s">
        <v>68</v>
      </c>
      <c r="AR2567" s="6" t="str">
        <f>HYPERLINK("http://catalog.hathitrust.org/Record/001604982","HathiTrust Record")</f>
        <v>HathiTrust Record</v>
      </c>
      <c r="AS2567" s="6" t="str">
        <f>HYPERLINK("https://creighton-primo.hosted.exlibrisgroup.com/primo-explore/search?tab=default_tab&amp;search_scope=EVERYTHING&amp;vid=01CRU&amp;lang=en_US&amp;offset=0&amp;query=any,contains,991000003049702656","Catalog Record")</f>
        <v>Catalog Record</v>
      </c>
      <c r="AT2567" s="6" t="str">
        <f>HYPERLINK("http://www.worldcat.org/oclc/11889","WorldCat Record")</f>
        <v>WorldCat Record</v>
      </c>
      <c r="AU2567" s="3" t="s">
        <v>31310</v>
      </c>
      <c r="AV2567" s="3" t="s">
        <v>31311</v>
      </c>
      <c r="AW2567" s="3" t="s">
        <v>31312</v>
      </c>
      <c r="AX2567" s="3" t="s">
        <v>31312</v>
      </c>
      <c r="AY2567" s="3" t="s">
        <v>31313</v>
      </c>
      <c r="AZ2567" s="3" t="s">
        <v>73</v>
      </c>
      <c r="BC2567" s="3" t="s">
        <v>31314</v>
      </c>
      <c r="BD2567" s="3" t="s">
        <v>31315</v>
      </c>
    </row>
    <row r="2568" spans="1:56" ht="51" customHeight="1" x14ac:dyDescent="0.25">
      <c r="A2568" s="7" t="s">
        <v>58</v>
      </c>
      <c r="B2568" s="2" t="s">
        <v>31316</v>
      </c>
      <c r="C2568" s="2" t="s">
        <v>31317</v>
      </c>
      <c r="D2568" s="2" t="s">
        <v>31318</v>
      </c>
      <c r="F2568" s="3" t="s">
        <v>58</v>
      </c>
      <c r="G2568" s="3" t="s">
        <v>59</v>
      </c>
      <c r="H2568" s="3" t="s">
        <v>58</v>
      </c>
      <c r="I2568" s="3" t="s">
        <v>58</v>
      </c>
      <c r="J2568" s="3" t="s">
        <v>60</v>
      </c>
      <c r="K2568" s="2" t="s">
        <v>31319</v>
      </c>
      <c r="L2568" s="2" t="s">
        <v>31320</v>
      </c>
      <c r="M2568" s="3" t="s">
        <v>759</v>
      </c>
      <c r="O2568" s="3" t="s">
        <v>63</v>
      </c>
      <c r="P2568" s="3" t="s">
        <v>1837</v>
      </c>
      <c r="R2568" s="3" t="s">
        <v>65</v>
      </c>
      <c r="S2568" s="4">
        <v>0</v>
      </c>
      <c r="T2568" s="4">
        <v>0</v>
      </c>
      <c r="U2568" s="5" t="s">
        <v>6753</v>
      </c>
      <c r="V2568" s="5" t="s">
        <v>6753</v>
      </c>
      <c r="W2568" s="5" t="s">
        <v>30040</v>
      </c>
      <c r="X2568" s="5" t="s">
        <v>30040</v>
      </c>
      <c r="Y2568" s="4">
        <v>290</v>
      </c>
      <c r="Z2568" s="4">
        <v>249</v>
      </c>
      <c r="AA2568" s="4">
        <v>297</v>
      </c>
      <c r="AB2568" s="4">
        <v>3</v>
      </c>
      <c r="AC2568" s="4">
        <v>3</v>
      </c>
      <c r="AD2568" s="4">
        <v>12</v>
      </c>
      <c r="AE2568" s="4">
        <v>14</v>
      </c>
      <c r="AF2568" s="4">
        <v>3</v>
      </c>
      <c r="AG2568" s="4">
        <v>4</v>
      </c>
      <c r="AH2568" s="4">
        <v>5</v>
      </c>
      <c r="AI2568" s="4">
        <v>5</v>
      </c>
      <c r="AJ2568" s="4">
        <v>7</v>
      </c>
      <c r="AK2568" s="4">
        <v>8</v>
      </c>
      <c r="AL2568" s="4">
        <v>2</v>
      </c>
      <c r="AM2568" s="4">
        <v>2</v>
      </c>
      <c r="AN2568" s="4">
        <v>0</v>
      </c>
      <c r="AO2568" s="4">
        <v>0</v>
      </c>
      <c r="AP2568" s="3" t="s">
        <v>58</v>
      </c>
      <c r="AQ2568" s="3" t="s">
        <v>68</v>
      </c>
      <c r="AR2568" s="6" t="str">
        <f>HYPERLINK("http://catalog.hathitrust.org/Record/000702373","HathiTrust Record")</f>
        <v>HathiTrust Record</v>
      </c>
      <c r="AS2568" s="6" t="str">
        <f>HYPERLINK("https://creighton-primo.hosted.exlibrisgroup.com/primo-explore/search?tab=default_tab&amp;search_scope=EVERYTHING&amp;vid=01CRU&amp;lang=en_US&amp;offset=0&amp;query=any,contains,991004894849702656","Catalog Record")</f>
        <v>Catalog Record</v>
      </c>
      <c r="AT2568" s="6" t="str">
        <f>HYPERLINK("http://www.worldcat.org/oclc/5892507","WorldCat Record")</f>
        <v>WorldCat Record</v>
      </c>
      <c r="AU2568" s="3" t="s">
        <v>31321</v>
      </c>
      <c r="AV2568" s="3" t="s">
        <v>31322</v>
      </c>
      <c r="AW2568" s="3" t="s">
        <v>31323</v>
      </c>
      <c r="AX2568" s="3" t="s">
        <v>31323</v>
      </c>
      <c r="AY2568" s="3" t="s">
        <v>31324</v>
      </c>
      <c r="AZ2568" s="3" t="s">
        <v>73</v>
      </c>
      <c r="BB2568" s="3" t="s">
        <v>31325</v>
      </c>
      <c r="BC2568" s="3" t="s">
        <v>31326</v>
      </c>
      <c r="BD2568" s="3" t="s">
        <v>31327</v>
      </c>
    </row>
    <row r="2569" spans="1:56" ht="51" customHeight="1" x14ac:dyDescent="0.25">
      <c r="A2569" s="7" t="s">
        <v>58</v>
      </c>
      <c r="B2569" s="2" t="s">
        <v>31328</v>
      </c>
      <c r="C2569" s="2" t="s">
        <v>31329</v>
      </c>
      <c r="D2569" s="2" t="s">
        <v>31330</v>
      </c>
      <c r="F2569" s="3" t="s">
        <v>58</v>
      </c>
      <c r="G2569" s="3" t="s">
        <v>59</v>
      </c>
      <c r="H2569" s="3" t="s">
        <v>58</v>
      </c>
      <c r="I2569" s="3" t="s">
        <v>58</v>
      </c>
      <c r="J2569" s="3" t="s">
        <v>60</v>
      </c>
      <c r="K2569" s="2" t="s">
        <v>29937</v>
      </c>
      <c r="L2569" s="2" t="s">
        <v>31331</v>
      </c>
      <c r="M2569" s="3" t="s">
        <v>855</v>
      </c>
      <c r="N2569" s="2" t="s">
        <v>338</v>
      </c>
      <c r="O2569" s="3" t="s">
        <v>63</v>
      </c>
      <c r="P2569" s="3" t="s">
        <v>214</v>
      </c>
      <c r="R2569" s="3" t="s">
        <v>65</v>
      </c>
      <c r="S2569" s="4">
        <v>5</v>
      </c>
      <c r="T2569" s="4">
        <v>5</v>
      </c>
      <c r="U2569" s="5" t="s">
        <v>31332</v>
      </c>
      <c r="V2569" s="5" t="s">
        <v>31332</v>
      </c>
      <c r="W2569" s="5" t="s">
        <v>16113</v>
      </c>
      <c r="X2569" s="5" t="s">
        <v>16113</v>
      </c>
      <c r="Y2569" s="4">
        <v>609</v>
      </c>
      <c r="Z2569" s="4">
        <v>492</v>
      </c>
      <c r="AA2569" s="4">
        <v>498</v>
      </c>
      <c r="AB2569" s="4">
        <v>2</v>
      </c>
      <c r="AC2569" s="4">
        <v>2</v>
      </c>
      <c r="AD2569" s="4">
        <v>20</v>
      </c>
      <c r="AE2569" s="4">
        <v>20</v>
      </c>
      <c r="AF2569" s="4">
        <v>8</v>
      </c>
      <c r="AG2569" s="4">
        <v>8</v>
      </c>
      <c r="AH2569" s="4">
        <v>8</v>
      </c>
      <c r="AI2569" s="4">
        <v>8</v>
      </c>
      <c r="AJ2569" s="4">
        <v>9</v>
      </c>
      <c r="AK2569" s="4">
        <v>9</v>
      </c>
      <c r="AL2569" s="4">
        <v>1</v>
      </c>
      <c r="AM2569" s="4">
        <v>1</v>
      </c>
      <c r="AN2569" s="4">
        <v>0</v>
      </c>
      <c r="AO2569" s="4">
        <v>0</v>
      </c>
      <c r="AP2569" s="3" t="s">
        <v>58</v>
      </c>
      <c r="AQ2569" s="3" t="s">
        <v>58</v>
      </c>
      <c r="AS2569" s="6" t="str">
        <f>HYPERLINK("https://creighton-primo.hosted.exlibrisgroup.com/primo-explore/search?tab=default_tab&amp;search_scope=EVERYTHING&amp;vid=01CRU&amp;lang=en_US&amp;offset=0&amp;query=any,contains,991003998429702656","Catalog Record")</f>
        <v>Catalog Record</v>
      </c>
      <c r="AT2569" s="6" t="str">
        <f>HYPERLINK("http://www.worldcat.org/oclc/27727396","WorldCat Record")</f>
        <v>WorldCat Record</v>
      </c>
      <c r="AU2569" s="3" t="s">
        <v>31333</v>
      </c>
      <c r="AV2569" s="3" t="s">
        <v>31334</v>
      </c>
      <c r="AW2569" s="3" t="s">
        <v>31335</v>
      </c>
      <c r="AX2569" s="3" t="s">
        <v>31335</v>
      </c>
      <c r="AY2569" s="3" t="s">
        <v>31336</v>
      </c>
      <c r="AZ2569" s="3" t="s">
        <v>73</v>
      </c>
      <c r="BB2569" s="3" t="s">
        <v>31337</v>
      </c>
      <c r="BC2569" s="3" t="s">
        <v>31338</v>
      </c>
      <c r="BD2569" s="3" t="s">
        <v>31339</v>
      </c>
    </row>
    <row r="2570" spans="1:56" ht="51" customHeight="1" x14ac:dyDescent="0.25">
      <c r="A2570" s="7" t="s">
        <v>58</v>
      </c>
      <c r="B2570" s="2" t="s">
        <v>31340</v>
      </c>
      <c r="C2570" s="2" t="s">
        <v>31341</v>
      </c>
      <c r="D2570" s="2" t="s">
        <v>31342</v>
      </c>
      <c r="F2570" s="3" t="s">
        <v>58</v>
      </c>
      <c r="G2570" s="3" t="s">
        <v>59</v>
      </c>
      <c r="H2570" s="3" t="s">
        <v>58</v>
      </c>
      <c r="I2570" s="3" t="s">
        <v>58</v>
      </c>
      <c r="J2570" s="3" t="s">
        <v>60</v>
      </c>
      <c r="L2570" s="2" t="s">
        <v>7232</v>
      </c>
      <c r="M2570" s="3" t="s">
        <v>1544</v>
      </c>
      <c r="O2570" s="3" t="s">
        <v>63</v>
      </c>
      <c r="P2570" s="3" t="s">
        <v>214</v>
      </c>
      <c r="R2570" s="3" t="s">
        <v>65</v>
      </c>
      <c r="S2570" s="4">
        <v>11</v>
      </c>
      <c r="T2570" s="4">
        <v>11</v>
      </c>
      <c r="U2570" s="5" t="s">
        <v>29875</v>
      </c>
      <c r="V2570" s="5" t="s">
        <v>29875</v>
      </c>
      <c r="W2570" s="5" t="s">
        <v>31343</v>
      </c>
      <c r="X2570" s="5" t="s">
        <v>31343</v>
      </c>
      <c r="Y2570" s="4">
        <v>584</v>
      </c>
      <c r="Z2570" s="4">
        <v>421</v>
      </c>
      <c r="AA2570" s="4">
        <v>444</v>
      </c>
      <c r="AB2570" s="4">
        <v>4</v>
      </c>
      <c r="AC2570" s="4">
        <v>4</v>
      </c>
      <c r="AD2570" s="4">
        <v>13</v>
      </c>
      <c r="AE2570" s="4">
        <v>13</v>
      </c>
      <c r="AF2570" s="4">
        <v>4</v>
      </c>
      <c r="AG2570" s="4">
        <v>4</v>
      </c>
      <c r="AH2570" s="4">
        <v>2</v>
      </c>
      <c r="AI2570" s="4">
        <v>2</v>
      </c>
      <c r="AJ2570" s="4">
        <v>7</v>
      </c>
      <c r="AK2570" s="4">
        <v>7</v>
      </c>
      <c r="AL2570" s="4">
        <v>3</v>
      </c>
      <c r="AM2570" s="4">
        <v>3</v>
      </c>
      <c r="AN2570" s="4">
        <v>0</v>
      </c>
      <c r="AO2570" s="4">
        <v>0</v>
      </c>
      <c r="AP2570" s="3" t="s">
        <v>58</v>
      </c>
      <c r="AQ2570" s="3" t="s">
        <v>58</v>
      </c>
      <c r="AS2570" s="6" t="str">
        <f>HYPERLINK("https://creighton-primo.hosted.exlibrisgroup.com/primo-explore/search?tab=default_tab&amp;search_scope=EVERYTHING&amp;vid=01CRU&amp;lang=en_US&amp;offset=0&amp;query=any,contains,991001947349702656","Catalog Record")</f>
        <v>Catalog Record</v>
      </c>
      <c r="AT2570" s="6" t="str">
        <f>HYPERLINK("http://www.worldcat.org/oclc/24626726","WorldCat Record")</f>
        <v>WorldCat Record</v>
      </c>
      <c r="AU2570" s="3" t="s">
        <v>31344</v>
      </c>
      <c r="AV2570" s="3" t="s">
        <v>31345</v>
      </c>
      <c r="AW2570" s="3" t="s">
        <v>31346</v>
      </c>
      <c r="AX2570" s="3" t="s">
        <v>31346</v>
      </c>
      <c r="AY2570" s="3" t="s">
        <v>31347</v>
      </c>
      <c r="AZ2570" s="3" t="s">
        <v>73</v>
      </c>
      <c r="BB2570" s="3" t="s">
        <v>31348</v>
      </c>
      <c r="BC2570" s="3" t="s">
        <v>31349</v>
      </c>
      <c r="BD2570" s="3" t="s">
        <v>31350</v>
      </c>
    </row>
    <row r="2571" spans="1:56" ht="51" customHeight="1" x14ac:dyDescent="0.25">
      <c r="A2571" s="7" t="s">
        <v>58</v>
      </c>
      <c r="B2571" s="2" t="s">
        <v>31351</v>
      </c>
      <c r="C2571" s="2" t="s">
        <v>31352</v>
      </c>
      <c r="D2571" s="2" t="s">
        <v>31353</v>
      </c>
      <c r="F2571" s="3" t="s">
        <v>58</v>
      </c>
      <c r="G2571" s="3" t="s">
        <v>59</v>
      </c>
      <c r="H2571" s="3" t="s">
        <v>58</v>
      </c>
      <c r="I2571" s="3" t="s">
        <v>58</v>
      </c>
      <c r="J2571" s="3" t="s">
        <v>60</v>
      </c>
      <c r="K2571" s="2" t="s">
        <v>31354</v>
      </c>
      <c r="L2571" s="2" t="s">
        <v>31355</v>
      </c>
      <c r="M2571" s="3" t="s">
        <v>1357</v>
      </c>
      <c r="O2571" s="3" t="s">
        <v>63</v>
      </c>
      <c r="P2571" s="3" t="s">
        <v>214</v>
      </c>
      <c r="Q2571" s="2" t="s">
        <v>31356</v>
      </c>
      <c r="R2571" s="3" t="s">
        <v>65</v>
      </c>
      <c r="S2571" s="4">
        <v>8</v>
      </c>
      <c r="T2571" s="4">
        <v>8</v>
      </c>
      <c r="U2571" s="5" t="s">
        <v>31357</v>
      </c>
      <c r="V2571" s="5" t="s">
        <v>31357</v>
      </c>
      <c r="W2571" s="5" t="s">
        <v>4485</v>
      </c>
      <c r="X2571" s="5" t="s">
        <v>4485</v>
      </c>
      <c r="Y2571" s="4">
        <v>236</v>
      </c>
      <c r="Z2571" s="4">
        <v>214</v>
      </c>
      <c r="AA2571" s="4">
        <v>238</v>
      </c>
      <c r="AB2571" s="4">
        <v>2</v>
      </c>
      <c r="AC2571" s="4">
        <v>2</v>
      </c>
      <c r="AD2571" s="4">
        <v>12</v>
      </c>
      <c r="AE2571" s="4">
        <v>13</v>
      </c>
      <c r="AF2571" s="4">
        <v>2</v>
      </c>
      <c r="AG2571" s="4">
        <v>2</v>
      </c>
      <c r="AH2571" s="4">
        <v>4</v>
      </c>
      <c r="AI2571" s="4">
        <v>5</v>
      </c>
      <c r="AJ2571" s="4">
        <v>7</v>
      </c>
      <c r="AK2571" s="4">
        <v>7</v>
      </c>
      <c r="AL2571" s="4">
        <v>1</v>
      </c>
      <c r="AM2571" s="4">
        <v>1</v>
      </c>
      <c r="AN2571" s="4">
        <v>0</v>
      </c>
      <c r="AO2571" s="4">
        <v>0</v>
      </c>
      <c r="AP2571" s="3" t="s">
        <v>58</v>
      </c>
      <c r="AQ2571" s="3" t="s">
        <v>68</v>
      </c>
      <c r="AR2571" s="6" t="str">
        <f>HYPERLINK("http://catalog.hathitrust.org/Record/001968381","HathiTrust Record")</f>
        <v>HathiTrust Record</v>
      </c>
      <c r="AS2571" s="6" t="str">
        <f>HYPERLINK("https://creighton-primo.hosted.exlibrisgroup.com/primo-explore/search?tab=default_tab&amp;search_scope=EVERYTHING&amp;vid=01CRU&amp;lang=en_US&amp;offset=0&amp;query=any,contains,991000632339702656","Catalog Record")</f>
        <v>Catalog Record</v>
      </c>
      <c r="AT2571" s="6" t="str">
        <f>HYPERLINK("http://www.worldcat.org/oclc/106264","WorldCat Record")</f>
        <v>WorldCat Record</v>
      </c>
      <c r="AU2571" s="3" t="s">
        <v>31358</v>
      </c>
      <c r="AV2571" s="3" t="s">
        <v>31359</v>
      </c>
      <c r="AW2571" s="3" t="s">
        <v>31360</v>
      </c>
      <c r="AX2571" s="3" t="s">
        <v>31360</v>
      </c>
      <c r="AY2571" s="3" t="s">
        <v>31361</v>
      </c>
      <c r="AZ2571" s="3" t="s">
        <v>73</v>
      </c>
      <c r="BB2571" s="3" t="s">
        <v>31362</v>
      </c>
      <c r="BC2571" s="3" t="s">
        <v>31363</v>
      </c>
      <c r="BD2571" s="3" t="s">
        <v>31364</v>
      </c>
    </row>
    <row r="2572" spans="1:56" ht="51" customHeight="1" x14ac:dyDescent="0.25">
      <c r="A2572" s="7" t="s">
        <v>58</v>
      </c>
      <c r="B2572" s="2" t="s">
        <v>31365</v>
      </c>
      <c r="C2572" s="2" t="s">
        <v>31366</v>
      </c>
      <c r="D2572" s="2" t="s">
        <v>31367</v>
      </c>
      <c r="F2572" s="3" t="s">
        <v>58</v>
      </c>
      <c r="G2572" s="3" t="s">
        <v>59</v>
      </c>
      <c r="H2572" s="3" t="s">
        <v>58</v>
      </c>
      <c r="I2572" s="3" t="s">
        <v>58</v>
      </c>
      <c r="J2572" s="3" t="s">
        <v>60</v>
      </c>
      <c r="K2572" s="2" t="s">
        <v>31368</v>
      </c>
      <c r="L2572" s="2" t="s">
        <v>31369</v>
      </c>
      <c r="M2572" s="3" t="s">
        <v>898</v>
      </c>
      <c r="N2572" s="2" t="s">
        <v>338</v>
      </c>
      <c r="O2572" s="3" t="s">
        <v>63</v>
      </c>
      <c r="P2572" s="3" t="s">
        <v>10900</v>
      </c>
      <c r="R2572" s="3" t="s">
        <v>65</v>
      </c>
      <c r="S2572" s="4">
        <v>2</v>
      </c>
      <c r="T2572" s="4">
        <v>2</v>
      </c>
      <c r="U2572" s="5" t="s">
        <v>30947</v>
      </c>
      <c r="V2572" s="5" t="s">
        <v>30947</v>
      </c>
      <c r="W2572" s="5" t="s">
        <v>1245</v>
      </c>
      <c r="X2572" s="5" t="s">
        <v>1245</v>
      </c>
      <c r="Y2572" s="4">
        <v>390</v>
      </c>
      <c r="Z2572" s="4">
        <v>293</v>
      </c>
      <c r="AA2572" s="4">
        <v>304</v>
      </c>
      <c r="AB2572" s="4">
        <v>2</v>
      </c>
      <c r="AC2572" s="4">
        <v>2</v>
      </c>
      <c r="AD2572" s="4">
        <v>18</v>
      </c>
      <c r="AE2572" s="4">
        <v>18</v>
      </c>
      <c r="AF2572" s="4">
        <v>9</v>
      </c>
      <c r="AG2572" s="4">
        <v>9</v>
      </c>
      <c r="AH2572" s="4">
        <v>7</v>
      </c>
      <c r="AI2572" s="4">
        <v>7</v>
      </c>
      <c r="AJ2572" s="4">
        <v>6</v>
      </c>
      <c r="AK2572" s="4">
        <v>6</v>
      </c>
      <c r="AL2572" s="4">
        <v>1</v>
      </c>
      <c r="AM2572" s="4">
        <v>1</v>
      </c>
      <c r="AN2572" s="4">
        <v>1</v>
      </c>
      <c r="AO2572" s="4">
        <v>1</v>
      </c>
      <c r="AP2572" s="3" t="s">
        <v>58</v>
      </c>
      <c r="AQ2572" s="3" t="s">
        <v>68</v>
      </c>
      <c r="AR2572" s="6" t="str">
        <f>HYPERLINK("http://catalog.hathitrust.org/Record/006035138","HathiTrust Record")</f>
        <v>HathiTrust Record</v>
      </c>
      <c r="AS2572" s="6" t="str">
        <f>HYPERLINK("https://creighton-primo.hosted.exlibrisgroup.com/primo-explore/search?tab=default_tab&amp;search_scope=EVERYTHING&amp;vid=01CRU&amp;lang=en_US&amp;offset=0&amp;query=any,contains,991005102619702656","Catalog Record")</f>
        <v>Catalog Record</v>
      </c>
      <c r="AT2572" s="6" t="str">
        <f>HYPERLINK("http://www.worldcat.org/oclc/78063709","WorldCat Record")</f>
        <v>WorldCat Record</v>
      </c>
      <c r="AU2572" s="3" t="s">
        <v>31370</v>
      </c>
      <c r="AV2572" s="3" t="s">
        <v>31371</v>
      </c>
      <c r="AW2572" s="3" t="s">
        <v>31372</v>
      </c>
      <c r="AX2572" s="3" t="s">
        <v>31372</v>
      </c>
      <c r="AY2572" s="3" t="s">
        <v>31373</v>
      </c>
      <c r="AZ2572" s="3" t="s">
        <v>73</v>
      </c>
      <c r="BB2572" s="3" t="s">
        <v>31374</v>
      </c>
      <c r="BC2572" s="3" t="s">
        <v>31375</v>
      </c>
      <c r="BD2572" s="3" t="s">
        <v>31376</v>
      </c>
    </row>
    <row r="2573" spans="1:56" ht="51" customHeight="1" x14ac:dyDescent="0.25">
      <c r="A2573" s="7" t="s">
        <v>58</v>
      </c>
      <c r="B2573" s="2" t="s">
        <v>31377</v>
      </c>
      <c r="C2573" s="2" t="s">
        <v>31378</v>
      </c>
      <c r="D2573" s="2" t="s">
        <v>31379</v>
      </c>
      <c r="F2573" s="3" t="s">
        <v>58</v>
      </c>
      <c r="G2573" s="3" t="s">
        <v>59</v>
      </c>
      <c r="H2573" s="3" t="s">
        <v>58</v>
      </c>
      <c r="I2573" s="3" t="s">
        <v>58</v>
      </c>
      <c r="J2573" s="3" t="s">
        <v>60</v>
      </c>
      <c r="K2573" s="2" t="s">
        <v>31380</v>
      </c>
      <c r="L2573" s="2" t="s">
        <v>31381</v>
      </c>
      <c r="M2573" s="3" t="s">
        <v>1544</v>
      </c>
      <c r="O2573" s="3" t="s">
        <v>63</v>
      </c>
      <c r="P2573" s="3" t="s">
        <v>214</v>
      </c>
      <c r="Q2573" s="2" t="s">
        <v>31382</v>
      </c>
      <c r="R2573" s="3" t="s">
        <v>65</v>
      </c>
      <c r="S2573" s="4">
        <v>2</v>
      </c>
      <c r="T2573" s="4">
        <v>2</v>
      </c>
      <c r="U2573" s="5" t="s">
        <v>23841</v>
      </c>
      <c r="V2573" s="5" t="s">
        <v>23841</v>
      </c>
      <c r="W2573" s="5" t="s">
        <v>31383</v>
      </c>
      <c r="X2573" s="5" t="s">
        <v>31383</v>
      </c>
      <c r="Y2573" s="4">
        <v>446</v>
      </c>
      <c r="Z2573" s="4">
        <v>335</v>
      </c>
      <c r="AA2573" s="4">
        <v>354</v>
      </c>
      <c r="AB2573" s="4">
        <v>2</v>
      </c>
      <c r="AC2573" s="4">
        <v>2</v>
      </c>
      <c r="AD2573" s="4">
        <v>16</v>
      </c>
      <c r="AE2573" s="4">
        <v>16</v>
      </c>
      <c r="AF2573" s="4">
        <v>6</v>
      </c>
      <c r="AG2573" s="4">
        <v>6</v>
      </c>
      <c r="AH2573" s="4">
        <v>6</v>
      </c>
      <c r="AI2573" s="4">
        <v>6</v>
      </c>
      <c r="AJ2573" s="4">
        <v>8</v>
      </c>
      <c r="AK2573" s="4">
        <v>8</v>
      </c>
      <c r="AL2573" s="4">
        <v>1</v>
      </c>
      <c r="AM2573" s="4">
        <v>1</v>
      </c>
      <c r="AN2573" s="4">
        <v>0</v>
      </c>
      <c r="AO2573" s="4">
        <v>0</v>
      </c>
      <c r="AP2573" s="3" t="s">
        <v>58</v>
      </c>
      <c r="AQ2573" s="3" t="s">
        <v>68</v>
      </c>
      <c r="AR2573" s="6" t="str">
        <f>HYPERLINK("http://catalog.hathitrust.org/Record/002600621","HathiTrust Record")</f>
        <v>HathiTrust Record</v>
      </c>
      <c r="AS2573" s="6" t="str">
        <f>HYPERLINK("https://creighton-primo.hosted.exlibrisgroup.com/primo-explore/search?tab=default_tab&amp;search_scope=EVERYTHING&amp;vid=01CRU&amp;lang=en_US&amp;offset=0&amp;query=any,contains,991002021179702656","Catalog Record")</f>
        <v>Catalog Record</v>
      </c>
      <c r="AT2573" s="6" t="str">
        <f>HYPERLINK("http://www.worldcat.org/oclc/25710825","WorldCat Record")</f>
        <v>WorldCat Record</v>
      </c>
      <c r="AU2573" s="3" t="s">
        <v>31384</v>
      </c>
      <c r="AV2573" s="3" t="s">
        <v>31385</v>
      </c>
      <c r="AW2573" s="3" t="s">
        <v>31386</v>
      </c>
      <c r="AX2573" s="3" t="s">
        <v>31386</v>
      </c>
      <c r="AY2573" s="3" t="s">
        <v>31387</v>
      </c>
      <c r="AZ2573" s="3" t="s">
        <v>73</v>
      </c>
      <c r="BB2573" s="3" t="s">
        <v>31388</v>
      </c>
      <c r="BC2573" s="3" t="s">
        <v>31389</v>
      </c>
      <c r="BD2573" s="3" t="s">
        <v>31390</v>
      </c>
    </row>
    <row r="2574" spans="1:56" ht="51" customHeight="1" x14ac:dyDescent="0.25">
      <c r="A2574" s="7" t="s">
        <v>58</v>
      </c>
      <c r="B2574" s="2" t="s">
        <v>31391</v>
      </c>
      <c r="C2574" s="2" t="s">
        <v>31392</v>
      </c>
      <c r="D2574" s="2" t="s">
        <v>31393</v>
      </c>
      <c r="F2574" s="3" t="s">
        <v>58</v>
      </c>
      <c r="G2574" s="3" t="s">
        <v>59</v>
      </c>
      <c r="H2574" s="3" t="s">
        <v>58</v>
      </c>
      <c r="I2574" s="3" t="s">
        <v>58</v>
      </c>
      <c r="J2574" s="3" t="s">
        <v>60</v>
      </c>
      <c r="K2574" s="2" t="s">
        <v>31394</v>
      </c>
      <c r="L2574" s="2" t="s">
        <v>22255</v>
      </c>
      <c r="M2574" s="3" t="s">
        <v>1385</v>
      </c>
      <c r="O2574" s="3" t="s">
        <v>63</v>
      </c>
      <c r="P2574" s="3" t="s">
        <v>510</v>
      </c>
      <c r="R2574" s="3" t="s">
        <v>65</v>
      </c>
      <c r="S2574" s="4">
        <v>8</v>
      </c>
      <c r="T2574" s="4">
        <v>8</v>
      </c>
      <c r="U2574" s="5" t="s">
        <v>14763</v>
      </c>
      <c r="V2574" s="5" t="s">
        <v>14763</v>
      </c>
      <c r="W2574" s="5" t="s">
        <v>7948</v>
      </c>
      <c r="X2574" s="5" t="s">
        <v>7948</v>
      </c>
      <c r="Y2574" s="4">
        <v>106</v>
      </c>
      <c r="Z2574" s="4">
        <v>85</v>
      </c>
      <c r="AA2574" s="4">
        <v>355</v>
      </c>
      <c r="AB2574" s="4">
        <v>1</v>
      </c>
      <c r="AC2574" s="4">
        <v>4</v>
      </c>
      <c r="AD2574" s="4">
        <v>3</v>
      </c>
      <c r="AE2574" s="4">
        <v>18</v>
      </c>
      <c r="AF2574" s="4">
        <v>2</v>
      </c>
      <c r="AG2574" s="4">
        <v>7</v>
      </c>
      <c r="AH2574" s="4">
        <v>2</v>
      </c>
      <c r="AI2574" s="4">
        <v>6</v>
      </c>
      <c r="AJ2574" s="4">
        <v>0</v>
      </c>
      <c r="AK2574" s="4">
        <v>9</v>
      </c>
      <c r="AL2574" s="4">
        <v>0</v>
      </c>
      <c r="AM2574" s="4">
        <v>3</v>
      </c>
      <c r="AN2574" s="4">
        <v>0</v>
      </c>
      <c r="AO2574" s="4">
        <v>0</v>
      </c>
      <c r="AP2574" s="3" t="s">
        <v>58</v>
      </c>
      <c r="AQ2574" s="3" t="s">
        <v>68</v>
      </c>
      <c r="AR2574" s="6" t="str">
        <f>HYPERLINK("http://catalog.hathitrust.org/Record/004383118","HathiTrust Record")</f>
        <v>HathiTrust Record</v>
      </c>
      <c r="AS2574" s="6" t="str">
        <f>HYPERLINK("https://creighton-primo.hosted.exlibrisgroup.com/primo-explore/search?tab=default_tab&amp;search_scope=EVERYTHING&amp;vid=01CRU&amp;lang=en_US&amp;offset=0&amp;query=any,contains,991003501049702656","Catalog Record")</f>
        <v>Catalog Record</v>
      </c>
      <c r="AT2574" s="6" t="str">
        <f>HYPERLINK("http://www.worldcat.org/oclc/1053987","WorldCat Record")</f>
        <v>WorldCat Record</v>
      </c>
      <c r="AU2574" s="3" t="s">
        <v>31395</v>
      </c>
      <c r="AV2574" s="3" t="s">
        <v>31396</v>
      </c>
      <c r="AW2574" s="3" t="s">
        <v>31397</v>
      </c>
      <c r="AX2574" s="3" t="s">
        <v>31397</v>
      </c>
      <c r="AY2574" s="3" t="s">
        <v>31398</v>
      </c>
      <c r="AZ2574" s="3" t="s">
        <v>73</v>
      </c>
      <c r="BB2574" s="3" t="s">
        <v>31399</v>
      </c>
      <c r="BC2574" s="3" t="s">
        <v>31400</v>
      </c>
      <c r="BD2574" s="3" t="s">
        <v>31401</v>
      </c>
    </row>
    <row r="2575" spans="1:56" ht="51" customHeight="1" x14ac:dyDescent="0.25">
      <c r="A2575" s="7" t="s">
        <v>58</v>
      </c>
      <c r="B2575" s="2" t="s">
        <v>31402</v>
      </c>
      <c r="C2575" s="2" t="s">
        <v>31403</v>
      </c>
      <c r="D2575" s="2" t="s">
        <v>31404</v>
      </c>
      <c r="F2575" s="3" t="s">
        <v>58</v>
      </c>
      <c r="G2575" s="3" t="s">
        <v>59</v>
      </c>
      <c r="H2575" s="3" t="s">
        <v>58</v>
      </c>
      <c r="I2575" s="3" t="s">
        <v>58</v>
      </c>
      <c r="J2575" s="3" t="s">
        <v>60</v>
      </c>
      <c r="K2575" s="2" t="s">
        <v>25137</v>
      </c>
      <c r="L2575" s="2" t="s">
        <v>31405</v>
      </c>
      <c r="M2575" s="3" t="s">
        <v>196</v>
      </c>
      <c r="O2575" s="3" t="s">
        <v>63</v>
      </c>
      <c r="P2575" s="3" t="s">
        <v>584</v>
      </c>
      <c r="Q2575" s="2" t="s">
        <v>25139</v>
      </c>
      <c r="R2575" s="3" t="s">
        <v>65</v>
      </c>
      <c r="S2575" s="4">
        <v>15</v>
      </c>
      <c r="T2575" s="4">
        <v>15</v>
      </c>
      <c r="U2575" s="5" t="s">
        <v>10079</v>
      </c>
      <c r="V2575" s="5" t="s">
        <v>10079</v>
      </c>
      <c r="W2575" s="5" t="s">
        <v>31406</v>
      </c>
      <c r="X2575" s="5" t="s">
        <v>31406</v>
      </c>
      <c r="Y2575" s="4">
        <v>390</v>
      </c>
      <c r="Z2575" s="4">
        <v>210</v>
      </c>
      <c r="AA2575" s="4">
        <v>217</v>
      </c>
      <c r="AB2575" s="4">
        <v>2</v>
      </c>
      <c r="AC2575" s="4">
        <v>2</v>
      </c>
      <c r="AD2575" s="4">
        <v>13</v>
      </c>
      <c r="AE2575" s="4">
        <v>13</v>
      </c>
      <c r="AF2575" s="4">
        <v>4</v>
      </c>
      <c r="AG2575" s="4">
        <v>4</v>
      </c>
      <c r="AH2575" s="4">
        <v>5</v>
      </c>
      <c r="AI2575" s="4">
        <v>5</v>
      </c>
      <c r="AJ2575" s="4">
        <v>8</v>
      </c>
      <c r="AK2575" s="4">
        <v>8</v>
      </c>
      <c r="AL2575" s="4">
        <v>1</v>
      </c>
      <c r="AM2575" s="4">
        <v>1</v>
      </c>
      <c r="AN2575" s="4">
        <v>0</v>
      </c>
      <c r="AO2575" s="4">
        <v>0</v>
      </c>
      <c r="AP2575" s="3" t="s">
        <v>58</v>
      </c>
      <c r="AQ2575" s="3" t="s">
        <v>58</v>
      </c>
      <c r="AS2575" s="6" t="str">
        <f>HYPERLINK("https://creighton-primo.hosted.exlibrisgroup.com/primo-explore/search?tab=default_tab&amp;search_scope=EVERYTHING&amp;vid=01CRU&amp;lang=en_US&amp;offset=0&amp;query=any,contains,991005423439702656","Catalog Record")</f>
        <v>Catalog Record</v>
      </c>
      <c r="AT2575" s="6" t="str">
        <f>HYPERLINK("http://www.worldcat.org/oclc/34409770","WorldCat Record")</f>
        <v>WorldCat Record</v>
      </c>
      <c r="AU2575" s="3" t="s">
        <v>31407</v>
      </c>
      <c r="AV2575" s="3" t="s">
        <v>31408</v>
      </c>
      <c r="AW2575" s="3" t="s">
        <v>31409</v>
      </c>
      <c r="AX2575" s="3" t="s">
        <v>31409</v>
      </c>
      <c r="AY2575" s="3" t="s">
        <v>31410</v>
      </c>
      <c r="AZ2575" s="3" t="s">
        <v>73</v>
      </c>
      <c r="BB2575" s="3" t="s">
        <v>31411</v>
      </c>
      <c r="BC2575" s="3" t="s">
        <v>31412</v>
      </c>
      <c r="BD2575" s="3" t="s">
        <v>31413</v>
      </c>
    </row>
    <row r="2576" spans="1:56" ht="51" customHeight="1" x14ac:dyDescent="0.25">
      <c r="A2576" s="7" t="s">
        <v>58</v>
      </c>
      <c r="B2576" s="2" t="s">
        <v>31414</v>
      </c>
      <c r="C2576" s="2" t="s">
        <v>31415</v>
      </c>
      <c r="D2576" s="2" t="s">
        <v>31416</v>
      </c>
      <c r="F2576" s="3" t="s">
        <v>58</v>
      </c>
      <c r="G2576" s="3" t="s">
        <v>59</v>
      </c>
      <c r="H2576" s="3" t="s">
        <v>58</v>
      </c>
      <c r="I2576" s="3" t="s">
        <v>58</v>
      </c>
      <c r="J2576" s="3" t="s">
        <v>60</v>
      </c>
      <c r="K2576" s="2" t="s">
        <v>31417</v>
      </c>
      <c r="L2576" s="2" t="s">
        <v>31418</v>
      </c>
      <c r="M2576" s="3" t="s">
        <v>337</v>
      </c>
      <c r="O2576" s="3" t="s">
        <v>63</v>
      </c>
      <c r="P2576" s="3" t="s">
        <v>2630</v>
      </c>
      <c r="R2576" s="3" t="s">
        <v>65</v>
      </c>
      <c r="S2576" s="4">
        <v>14</v>
      </c>
      <c r="T2576" s="4">
        <v>14</v>
      </c>
      <c r="U2576" s="5" t="s">
        <v>4024</v>
      </c>
      <c r="V2576" s="5" t="s">
        <v>4024</v>
      </c>
      <c r="W2576" s="5" t="s">
        <v>5265</v>
      </c>
      <c r="X2576" s="5" t="s">
        <v>5265</v>
      </c>
      <c r="Y2576" s="4">
        <v>414</v>
      </c>
      <c r="Z2576" s="4">
        <v>354</v>
      </c>
      <c r="AA2576" s="4">
        <v>377</v>
      </c>
      <c r="AB2576" s="4">
        <v>1</v>
      </c>
      <c r="AC2576" s="4">
        <v>1</v>
      </c>
      <c r="AD2576" s="4">
        <v>19</v>
      </c>
      <c r="AE2576" s="4">
        <v>20</v>
      </c>
      <c r="AF2576" s="4">
        <v>9</v>
      </c>
      <c r="AG2576" s="4">
        <v>9</v>
      </c>
      <c r="AH2576" s="4">
        <v>7</v>
      </c>
      <c r="AI2576" s="4">
        <v>8</v>
      </c>
      <c r="AJ2576" s="4">
        <v>8</v>
      </c>
      <c r="AK2576" s="4">
        <v>9</v>
      </c>
      <c r="AL2576" s="4">
        <v>0</v>
      </c>
      <c r="AM2576" s="4">
        <v>0</v>
      </c>
      <c r="AN2576" s="4">
        <v>0</v>
      </c>
      <c r="AO2576" s="4">
        <v>0</v>
      </c>
      <c r="AP2576" s="3" t="s">
        <v>58</v>
      </c>
      <c r="AQ2576" s="3" t="s">
        <v>58</v>
      </c>
      <c r="AS2576" s="6" t="str">
        <f>HYPERLINK("https://creighton-primo.hosted.exlibrisgroup.com/primo-explore/search?tab=default_tab&amp;search_scope=EVERYTHING&amp;vid=01CRU&amp;lang=en_US&amp;offset=0&amp;query=any,contains,991004010199702656","Catalog Record")</f>
        <v>Catalog Record</v>
      </c>
      <c r="AT2576" s="6" t="str">
        <f>HYPERLINK("http://www.worldcat.org/oclc/48987605","WorldCat Record")</f>
        <v>WorldCat Record</v>
      </c>
      <c r="AU2576" s="3" t="s">
        <v>31419</v>
      </c>
      <c r="AV2576" s="3" t="s">
        <v>31420</v>
      </c>
      <c r="AW2576" s="3" t="s">
        <v>31421</v>
      </c>
      <c r="AX2576" s="3" t="s">
        <v>31421</v>
      </c>
      <c r="AY2576" s="3" t="s">
        <v>31422</v>
      </c>
      <c r="AZ2576" s="3" t="s">
        <v>73</v>
      </c>
      <c r="BB2576" s="3" t="s">
        <v>31423</v>
      </c>
      <c r="BC2576" s="3" t="s">
        <v>31424</v>
      </c>
      <c r="BD2576" s="3" t="s">
        <v>31425</v>
      </c>
    </row>
    <row r="2577" spans="1:56" ht="51" customHeight="1" x14ac:dyDescent="0.25">
      <c r="A2577" s="7" t="s">
        <v>58</v>
      </c>
      <c r="B2577" s="2" t="s">
        <v>31426</v>
      </c>
      <c r="C2577" s="2" t="s">
        <v>31427</v>
      </c>
      <c r="D2577" s="2" t="s">
        <v>31428</v>
      </c>
      <c r="F2577" s="3" t="s">
        <v>58</v>
      </c>
      <c r="G2577" s="3" t="s">
        <v>59</v>
      </c>
      <c r="H2577" s="3" t="s">
        <v>58</v>
      </c>
      <c r="I2577" s="3" t="s">
        <v>58</v>
      </c>
      <c r="J2577" s="3" t="s">
        <v>60</v>
      </c>
      <c r="K2577" s="2" t="s">
        <v>31429</v>
      </c>
      <c r="L2577" s="2" t="s">
        <v>31430</v>
      </c>
      <c r="M2577" s="3" t="s">
        <v>423</v>
      </c>
      <c r="N2577" s="2" t="s">
        <v>3417</v>
      </c>
      <c r="O2577" s="3" t="s">
        <v>63</v>
      </c>
      <c r="P2577" s="3" t="s">
        <v>214</v>
      </c>
      <c r="R2577" s="3" t="s">
        <v>65</v>
      </c>
      <c r="S2577" s="4">
        <v>3</v>
      </c>
      <c r="T2577" s="4">
        <v>3</v>
      </c>
      <c r="U2577" s="5" t="s">
        <v>5527</v>
      </c>
      <c r="V2577" s="5" t="s">
        <v>5527</v>
      </c>
      <c r="W2577" s="5" t="s">
        <v>4339</v>
      </c>
      <c r="X2577" s="5" t="s">
        <v>4339</v>
      </c>
      <c r="Y2577" s="4">
        <v>438</v>
      </c>
      <c r="Z2577" s="4">
        <v>299</v>
      </c>
      <c r="AA2577" s="4">
        <v>304</v>
      </c>
      <c r="AB2577" s="4">
        <v>3</v>
      </c>
      <c r="AC2577" s="4">
        <v>3</v>
      </c>
      <c r="AD2577" s="4">
        <v>18</v>
      </c>
      <c r="AE2577" s="4">
        <v>18</v>
      </c>
      <c r="AF2577" s="4">
        <v>7</v>
      </c>
      <c r="AG2577" s="4">
        <v>7</v>
      </c>
      <c r="AH2577" s="4">
        <v>4</v>
      </c>
      <c r="AI2577" s="4">
        <v>4</v>
      </c>
      <c r="AJ2577" s="4">
        <v>10</v>
      </c>
      <c r="AK2577" s="4">
        <v>10</v>
      </c>
      <c r="AL2577" s="4">
        <v>2</v>
      </c>
      <c r="AM2577" s="4">
        <v>2</v>
      </c>
      <c r="AN2577" s="4">
        <v>0</v>
      </c>
      <c r="AO2577" s="4">
        <v>0</v>
      </c>
      <c r="AP2577" s="3" t="s">
        <v>58</v>
      </c>
      <c r="AQ2577" s="3" t="s">
        <v>58</v>
      </c>
      <c r="AS2577" s="6" t="str">
        <f>HYPERLINK("https://creighton-primo.hosted.exlibrisgroup.com/primo-explore/search?tab=default_tab&amp;search_scope=EVERYTHING&amp;vid=01CRU&amp;lang=en_US&amp;offset=0&amp;query=any,contains,991002963189702656","Catalog Record")</f>
        <v>Catalog Record</v>
      </c>
      <c r="AT2577" s="6" t="str">
        <f>HYPERLINK("http://www.worldcat.org/oclc/39640055","WorldCat Record")</f>
        <v>WorldCat Record</v>
      </c>
      <c r="AU2577" s="3" t="s">
        <v>31431</v>
      </c>
      <c r="AV2577" s="3" t="s">
        <v>31432</v>
      </c>
      <c r="AW2577" s="3" t="s">
        <v>31433</v>
      </c>
      <c r="AX2577" s="3" t="s">
        <v>31433</v>
      </c>
      <c r="AY2577" s="3" t="s">
        <v>31434</v>
      </c>
      <c r="AZ2577" s="3" t="s">
        <v>73</v>
      </c>
      <c r="BB2577" s="3" t="s">
        <v>31435</v>
      </c>
      <c r="BC2577" s="3" t="s">
        <v>31436</v>
      </c>
      <c r="BD2577" s="3" t="s">
        <v>31437</v>
      </c>
    </row>
    <row r="2578" spans="1:56" ht="51" customHeight="1" x14ac:dyDescent="0.25">
      <c r="A2578" s="7" t="s">
        <v>58</v>
      </c>
      <c r="B2578" s="2" t="s">
        <v>31438</v>
      </c>
      <c r="C2578" s="2" t="s">
        <v>31439</v>
      </c>
      <c r="D2578" s="2" t="s">
        <v>31440</v>
      </c>
      <c r="E2578" s="3" t="s">
        <v>223</v>
      </c>
      <c r="F2578" s="3" t="s">
        <v>58</v>
      </c>
      <c r="G2578" s="3" t="s">
        <v>59</v>
      </c>
      <c r="H2578" s="3" t="s">
        <v>58</v>
      </c>
      <c r="I2578" s="3" t="s">
        <v>58</v>
      </c>
      <c r="J2578" s="3" t="s">
        <v>60</v>
      </c>
      <c r="L2578" s="2" t="s">
        <v>31441</v>
      </c>
      <c r="M2578" s="3" t="s">
        <v>423</v>
      </c>
      <c r="O2578" s="3" t="s">
        <v>63</v>
      </c>
      <c r="P2578" s="3" t="s">
        <v>214</v>
      </c>
      <c r="Q2578" s="2" t="s">
        <v>31442</v>
      </c>
      <c r="R2578" s="3" t="s">
        <v>65</v>
      </c>
      <c r="S2578" s="4">
        <v>7</v>
      </c>
      <c r="T2578" s="4">
        <v>7</v>
      </c>
      <c r="U2578" s="5" t="s">
        <v>5527</v>
      </c>
      <c r="V2578" s="5" t="s">
        <v>5527</v>
      </c>
      <c r="W2578" s="5" t="s">
        <v>31013</v>
      </c>
      <c r="X2578" s="5" t="s">
        <v>31013</v>
      </c>
      <c r="Y2578" s="4">
        <v>180</v>
      </c>
      <c r="Z2578" s="4">
        <v>135</v>
      </c>
      <c r="AA2578" s="4">
        <v>143</v>
      </c>
      <c r="AB2578" s="4">
        <v>2</v>
      </c>
      <c r="AC2578" s="4">
        <v>2</v>
      </c>
      <c r="AD2578" s="4">
        <v>10</v>
      </c>
      <c r="AE2578" s="4">
        <v>10</v>
      </c>
      <c r="AF2578" s="4">
        <v>3</v>
      </c>
      <c r="AG2578" s="4">
        <v>3</v>
      </c>
      <c r="AH2578" s="4">
        <v>3</v>
      </c>
      <c r="AI2578" s="4">
        <v>3</v>
      </c>
      <c r="AJ2578" s="4">
        <v>8</v>
      </c>
      <c r="AK2578" s="4">
        <v>8</v>
      </c>
      <c r="AL2578" s="4">
        <v>1</v>
      </c>
      <c r="AM2578" s="4">
        <v>1</v>
      </c>
      <c r="AN2578" s="4">
        <v>0</v>
      </c>
      <c r="AO2578" s="4">
        <v>0</v>
      </c>
      <c r="AP2578" s="3" t="s">
        <v>58</v>
      </c>
      <c r="AQ2578" s="3" t="s">
        <v>58</v>
      </c>
      <c r="AS2578" s="6" t="str">
        <f>HYPERLINK("https://creighton-primo.hosted.exlibrisgroup.com/primo-explore/search?tab=default_tab&amp;search_scope=EVERYTHING&amp;vid=01CRU&amp;lang=en_US&amp;offset=0&amp;query=any,contains,991002989419702656","Catalog Record")</f>
        <v>Catalog Record</v>
      </c>
      <c r="AT2578" s="6" t="str">
        <f>HYPERLINK("http://www.worldcat.org/oclc/40339989","WorldCat Record")</f>
        <v>WorldCat Record</v>
      </c>
      <c r="AU2578" s="3" t="s">
        <v>31443</v>
      </c>
      <c r="AV2578" s="3" t="s">
        <v>31444</v>
      </c>
      <c r="AW2578" s="3" t="s">
        <v>31445</v>
      </c>
      <c r="AX2578" s="3" t="s">
        <v>31445</v>
      </c>
      <c r="AY2578" s="3" t="s">
        <v>31446</v>
      </c>
      <c r="AZ2578" s="3" t="s">
        <v>73</v>
      </c>
      <c r="BB2578" s="3" t="s">
        <v>31447</v>
      </c>
      <c r="BC2578" s="3" t="s">
        <v>31448</v>
      </c>
      <c r="BD2578" s="3" t="s">
        <v>31449</v>
      </c>
    </row>
    <row r="2579" spans="1:56" ht="51" customHeight="1" x14ac:dyDescent="0.25">
      <c r="A2579" s="7" t="s">
        <v>58</v>
      </c>
      <c r="B2579" s="2" t="s">
        <v>31450</v>
      </c>
      <c r="C2579" s="2" t="s">
        <v>31451</v>
      </c>
      <c r="D2579" s="2" t="s">
        <v>31452</v>
      </c>
      <c r="E2579" s="3" t="s">
        <v>210</v>
      </c>
      <c r="F2579" s="3" t="s">
        <v>58</v>
      </c>
      <c r="G2579" s="3" t="s">
        <v>59</v>
      </c>
      <c r="H2579" s="3" t="s">
        <v>58</v>
      </c>
      <c r="I2579" s="3" t="s">
        <v>58</v>
      </c>
      <c r="J2579" s="3" t="s">
        <v>60</v>
      </c>
      <c r="L2579" s="2" t="s">
        <v>31453</v>
      </c>
      <c r="M2579" s="3" t="s">
        <v>423</v>
      </c>
      <c r="O2579" s="3" t="s">
        <v>63</v>
      </c>
      <c r="P2579" s="3" t="s">
        <v>510</v>
      </c>
      <c r="Q2579" s="2" t="s">
        <v>31454</v>
      </c>
      <c r="R2579" s="3" t="s">
        <v>65</v>
      </c>
      <c r="S2579" s="4">
        <v>4</v>
      </c>
      <c r="T2579" s="4">
        <v>4</v>
      </c>
      <c r="U2579" s="5" t="s">
        <v>31455</v>
      </c>
      <c r="V2579" s="5" t="s">
        <v>31455</v>
      </c>
      <c r="W2579" s="5" t="s">
        <v>31013</v>
      </c>
      <c r="X2579" s="5" t="s">
        <v>31013</v>
      </c>
      <c r="Y2579" s="4">
        <v>177</v>
      </c>
      <c r="Z2579" s="4">
        <v>138</v>
      </c>
      <c r="AA2579" s="4">
        <v>138</v>
      </c>
      <c r="AB2579" s="4">
        <v>2</v>
      </c>
      <c r="AC2579" s="4">
        <v>2</v>
      </c>
      <c r="AD2579" s="4">
        <v>10</v>
      </c>
      <c r="AE2579" s="4">
        <v>10</v>
      </c>
      <c r="AF2579" s="4">
        <v>4</v>
      </c>
      <c r="AG2579" s="4">
        <v>4</v>
      </c>
      <c r="AH2579" s="4">
        <v>3</v>
      </c>
      <c r="AI2579" s="4">
        <v>3</v>
      </c>
      <c r="AJ2579" s="4">
        <v>8</v>
      </c>
      <c r="AK2579" s="4">
        <v>8</v>
      </c>
      <c r="AL2579" s="4">
        <v>1</v>
      </c>
      <c r="AM2579" s="4">
        <v>1</v>
      </c>
      <c r="AN2579" s="4">
        <v>0</v>
      </c>
      <c r="AO2579" s="4">
        <v>0</v>
      </c>
      <c r="AP2579" s="3" t="s">
        <v>58</v>
      </c>
      <c r="AQ2579" s="3" t="s">
        <v>58</v>
      </c>
      <c r="AS2579" s="6" t="str">
        <f>HYPERLINK("https://creighton-primo.hosted.exlibrisgroup.com/primo-explore/search?tab=default_tab&amp;search_scope=EVERYTHING&amp;vid=01CRU&amp;lang=en_US&amp;offset=0&amp;query=any,contains,991002990239702656","Catalog Record")</f>
        <v>Catalog Record</v>
      </c>
      <c r="AT2579" s="6" t="str">
        <f>HYPERLINK("http://www.worldcat.org/oclc/40354621","WorldCat Record")</f>
        <v>WorldCat Record</v>
      </c>
      <c r="AU2579" s="3" t="s">
        <v>31456</v>
      </c>
      <c r="AV2579" s="3" t="s">
        <v>31457</v>
      </c>
      <c r="AW2579" s="3" t="s">
        <v>31458</v>
      </c>
      <c r="AX2579" s="3" t="s">
        <v>31458</v>
      </c>
      <c r="AY2579" s="3" t="s">
        <v>31459</v>
      </c>
      <c r="AZ2579" s="3" t="s">
        <v>73</v>
      </c>
      <c r="BB2579" s="3" t="s">
        <v>31460</v>
      </c>
      <c r="BC2579" s="3" t="s">
        <v>31461</v>
      </c>
      <c r="BD2579" s="3" t="s">
        <v>31462</v>
      </c>
    </row>
    <row r="2580" spans="1:56" ht="51" customHeight="1" x14ac:dyDescent="0.25">
      <c r="A2580" s="7" t="s">
        <v>58</v>
      </c>
      <c r="B2580" s="2" t="s">
        <v>31463</v>
      </c>
      <c r="C2580" s="2" t="s">
        <v>31464</v>
      </c>
      <c r="D2580" s="2" t="s">
        <v>31465</v>
      </c>
      <c r="E2580" s="3" t="s">
        <v>279</v>
      </c>
      <c r="F2580" s="3" t="s">
        <v>58</v>
      </c>
      <c r="G2580" s="3" t="s">
        <v>59</v>
      </c>
      <c r="H2580" s="3" t="s">
        <v>58</v>
      </c>
      <c r="I2580" s="3" t="s">
        <v>58</v>
      </c>
      <c r="J2580" s="3" t="s">
        <v>60</v>
      </c>
      <c r="L2580" s="2" t="s">
        <v>24820</v>
      </c>
      <c r="M2580" s="3" t="s">
        <v>423</v>
      </c>
      <c r="O2580" s="3" t="s">
        <v>63</v>
      </c>
      <c r="P2580" s="3" t="s">
        <v>214</v>
      </c>
      <c r="Q2580" s="2" t="s">
        <v>31466</v>
      </c>
      <c r="R2580" s="3" t="s">
        <v>65</v>
      </c>
      <c r="S2580" s="4">
        <v>2</v>
      </c>
      <c r="T2580" s="4">
        <v>2</v>
      </c>
      <c r="U2580" s="5" t="s">
        <v>31467</v>
      </c>
      <c r="V2580" s="5" t="s">
        <v>31467</v>
      </c>
      <c r="W2580" s="5" t="s">
        <v>31013</v>
      </c>
      <c r="X2580" s="5" t="s">
        <v>31013</v>
      </c>
      <c r="Y2580" s="4">
        <v>192</v>
      </c>
      <c r="Z2580" s="4">
        <v>152</v>
      </c>
      <c r="AA2580" s="4">
        <v>175</v>
      </c>
      <c r="AB2580" s="4">
        <v>3</v>
      </c>
      <c r="AC2580" s="4">
        <v>3</v>
      </c>
      <c r="AD2580" s="4">
        <v>11</v>
      </c>
      <c r="AE2580" s="4">
        <v>11</v>
      </c>
      <c r="AF2580" s="4">
        <v>3</v>
      </c>
      <c r="AG2580" s="4">
        <v>3</v>
      </c>
      <c r="AH2580" s="4">
        <v>2</v>
      </c>
      <c r="AI2580" s="4">
        <v>2</v>
      </c>
      <c r="AJ2580" s="4">
        <v>8</v>
      </c>
      <c r="AK2580" s="4">
        <v>8</v>
      </c>
      <c r="AL2580" s="4">
        <v>2</v>
      </c>
      <c r="AM2580" s="4">
        <v>2</v>
      </c>
      <c r="AN2580" s="4">
        <v>0</v>
      </c>
      <c r="AO2580" s="4">
        <v>0</v>
      </c>
      <c r="AP2580" s="3" t="s">
        <v>58</v>
      </c>
      <c r="AQ2580" s="3" t="s">
        <v>58</v>
      </c>
      <c r="AS2580" s="6" t="str">
        <f>HYPERLINK("https://creighton-primo.hosted.exlibrisgroup.com/primo-explore/search?tab=default_tab&amp;search_scope=EVERYTHING&amp;vid=01CRU&amp;lang=en_US&amp;offset=0&amp;query=any,contains,991002991449702656","Catalog Record")</f>
        <v>Catalog Record</v>
      </c>
      <c r="AT2580" s="6" t="str">
        <f>HYPERLINK("http://www.worldcat.org/oclc/40396524","WorldCat Record")</f>
        <v>WorldCat Record</v>
      </c>
      <c r="AU2580" s="3" t="s">
        <v>31468</v>
      </c>
      <c r="AV2580" s="3" t="s">
        <v>31469</v>
      </c>
      <c r="AW2580" s="3" t="s">
        <v>31470</v>
      </c>
      <c r="AX2580" s="3" t="s">
        <v>31470</v>
      </c>
      <c r="AY2580" s="3" t="s">
        <v>31471</v>
      </c>
      <c r="AZ2580" s="3" t="s">
        <v>73</v>
      </c>
      <c r="BB2580" s="3" t="s">
        <v>31472</v>
      </c>
      <c r="BC2580" s="3" t="s">
        <v>31473</v>
      </c>
      <c r="BD2580" s="3" t="s">
        <v>31474</v>
      </c>
    </row>
    <row r="2581" spans="1:56" ht="51" customHeight="1" x14ac:dyDescent="0.25">
      <c r="A2581" s="7" t="s">
        <v>58</v>
      </c>
      <c r="B2581" s="2" t="s">
        <v>31475</v>
      </c>
      <c r="C2581" s="2" t="s">
        <v>31476</v>
      </c>
      <c r="D2581" s="2" t="s">
        <v>31477</v>
      </c>
      <c r="E2581" s="3" t="s">
        <v>297</v>
      </c>
      <c r="F2581" s="3" t="s">
        <v>58</v>
      </c>
      <c r="G2581" s="3" t="s">
        <v>59</v>
      </c>
      <c r="H2581" s="3" t="s">
        <v>58</v>
      </c>
      <c r="I2581" s="3" t="s">
        <v>58</v>
      </c>
      <c r="J2581" s="3" t="s">
        <v>60</v>
      </c>
      <c r="L2581" s="2" t="s">
        <v>31453</v>
      </c>
      <c r="M2581" s="3" t="s">
        <v>423</v>
      </c>
      <c r="O2581" s="3" t="s">
        <v>63</v>
      </c>
      <c r="P2581" s="3" t="s">
        <v>214</v>
      </c>
      <c r="Q2581" s="2" t="s">
        <v>31478</v>
      </c>
      <c r="R2581" s="3" t="s">
        <v>65</v>
      </c>
      <c r="S2581" s="4">
        <v>3</v>
      </c>
      <c r="T2581" s="4">
        <v>3</v>
      </c>
      <c r="U2581" s="5" t="s">
        <v>31479</v>
      </c>
      <c r="V2581" s="5" t="s">
        <v>31479</v>
      </c>
      <c r="W2581" s="5" t="s">
        <v>31013</v>
      </c>
      <c r="X2581" s="5" t="s">
        <v>31013</v>
      </c>
      <c r="Y2581" s="4">
        <v>197</v>
      </c>
      <c r="Z2581" s="4">
        <v>157</v>
      </c>
      <c r="AA2581" s="4">
        <v>157</v>
      </c>
      <c r="AB2581" s="4">
        <v>2</v>
      </c>
      <c r="AC2581" s="4">
        <v>2</v>
      </c>
      <c r="AD2581" s="4">
        <v>9</v>
      </c>
      <c r="AE2581" s="4">
        <v>9</v>
      </c>
      <c r="AF2581" s="4">
        <v>2</v>
      </c>
      <c r="AG2581" s="4">
        <v>2</v>
      </c>
      <c r="AH2581" s="4">
        <v>2</v>
      </c>
      <c r="AI2581" s="4">
        <v>2</v>
      </c>
      <c r="AJ2581" s="4">
        <v>7</v>
      </c>
      <c r="AK2581" s="4">
        <v>7</v>
      </c>
      <c r="AL2581" s="4">
        <v>1</v>
      </c>
      <c r="AM2581" s="4">
        <v>1</v>
      </c>
      <c r="AN2581" s="4">
        <v>1</v>
      </c>
      <c r="AO2581" s="4">
        <v>1</v>
      </c>
      <c r="AP2581" s="3" t="s">
        <v>58</v>
      </c>
      <c r="AQ2581" s="3" t="s">
        <v>58</v>
      </c>
      <c r="AS2581" s="6" t="str">
        <f>HYPERLINK("https://creighton-primo.hosted.exlibrisgroup.com/primo-explore/search?tab=default_tab&amp;search_scope=EVERYTHING&amp;vid=01CRU&amp;lang=en_US&amp;offset=0&amp;query=any,contains,991002991669702656","Catalog Record")</f>
        <v>Catalog Record</v>
      </c>
      <c r="AT2581" s="6" t="str">
        <f>HYPERLINK("http://www.worldcat.org/oclc/40397841","WorldCat Record")</f>
        <v>WorldCat Record</v>
      </c>
      <c r="AU2581" s="3" t="s">
        <v>31480</v>
      </c>
      <c r="AV2581" s="3" t="s">
        <v>31481</v>
      </c>
      <c r="AW2581" s="3" t="s">
        <v>31482</v>
      </c>
      <c r="AX2581" s="3" t="s">
        <v>31482</v>
      </c>
      <c r="AY2581" s="3" t="s">
        <v>31483</v>
      </c>
      <c r="AZ2581" s="3" t="s">
        <v>73</v>
      </c>
      <c r="BB2581" s="3" t="s">
        <v>31484</v>
      </c>
      <c r="BC2581" s="3" t="s">
        <v>31485</v>
      </c>
      <c r="BD2581" s="3" t="s">
        <v>31486</v>
      </c>
    </row>
    <row r="2582" spans="1:56" ht="51" customHeight="1" x14ac:dyDescent="0.25">
      <c r="A2582" s="7" t="s">
        <v>58</v>
      </c>
      <c r="B2582" s="2" t="s">
        <v>31487</v>
      </c>
      <c r="C2582" s="2" t="s">
        <v>31488</v>
      </c>
      <c r="D2582" s="2" t="s">
        <v>31489</v>
      </c>
      <c r="E2582" s="3" t="s">
        <v>317</v>
      </c>
      <c r="F2582" s="3" t="s">
        <v>58</v>
      </c>
      <c r="G2582" s="3" t="s">
        <v>59</v>
      </c>
      <c r="H2582" s="3" t="s">
        <v>58</v>
      </c>
      <c r="I2582" s="3" t="s">
        <v>58</v>
      </c>
      <c r="J2582" s="3" t="s">
        <v>60</v>
      </c>
      <c r="L2582" s="2" t="s">
        <v>31453</v>
      </c>
      <c r="M2582" s="3" t="s">
        <v>423</v>
      </c>
      <c r="O2582" s="3" t="s">
        <v>63</v>
      </c>
      <c r="P2582" s="3" t="s">
        <v>214</v>
      </c>
      <c r="Q2582" s="2" t="s">
        <v>31490</v>
      </c>
      <c r="R2582" s="3" t="s">
        <v>65</v>
      </c>
      <c r="S2582" s="4">
        <v>22</v>
      </c>
      <c r="T2582" s="4">
        <v>22</v>
      </c>
      <c r="U2582" s="5" t="s">
        <v>4024</v>
      </c>
      <c r="V2582" s="5" t="s">
        <v>4024</v>
      </c>
      <c r="W2582" s="5" t="s">
        <v>31013</v>
      </c>
      <c r="X2582" s="5" t="s">
        <v>31013</v>
      </c>
      <c r="Y2582" s="4">
        <v>168</v>
      </c>
      <c r="Z2582" s="4">
        <v>122</v>
      </c>
      <c r="AA2582" s="4">
        <v>131</v>
      </c>
      <c r="AB2582" s="4">
        <v>2</v>
      </c>
      <c r="AC2582" s="4">
        <v>2</v>
      </c>
      <c r="AD2582" s="4">
        <v>9</v>
      </c>
      <c r="AE2582" s="4">
        <v>9</v>
      </c>
      <c r="AF2582" s="4">
        <v>3</v>
      </c>
      <c r="AG2582" s="4">
        <v>3</v>
      </c>
      <c r="AH2582" s="4">
        <v>3</v>
      </c>
      <c r="AI2582" s="4">
        <v>3</v>
      </c>
      <c r="AJ2582" s="4">
        <v>7</v>
      </c>
      <c r="AK2582" s="4">
        <v>7</v>
      </c>
      <c r="AL2582" s="4">
        <v>1</v>
      </c>
      <c r="AM2582" s="4">
        <v>1</v>
      </c>
      <c r="AN2582" s="4">
        <v>0</v>
      </c>
      <c r="AO2582" s="4">
        <v>0</v>
      </c>
      <c r="AP2582" s="3" t="s">
        <v>58</v>
      </c>
      <c r="AQ2582" s="3" t="s">
        <v>58</v>
      </c>
      <c r="AS2582" s="6" t="str">
        <f>HYPERLINK("https://creighton-primo.hosted.exlibrisgroup.com/primo-explore/search?tab=default_tab&amp;search_scope=EVERYTHING&amp;vid=01CRU&amp;lang=en_US&amp;offset=0&amp;query=any,contains,991005429789702656","Catalog Record")</f>
        <v>Catalog Record</v>
      </c>
      <c r="AT2582" s="6" t="str">
        <f>HYPERLINK("http://www.worldcat.org/oclc/40444028","WorldCat Record")</f>
        <v>WorldCat Record</v>
      </c>
      <c r="AU2582" s="3" t="s">
        <v>31491</v>
      </c>
      <c r="AV2582" s="3" t="s">
        <v>31492</v>
      </c>
      <c r="AW2582" s="3" t="s">
        <v>31493</v>
      </c>
      <c r="AX2582" s="3" t="s">
        <v>31493</v>
      </c>
      <c r="AY2582" s="3" t="s">
        <v>31494</v>
      </c>
      <c r="AZ2582" s="3" t="s">
        <v>73</v>
      </c>
      <c r="BB2582" s="3" t="s">
        <v>31495</v>
      </c>
      <c r="BC2582" s="3" t="s">
        <v>31496</v>
      </c>
      <c r="BD2582" s="3" t="s">
        <v>31497</v>
      </c>
    </row>
    <row r="2583" spans="1:56" ht="51" customHeight="1" x14ac:dyDescent="0.25">
      <c r="A2583" s="7" t="s">
        <v>58</v>
      </c>
      <c r="B2583" s="2" t="s">
        <v>31498</v>
      </c>
      <c r="C2583" s="2" t="s">
        <v>31499</v>
      </c>
      <c r="D2583" s="2" t="s">
        <v>31500</v>
      </c>
      <c r="F2583" s="3" t="s">
        <v>58</v>
      </c>
      <c r="G2583" s="3" t="s">
        <v>59</v>
      </c>
      <c r="H2583" s="3" t="s">
        <v>58</v>
      </c>
      <c r="I2583" s="3" t="s">
        <v>58</v>
      </c>
      <c r="J2583" s="3" t="s">
        <v>60</v>
      </c>
      <c r="K2583" s="2" t="s">
        <v>31501</v>
      </c>
      <c r="L2583" s="2" t="s">
        <v>31502</v>
      </c>
      <c r="M2583" s="3" t="s">
        <v>101</v>
      </c>
      <c r="N2583" s="2" t="s">
        <v>31503</v>
      </c>
      <c r="O2583" s="3" t="s">
        <v>63</v>
      </c>
      <c r="P2583" s="3" t="s">
        <v>10900</v>
      </c>
      <c r="R2583" s="3" t="s">
        <v>65</v>
      </c>
      <c r="S2583" s="4">
        <v>4</v>
      </c>
      <c r="T2583" s="4">
        <v>4</v>
      </c>
      <c r="U2583" s="5" t="s">
        <v>24893</v>
      </c>
      <c r="V2583" s="5" t="s">
        <v>24893</v>
      </c>
      <c r="W2583" s="5" t="s">
        <v>31504</v>
      </c>
      <c r="X2583" s="5" t="s">
        <v>31504</v>
      </c>
      <c r="Y2583" s="4">
        <v>493</v>
      </c>
      <c r="Z2583" s="4">
        <v>397</v>
      </c>
      <c r="AA2583" s="4">
        <v>402</v>
      </c>
      <c r="AB2583" s="4">
        <v>4</v>
      </c>
      <c r="AC2583" s="4">
        <v>4</v>
      </c>
      <c r="AD2583" s="4">
        <v>23</v>
      </c>
      <c r="AE2583" s="4">
        <v>23</v>
      </c>
      <c r="AF2583" s="4">
        <v>9</v>
      </c>
      <c r="AG2583" s="4">
        <v>9</v>
      </c>
      <c r="AH2583" s="4">
        <v>5</v>
      </c>
      <c r="AI2583" s="4">
        <v>5</v>
      </c>
      <c r="AJ2583" s="4">
        <v>10</v>
      </c>
      <c r="AK2583" s="4">
        <v>10</v>
      </c>
      <c r="AL2583" s="4">
        <v>3</v>
      </c>
      <c r="AM2583" s="4">
        <v>3</v>
      </c>
      <c r="AN2583" s="4">
        <v>0</v>
      </c>
      <c r="AO2583" s="4">
        <v>0</v>
      </c>
      <c r="AP2583" s="3" t="s">
        <v>58</v>
      </c>
      <c r="AQ2583" s="3" t="s">
        <v>68</v>
      </c>
      <c r="AR2583" s="6" t="str">
        <f>HYPERLINK("http://catalog.hathitrust.org/Record/000288578","HathiTrust Record")</f>
        <v>HathiTrust Record</v>
      </c>
      <c r="AS2583" s="6" t="str">
        <f>HYPERLINK("https://creighton-primo.hosted.exlibrisgroup.com/primo-explore/search?tab=default_tab&amp;search_scope=EVERYTHING&amp;vid=01CRU&amp;lang=en_US&amp;offset=0&amp;query=any,contains,991000379229702656","Catalog Record")</f>
        <v>Catalog Record</v>
      </c>
      <c r="AT2583" s="6" t="str">
        <f>HYPERLINK("http://www.worldcat.org/oclc/10483852","WorldCat Record")</f>
        <v>WorldCat Record</v>
      </c>
      <c r="AU2583" s="3" t="s">
        <v>31505</v>
      </c>
      <c r="AV2583" s="3" t="s">
        <v>31506</v>
      </c>
      <c r="AW2583" s="3" t="s">
        <v>31507</v>
      </c>
      <c r="AX2583" s="3" t="s">
        <v>31507</v>
      </c>
      <c r="AY2583" s="3" t="s">
        <v>31508</v>
      </c>
      <c r="AZ2583" s="3" t="s">
        <v>73</v>
      </c>
      <c r="BB2583" s="3" t="s">
        <v>31509</v>
      </c>
      <c r="BC2583" s="3" t="s">
        <v>31510</v>
      </c>
      <c r="BD2583" s="3" t="s">
        <v>31511</v>
      </c>
    </row>
    <row r="2584" spans="1:56" ht="51" customHeight="1" x14ac:dyDescent="0.25">
      <c r="A2584" s="7" t="s">
        <v>58</v>
      </c>
      <c r="B2584" s="2" t="s">
        <v>31512</v>
      </c>
      <c r="C2584" s="2" t="s">
        <v>31513</v>
      </c>
      <c r="D2584" s="2" t="s">
        <v>31514</v>
      </c>
      <c r="F2584" s="3" t="s">
        <v>58</v>
      </c>
      <c r="G2584" s="3" t="s">
        <v>59</v>
      </c>
      <c r="H2584" s="3" t="s">
        <v>58</v>
      </c>
      <c r="I2584" s="3" t="s">
        <v>58</v>
      </c>
      <c r="J2584" s="3" t="s">
        <v>60</v>
      </c>
      <c r="K2584" s="2" t="s">
        <v>31515</v>
      </c>
      <c r="L2584" s="2" t="s">
        <v>31516</v>
      </c>
      <c r="M2584" s="3" t="s">
        <v>231</v>
      </c>
      <c r="O2584" s="3" t="s">
        <v>63</v>
      </c>
      <c r="P2584" s="3" t="s">
        <v>411</v>
      </c>
      <c r="R2584" s="3" t="s">
        <v>65</v>
      </c>
      <c r="S2584" s="4">
        <v>8</v>
      </c>
      <c r="T2584" s="4">
        <v>8</v>
      </c>
      <c r="U2584" s="5" t="s">
        <v>31517</v>
      </c>
      <c r="V2584" s="5" t="s">
        <v>31517</v>
      </c>
      <c r="W2584" s="5" t="s">
        <v>31518</v>
      </c>
      <c r="X2584" s="5" t="s">
        <v>31518</v>
      </c>
      <c r="Y2584" s="4">
        <v>1070</v>
      </c>
      <c r="Z2584" s="4">
        <v>931</v>
      </c>
      <c r="AA2584" s="4">
        <v>971</v>
      </c>
      <c r="AB2584" s="4">
        <v>7</v>
      </c>
      <c r="AC2584" s="4">
        <v>7</v>
      </c>
      <c r="AD2584" s="4">
        <v>44</v>
      </c>
      <c r="AE2584" s="4">
        <v>45</v>
      </c>
      <c r="AF2584" s="4">
        <v>22</v>
      </c>
      <c r="AG2584" s="4">
        <v>23</v>
      </c>
      <c r="AH2584" s="4">
        <v>7</v>
      </c>
      <c r="AI2584" s="4">
        <v>7</v>
      </c>
      <c r="AJ2584" s="4">
        <v>20</v>
      </c>
      <c r="AK2584" s="4">
        <v>20</v>
      </c>
      <c r="AL2584" s="4">
        <v>5</v>
      </c>
      <c r="AM2584" s="4">
        <v>5</v>
      </c>
      <c r="AN2584" s="4">
        <v>1</v>
      </c>
      <c r="AO2584" s="4">
        <v>1</v>
      </c>
      <c r="AP2584" s="3" t="s">
        <v>58</v>
      </c>
      <c r="AQ2584" s="3" t="s">
        <v>58</v>
      </c>
      <c r="AS2584" s="6" t="str">
        <f>HYPERLINK("https://creighton-primo.hosted.exlibrisgroup.com/primo-explore/search?tab=default_tab&amp;search_scope=EVERYTHING&amp;vid=01CRU&amp;lang=en_US&amp;offset=0&amp;query=any,contains,991002720579702656","Catalog Record")</f>
        <v>Catalog Record</v>
      </c>
      <c r="AT2584" s="6" t="str">
        <f>HYPERLINK("http://www.worldcat.org/oclc/412545","WorldCat Record")</f>
        <v>WorldCat Record</v>
      </c>
      <c r="AU2584" s="3" t="s">
        <v>31519</v>
      </c>
      <c r="AV2584" s="3" t="s">
        <v>31520</v>
      </c>
      <c r="AW2584" s="3" t="s">
        <v>31521</v>
      </c>
      <c r="AX2584" s="3" t="s">
        <v>31521</v>
      </c>
      <c r="AY2584" s="3" t="s">
        <v>31522</v>
      </c>
      <c r="AZ2584" s="3" t="s">
        <v>73</v>
      </c>
      <c r="BC2584" s="3" t="s">
        <v>31523</v>
      </c>
      <c r="BD2584" s="3" t="s">
        <v>31524</v>
      </c>
    </row>
    <row r="2585" spans="1:56" ht="51" customHeight="1" x14ac:dyDescent="0.25">
      <c r="A2585" s="7" t="s">
        <v>58</v>
      </c>
      <c r="B2585" s="2" t="s">
        <v>31525</v>
      </c>
      <c r="C2585" s="2" t="s">
        <v>31526</v>
      </c>
      <c r="D2585" s="2" t="s">
        <v>31527</v>
      </c>
      <c r="F2585" s="3" t="s">
        <v>58</v>
      </c>
      <c r="G2585" s="3" t="s">
        <v>59</v>
      </c>
      <c r="H2585" s="3" t="s">
        <v>58</v>
      </c>
      <c r="I2585" s="3" t="s">
        <v>58</v>
      </c>
      <c r="J2585" s="3" t="s">
        <v>60</v>
      </c>
      <c r="K2585" s="2" t="s">
        <v>31528</v>
      </c>
      <c r="L2585" s="2" t="s">
        <v>31529</v>
      </c>
      <c r="M2585" s="3" t="s">
        <v>996</v>
      </c>
      <c r="N2585" s="2" t="s">
        <v>1470</v>
      </c>
      <c r="O2585" s="3" t="s">
        <v>63</v>
      </c>
      <c r="P2585" s="3" t="s">
        <v>10900</v>
      </c>
      <c r="R2585" s="3" t="s">
        <v>65</v>
      </c>
      <c r="S2585" s="4">
        <v>2</v>
      </c>
      <c r="T2585" s="4">
        <v>2</v>
      </c>
      <c r="U2585" s="5" t="s">
        <v>29795</v>
      </c>
      <c r="V2585" s="5" t="s">
        <v>29795</v>
      </c>
      <c r="W2585" s="5" t="s">
        <v>30040</v>
      </c>
      <c r="X2585" s="5" t="s">
        <v>30040</v>
      </c>
      <c r="Y2585" s="4">
        <v>460</v>
      </c>
      <c r="Z2585" s="4">
        <v>366</v>
      </c>
      <c r="AA2585" s="4">
        <v>385</v>
      </c>
      <c r="AB2585" s="4">
        <v>2</v>
      </c>
      <c r="AC2585" s="4">
        <v>2</v>
      </c>
      <c r="AD2585" s="4">
        <v>15</v>
      </c>
      <c r="AE2585" s="4">
        <v>15</v>
      </c>
      <c r="AF2585" s="4">
        <v>4</v>
      </c>
      <c r="AG2585" s="4">
        <v>4</v>
      </c>
      <c r="AH2585" s="4">
        <v>6</v>
      </c>
      <c r="AI2585" s="4">
        <v>6</v>
      </c>
      <c r="AJ2585" s="4">
        <v>9</v>
      </c>
      <c r="AK2585" s="4">
        <v>9</v>
      </c>
      <c r="AL2585" s="4">
        <v>1</v>
      </c>
      <c r="AM2585" s="4">
        <v>1</v>
      </c>
      <c r="AN2585" s="4">
        <v>0</v>
      </c>
      <c r="AO2585" s="4">
        <v>0</v>
      </c>
      <c r="AP2585" s="3" t="s">
        <v>58</v>
      </c>
      <c r="AQ2585" s="3" t="s">
        <v>68</v>
      </c>
      <c r="AR2585" s="6" t="str">
        <f>HYPERLINK("http://catalog.hathitrust.org/Record/000208410","HathiTrust Record")</f>
        <v>HathiTrust Record</v>
      </c>
      <c r="AS2585" s="6" t="str">
        <f>HYPERLINK("https://creighton-primo.hosted.exlibrisgroup.com/primo-explore/search?tab=default_tab&amp;search_scope=EVERYTHING&amp;vid=01CRU&amp;lang=en_US&amp;offset=0&amp;query=any,contains,991002900199702656","Catalog Record")</f>
        <v>Catalog Record</v>
      </c>
      <c r="AT2585" s="6" t="str">
        <f>HYPERLINK("http://www.worldcat.org/oclc/516389","WorldCat Record")</f>
        <v>WorldCat Record</v>
      </c>
      <c r="AU2585" s="3" t="s">
        <v>31530</v>
      </c>
      <c r="AV2585" s="3" t="s">
        <v>31531</v>
      </c>
      <c r="AW2585" s="3" t="s">
        <v>31532</v>
      </c>
      <c r="AX2585" s="3" t="s">
        <v>31532</v>
      </c>
      <c r="AY2585" s="3" t="s">
        <v>31533</v>
      </c>
      <c r="AZ2585" s="3" t="s">
        <v>73</v>
      </c>
      <c r="BB2585" s="3" t="s">
        <v>31534</v>
      </c>
      <c r="BC2585" s="3" t="s">
        <v>31535</v>
      </c>
      <c r="BD2585" s="3" t="s">
        <v>31536</v>
      </c>
    </row>
    <row r="2586" spans="1:56" ht="51" customHeight="1" x14ac:dyDescent="0.25">
      <c r="A2586" s="7" t="s">
        <v>58</v>
      </c>
      <c r="B2586" s="2" t="s">
        <v>31537</v>
      </c>
      <c r="C2586" s="2" t="s">
        <v>31538</v>
      </c>
      <c r="D2586" s="2" t="s">
        <v>31539</v>
      </c>
      <c r="F2586" s="3" t="s">
        <v>58</v>
      </c>
      <c r="G2586" s="3" t="s">
        <v>59</v>
      </c>
      <c r="H2586" s="3" t="s">
        <v>58</v>
      </c>
      <c r="I2586" s="3" t="s">
        <v>58</v>
      </c>
      <c r="J2586" s="3" t="s">
        <v>60</v>
      </c>
      <c r="K2586" s="2" t="s">
        <v>31540</v>
      </c>
      <c r="L2586" s="2" t="s">
        <v>31541</v>
      </c>
      <c r="M2586" s="3" t="s">
        <v>800</v>
      </c>
      <c r="O2586" s="3" t="s">
        <v>63</v>
      </c>
      <c r="P2586" s="3" t="s">
        <v>2061</v>
      </c>
      <c r="R2586" s="3" t="s">
        <v>65</v>
      </c>
      <c r="S2586" s="4">
        <v>6</v>
      </c>
      <c r="T2586" s="4">
        <v>6</v>
      </c>
      <c r="U2586" s="5" t="s">
        <v>31542</v>
      </c>
      <c r="V2586" s="5" t="s">
        <v>31542</v>
      </c>
      <c r="W2586" s="5" t="s">
        <v>31543</v>
      </c>
      <c r="X2586" s="5" t="s">
        <v>31543</v>
      </c>
      <c r="Y2586" s="4">
        <v>618</v>
      </c>
      <c r="Z2586" s="4">
        <v>500</v>
      </c>
      <c r="AA2586" s="4">
        <v>500</v>
      </c>
      <c r="AB2586" s="4">
        <v>5</v>
      </c>
      <c r="AC2586" s="4">
        <v>5</v>
      </c>
      <c r="AD2586" s="4">
        <v>32</v>
      </c>
      <c r="AE2586" s="4">
        <v>32</v>
      </c>
      <c r="AF2586" s="4">
        <v>15</v>
      </c>
      <c r="AG2586" s="4">
        <v>15</v>
      </c>
      <c r="AH2586" s="4">
        <v>7</v>
      </c>
      <c r="AI2586" s="4">
        <v>7</v>
      </c>
      <c r="AJ2586" s="4">
        <v>15</v>
      </c>
      <c r="AK2586" s="4">
        <v>15</v>
      </c>
      <c r="AL2586" s="4">
        <v>4</v>
      </c>
      <c r="AM2586" s="4">
        <v>4</v>
      </c>
      <c r="AN2586" s="4">
        <v>0</v>
      </c>
      <c r="AO2586" s="4">
        <v>0</v>
      </c>
      <c r="AP2586" s="3" t="s">
        <v>58</v>
      </c>
      <c r="AQ2586" s="3" t="s">
        <v>58</v>
      </c>
      <c r="AS2586" s="6" t="str">
        <f>HYPERLINK("https://creighton-primo.hosted.exlibrisgroup.com/primo-explore/search?tab=default_tab&amp;search_scope=EVERYTHING&amp;vid=01CRU&amp;lang=en_US&amp;offset=0&amp;query=any,contains,991002415949702656","Catalog Record")</f>
        <v>Catalog Record</v>
      </c>
      <c r="AT2586" s="6" t="str">
        <f>HYPERLINK("http://www.worldcat.org/oclc/31435277","WorldCat Record")</f>
        <v>WorldCat Record</v>
      </c>
      <c r="AU2586" s="3" t="s">
        <v>31544</v>
      </c>
      <c r="AV2586" s="3" t="s">
        <v>31545</v>
      </c>
      <c r="AW2586" s="3" t="s">
        <v>31546</v>
      </c>
      <c r="AX2586" s="3" t="s">
        <v>31546</v>
      </c>
      <c r="AY2586" s="3" t="s">
        <v>31547</v>
      </c>
      <c r="AZ2586" s="3" t="s">
        <v>73</v>
      </c>
      <c r="BB2586" s="3" t="s">
        <v>31548</v>
      </c>
      <c r="BC2586" s="3" t="s">
        <v>31549</v>
      </c>
      <c r="BD2586" s="3" t="s">
        <v>31550</v>
      </c>
    </row>
    <row r="2587" spans="1:56" ht="51" customHeight="1" x14ac:dyDescent="0.25">
      <c r="A2587" s="7" t="s">
        <v>58</v>
      </c>
      <c r="B2587" s="2" t="s">
        <v>31551</v>
      </c>
      <c r="C2587" s="2" t="s">
        <v>31552</v>
      </c>
      <c r="D2587" s="2" t="s">
        <v>31553</v>
      </c>
      <c r="F2587" s="3" t="s">
        <v>58</v>
      </c>
      <c r="G2587" s="3" t="s">
        <v>59</v>
      </c>
      <c r="H2587" s="3" t="s">
        <v>58</v>
      </c>
      <c r="I2587" s="3" t="s">
        <v>58</v>
      </c>
      <c r="J2587" s="3" t="s">
        <v>60</v>
      </c>
      <c r="K2587" s="2" t="s">
        <v>31057</v>
      </c>
      <c r="L2587" s="2" t="s">
        <v>31554</v>
      </c>
      <c r="M2587" s="3" t="s">
        <v>1544</v>
      </c>
      <c r="O2587" s="3" t="s">
        <v>63</v>
      </c>
      <c r="P2587" s="3" t="s">
        <v>1837</v>
      </c>
      <c r="R2587" s="3" t="s">
        <v>65</v>
      </c>
      <c r="S2587" s="4">
        <v>2</v>
      </c>
      <c r="T2587" s="4">
        <v>2</v>
      </c>
      <c r="U2587" s="5" t="s">
        <v>30934</v>
      </c>
      <c r="V2587" s="5" t="s">
        <v>30934</v>
      </c>
      <c r="W2587" s="5" t="s">
        <v>30934</v>
      </c>
      <c r="X2587" s="5" t="s">
        <v>30934</v>
      </c>
      <c r="Y2587" s="4">
        <v>554</v>
      </c>
      <c r="Z2587" s="4">
        <v>465</v>
      </c>
      <c r="AA2587" s="4">
        <v>544</v>
      </c>
      <c r="AB2587" s="4">
        <v>5</v>
      </c>
      <c r="AC2587" s="4">
        <v>5</v>
      </c>
      <c r="AD2587" s="4">
        <v>29</v>
      </c>
      <c r="AE2587" s="4">
        <v>33</v>
      </c>
      <c r="AF2587" s="4">
        <v>9</v>
      </c>
      <c r="AG2587" s="4">
        <v>12</v>
      </c>
      <c r="AH2587" s="4">
        <v>8</v>
      </c>
      <c r="AI2587" s="4">
        <v>8</v>
      </c>
      <c r="AJ2587" s="4">
        <v>15</v>
      </c>
      <c r="AK2587" s="4">
        <v>16</v>
      </c>
      <c r="AL2587" s="4">
        <v>4</v>
      </c>
      <c r="AM2587" s="4">
        <v>4</v>
      </c>
      <c r="AN2587" s="4">
        <v>2</v>
      </c>
      <c r="AO2587" s="4">
        <v>3</v>
      </c>
      <c r="AP2587" s="3" t="s">
        <v>58</v>
      </c>
      <c r="AQ2587" s="3" t="s">
        <v>68</v>
      </c>
      <c r="AR2587" s="6" t="str">
        <f>HYPERLINK("http://catalog.hathitrust.org/Record/002563869","HathiTrust Record")</f>
        <v>HathiTrust Record</v>
      </c>
      <c r="AS2587" s="6" t="str">
        <f>HYPERLINK("https://creighton-primo.hosted.exlibrisgroup.com/primo-explore/search?tab=default_tab&amp;search_scope=EVERYTHING&amp;vid=01CRU&amp;lang=en_US&amp;offset=0&amp;query=any,contains,991003997749702656","Catalog Record")</f>
        <v>Catalog Record</v>
      </c>
      <c r="AT2587" s="6" t="str">
        <f>HYPERLINK("http://www.worldcat.org/oclc/25165111","WorldCat Record")</f>
        <v>WorldCat Record</v>
      </c>
      <c r="AU2587" s="3" t="s">
        <v>31555</v>
      </c>
      <c r="AV2587" s="3" t="s">
        <v>31556</v>
      </c>
      <c r="AW2587" s="3" t="s">
        <v>31557</v>
      </c>
      <c r="AX2587" s="3" t="s">
        <v>31557</v>
      </c>
      <c r="AY2587" s="3" t="s">
        <v>31558</v>
      </c>
      <c r="AZ2587" s="3" t="s">
        <v>73</v>
      </c>
      <c r="BB2587" s="3" t="s">
        <v>31559</v>
      </c>
      <c r="BC2587" s="3" t="s">
        <v>31560</v>
      </c>
      <c r="BD2587" s="3" t="s">
        <v>31561</v>
      </c>
    </row>
    <row r="2588" spans="1:56" ht="51" customHeight="1" x14ac:dyDescent="0.25">
      <c r="A2588" s="7" t="s">
        <v>58</v>
      </c>
      <c r="B2588" s="2" t="s">
        <v>31562</v>
      </c>
      <c r="C2588" s="2" t="s">
        <v>31563</v>
      </c>
      <c r="D2588" s="2" t="s">
        <v>31564</v>
      </c>
      <c r="F2588" s="3" t="s">
        <v>58</v>
      </c>
      <c r="G2588" s="3" t="s">
        <v>59</v>
      </c>
      <c r="H2588" s="3" t="s">
        <v>58</v>
      </c>
      <c r="I2588" s="3" t="s">
        <v>58</v>
      </c>
      <c r="J2588" s="3" t="s">
        <v>60</v>
      </c>
      <c r="K2588" s="2" t="s">
        <v>31565</v>
      </c>
      <c r="L2588" s="2" t="s">
        <v>31566</v>
      </c>
      <c r="M2588" s="3" t="s">
        <v>2004</v>
      </c>
      <c r="N2588" s="2" t="s">
        <v>13327</v>
      </c>
      <c r="O2588" s="3" t="s">
        <v>63</v>
      </c>
      <c r="P2588" s="3" t="s">
        <v>816</v>
      </c>
      <c r="R2588" s="3" t="s">
        <v>65</v>
      </c>
      <c r="S2588" s="4">
        <v>4</v>
      </c>
      <c r="T2588" s="4">
        <v>4</v>
      </c>
      <c r="U2588" s="5" t="s">
        <v>31517</v>
      </c>
      <c r="V2588" s="5" t="s">
        <v>31517</v>
      </c>
      <c r="W2588" s="5" t="s">
        <v>30240</v>
      </c>
      <c r="X2588" s="5" t="s">
        <v>30240</v>
      </c>
      <c r="Y2588" s="4">
        <v>605</v>
      </c>
      <c r="Z2588" s="4">
        <v>581</v>
      </c>
      <c r="AA2588" s="4">
        <v>727</v>
      </c>
      <c r="AB2588" s="4">
        <v>7</v>
      </c>
      <c r="AC2588" s="4">
        <v>7</v>
      </c>
      <c r="AD2588" s="4">
        <v>24</v>
      </c>
      <c r="AE2588" s="4">
        <v>33</v>
      </c>
      <c r="AF2588" s="4">
        <v>7</v>
      </c>
      <c r="AG2588" s="4">
        <v>11</v>
      </c>
      <c r="AH2588" s="4">
        <v>4</v>
      </c>
      <c r="AI2588" s="4">
        <v>8</v>
      </c>
      <c r="AJ2588" s="4">
        <v>13</v>
      </c>
      <c r="AK2588" s="4">
        <v>18</v>
      </c>
      <c r="AL2588" s="4">
        <v>5</v>
      </c>
      <c r="AM2588" s="4">
        <v>5</v>
      </c>
      <c r="AN2588" s="4">
        <v>0</v>
      </c>
      <c r="AO2588" s="4">
        <v>0</v>
      </c>
      <c r="AP2588" s="3" t="s">
        <v>58</v>
      </c>
      <c r="AQ2588" s="3" t="s">
        <v>68</v>
      </c>
      <c r="AR2588" s="6" t="str">
        <f>HYPERLINK("http://catalog.hathitrust.org/Record/001606536","HathiTrust Record")</f>
        <v>HathiTrust Record</v>
      </c>
      <c r="AS2588" s="6" t="str">
        <f>HYPERLINK("https://creighton-primo.hosted.exlibrisgroup.com/primo-explore/search?tab=default_tab&amp;search_scope=EVERYTHING&amp;vid=01CRU&amp;lang=en_US&amp;offset=0&amp;query=any,contains,991003567569702656","Catalog Record")</f>
        <v>Catalog Record</v>
      </c>
      <c r="AT2588" s="6" t="str">
        <f>HYPERLINK("http://www.worldcat.org/oclc/1141242","WorldCat Record")</f>
        <v>WorldCat Record</v>
      </c>
      <c r="AU2588" s="3" t="s">
        <v>31567</v>
      </c>
      <c r="AV2588" s="3" t="s">
        <v>31568</v>
      </c>
      <c r="AW2588" s="3" t="s">
        <v>31569</v>
      </c>
      <c r="AX2588" s="3" t="s">
        <v>31569</v>
      </c>
      <c r="AY2588" s="3" t="s">
        <v>31570</v>
      </c>
      <c r="AZ2588" s="3" t="s">
        <v>73</v>
      </c>
      <c r="BC2588" s="3" t="s">
        <v>31571</v>
      </c>
      <c r="BD2588" s="3" t="s">
        <v>31572</v>
      </c>
    </row>
    <row r="2589" spans="1:56" ht="51" customHeight="1" x14ac:dyDescent="0.25">
      <c r="A2589" s="7" t="s">
        <v>58</v>
      </c>
      <c r="B2589" s="2" t="s">
        <v>31573</v>
      </c>
      <c r="C2589" s="2" t="s">
        <v>31574</v>
      </c>
      <c r="D2589" s="2" t="s">
        <v>31575</v>
      </c>
      <c r="F2589" s="3" t="s">
        <v>58</v>
      </c>
      <c r="G2589" s="3" t="s">
        <v>59</v>
      </c>
      <c r="H2589" s="3" t="s">
        <v>58</v>
      </c>
      <c r="I2589" s="3" t="s">
        <v>58</v>
      </c>
      <c r="J2589" s="3" t="s">
        <v>60</v>
      </c>
      <c r="K2589" s="2" t="s">
        <v>31576</v>
      </c>
      <c r="L2589" s="2" t="s">
        <v>31577</v>
      </c>
      <c r="M2589" s="3" t="s">
        <v>83</v>
      </c>
      <c r="N2589" s="2" t="s">
        <v>338</v>
      </c>
      <c r="O2589" s="3" t="s">
        <v>63</v>
      </c>
      <c r="P2589" s="3" t="s">
        <v>214</v>
      </c>
      <c r="R2589" s="3" t="s">
        <v>65</v>
      </c>
      <c r="S2589" s="4">
        <v>7</v>
      </c>
      <c r="T2589" s="4">
        <v>7</v>
      </c>
      <c r="U2589" s="5" t="s">
        <v>31578</v>
      </c>
      <c r="V2589" s="5" t="s">
        <v>31578</v>
      </c>
      <c r="W2589" s="5" t="s">
        <v>31579</v>
      </c>
      <c r="X2589" s="5" t="s">
        <v>31579</v>
      </c>
      <c r="Y2589" s="4">
        <v>35</v>
      </c>
      <c r="Z2589" s="4">
        <v>28</v>
      </c>
      <c r="AA2589" s="4">
        <v>29</v>
      </c>
      <c r="AB2589" s="4">
        <v>1</v>
      </c>
      <c r="AC2589" s="4">
        <v>1</v>
      </c>
      <c r="AD2589" s="4">
        <v>0</v>
      </c>
      <c r="AE2589" s="4">
        <v>0</v>
      </c>
      <c r="AF2589" s="4">
        <v>0</v>
      </c>
      <c r="AG2589" s="4">
        <v>0</v>
      </c>
      <c r="AH2589" s="4">
        <v>0</v>
      </c>
      <c r="AI2589" s="4">
        <v>0</v>
      </c>
      <c r="AJ2589" s="4">
        <v>0</v>
      </c>
      <c r="AK2589" s="4">
        <v>0</v>
      </c>
      <c r="AL2589" s="4">
        <v>0</v>
      </c>
      <c r="AM2589" s="4">
        <v>0</v>
      </c>
      <c r="AN2589" s="4">
        <v>0</v>
      </c>
      <c r="AO2589" s="4">
        <v>0</v>
      </c>
      <c r="AP2589" s="3" t="s">
        <v>58</v>
      </c>
      <c r="AQ2589" s="3" t="s">
        <v>58</v>
      </c>
      <c r="AS2589" s="6" t="str">
        <f>HYPERLINK("https://creighton-primo.hosted.exlibrisgroup.com/primo-explore/search?tab=default_tab&amp;search_scope=EVERYTHING&amp;vid=01CRU&amp;lang=en_US&amp;offset=0&amp;query=any,contains,991004774469702656","Catalog Record")</f>
        <v>Catalog Record</v>
      </c>
      <c r="AT2589" s="6" t="str">
        <f>HYPERLINK("http://www.worldcat.org/oclc/5100357","WorldCat Record")</f>
        <v>WorldCat Record</v>
      </c>
      <c r="AU2589" s="3" t="s">
        <v>31580</v>
      </c>
      <c r="AV2589" s="3" t="s">
        <v>31581</v>
      </c>
      <c r="AW2589" s="3" t="s">
        <v>31582</v>
      </c>
      <c r="AX2589" s="3" t="s">
        <v>31582</v>
      </c>
      <c r="AY2589" s="3" t="s">
        <v>31583</v>
      </c>
      <c r="AZ2589" s="3" t="s">
        <v>73</v>
      </c>
      <c r="BB2589" s="3" t="s">
        <v>31584</v>
      </c>
      <c r="BC2589" s="3" t="s">
        <v>31585</v>
      </c>
      <c r="BD2589" s="3" t="s">
        <v>31586</v>
      </c>
    </row>
    <row r="2590" spans="1:56" ht="51" customHeight="1" x14ac:dyDescent="0.25">
      <c r="A2590" s="7" t="s">
        <v>58</v>
      </c>
      <c r="B2590" s="2" t="s">
        <v>31587</v>
      </c>
      <c r="C2590" s="2" t="s">
        <v>31588</v>
      </c>
      <c r="D2590" s="2" t="s">
        <v>31589</v>
      </c>
      <c r="F2590" s="3" t="s">
        <v>58</v>
      </c>
      <c r="G2590" s="3" t="s">
        <v>59</v>
      </c>
      <c r="H2590" s="3" t="s">
        <v>58</v>
      </c>
      <c r="I2590" s="3" t="s">
        <v>58</v>
      </c>
      <c r="J2590" s="3" t="s">
        <v>60</v>
      </c>
      <c r="K2590" s="2" t="s">
        <v>31590</v>
      </c>
      <c r="L2590" s="2" t="s">
        <v>31591</v>
      </c>
      <c r="M2590" s="3" t="s">
        <v>855</v>
      </c>
      <c r="N2590" s="2" t="s">
        <v>6830</v>
      </c>
      <c r="O2590" s="3" t="s">
        <v>63</v>
      </c>
      <c r="P2590" s="3" t="s">
        <v>214</v>
      </c>
      <c r="R2590" s="3" t="s">
        <v>65</v>
      </c>
      <c r="S2590" s="4">
        <v>9</v>
      </c>
      <c r="T2590" s="4">
        <v>9</v>
      </c>
      <c r="U2590" s="5" t="s">
        <v>29875</v>
      </c>
      <c r="V2590" s="5" t="s">
        <v>29875</v>
      </c>
      <c r="W2590" s="5" t="s">
        <v>31592</v>
      </c>
      <c r="X2590" s="5" t="s">
        <v>31592</v>
      </c>
      <c r="Y2590" s="4">
        <v>314</v>
      </c>
      <c r="Z2590" s="4">
        <v>231</v>
      </c>
      <c r="AA2590" s="4">
        <v>739</v>
      </c>
      <c r="AB2590" s="4">
        <v>3</v>
      </c>
      <c r="AC2590" s="4">
        <v>3</v>
      </c>
      <c r="AD2590" s="4">
        <v>10</v>
      </c>
      <c r="AE2590" s="4">
        <v>27</v>
      </c>
      <c r="AF2590" s="4">
        <v>5</v>
      </c>
      <c r="AG2590" s="4">
        <v>11</v>
      </c>
      <c r="AH2590" s="4">
        <v>3</v>
      </c>
      <c r="AI2590" s="4">
        <v>9</v>
      </c>
      <c r="AJ2590" s="4">
        <v>4</v>
      </c>
      <c r="AK2590" s="4">
        <v>13</v>
      </c>
      <c r="AL2590" s="4">
        <v>2</v>
      </c>
      <c r="AM2590" s="4">
        <v>2</v>
      </c>
      <c r="AN2590" s="4">
        <v>0</v>
      </c>
      <c r="AO2590" s="4">
        <v>0</v>
      </c>
      <c r="AP2590" s="3" t="s">
        <v>58</v>
      </c>
      <c r="AQ2590" s="3" t="s">
        <v>58</v>
      </c>
      <c r="AS2590" s="6" t="str">
        <f>HYPERLINK("https://creighton-primo.hosted.exlibrisgroup.com/primo-explore/search?tab=default_tab&amp;search_scope=EVERYTHING&amp;vid=01CRU&amp;lang=en_US&amp;offset=0&amp;query=any,contains,991002071699702656","Catalog Record")</f>
        <v>Catalog Record</v>
      </c>
      <c r="AT2590" s="6" t="str">
        <f>HYPERLINK("http://www.worldcat.org/oclc/26546516","WorldCat Record")</f>
        <v>WorldCat Record</v>
      </c>
      <c r="AU2590" s="3" t="s">
        <v>31593</v>
      </c>
      <c r="AV2590" s="3" t="s">
        <v>31594</v>
      </c>
      <c r="AW2590" s="3" t="s">
        <v>31595</v>
      </c>
      <c r="AX2590" s="3" t="s">
        <v>31595</v>
      </c>
      <c r="AY2590" s="3" t="s">
        <v>31596</v>
      </c>
      <c r="AZ2590" s="3" t="s">
        <v>73</v>
      </c>
      <c r="BB2590" s="3" t="s">
        <v>31597</v>
      </c>
      <c r="BC2590" s="3" t="s">
        <v>31598</v>
      </c>
      <c r="BD2590" s="3" t="s">
        <v>31599</v>
      </c>
    </row>
    <row r="2591" spans="1:56" ht="51" customHeight="1" x14ac:dyDescent="0.25">
      <c r="A2591" s="7" t="s">
        <v>58</v>
      </c>
      <c r="B2591" s="2" t="s">
        <v>31600</v>
      </c>
      <c r="C2591" s="2" t="s">
        <v>31601</v>
      </c>
      <c r="D2591" s="2" t="s">
        <v>31602</v>
      </c>
      <c r="F2591" s="3" t="s">
        <v>58</v>
      </c>
      <c r="G2591" s="3" t="s">
        <v>59</v>
      </c>
      <c r="H2591" s="3" t="s">
        <v>58</v>
      </c>
      <c r="I2591" s="3" t="s">
        <v>58</v>
      </c>
      <c r="J2591" s="3" t="s">
        <v>60</v>
      </c>
      <c r="K2591" s="2" t="s">
        <v>31603</v>
      </c>
      <c r="L2591" s="2" t="s">
        <v>31604</v>
      </c>
      <c r="M2591" s="3" t="s">
        <v>83</v>
      </c>
      <c r="O2591" s="3" t="s">
        <v>63</v>
      </c>
      <c r="P2591" s="3" t="s">
        <v>214</v>
      </c>
      <c r="R2591" s="3" t="s">
        <v>65</v>
      </c>
      <c r="S2591" s="4">
        <v>9</v>
      </c>
      <c r="T2591" s="4">
        <v>9</v>
      </c>
      <c r="U2591" s="5" t="s">
        <v>31605</v>
      </c>
      <c r="V2591" s="5" t="s">
        <v>31605</v>
      </c>
      <c r="W2591" s="5" t="s">
        <v>31579</v>
      </c>
      <c r="X2591" s="5" t="s">
        <v>31579</v>
      </c>
      <c r="Y2591" s="4">
        <v>95</v>
      </c>
      <c r="Z2591" s="4">
        <v>80</v>
      </c>
      <c r="AA2591" s="4">
        <v>481</v>
      </c>
      <c r="AB2591" s="4">
        <v>1</v>
      </c>
      <c r="AC2591" s="4">
        <v>3</v>
      </c>
      <c r="AD2591" s="4">
        <v>3</v>
      </c>
      <c r="AE2591" s="4">
        <v>18</v>
      </c>
      <c r="AF2591" s="4">
        <v>1</v>
      </c>
      <c r="AG2591" s="4">
        <v>7</v>
      </c>
      <c r="AH2591" s="4">
        <v>1</v>
      </c>
      <c r="AI2591" s="4">
        <v>4</v>
      </c>
      <c r="AJ2591" s="4">
        <v>2</v>
      </c>
      <c r="AK2591" s="4">
        <v>11</v>
      </c>
      <c r="AL2591" s="4">
        <v>0</v>
      </c>
      <c r="AM2591" s="4">
        <v>2</v>
      </c>
      <c r="AN2591" s="4">
        <v>0</v>
      </c>
      <c r="AO2591" s="4">
        <v>0</v>
      </c>
      <c r="AP2591" s="3" t="s">
        <v>58</v>
      </c>
      <c r="AQ2591" s="3" t="s">
        <v>68</v>
      </c>
      <c r="AR2591" s="6" t="str">
        <f>HYPERLINK("http://catalog.hathitrust.org/Record/004383166","HathiTrust Record")</f>
        <v>HathiTrust Record</v>
      </c>
      <c r="AS2591" s="6" t="str">
        <f>HYPERLINK("https://creighton-primo.hosted.exlibrisgroup.com/primo-explore/search?tab=default_tab&amp;search_scope=EVERYTHING&amp;vid=01CRU&amp;lang=en_US&amp;offset=0&amp;query=any,contains,991004564249702656","Catalog Record")</f>
        <v>Catalog Record</v>
      </c>
      <c r="AT2591" s="6" t="str">
        <f>HYPERLINK("http://www.worldcat.org/oclc/4004123","WorldCat Record")</f>
        <v>WorldCat Record</v>
      </c>
      <c r="AU2591" s="3" t="s">
        <v>31606</v>
      </c>
      <c r="AV2591" s="3" t="s">
        <v>31607</v>
      </c>
      <c r="AW2591" s="3" t="s">
        <v>31608</v>
      </c>
      <c r="AX2591" s="3" t="s">
        <v>31608</v>
      </c>
      <c r="AY2591" s="3" t="s">
        <v>31609</v>
      </c>
      <c r="AZ2591" s="3" t="s">
        <v>73</v>
      </c>
      <c r="BB2591" s="3" t="s">
        <v>31610</v>
      </c>
      <c r="BC2591" s="3" t="s">
        <v>31611</v>
      </c>
      <c r="BD2591" s="3" t="s">
        <v>31612</v>
      </c>
    </row>
    <row r="2592" spans="1:56" ht="51" customHeight="1" x14ac:dyDescent="0.25">
      <c r="A2592" s="7" t="s">
        <v>58</v>
      </c>
      <c r="B2592" s="2" t="s">
        <v>31613</v>
      </c>
      <c r="C2592" s="2" t="s">
        <v>31614</v>
      </c>
      <c r="D2592" s="2" t="s">
        <v>31615</v>
      </c>
      <c r="F2592" s="3" t="s">
        <v>58</v>
      </c>
      <c r="G2592" s="3" t="s">
        <v>59</v>
      </c>
      <c r="H2592" s="3" t="s">
        <v>58</v>
      </c>
      <c r="I2592" s="3" t="s">
        <v>58</v>
      </c>
      <c r="J2592" s="3" t="s">
        <v>60</v>
      </c>
      <c r="K2592" s="2" t="s">
        <v>31616</v>
      </c>
      <c r="L2592" s="2" t="s">
        <v>31617</v>
      </c>
      <c r="M2592" s="3" t="s">
        <v>337</v>
      </c>
      <c r="O2592" s="3" t="s">
        <v>63</v>
      </c>
      <c r="P2592" s="3" t="s">
        <v>214</v>
      </c>
      <c r="R2592" s="3" t="s">
        <v>65</v>
      </c>
      <c r="S2592" s="4">
        <v>6</v>
      </c>
      <c r="T2592" s="4">
        <v>6</v>
      </c>
      <c r="U2592" s="5" t="s">
        <v>21558</v>
      </c>
      <c r="V2592" s="5" t="s">
        <v>21558</v>
      </c>
      <c r="W2592" s="5" t="s">
        <v>31618</v>
      </c>
      <c r="X2592" s="5" t="s">
        <v>31618</v>
      </c>
      <c r="Y2592" s="4">
        <v>641</v>
      </c>
      <c r="Z2592" s="4">
        <v>577</v>
      </c>
      <c r="AA2592" s="4">
        <v>586</v>
      </c>
      <c r="AB2592" s="4">
        <v>3</v>
      </c>
      <c r="AC2592" s="4">
        <v>3</v>
      </c>
      <c r="AD2592" s="4">
        <v>21</v>
      </c>
      <c r="AE2592" s="4">
        <v>21</v>
      </c>
      <c r="AF2592" s="4">
        <v>9</v>
      </c>
      <c r="AG2592" s="4">
        <v>9</v>
      </c>
      <c r="AH2592" s="4">
        <v>5</v>
      </c>
      <c r="AI2592" s="4">
        <v>5</v>
      </c>
      <c r="AJ2592" s="4">
        <v>11</v>
      </c>
      <c r="AK2592" s="4">
        <v>11</v>
      </c>
      <c r="AL2592" s="4">
        <v>2</v>
      </c>
      <c r="AM2592" s="4">
        <v>2</v>
      </c>
      <c r="AN2592" s="4">
        <v>0</v>
      </c>
      <c r="AO2592" s="4">
        <v>0</v>
      </c>
      <c r="AP2592" s="3" t="s">
        <v>58</v>
      </c>
      <c r="AQ2592" s="3" t="s">
        <v>68</v>
      </c>
      <c r="AR2592" s="6" t="str">
        <f>HYPERLINK("http://catalog.hathitrust.org/Record/004255528","HathiTrust Record")</f>
        <v>HathiTrust Record</v>
      </c>
      <c r="AS2592" s="6" t="str">
        <f>HYPERLINK("https://creighton-primo.hosted.exlibrisgroup.com/primo-explore/search?tab=default_tab&amp;search_scope=EVERYTHING&amp;vid=01CRU&amp;lang=en_US&amp;offset=0&amp;query=any,contains,991003825749702656","Catalog Record")</f>
        <v>Catalog Record</v>
      </c>
      <c r="AT2592" s="6" t="str">
        <f>HYPERLINK("http://www.worldcat.org/oclc/45583413","WorldCat Record")</f>
        <v>WorldCat Record</v>
      </c>
      <c r="AU2592" s="3" t="s">
        <v>31619</v>
      </c>
      <c r="AV2592" s="3" t="s">
        <v>31620</v>
      </c>
      <c r="AW2592" s="3" t="s">
        <v>31621</v>
      </c>
      <c r="AX2592" s="3" t="s">
        <v>31621</v>
      </c>
      <c r="AY2592" s="3" t="s">
        <v>31622</v>
      </c>
      <c r="AZ2592" s="3" t="s">
        <v>73</v>
      </c>
      <c r="BB2592" s="3" t="s">
        <v>31623</v>
      </c>
      <c r="BC2592" s="3" t="s">
        <v>31624</v>
      </c>
      <c r="BD2592" s="3" t="s">
        <v>31625</v>
      </c>
    </row>
    <row r="2593" spans="1:56" ht="51" customHeight="1" x14ac:dyDescent="0.25">
      <c r="A2593" s="7" t="s">
        <v>58</v>
      </c>
      <c r="B2593" s="2" t="s">
        <v>31626</v>
      </c>
      <c r="C2593" s="2" t="s">
        <v>31627</v>
      </c>
      <c r="D2593" s="2" t="s">
        <v>31628</v>
      </c>
      <c r="F2593" s="3" t="s">
        <v>58</v>
      </c>
      <c r="G2593" s="3" t="s">
        <v>59</v>
      </c>
      <c r="H2593" s="3" t="s">
        <v>58</v>
      </c>
      <c r="I2593" s="3" t="s">
        <v>58</v>
      </c>
      <c r="J2593" s="3" t="s">
        <v>60</v>
      </c>
      <c r="K2593" s="2" t="s">
        <v>31629</v>
      </c>
      <c r="L2593" s="2" t="s">
        <v>31630</v>
      </c>
      <c r="M2593" s="3" t="s">
        <v>154</v>
      </c>
      <c r="N2593" s="2" t="s">
        <v>1009</v>
      </c>
      <c r="O2593" s="3" t="s">
        <v>63</v>
      </c>
      <c r="P2593" s="3" t="s">
        <v>214</v>
      </c>
      <c r="R2593" s="3" t="s">
        <v>65</v>
      </c>
      <c r="S2593" s="4">
        <v>6</v>
      </c>
      <c r="T2593" s="4">
        <v>6</v>
      </c>
      <c r="U2593" s="5" t="s">
        <v>31210</v>
      </c>
      <c r="V2593" s="5" t="s">
        <v>31210</v>
      </c>
      <c r="W2593" s="5" t="s">
        <v>31631</v>
      </c>
      <c r="X2593" s="5" t="s">
        <v>31631</v>
      </c>
      <c r="Y2593" s="4">
        <v>1164</v>
      </c>
      <c r="Z2593" s="4">
        <v>1111</v>
      </c>
      <c r="AA2593" s="4">
        <v>1261</v>
      </c>
      <c r="AB2593" s="4">
        <v>8</v>
      </c>
      <c r="AC2593" s="4">
        <v>9</v>
      </c>
      <c r="AD2593" s="4">
        <v>28</v>
      </c>
      <c r="AE2593" s="4">
        <v>34</v>
      </c>
      <c r="AF2593" s="4">
        <v>8</v>
      </c>
      <c r="AG2593" s="4">
        <v>13</v>
      </c>
      <c r="AH2593" s="4">
        <v>8</v>
      </c>
      <c r="AI2593" s="4">
        <v>8</v>
      </c>
      <c r="AJ2593" s="4">
        <v>15</v>
      </c>
      <c r="AK2593" s="4">
        <v>16</v>
      </c>
      <c r="AL2593" s="4">
        <v>4</v>
      </c>
      <c r="AM2593" s="4">
        <v>5</v>
      </c>
      <c r="AN2593" s="4">
        <v>0</v>
      </c>
      <c r="AO2593" s="4">
        <v>0</v>
      </c>
      <c r="AP2593" s="3" t="s">
        <v>58</v>
      </c>
      <c r="AQ2593" s="3" t="s">
        <v>68</v>
      </c>
      <c r="AR2593" s="6" t="str">
        <f>HYPERLINK("http://catalog.hathitrust.org/Record/004480921","HathiTrust Record")</f>
        <v>HathiTrust Record</v>
      </c>
      <c r="AS2593" s="6" t="str">
        <f>HYPERLINK("https://creighton-primo.hosted.exlibrisgroup.com/primo-explore/search?tab=default_tab&amp;search_scope=EVERYTHING&amp;vid=01CRU&amp;lang=en_US&amp;offset=0&amp;query=any,contains,991001462399702656","Catalog Record")</f>
        <v>Catalog Record</v>
      </c>
      <c r="AT2593" s="6" t="str">
        <f>HYPERLINK("http://www.worldcat.org/oclc/19456565","WorldCat Record")</f>
        <v>WorldCat Record</v>
      </c>
      <c r="AU2593" s="3" t="s">
        <v>31632</v>
      </c>
      <c r="AV2593" s="3" t="s">
        <v>31633</v>
      </c>
      <c r="AW2593" s="3" t="s">
        <v>31634</v>
      </c>
      <c r="AX2593" s="3" t="s">
        <v>31634</v>
      </c>
      <c r="AY2593" s="3" t="s">
        <v>31635</v>
      </c>
      <c r="AZ2593" s="3" t="s">
        <v>73</v>
      </c>
      <c r="BB2593" s="3" t="s">
        <v>31636</v>
      </c>
      <c r="BC2593" s="3" t="s">
        <v>31637</v>
      </c>
      <c r="BD2593" s="3" t="s">
        <v>31638</v>
      </c>
    </row>
    <row r="2594" spans="1:56" ht="51" customHeight="1" x14ac:dyDescent="0.25">
      <c r="A2594" s="7" t="s">
        <v>58</v>
      </c>
      <c r="B2594" s="2" t="s">
        <v>31639</v>
      </c>
      <c r="C2594" s="2" t="s">
        <v>31640</v>
      </c>
      <c r="D2594" s="2" t="s">
        <v>31641</v>
      </c>
      <c r="F2594" s="3" t="s">
        <v>58</v>
      </c>
      <c r="G2594" s="3" t="s">
        <v>59</v>
      </c>
      <c r="H2594" s="3" t="s">
        <v>58</v>
      </c>
      <c r="I2594" s="3" t="s">
        <v>58</v>
      </c>
      <c r="J2594" s="3" t="s">
        <v>60</v>
      </c>
      <c r="K2594" s="2" t="s">
        <v>31642</v>
      </c>
      <c r="L2594" s="2" t="s">
        <v>31643</v>
      </c>
      <c r="M2594" s="3" t="s">
        <v>951</v>
      </c>
      <c r="N2594" s="2" t="s">
        <v>338</v>
      </c>
      <c r="O2594" s="3" t="s">
        <v>63</v>
      </c>
      <c r="P2594" s="3" t="s">
        <v>214</v>
      </c>
      <c r="R2594" s="3" t="s">
        <v>65</v>
      </c>
      <c r="S2594" s="4">
        <v>3</v>
      </c>
      <c r="T2594" s="4">
        <v>3</v>
      </c>
      <c r="U2594" s="5" t="s">
        <v>31210</v>
      </c>
      <c r="V2594" s="5" t="s">
        <v>31210</v>
      </c>
      <c r="W2594" s="5" t="s">
        <v>13062</v>
      </c>
      <c r="X2594" s="5" t="s">
        <v>13062</v>
      </c>
      <c r="Y2594" s="4">
        <v>2008</v>
      </c>
      <c r="Z2594" s="4">
        <v>1808</v>
      </c>
      <c r="AA2594" s="4">
        <v>1842</v>
      </c>
      <c r="AB2594" s="4">
        <v>17</v>
      </c>
      <c r="AC2594" s="4">
        <v>17</v>
      </c>
      <c r="AD2594" s="4">
        <v>53</v>
      </c>
      <c r="AE2594" s="4">
        <v>54</v>
      </c>
      <c r="AF2594" s="4">
        <v>21</v>
      </c>
      <c r="AG2594" s="4">
        <v>22</v>
      </c>
      <c r="AH2594" s="4">
        <v>10</v>
      </c>
      <c r="AI2594" s="4">
        <v>10</v>
      </c>
      <c r="AJ2594" s="4">
        <v>22</v>
      </c>
      <c r="AK2594" s="4">
        <v>23</v>
      </c>
      <c r="AL2594" s="4">
        <v>11</v>
      </c>
      <c r="AM2594" s="4">
        <v>11</v>
      </c>
      <c r="AN2594" s="4">
        <v>0</v>
      </c>
      <c r="AO2594" s="4">
        <v>0</v>
      </c>
      <c r="AP2594" s="3" t="s">
        <v>58</v>
      </c>
      <c r="AQ2594" s="3" t="s">
        <v>58</v>
      </c>
      <c r="AS2594" s="6" t="str">
        <f>HYPERLINK("https://creighton-primo.hosted.exlibrisgroup.com/primo-explore/search?tab=default_tab&amp;search_scope=EVERYTHING&amp;vid=01CRU&amp;lang=en_US&amp;offset=0&amp;query=any,contains,991003298039702656","Catalog Record")</f>
        <v>Catalog Record</v>
      </c>
      <c r="AT2594" s="6" t="str">
        <f>HYPERLINK("http://www.worldcat.org/oclc/43031388","WorldCat Record")</f>
        <v>WorldCat Record</v>
      </c>
      <c r="AU2594" s="3" t="s">
        <v>31644</v>
      </c>
      <c r="AV2594" s="3" t="s">
        <v>31645</v>
      </c>
      <c r="AW2594" s="3" t="s">
        <v>31646</v>
      </c>
      <c r="AX2594" s="3" t="s">
        <v>31646</v>
      </c>
      <c r="AY2594" s="3" t="s">
        <v>31647</v>
      </c>
      <c r="AZ2594" s="3" t="s">
        <v>73</v>
      </c>
      <c r="BB2594" s="3" t="s">
        <v>31648</v>
      </c>
      <c r="BC2594" s="3" t="s">
        <v>31649</v>
      </c>
      <c r="BD2594" s="3" t="s">
        <v>31650</v>
      </c>
    </row>
    <row r="2595" spans="1:56" ht="51" customHeight="1" x14ac:dyDescent="0.25">
      <c r="A2595" s="7" t="s">
        <v>58</v>
      </c>
      <c r="B2595" s="2" t="s">
        <v>31651</v>
      </c>
      <c r="C2595" s="2" t="s">
        <v>31652</v>
      </c>
      <c r="D2595" s="2" t="s">
        <v>31653</v>
      </c>
      <c r="F2595" s="3" t="s">
        <v>58</v>
      </c>
      <c r="G2595" s="3" t="s">
        <v>59</v>
      </c>
      <c r="H2595" s="3" t="s">
        <v>58</v>
      </c>
      <c r="I2595" s="3" t="s">
        <v>58</v>
      </c>
      <c r="J2595" s="3" t="s">
        <v>60</v>
      </c>
      <c r="K2595" s="2" t="s">
        <v>31654</v>
      </c>
      <c r="L2595" s="2" t="s">
        <v>31655</v>
      </c>
      <c r="M2595" s="3" t="s">
        <v>261</v>
      </c>
      <c r="N2595" s="2" t="s">
        <v>338</v>
      </c>
      <c r="O2595" s="3" t="s">
        <v>63</v>
      </c>
      <c r="P2595" s="3" t="s">
        <v>2061</v>
      </c>
      <c r="R2595" s="3" t="s">
        <v>65</v>
      </c>
      <c r="S2595" s="4">
        <v>3</v>
      </c>
      <c r="T2595" s="4">
        <v>3</v>
      </c>
      <c r="U2595" s="5" t="s">
        <v>29875</v>
      </c>
      <c r="V2595" s="5" t="s">
        <v>29875</v>
      </c>
      <c r="W2595" s="5" t="s">
        <v>572</v>
      </c>
      <c r="X2595" s="5" t="s">
        <v>572</v>
      </c>
      <c r="Y2595" s="4">
        <v>345</v>
      </c>
      <c r="Z2595" s="4">
        <v>304</v>
      </c>
      <c r="AA2595" s="4">
        <v>310</v>
      </c>
      <c r="AB2595" s="4">
        <v>2</v>
      </c>
      <c r="AC2595" s="4">
        <v>2</v>
      </c>
      <c r="AD2595" s="4">
        <v>8</v>
      </c>
      <c r="AE2595" s="4">
        <v>8</v>
      </c>
      <c r="AF2595" s="4">
        <v>3</v>
      </c>
      <c r="AG2595" s="4">
        <v>3</v>
      </c>
      <c r="AH2595" s="4">
        <v>4</v>
      </c>
      <c r="AI2595" s="4">
        <v>4</v>
      </c>
      <c r="AJ2595" s="4">
        <v>5</v>
      </c>
      <c r="AK2595" s="4">
        <v>5</v>
      </c>
      <c r="AL2595" s="4">
        <v>1</v>
      </c>
      <c r="AM2595" s="4">
        <v>1</v>
      </c>
      <c r="AN2595" s="4">
        <v>0</v>
      </c>
      <c r="AO2595" s="4">
        <v>0</v>
      </c>
      <c r="AP2595" s="3" t="s">
        <v>58</v>
      </c>
      <c r="AQ2595" s="3" t="s">
        <v>68</v>
      </c>
      <c r="AR2595" s="6" t="str">
        <f>HYPERLINK("http://catalog.hathitrust.org/Record/000685920","HathiTrust Record")</f>
        <v>HathiTrust Record</v>
      </c>
      <c r="AS2595" s="6" t="str">
        <f>HYPERLINK("https://creighton-primo.hosted.exlibrisgroup.com/primo-explore/search?tab=default_tab&amp;search_scope=EVERYTHING&amp;vid=01CRU&amp;lang=en_US&amp;offset=0&amp;query=any,contains,991003962099702656","Catalog Record")</f>
        <v>Catalog Record</v>
      </c>
      <c r="AT2595" s="6" t="str">
        <f>HYPERLINK("http://www.worldcat.org/oclc/1975921","WorldCat Record")</f>
        <v>WorldCat Record</v>
      </c>
      <c r="AU2595" s="3" t="s">
        <v>31656</v>
      </c>
      <c r="AV2595" s="3" t="s">
        <v>31657</v>
      </c>
      <c r="AW2595" s="3" t="s">
        <v>31658</v>
      </c>
      <c r="AX2595" s="3" t="s">
        <v>31658</v>
      </c>
      <c r="AY2595" s="3" t="s">
        <v>31659</v>
      </c>
      <c r="AZ2595" s="3" t="s">
        <v>73</v>
      </c>
      <c r="BB2595" s="3" t="s">
        <v>31660</v>
      </c>
      <c r="BC2595" s="3" t="s">
        <v>31661</v>
      </c>
      <c r="BD2595" s="3" t="s">
        <v>31662</v>
      </c>
    </row>
    <row r="2596" spans="1:56" ht="51" customHeight="1" x14ac:dyDescent="0.25">
      <c r="A2596" s="7" t="s">
        <v>58</v>
      </c>
      <c r="B2596" s="2" t="s">
        <v>31663</v>
      </c>
      <c r="C2596" s="2" t="s">
        <v>31664</v>
      </c>
      <c r="D2596" s="2" t="s">
        <v>31665</v>
      </c>
      <c r="F2596" s="3" t="s">
        <v>58</v>
      </c>
      <c r="G2596" s="3" t="s">
        <v>59</v>
      </c>
      <c r="H2596" s="3" t="s">
        <v>58</v>
      </c>
      <c r="I2596" s="3" t="s">
        <v>58</v>
      </c>
      <c r="J2596" s="3" t="s">
        <v>60</v>
      </c>
      <c r="K2596" s="2" t="s">
        <v>31666</v>
      </c>
      <c r="L2596" s="2" t="s">
        <v>15953</v>
      </c>
      <c r="M2596" s="3" t="s">
        <v>2757</v>
      </c>
      <c r="O2596" s="3" t="s">
        <v>63</v>
      </c>
      <c r="P2596" s="3" t="s">
        <v>354</v>
      </c>
      <c r="R2596" s="3" t="s">
        <v>65</v>
      </c>
      <c r="S2596" s="4">
        <v>3</v>
      </c>
      <c r="T2596" s="4">
        <v>3</v>
      </c>
      <c r="U2596" s="5" t="s">
        <v>29875</v>
      </c>
      <c r="V2596" s="5" t="s">
        <v>29875</v>
      </c>
      <c r="W2596" s="5" t="s">
        <v>886</v>
      </c>
      <c r="X2596" s="5" t="s">
        <v>886</v>
      </c>
      <c r="Y2596" s="4">
        <v>2087</v>
      </c>
      <c r="Z2596" s="4">
        <v>1938</v>
      </c>
      <c r="AA2596" s="4">
        <v>1985</v>
      </c>
      <c r="AB2596" s="4">
        <v>17</v>
      </c>
      <c r="AC2596" s="4">
        <v>18</v>
      </c>
      <c r="AD2596" s="4">
        <v>53</v>
      </c>
      <c r="AE2596" s="4">
        <v>54</v>
      </c>
      <c r="AF2596" s="4">
        <v>24</v>
      </c>
      <c r="AG2596" s="4">
        <v>24</v>
      </c>
      <c r="AH2596" s="4">
        <v>10</v>
      </c>
      <c r="AI2596" s="4">
        <v>10</v>
      </c>
      <c r="AJ2596" s="4">
        <v>24</v>
      </c>
      <c r="AK2596" s="4">
        <v>24</v>
      </c>
      <c r="AL2596" s="4">
        <v>7</v>
      </c>
      <c r="AM2596" s="4">
        <v>8</v>
      </c>
      <c r="AN2596" s="4">
        <v>0</v>
      </c>
      <c r="AO2596" s="4">
        <v>0</v>
      </c>
      <c r="AP2596" s="3" t="s">
        <v>58</v>
      </c>
      <c r="AQ2596" s="3" t="s">
        <v>68</v>
      </c>
      <c r="AR2596" s="6" t="str">
        <f>HYPERLINK("http://catalog.hathitrust.org/Record/001606541","HathiTrust Record")</f>
        <v>HathiTrust Record</v>
      </c>
      <c r="AS2596" s="6" t="str">
        <f>HYPERLINK("https://creighton-primo.hosted.exlibrisgroup.com/primo-explore/search?tab=default_tab&amp;search_scope=EVERYTHING&amp;vid=01CRU&amp;lang=en_US&amp;offset=0&amp;query=any,contains,991002703899702656","Catalog Record")</f>
        <v>Catalog Record</v>
      </c>
      <c r="AT2596" s="6" t="str">
        <f>HYPERLINK("http://www.worldcat.org/oclc/406462","WorldCat Record")</f>
        <v>WorldCat Record</v>
      </c>
      <c r="AU2596" s="3" t="s">
        <v>31667</v>
      </c>
      <c r="AV2596" s="3" t="s">
        <v>31668</v>
      </c>
      <c r="AW2596" s="3" t="s">
        <v>31669</v>
      </c>
      <c r="AX2596" s="3" t="s">
        <v>31669</v>
      </c>
      <c r="AY2596" s="3" t="s">
        <v>31670</v>
      </c>
      <c r="AZ2596" s="3" t="s">
        <v>73</v>
      </c>
      <c r="BC2596" s="3" t="s">
        <v>31671</v>
      </c>
      <c r="BD2596" s="3" t="s">
        <v>31672</v>
      </c>
    </row>
    <row r="2597" spans="1:56" ht="51" customHeight="1" x14ac:dyDescent="0.25">
      <c r="A2597" s="7" t="s">
        <v>58</v>
      </c>
      <c r="B2597" s="2" t="s">
        <v>31673</v>
      </c>
      <c r="C2597" s="2" t="s">
        <v>31674</v>
      </c>
      <c r="D2597" s="2" t="s">
        <v>31675</v>
      </c>
      <c r="F2597" s="3" t="s">
        <v>58</v>
      </c>
      <c r="G2597" s="3" t="s">
        <v>59</v>
      </c>
      <c r="H2597" s="3" t="s">
        <v>58</v>
      </c>
      <c r="I2597" s="3" t="s">
        <v>58</v>
      </c>
      <c r="J2597" s="3" t="s">
        <v>60</v>
      </c>
      <c r="K2597" s="2" t="s">
        <v>31676</v>
      </c>
      <c r="L2597" s="2" t="s">
        <v>31677</v>
      </c>
      <c r="M2597" s="3" t="s">
        <v>196</v>
      </c>
      <c r="O2597" s="3" t="s">
        <v>63</v>
      </c>
      <c r="P2597" s="3" t="s">
        <v>2061</v>
      </c>
      <c r="R2597" s="3" t="s">
        <v>65</v>
      </c>
      <c r="S2597" s="4">
        <v>3</v>
      </c>
      <c r="T2597" s="4">
        <v>3</v>
      </c>
      <c r="U2597" s="5" t="s">
        <v>31678</v>
      </c>
      <c r="V2597" s="5" t="s">
        <v>31678</v>
      </c>
      <c r="W2597" s="5" t="s">
        <v>1194</v>
      </c>
      <c r="X2597" s="5" t="s">
        <v>1194</v>
      </c>
      <c r="Y2597" s="4">
        <v>273</v>
      </c>
      <c r="Z2597" s="4">
        <v>225</v>
      </c>
      <c r="AA2597" s="4">
        <v>266</v>
      </c>
      <c r="AB2597" s="4">
        <v>3</v>
      </c>
      <c r="AC2597" s="4">
        <v>3</v>
      </c>
      <c r="AD2597" s="4">
        <v>9</v>
      </c>
      <c r="AE2597" s="4">
        <v>13</v>
      </c>
      <c r="AF2597" s="4">
        <v>0</v>
      </c>
      <c r="AG2597" s="4">
        <v>1</v>
      </c>
      <c r="AH2597" s="4">
        <v>2</v>
      </c>
      <c r="AI2597" s="4">
        <v>5</v>
      </c>
      <c r="AJ2597" s="4">
        <v>5</v>
      </c>
      <c r="AK2597" s="4">
        <v>8</v>
      </c>
      <c r="AL2597" s="4">
        <v>2</v>
      </c>
      <c r="AM2597" s="4">
        <v>2</v>
      </c>
      <c r="AN2597" s="4">
        <v>0</v>
      </c>
      <c r="AO2597" s="4">
        <v>0</v>
      </c>
      <c r="AP2597" s="3" t="s">
        <v>58</v>
      </c>
      <c r="AQ2597" s="3" t="s">
        <v>58</v>
      </c>
      <c r="AS2597" s="6" t="str">
        <f>HYPERLINK("https://creighton-primo.hosted.exlibrisgroup.com/primo-explore/search?tab=default_tab&amp;search_scope=EVERYTHING&amp;vid=01CRU&amp;lang=en_US&amp;offset=0&amp;query=any,contains,991002582659702656","Catalog Record")</f>
        <v>Catalog Record</v>
      </c>
      <c r="AT2597" s="6" t="str">
        <f>HYPERLINK("http://www.worldcat.org/oclc/33862221","WorldCat Record")</f>
        <v>WorldCat Record</v>
      </c>
      <c r="AU2597" s="3" t="s">
        <v>31679</v>
      </c>
      <c r="AV2597" s="3" t="s">
        <v>31680</v>
      </c>
      <c r="AW2597" s="3" t="s">
        <v>31681</v>
      </c>
      <c r="AX2597" s="3" t="s">
        <v>31681</v>
      </c>
      <c r="AY2597" s="3" t="s">
        <v>31682</v>
      </c>
      <c r="AZ2597" s="3" t="s">
        <v>73</v>
      </c>
      <c r="BB2597" s="3" t="s">
        <v>31683</v>
      </c>
      <c r="BC2597" s="3" t="s">
        <v>31684</v>
      </c>
      <c r="BD2597" s="3" t="s">
        <v>31685</v>
      </c>
    </row>
    <row r="2598" spans="1:56" ht="51" customHeight="1" x14ac:dyDescent="0.25">
      <c r="A2598" s="7" t="s">
        <v>58</v>
      </c>
      <c r="B2598" s="2" t="s">
        <v>31686</v>
      </c>
      <c r="C2598" s="2" t="s">
        <v>31687</v>
      </c>
      <c r="D2598" s="2" t="s">
        <v>31688</v>
      </c>
      <c r="F2598" s="3" t="s">
        <v>58</v>
      </c>
      <c r="G2598" s="3" t="s">
        <v>59</v>
      </c>
      <c r="H2598" s="3" t="s">
        <v>58</v>
      </c>
      <c r="I2598" s="3" t="s">
        <v>58</v>
      </c>
      <c r="J2598" s="3" t="s">
        <v>60</v>
      </c>
      <c r="K2598" s="2" t="s">
        <v>31689</v>
      </c>
      <c r="L2598" s="2" t="s">
        <v>31690</v>
      </c>
      <c r="M2598" s="3" t="s">
        <v>1153</v>
      </c>
      <c r="O2598" s="3" t="s">
        <v>63</v>
      </c>
      <c r="P2598" s="3" t="s">
        <v>2784</v>
      </c>
      <c r="R2598" s="3" t="s">
        <v>65</v>
      </c>
      <c r="S2598" s="4">
        <v>1</v>
      </c>
      <c r="T2598" s="4">
        <v>1</v>
      </c>
      <c r="U2598" s="5" t="s">
        <v>7524</v>
      </c>
      <c r="V2598" s="5" t="s">
        <v>7524</v>
      </c>
      <c r="W2598" s="5" t="s">
        <v>20416</v>
      </c>
      <c r="X2598" s="5" t="s">
        <v>20416</v>
      </c>
      <c r="Y2598" s="4">
        <v>318</v>
      </c>
      <c r="Z2598" s="4">
        <v>283</v>
      </c>
      <c r="AA2598" s="4">
        <v>287</v>
      </c>
      <c r="AB2598" s="4">
        <v>3</v>
      </c>
      <c r="AC2598" s="4">
        <v>3</v>
      </c>
      <c r="AD2598" s="4">
        <v>12</v>
      </c>
      <c r="AE2598" s="4">
        <v>12</v>
      </c>
      <c r="AF2598" s="4">
        <v>3</v>
      </c>
      <c r="AG2598" s="4">
        <v>3</v>
      </c>
      <c r="AH2598" s="4">
        <v>3</v>
      </c>
      <c r="AI2598" s="4">
        <v>3</v>
      </c>
      <c r="AJ2598" s="4">
        <v>7</v>
      </c>
      <c r="AK2598" s="4">
        <v>7</v>
      </c>
      <c r="AL2598" s="4">
        <v>2</v>
      </c>
      <c r="AM2598" s="4">
        <v>2</v>
      </c>
      <c r="AN2598" s="4">
        <v>0</v>
      </c>
      <c r="AO2598" s="4">
        <v>0</v>
      </c>
      <c r="AP2598" s="3" t="s">
        <v>58</v>
      </c>
      <c r="AQ2598" s="3" t="s">
        <v>68</v>
      </c>
      <c r="AR2598" s="6" t="str">
        <f>HYPERLINK("http://catalog.hathitrust.org/Record/001241779","HathiTrust Record")</f>
        <v>HathiTrust Record</v>
      </c>
      <c r="AS2598" s="6" t="str">
        <f>HYPERLINK("https://creighton-primo.hosted.exlibrisgroup.com/primo-explore/search?tab=default_tab&amp;search_scope=EVERYTHING&amp;vid=01CRU&amp;lang=en_US&amp;offset=0&amp;query=any,contains,991003500589702656","Catalog Record")</f>
        <v>Catalog Record</v>
      </c>
      <c r="AT2598" s="6" t="str">
        <f>HYPERLINK("http://www.worldcat.org/oclc/1053364","WorldCat Record")</f>
        <v>WorldCat Record</v>
      </c>
      <c r="AU2598" s="3" t="s">
        <v>31691</v>
      </c>
      <c r="AV2598" s="3" t="s">
        <v>31692</v>
      </c>
      <c r="AW2598" s="3" t="s">
        <v>31693</v>
      </c>
      <c r="AX2598" s="3" t="s">
        <v>31693</v>
      </c>
      <c r="AY2598" s="3" t="s">
        <v>31694</v>
      </c>
      <c r="AZ2598" s="3" t="s">
        <v>73</v>
      </c>
      <c r="BC2598" s="3" t="s">
        <v>31695</v>
      </c>
      <c r="BD2598" s="3" t="s">
        <v>31696</v>
      </c>
    </row>
    <row r="2599" spans="1:56" ht="51" customHeight="1" x14ac:dyDescent="0.25">
      <c r="A2599" s="7" t="s">
        <v>58</v>
      </c>
      <c r="B2599" s="2" t="s">
        <v>31697</v>
      </c>
      <c r="C2599" s="2" t="s">
        <v>31698</v>
      </c>
      <c r="D2599" s="2" t="s">
        <v>31699</v>
      </c>
      <c r="F2599" s="3" t="s">
        <v>58</v>
      </c>
      <c r="G2599" s="3" t="s">
        <v>59</v>
      </c>
      <c r="H2599" s="3" t="s">
        <v>58</v>
      </c>
      <c r="I2599" s="3" t="s">
        <v>58</v>
      </c>
      <c r="J2599" s="3" t="s">
        <v>60</v>
      </c>
      <c r="K2599" s="2" t="s">
        <v>31689</v>
      </c>
      <c r="L2599" s="2" t="s">
        <v>31700</v>
      </c>
      <c r="M2599" s="3" t="s">
        <v>1499</v>
      </c>
      <c r="O2599" s="3" t="s">
        <v>63</v>
      </c>
      <c r="P2599" s="3" t="s">
        <v>2784</v>
      </c>
      <c r="R2599" s="3" t="s">
        <v>65</v>
      </c>
      <c r="S2599" s="4">
        <v>2</v>
      </c>
      <c r="T2599" s="4">
        <v>2</v>
      </c>
      <c r="U2599" s="5" t="s">
        <v>11427</v>
      </c>
      <c r="V2599" s="5" t="s">
        <v>11427</v>
      </c>
      <c r="W2599" s="5" t="s">
        <v>20416</v>
      </c>
      <c r="X2599" s="5" t="s">
        <v>20416</v>
      </c>
      <c r="Y2599" s="4">
        <v>505</v>
      </c>
      <c r="Z2599" s="4">
        <v>442</v>
      </c>
      <c r="AA2599" s="4">
        <v>489</v>
      </c>
      <c r="AB2599" s="4">
        <v>4</v>
      </c>
      <c r="AC2599" s="4">
        <v>4</v>
      </c>
      <c r="AD2599" s="4">
        <v>14</v>
      </c>
      <c r="AE2599" s="4">
        <v>16</v>
      </c>
      <c r="AF2599" s="4">
        <v>2</v>
      </c>
      <c r="AG2599" s="4">
        <v>3</v>
      </c>
      <c r="AH2599" s="4">
        <v>3</v>
      </c>
      <c r="AI2599" s="4">
        <v>4</v>
      </c>
      <c r="AJ2599" s="4">
        <v>8</v>
      </c>
      <c r="AK2599" s="4">
        <v>8</v>
      </c>
      <c r="AL2599" s="4">
        <v>3</v>
      </c>
      <c r="AM2599" s="4">
        <v>3</v>
      </c>
      <c r="AN2599" s="4">
        <v>0</v>
      </c>
      <c r="AO2599" s="4">
        <v>0</v>
      </c>
      <c r="AP2599" s="3" t="s">
        <v>58</v>
      </c>
      <c r="AQ2599" s="3" t="s">
        <v>58</v>
      </c>
      <c r="AS2599" s="6" t="str">
        <f>HYPERLINK("https://creighton-primo.hosted.exlibrisgroup.com/primo-explore/search?tab=default_tab&amp;search_scope=EVERYTHING&amp;vid=01CRU&amp;lang=en_US&amp;offset=0&amp;query=any,contains,991000000209702656","Catalog Record")</f>
        <v>Catalog Record</v>
      </c>
      <c r="AT2599" s="6" t="str">
        <f>HYPERLINK("http://www.worldcat.org/oclc/7630","WorldCat Record")</f>
        <v>WorldCat Record</v>
      </c>
      <c r="AU2599" s="3" t="s">
        <v>31701</v>
      </c>
      <c r="AV2599" s="3" t="s">
        <v>31702</v>
      </c>
      <c r="AW2599" s="3" t="s">
        <v>31703</v>
      </c>
      <c r="AX2599" s="3" t="s">
        <v>31703</v>
      </c>
      <c r="AY2599" s="3" t="s">
        <v>31704</v>
      </c>
      <c r="AZ2599" s="3" t="s">
        <v>73</v>
      </c>
      <c r="BC2599" s="3" t="s">
        <v>31705</v>
      </c>
      <c r="BD2599" s="3" t="s">
        <v>31706</v>
      </c>
    </row>
    <row r="2600" spans="1:56" ht="51" customHeight="1" x14ac:dyDescent="0.25">
      <c r="A2600" s="7" t="s">
        <v>58</v>
      </c>
      <c r="B2600" s="2" t="s">
        <v>31707</v>
      </c>
      <c r="C2600" s="2" t="s">
        <v>31708</v>
      </c>
      <c r="D2600" s="2" t="s">
        <v>31709</v>
      </c>
      <c r="F2600" s="3" t="s">
        <v>58</v>
      </c>
      <c r="G2600" s="3" t="s">
        <v>59</v>
      </c>
      <c r="H2600" s="3" t="s">
        <v>58</v>
      </c>
      <c r="I2600" s="3" t="s">
        <v>58</v>
      </c>
      <c r="J2600" s="3" t="s">
        <v>60</v>
      </c>
      <c r="K2600" s="2" t="s">
        <v>8682</v>
      </c>
      <c r="L2600" s="2" t="s">
        <v>31710</v>
      </c>
      <c r="M2600" s="3" t="s">
        <v>261</v>
      </c>
      <c r="O2600" s="3" t="s">
        <v>63</v>
      </c>
      <c r="P2600" s="3" t="s">
        <v>2784</v>
      </c>
      <c r="Q2600" s="2" t="s">
        <v>31711</v>
      </c>
      <c r="R2600" s="3" t="s">
        <v>65</v>
      </c>
      <c r="S2600" s="4">
        <v>3</v>
      </c>
      <c r="T2600" s="4">
        <v>3</v>
      </c>
      <c r="U2600" s="5" t="s">
        <v>31712</v>
      </c>
      <c r="V2600" s="5" t="s">
        <v>31712</v>
      </c>
      <c r="W2600" s="5" t="s">
        <v>2632</v>
      </c>
      <c r="X2600" s="5" t="s">
        <v>2632</v>
      </c>
      <c r="Y2600" s="4">
        <v>107</v>
      </c>
      <c r="Z2600" s="4">
        <v>86</v>
      </c>
      <c r="AA2600" s="4">
        <v>87</v>
      </c>
      <c r="AB2600" s="4">
        <v>2</v>
      </c>
      <c r="AC2600" s="4">
        <v>2</v>
      </c>
      <c r="AD2600" s="4">
        <v>2</v>
      </c>
      <c r="AE2600" s="4">
        <v>2</v>
      </c>
      <c r="AF2600" s="4">
        <v>0</v>
      </c>
      <c r="AG2600" s="4">
        <v>0</v>
      </c>
      <c r="AH2600" s="4">
        <v>1</v>
      </c>
      <c r="AI2600" s="4">
        <v>1</v>
      </c>
      <c r="AJ2600" s="4">
        <v>0</v>
      </c>
      <c r="AK2600" s="4">
        <v>0</v>
      </c>
      <c r="AL2600" s="4">
        <v>1</v>
      </c>
      <c r="AM2600" s="4">
        <v>1</v>
      </c>
      <c r="AN2600" s="4">
        <v>0</v>
      </c>
      <c r="AO2600" s="4">
        <v>0</v>
      </c>
      <c r="AP2600" s="3" t="s">
        <v>58</v>
      </c>
      <c r="AQ2600" s="3" t="s">
        <v>58</v>
      </c>
      <c r="AS2600" s="6" t="str">
        <f>HYPERLINK("https://creighton-primo.hosted.exlibrisgroup.com/primo-explore/search?tab=default_tab&amp;search_scope=EVERYTHING&amp;vid=01CRU&amp;lang=en_US&amp;offset=0&amp;query=any,contains,991004074119702656","Catalog Record")</f>
        <v>Catalog Record</v>
      </c>
      <c r="AT2600" s="6" t="str">
        <f>HYPERLINK("http://www.worldcat.org/oclc/2313906","WorldCat Record")</f>
        <v>WorldCat Record</v>
      </c>
      <c r="AU2600" s="3" t="s">
        <v>31713</v>
      </c>
      <c r="AV2600" s="3" t="s">
        <v>31714</v>
      </c>
      <c r="AW2600" s="3" t="s">
        <v>31715</v>
      </c>
      <c r="AX2600" s="3" t="s">
        <v>31715</v>
      </c>
      <c r="AY2600" s="3" t="s">
        <v>31716</v>
      </c>
      <c r="AZ2600" s="3" t="s">
        <v>73</v>
      </c>
      <c r="BC2600" s="3" t="s">
        <v>31717</v>
      </c>
      <c r="BD2600" s="3" t="s">
        <v>31718</v>
      </c>
    </row>
    <row r="2601" spans="1:56" ht="51" customHeight="1" x14ac:dyDescent="0.25">
      <c r="A2601" s="7" t="s">
        <v>58</v>
      </c>
      <c r="B2601" s="2" t="s">
        <v>31719</v>
      </c>
      <c r="C2601" s="2" t="s">
        <v>31720</v>
      </c>
      <c r="D2601" s="2" t="s">
        <v>31721</v>
      </c>
      <c r="E2601" s="3" t="s">
        <v>223</v>
      </c>
      <c r="F2601" s="3" t="s">
        <v>58</v>
      </c>
      <c r="G2601" s="3" t="s">
        <v>59</v>
      </c>
      <c r="H2601" s="3" t="s">
        <v>58</v>
      </c>
      <c r="I2601" s="3" t="s">
        <v>58</v>
      </c>
      <c r="J2601" s="3" t="s">
        <v>60</v>
      </c>
      <c r="K2601" s="2" t="s">
        <v>31722</v>
      </c>
      <c r="L2601" s="2" t="s">
        <v>31723</v>
      </c>
      <c r="M2601" s="3" t="s">
        <v>1399</v>
      </c>
      <c r="O2601" s="3" t="s">
        <v>63</v>
      </c>
      <c r="P2601" s="3" t="s">
        <v>2784</v>
      </c>
      <c r="Q2601" s="2" t="s">
        <v>31724</v>
      </c>
      <c r="R2601" s="3" t="s">
        <v>65</v>
      </c>
      <c r="S2601" s="4">
        <v>3</v>
      </c>
      <c r="T2601" s="4">
        <v>3</v>
      </c>
      <c r="U2601" s="5" t="s">
        <v>31725</v>
      </c>
      <c r="V2601" s="5" t="s">
        <v>31725</v>
      </c>
      <c r="W2601" s="5" t="s">
        <v>2632</v>
      </c>
      <c r="X2601" s="5" t="s">
        <v>2632</v>
      </c>
      <c r="Y2601" s="4">
        <v>42</v>
      </c>
      <c r="Z2601" s="4">
        <v>32</v>
      </c>
      <c r="AA2601" s="4">
        <v>34</v>
      </c>
      <c r="AB2601" s="4">
        <v>1</v>
      </c>
      <c r="AC2601" s="4">
        <v>1</v>
      </c>
      <c r="AD2601" s="4">
        <v>1</v>
      </c>
      <c r="AE2601" s="4">
        <v>1</v>
      </c>
      <c r="AF2601" s="4">
        <v>0</v>
      </c>
      <c r="AG2601" s="4">
        <v>0</v>
      </c>
      <c r="AH2601" s="4">
        <v>1</v>
      </c>
      <c r="AI2601" s="4">
        <v>1</v>
      </c>
      <c r="AJ2601" s="4">
        <v>0</v>
      </c>
      <c r="AK2601" s="4">
        <v>0</v>
      </c>
      <c r="AL2601" s="4">
        <v>0</v>
      </c>
      <c r="AM2601" s="4">
        <v>0</v>
      </c>
      <c r="AN2601" s="4">
        <v>0</v>
      </c>
      <c r="AO2601" s="4">
        <v>0</v>
      </c>
      <c r="AP2601" s="3" t="s">
        <v>58</v>
      </c>
      <c r="AQ2601" s="3" t="s">
        <v>68</v>
      </c>
      <c r="AR2601" s="6" t="str">
        <f>HYPERLINK("http://catalog.hathitrust.org/Record/003293599","HathiTrust Record")</f>
        <v>HathiTrust Record</v>
      </c>
      <c r="AS2601" s="6" t="str">
        <f>HYPERLINK("https://creighton-primo.hosted.exlibrisgroup.com/primo-explore/search?tab=default_tab&amp;search_scope=EVERYTHING&amp;vid=01CRU&amp;lang=en_US&amp;offset=0&amp;query=any,contains,991001757379702656","Catalog Record")</f>
        <v>Catalog Record</v>
      </c>
      <c r="AT2601" s="6" t="str">
        <f>HYPERLINK("http://www.worldcat.org/oclc/22224593","WorldCat Record")</f>
        <v>WorldCat Record</v>
      </c>
      <c r="AU2601" s="3" t="s">
        <v>31726</v>
      </c>
      <c r="AV2601" s="3" t="s">
        <v>31727</v>
      </c>
      <c r="AW2601" s="3" t="s">
        <v>31728</v>
      </c>
      <c r="AX2601" s="3" t="s">
        <v>31728</v>
      </c>
      <c r="AY2601" s="3" t="s">
        <v>31729</v>
      </c>
      <c r="AZ2601" s="3" t="s">
        <v>73</v>
      </c>
      <c r="BC2601" s="3" t="s">
        <v>31730</v>
      </c>
      <c r="BD2601" s="3" t="s">
        <v>31731</v>
      </c>
    </row>
    <row r="2602" spans="1:56" ht="51" customHeight="1" x14ac:dyDescent="0.25">
      <c r="A2602" s="7" t="s">
        <v>58</v>
      </c>
      <c r="B2602" s="2" t="s">
        <v>31732</v>
      </c>
      <c r="C2602" s="2" t="s">
        <v>31733</v>
      </c>
      <c r="D2602" s="2" t="s">
        <v>31734</v>
      </c>
      <c r="F2602" s="3" t="s">
        <v>58</v>
      </c>
      <c r="G2602" s="3" t="s">
        <v>59</v>
      </c>
      <c r="H2602" s="3" t="s">
        <v>58</v>
      </c>
      <c r="I2602" s="3" t="s">
        <v>58</v>
      </c>
      <c r="J2602" s="3" t="s">
        <v>60</v>
      </c>
      <c r="K2602" s="2" t="s">
        <v>31689</v>
      </c>
      <c r="L2602" s="2" t="s">
        <v>31735</v>
      </c>
      <c r="M2602" s="3" t="s">
        <v>62</v>
      </c>
      <c r="O2602" s="3" t="s">
        <v>63</v>
      </c>
      <c r="P2602" s="3" t="s">
        <v>2784</v>
      </c>
      <c r="R2602" s="3" t="s">
        <v>65</v>
      </c>
      <c r="S2602" s="4">
        <v>1</v>
      </c>
      <c r="T2602" s="4">
        <v>1</v>
      </c>
      <c r="U2602" s="5" t="s">
        <v>23698</v>
      </c>
      <c r="V2602" s="5" t="s">
        <v>23698</v>
      </c>
      <c r="W2602" s="5" t="s">
        <v>20416</v>
      </c>
      <c r="X2602" s="5" t="s">
        <v>20416</v>
      </c>
      <c r="Y2602" s="4">
        <v>338</v>
      </c>
      <c r="Z2602" s="4">
        <v>283</v>
      </c>
      <c r="AA2602" s="4">
        <v>289</v>
      </c>
      <c r="AB2602" s="4">
        <v>3</v>
      </c>
      <c r="AC2602" s="4">
        <v>3</v>
      </c>
      <c r="AD2602" s="4">
        <v>12</v>
      </c>
      <c r="AE2602" s="4">
        <v>12</v>
      </c>
      <c r="AF2602" s="4">
        <v>3</v>
      </c>
      <c r="AG2602" s="4">
        <v>3</v>
      </c>
      <c r="AH2602" s="4">
        <v>3</v>
      </c>
      <c r="AI2602" s="4">
        <v>3</v>
      </c>
      <c r="AJ2602" s="4">
        <v>7</v>
      </c>
      <c r="AK2602" s="4">
        <v>7</v>
      </c>
      <c r="AL2602" s="4">
        <v>2</v>
      </c>
      <c r="AM2602" s="4">
        <v>2</v>
      </c>
      <c r="AN2602" s="4">
        <v>0</v>
      </c>
      <c r="AO2602" s="4">
        <v>0</v>
      </c>
      <c r="AP2602" s="3" t="s">
        <v>58</v>
      </c>
      <c r="AQ2602" s="3" t="s">
        <v>68</v>
      </c>
      <c r="AR2602" s="6" t="str">
        <f>HYPERLINK("http://catalog.hathitrust.org/Record/001246836","HathiTrust Record")</f>
        <v>HathiTrust Record</v>
      </c>
      <c r="AS2602" s="6" t="str">
        <f>HYPERLINK("https://creighton-primo.hosted.exlibrisgroup.com/primo-explore/search?tab=default_tab&amp;search_scope=EVERYTHING&amp;vid=01CRU&amp;lang=en_US&amp;offset=0&amp;query=any,contains,991002702019702656","Catalog Record")</f>
        <v>Catalog Record</v>
      </c>
      <c r="AT2602" s="6" t="str">
        <f>HYPERLINK("http://www.worldcat.org/oclc/405939","WorldCat Record")</f>
        <v>WorldCat Record</v>
      </c>
      <c r="AU2602" s="3" t="s">
        <v>31736</v>
      </c>
      <c r="AV2602" s="3" t="s">
        <v>31737</v>
      </c>
      <c r="AW2602" s="3" t="s">
        <v>31738</v>
      </c>
      <c r="AX2602" s="3" t="s">
        <v>31738</v>
      </c>
      <c r="AY2602" s="3" t="s">
        <v>31739</v>
      </c>
      <c r="AZ2602" s="3" t="s">
        <v>73</v>
      </c>
      <c r="BC2602" s="3" t="s">
        <v>31740</v>
      </c>
      <c r="BD2602" s="3" t="s">
        <v>31741</v>
      </c>
    </row>
    <row r="2603" spans="1:56" ht="51" customHeight="1" x14ac:dyDescent="0.25">
      <c r="A2603" s="7" t="s">
        <v>58</v>
      </c>
      <c r="B2603" s="2" t="s">
        <v>31742</v>
      </c>
      <c r="C2603" s="2" t="s">
        <v>31743</v>
      </c>
      <c r="D2603" s="2" t="s">
        <v>31744</v>
      </c>
      <c r="F2603" s="3" t="s">
        <v>58</v>
      </c>
      <c r="G2603" s="3" t="s">
        <v>59</v>
      </c>
      <c r="H2603" s="3" t="s">
        <v>58</v>
      </c>
      <c r="I2603" s="3" t="s">
        <v>58</v>
      </c>
      <c r="J2603" s="3" t="s">
        <v>60</v>
      </c>
      <c r="K2603" s="2" t="s">
        <v>31689</v>
      </c>
      <c r="L2603" s="2" t="s">
        <v>31745</v>
      </c>
      <c r="M2603" s="3" t="s">
        <v>538</v>
      </c>
      <c r="O2603" s="3" t="s">
        <v>63</v>
      </c>
      <c r="P2603" s="3" t="s">
        <v>2784</v>
      </c>
      <c r="R2603" s="3" t="s">
        <v>65</v>
      </c>
      <c r="S2603" s="4">
        <v>1</v>
      </c>
      <c r="T2603" s="4">
        <v>1</v>
      </c>
      <c r="U2603" s="5" t="s">
        <v>23698</v>
      </c>
      <c r="V2603" s="5" t="s">
        <v>23698</v>
      </c>
      <c r="W2603" s="5" t="s">
        <v>20416</v>
      </c>
      <c r="X2603" s="5" t="s">
        <v>20416</v>
      </c>
      <c r="Y2603" s="4">
        <v>413</v>
      </c>
      <c r="Z2603" s="4">
        <v>341</v>
      </c>
      <c r="AA2603" s="4">
        <v>344</v>
      </c>
      <c r="AB2603" s="4">
        <v>3</v>
      </c>
      <c r="AC2603" s="4">
        <v>3</v>
      </c>
      <c r="AD2603" s="4">
        <v>11</v>
      </c>
      <c r="AE2603" s="4">
        <v>11</v>
      </c>
      <c r="AF2603" s="4">
        <v>3</v>
      </c>
      <c r="AG2603" s="4">
        <v>3</v>
      </c>
      <c r="AH2603" s="4">
        <v>2</v>
      </c>
      <c r="AI2603" s="4">
        <v>2</v>
      </c>
      <c r="AJ2603" s="4">
        <v>6</v>
      </c>
      <c r="AK2603" s="4">
        <v>6</v>
      </c>
      <c r="AL2603" s="4">
        <v>2</v>
      </c>
      <c r="AM2603" s="4">
        <v>2</v>
      </c>
      <c r="AN2603" s="4">
        <v>0</v>
      </c>
      <c r="AO2603" s="4">
        <v>0</v>
      </c>
      <c r="AP2603" s="3" t="s">
        <v>58</v>
      </c>
      <c r="AQ2603" s="3" t="s">
        <v>68</v>
      </c>
      <c r="AR2603" s="6" t="str">
        <f>HYPERLINK("http://catalog.hathitrust.org/Record/001241795","HathiTrust Record")</f>
        <v>HathiTrust Record</v>
      </c>
      <c r="AS2603" s="6" t="str">
        <f>HYPERLINK("https://creighton-primo.hosted.exlibrisgroup.com/primo-explore/search?tab=default_tab&amp;search_scope=EVERYTHING&amp;vid=01CRU&amp;lang=en_US&amp;offset=0&amp;query=any,contains,991002269649702656","Catalog Record")</f>
        <v>Catalog Record</v>
      </c>
      <c r="AT2603" s="6" t="str">
        <f>HYPERLINK("http://www.worldcat.org/oclc/307825","WorldCat Record")</f>
        <v>WorldCat Record</v>
      </c>
      <c r="AU2603" s="3" t="s">
        <v>31746</v>
      </c>
      <c r="AV2603" s="3" t="s">
        <v>31747</v>
      </c>
      <c r="AW2603" s="3" t="s">
        <v>31748</v>
      </c>
      <c r="AX2603" s="3" t="s">
        <v>31748</v>
      </c>
      <c r="AY2603" s="3" t="s">
        <v>31749</v>
      </c>
      <c r="AZ2603" s="3" t="s">
        <v>73</v>
      </c>
      <c r="BC2603" s="3" t="s">
        <v>31750</v>
      </c>
      <c r="BD2603" s="3" t="s">
        <v>31751</v>
      </c>
    </row>
    <row r="2604" spans="1:56" ht="51" customHeight="1" x14ac:dyDescent="0.25">
      <c r="A2604" s="7" t="s">
        <v>58</v>
      </c>
      <c r="B2604" s="2" t="s">
        <v>31752</v>
      </c>
      <c r="C2604" s="2" t="s">
        <v>31753</v>
      </c>
      <c r="D2604" s="2" t="s">
        <v>31754</v>
      </c>
      <c r="F2604" s="3" t="s">
        <v>58</v>
      </c>
      <c r="G2604" s="3" t="s">
        <v>59</v>
      </c>
      <c r="H2604" s="3" t="s">
        <v>58</v>
      </c>
      <c r="I2604" s="3" t="s">
        <v>58</v>
      </c>
      <c r="J2604" s="3" t="s">
        <v>60</v>
      </c>
      <c r="K2604" s="2" t="s">
        <v>29937</v>
      </c>
      <c r="L2604" s="2" t="s">
        <v>31755</v>
      </c>
      <c r="M2604" s="3" t="s">
        <v>1784</v>
      </c>
      <c r="O2604" s="3" t="s">
        <v>63</v>
      </c>
      <c r="P2604" s="3" t="s">
        <v>816</v>
      </c>
      <c r="Q2604" s="2" t="s">
        <v>31756</v>
      </c>
      <c r="R2604" s="3" t="s">
        <v>65</v>
      </c>
      <c r="S2604" s="4">
        <v>2</v>
      </c>
      <c r="T2604" s="4">
        <v>2</v>
      </c>
      <c r="U2604" s="5" t="s">
        <v>16510</v>
      </c>
      <c r="V2604" s="5" t="s">
        <v>16510</v>
      </c>
      <c r="W2604" s="5" t="s">
        <v>15109</v>
      </c>
      <c r="X2604" s="5" t="s">
        <v>15109</v>
      </c>
      <c r="Y2604" s="4">
        <v>538</v>
      </c>
      <c r="Z2604" s="4">
        <v>414</v>
      </c>
      <c r="AA2604" s="4">
        <v>513</v>
      </c>
      <c r="AB2604" s="4">
        <v>3</v>
      </c>
      <c r="AC2604" s="4">
        <v>4</v>
      </c>
      <c r="AD2604" s="4">
        <v>15</v>
      </c>
      <c r="AE2604" s="4">
        <v>27</v>
      </c>
      <c r="AF2604" s="4">
        <v>6</v>
      </c>
      <c r="AG2604" s="4">
        <v>16</v>
      </c>
      <c r="AH2604" s="4">
        <v>4</v>
      </c>
      <c r="AI2604" s="4">
        <v>6</v>
      </c>
      <c r="AJ2604" s="4">
        <v>8</v>
      </c>
      <c r="AK2604" s="4">
        <v>10</v>
      </c>
      <c r="AL2604" s="4">
        <v>2</v>
      </c>
      <c r="AM2604" s="4">
        <v>3</v>
      </c>
      <c r="AN2604" s="4">
        <v>0</v>
      </c>
      <c r="AO2604" s="4">
        <v>0</v>
      </c>
      <c r="AP2604" s="3" t="s">
        <v>58</v>
      </c>
      <c r="AQ2604" s="3" t="s">
        <v>58</v>
      </c>
      <c r="AS2604" s="6" t="str">
        <f>HYPERLINK("https://creighton-primo.hosted.exlibrisgroup.com/primo-explore/search?tab=default_tab&amp;search_scope=EVERYTHING&amp;vid=01CRU&amp;lang=en_US&amp;offset=0&amp;query=any,contains,991004805069702656","Catalog Record")</f>
        <v>Catalog Record</v>
      </c>
      <c r="AT2604" s="6" t="str">
        <f>HYPERLINK("http://www.worldcat.org/oclc/5239823","WorldCat Record")</f>
        <v>WorldCat Record</v>
      </c>
      <c r="AU2604" s="3" t="s">
        <v>31757</v>
      </c>
      <c r="AV2604" s="3" t="s">
        <v>31758</v>
      </c>
      <c r="AW2604" s="3" t="s">
        <v>31759</v>
      </c>
      <c r="AX2604" s="3" t="s">
        <v>31759</v>
      </c>
      <c r="AY2604" s="3" t="s">
        <v>31760</v>
      </c>
      <c r="AZ2604" s="3" t="s">
        <v>73</v>
      </c>
      <c r="BB2604" s="3" t="s">
        <v>31761</v>
      </c>
      <c r="BC2604" s="3" t="s">
        <v>31762</v>
      </c>
      <c r="BD2604" s="3" t="s">
        <v>31763</v>
      </c>
    </row>
    <row r="2605" spans="1:56" ht="51" customHeight="1" x14ac:dyDescent="0.25">
      <c r="A2605" s="7" t="s">
        <v>58</v>
      </c>
      <c r="B2605" s="2" t="s">
        <v>31764</v>
      </c>
      <c r="C2605" s="2" t="s">
        <v>31765</v>
      </c>
      <c r="D2605" s="2" t="s">
        <v>31766</v>
      </c>
      <c r="F2605" s="3" t="s">
        <v>58</v>
      </c>
      <c r="G2605" s="3" t="s">
        <v>59</v>
      </c>
      <c r="H2605" s="3" t="s">
        <v>58</v>
      </c>
      <c r="I2605" s="3" t="s">
        <v>58</v>
      </c>
      <c r="J2605" s="3" t="s">
        <v>60</v>
      </c>
      <c r="K2605" s="2" t="s">
        <v>31767</v>
      </c>
      <c r="L2605" s="2" t="s">
        <v>31768</v>
      </c>
      <c r="M2605" s="3" t="s">
        <v>1091</v>
      </c>
      <c r="N2605" s="2" t="s">
        <v>338</v>
      </c>
      <c r="O2605" s="3" t="s">
        <v>63</v>
      </c>
      <c r="P2605" s="3" t="s">
        <v>214</v>
      </c>
      <c r="R2605" s="3" t="s">
        <v>65</v>
      </c>
      <c r="S2605" s="4">
        <v>2</v>
      </c>
      <c r="T2605" s="4">
        <v>2</v>
      </c>
      <c r="U2605" s="5" t="s">
        <v>31769</v>
      </c>
      <c r="V2605" s="5" t="s">
        <v>31769</v>
      </c>
      <c r="W2605" s="5" t="s">
        <v>6870</v>
      </c>
      <c r="X2605" s="5" t="s">
        <v>6870</v>
      </c>
      <c r="Y2605" s="4">
        <v>644</v>
      </c>
      <c r="Z2605" s="4">
        <v>570</v>
      </c>
      <c r="AA2605" s="4">
        <v>579</v>
      </c>
      <c r="AB2605" s="4">
        <v>3</v>
      </c>
      <c r="AC2605" s="4">
        <v>3</v>
      </c>
      <c r="AD2605" s="4">
        <v>20</v>
      </c>
      <c r="AE2605" s="4">
        <v>20</v>
      </c>
      <c r="AF2605" s="4">
        <v>8</v>
      </c>
      <c r="AG2605" s="4">
        <v>8</v>
      </c>
      <c r="AH2605" s="4">
        <v>5</v>
      </c>
      <c r="AI2605" s="4">
        <v>5</v>
      </c>
      <c r="AJ2605" s="4">
        <v>11</v>
      </c>
      <c r="AK2605" s="4">
        <v>11</v>
      </c>
      <c r="AL2605" s="4">
        <v>2</v>
      </c>
      <c r="AM2605" s="4">
        <v>2</v>
      </c>
      <c r="AN2605" s="4">
        <v>0</v>
      </c>
      <c r="AO2605" s="4">
        <v>0</v>
      </c>
      <c r="AP2605" s="3" t="s">
        <v>58</v>
      </c>
      <c r="AQ2605" s="3" t="s">
        <v>58</v>
      </c>
      <c r="AS2605" s="6" t="str">
        <f>HYPERLINK("https://creighton-primo.hosted.exlibrisgroup.com/primo-explore/search?tab=default_tab&amp;search_scope=EVERYTHING&amp;vid=01CRU&amp;lang=en_US&amp;offset=0&amp;query=any,contains,991003597769702656","Catalog Record")</f>
        <v>Catalog Record</v>
      </c>
      <c r="AT2605" s="6" t="str">
        <f>HYPERLINK("http://www.worldcat.org/oclc/44727781","WorldCat Record")</f>
        <v>WorldCat Record</v>
      </c>
      <c r="AU2605" s="3" t="s">
        <v>31770</v>
      </c>
      <c r="AV2605" s="3" t="s">
        <v>31771</v>
      </c>
      <c r="AW2605" s="3" t="s">
        <v>31772</v>
      </c>
      <c r="AX2605" s="3" t="s">
        <v>31772</v>
      </c>
      <c r="AY2605" s="3" t="s">
        <v>31773</v>
      </c>
      <c r="AZ2605" s="3" t="s">
        <v>73</v>
      </c>
      <c r="BB2605" s="3" t="s">
        <v>31774</v>
      </c>
      <c r="BC2605" s="3" t="s">
        <v>31775</v>
      </c>
      <c r="BD2605" s="3" t="s">
        <v>31776</v>
      </c>
    </row>
    <row r="2606" spans="1:56" ht="51" customHeight="1" x14ac:dyDescent="0.25">
      <c r="A2606" s="7" t="s">
        <v>58</v>
      </c>
      <c r="B2606" s="2" t="s">
        <v>31777</v>
      </c>
      <c r="C2606" s="2" t="s">
        <v>31778</v>
      </c>
      <c r="D2606" s="2" t="s">
        <v>31779</v>
      </c>
      <c r="F2606" s="3" t="s">
        <v>58</v>
      </c>
      <c r="G2606" s="3" t="s">
        <v>59</v>
      </c>
      <c r="H2606" s="3" t="s">
        <v>58</v>
      </c>
      <c r="I2606" s="3" t="s">
        <v>58</v>
      </c>
      <c r="J2606" s="3" t="s">
        <v>60</v>
      </c>
      <c r="L2606" s="2" t="s">
        <v>16682</v>
      </c>
      <c r="M2606" s="3" t="s">
        <v>1061</v>
      </c>
      <c r="O2606" s="3" t="s">
        <v>63</v>
      </c>
      <c r="P2606" s="3" t="s">
        <v>584</v>
      </c>
      <c r="Q2606" s="2" t="s">
        <v>16683</v>
      </c>
      <c r="R2606" s="3" t="s">
        <v>65</v>
      </c>
      <c r="S2606" s="4">
        <v>2</v>
      </c>
      <c r="T2606" s="4">
        <v>2</v>
      </c>
      <c r="U2606" s="5" t="s">
        <v>19464</v>
      </c>
      <c r="V2606" s="5" t="s">
        <v>19464</v>
      </c>
      <c r="W2606" s="5" t="s">
        <v>31780</v>
      </c>
      <c r="X2606" s="5" t="s">
        <v>31780</v>
      </c>
      <c r="Y2606" s="4">
        <v>229</v>
      </c>
      <c r="Z2606" s="4">
        <v>162</v>
      </c>
      <c r="AA2606" s="4">
        <v>167</v>
      </c>
      <c r="AB2606" s="4">
        <v>1</v>
      </c>
      <c r="AC2606" s="4">
        <v>1</v>
      </c>
      <c r="AD2606" s="4">
        <v>9</v>
      </c>
      <c r="AE2606" s="4">
        <v>10</v>
      </c>
      <c r="AF2606" s="4">
        <v>3</v>
      </c>
      <c r="AG2606" s="4">
        <v>4</v>
      </c>
      <c r="AH2606" s="4">
        <v>2</v>
      </c>
      <c r="AI2606" s="4">
        <v>2</v>
      </c>
      <c r="AJ2606" s="4">
        <v>6</v>
      </c>
      <c r="AK2606" s="4">
        <v>7</v>
      </c>
      <c r="AL2606" s="4">
        <v>0</v>
      </c>
      <c r="AM2606" s="4">
        <v>0</v>
      </c>
      <c r="AN2606" s="4">
        <v>1</v>
      </c>
      <c r="AO2606" s="4">
        <v>1</v>
      </c>
      <c r="AP2606" s="3" t="s">
        <v>58</v>
      </c>
      <c r="AQ2606" s="3" t="s">
        <v>58</v>
      </c>
      <c r="AS2606" s="6" t="str">
        <f>HYPERLINK("https://creighton-primo.hosted.exlibrisgroup.com/primo-explore/search?tab=default_tab&amp;search_scope=EVERYTHING&amp;vid=01CRU&amp;lang=en_US&amp;offset=0&amp;query=any,contains,991002752899702656","Catalog Record")</f>
        <v>Catalog Record</v>
      </c>
      <c r="AT2606" s="6" t="str">
        <f>HYPERLINK("http://www.worldcat.org/oclc/36126387","WorldCat Record")</f>
        <v>WorldCat Record</v>
      </c>
      <c r="AU2606" s="3" t="s">
        <v>31781</v>
      </c>
      <c r="AV2606" s="3" t="s">
        <v>31782</v>
      </c>
      <c r="AW2606" s="3" t="s">
        <v>31783</v>
      </c>
      <c r="AX2606" s="3" t="s">
        <v>31783</v>
      </c>
      <c r="AY2606" s="3" t="s">
        <v>31784</v>
      </c>
      <c r="AZ2606" s="3" t="s">
        <v>73</v>
      </c>
      <c r="BB2606" s="3" t="s">
        <v>31785</v>
      </c>
      <c r="BC2606" s="3" t="s">
        <v>31786</v>
      </c>
      <c r="BD2606" s="3" t="s">
        <v>31787</v>
      </c>
    </row>
    <row r="2607" spans="1:56" ht="51" customHeight="1" x14ac:dyDescent="0.25">
      <c r="A2607" s="7" t="s">
        <v>58</v>
      </c>
      <c r="B2607" s="2" t="s">
        <v>31788</v>
      </c>
      <c r="C2607" s="2" t="s">
        <v>31789</v>
      </c>
      <c r="D2607" s="2" t="s">
        <v>31790</v>
      </c>
      <c r="F2607" s="3" t="s">
        <v>58</v>
      </c>
      <c r="G2607" s="3" t="s">
        <v>59</v>
      </c>
      <c r="H2607" s="3" t="s">
        <v>58</v>
      </c>
      <c r="I2607" s="3" t="s">
        <v>58</v>
      </c>
      <c r="J2607" s="3" t="s">
        <v>60</v>
      </c>
      <c r="K2607" s="2" t="s">
        <v>31791</v>
      </c>
      <c r="L2607" s="2" t="s">
        <v>31792</v>
      </c>
      <c r="M2607" s="3" t="s">
        <v>2295</v>
      </c>
      <c r="O2607" s="3" t="s">
        <v>63</v>
      </c>
      <c r="P2607" s="3" t="s">
        <v>1837</v>
      </c>
      <c r="R2607" s="3" t="s">
        <v>65</v>
      </c>
      <c r="S2607" s="4">
        <v>3</v>
      </c>
      <c r="T2607" s="4">
        <v>3</v>
      </c>
      <c r="U2607" s="5" t="s">
        <v>15894</v>
      </c>
      <c r="V2607" s="5" t="s">
        <v>15894</v>
      </c>
      <c r="W2607" s="5" t="s">
        <v>27725</v>
      </c>
      <c r="X2607" s="5" t="s">
        <v>27725</v>
      </c>
      <c r="Y2607" s="4">
        <v>514</v>
      </c>
      <c r="Z2607" s="4">
        <v>408</v>
      </c>
      <c r="AA2607" s="4">
        <v>1338</v>
      </c>
      <c r="AB2607" s="4">
        <v>3</v>
      </c>
      <c r="AC2607" s="4">
        <v>15</v>
      </c>
      <c r="AD2607" s="4">
        <v>25</v>
      </c>
      <c r="AE2607" s="4">
        <v>51</v>
      </c>
      <c r="AF2607" s="4">
        <v>11</v>
      </c>
      <c r="AG2607" s="4">
        <v>21</v>
      </c>
      <c r="AH2607" s="4">
        <v>7</v>
      </c>
      <c r="AI2607" s="4">
        <v>10</v>
      </c>
      <c r="AJ2607" s="4">
        <v>15</v>
      </c>
      <c r="AK2607" s="4">
        <v>19</v>
      </c>
      <c r="AL2607" s="4">
        <v>2</v>
      </c>
      <c r="AM2607" s="4">
        <v>13</v>
      </c>
      <c r="AN2607" s="4">
        <v>0</v>
      </c>
      <c r="AO2607" s="4">
        <v>1</v>
      </c>
      <c r="AP2607" s="3" t="s">
        <v>58</v>
      </c>
      <c r="AQ2607" s="3" t="s">
        <v>68</v>
      </c>
      <c r="AR2607" s="6" t="str">
        <f>HYPERLINK("http://catalog.hathitrust.org/Record/004345157","HathiTrust Record")</f>
        <v>HathiTrust Record</v>
      </c>
      <c r="AS2607" s="6" t="str">
        <f>HYPERLINK("https://creighton-primo.hosted.exlibrisgroup.com/primo-explore/search?tab=default_tab&amp;search_scope=EVERYTHING&amp;vid=01CRU&amp;lang=en_US&amp;offset=0&amp;query=any,contains,991004196509702656","Catalog Record")</f>
        <v>Catalog Record</v>
      </c>
      <c r="AT2607" s="6" t="str">
        <f>HYPERLINK("http://www.worldcat.org/oclc/52757522","WorldCat Record")</f>
        <v>WorldCat Record</v>
      </c>
      <c r="AU2607" s="3" t="s">
        <v>31793</v>
      </c>
      <c r="AV2607" s="3" t="s">
        <v>31794</v>
      </c>
      <c r="AW2607" s="3" t="s">
        <v>31795</v>
      </c>
      <c r="AX2607" s="3" t="s">
        <v>31795</v>
      </c>
      <c r="AY2607" s="3" t="s">
        <v>31796</v>
      </c>
      <c r="AZ2607" s="3" t="s">
        <v>73</v>
      </c>
      <c r="BB2607" s="3" t="s">
        <v>31797</v>
      </c>
      <c r="BC2607" s="3" t="s">
        <v>31798</v>
      </c>
      <c r="BD2607" s="3" t="s">
        <v>31799</v>
      </c>
    </row>
    <row r="2608" spans="1:56" ht="51" customHeight="1" x14ac:dyDescent="0.25">
      <c r="A2608" s="7" t="s">
        <v>58</v>
      </c>
      <c r="B2608" s="2" t="s">
        <v>31800</v>
      </c>
      <c r="C2608" s="2" t="s">
        <v>31801</v>
      </c>
      <c r="D2608" s="2" t="s">
        <v>31802</v>
      </c>
      <c r="F2608" s="3" t="s">
        <v>58</v>
      </c>
      <c r="G2608" s="3" t="s">
        <v>59</v>
      </c>
      <c r="H2608" s="3" t="s">
        <v>58</v>
      </c>
      <c r="I2608" s="3" t="s">
        <v>58</v>
      </c>
      <c r="J2608" s="3" t="s">
        <v>60</v>
      </c>
      <c r="K2608" s="2" t="s">
        <v>31803</v>
      </c>
      <c r="L2608" s="2" t="s">
        <v>31804</v>
      </c>
      <c r="M2608" s="3" t="s">
        <v>951</v>
      </c>
      <c r="O2608" s="3" t="s">
        <v>63</v>
      </c>
      <c r="P2608" s="3" t="s">
        <v>816</v>
      </c>
      <c r="Q2608" s="2" t="s">
        <v>31805</v>
      </c>
      <c r="R2608" s="3" t="s">
        <v>65</v>
      </c>
      <c r="S2608" s="4">
        <v>1</v>
      </c>
      <c r="T2608" s="4">
        <v>1</v>
      </c>
      <c r="U2608" s="5" t="s">
        <v>31806</v>
      </c>
      <c r="V2608" s="5" t="s">
        <v>31806</v>
      </c>
      <c r="W2608" s="5" t="s">
        <v>31807</v>
      </c>
      <c r="X2608" s="5" t="s">
        <v>31807</v>
      </c>
      <c r="Y2608" s="4">
        <v>281</v>
      </c>
      <c r="Z2608" s="4">
        <v>222</v>
      </c>
      <c r="AA2608" s="4">
        <v>279</v>
      </c>
      <c r="AB2608" s="4">
        <v>3</v>
      </c>
      <c r="AC2608" s="4">
        <v>3</v>
      </c>
      <c r="AD2608" s="4">
        <v>11</v>
      </c>
      <c r="AE2608" s="4">
        <v>17</v>
      </c>
      <c r="AF2608" s="4">
        <v>2</v>
      </c>
      <c r="AG2608" s="4">
        <v>7</v>
      </c>
      <c r="AH2608" s="4">
        <v>4</v>
      </c>
      <c r="AI2608" s="4">
        <v>5</v>
      </c>
      <c r="AJ2608" s="4">
        <v>6</v>
      </c>
      <c r="AK2608" s="4">
        <v>7</v>
      </c>
      <c r="AL2608" s="4">
        <v>2</v>
      </c>
      <c r="AM2608" s="4">
        <v>2</v>
      </c>
      <c r="AN2608" s="4">
        <v>0</v>
      </c>
      <c r="AO2608" s="4">
        <v>0</v>
      </c>
      <c r="AP2608" s="3" t="s">
        <v>58</v>
      </c>
      <c r="AQ2608" s="3" t="s">
        <v>68</v>
      </c>
      <c r="AR2608" s="6" t="str">
        <f>HYPERLINK("http://catalog.hathitrust.org/Record/003509325","HathiTrust Record")</f>
        <v>HathiTrust Record</v>
      </c>
      <c r="AS2608" s="6" t="str">
        <f>HYPERLINK("https://creighton-primo.hosted.exlibrisgroup.com/primo-explore/search?tab=default_tab&amp;search_scope=EVERYTHING&amp;vid=01CRU&amp;lang=en_US&amp;offset=0&amp;query=any,contains,991003509859702656","Catalog Record")</f>
        <v>Catalog Record</v>
      </c>
      <c r="AT2608" s="6" t="str">
        <f>HYPERLINK("http://www.worldcat.org/oclc/43851406","WorldCat Record")</f>
        <v>WorldCat Record</v>
      </c>
      <c r="AU2608" s="3" t="s">
        <v>31808</v>
      </c>
      <c r="AV2608" s="3" t="s">
        <v>31809</v>
      </c>
      <c r="AW2608" s="3" t="s">
        <v>31810</v>
      </c>
      <c r="AX2608" s="3" t="s">
        <v>31810</v>
      </c>
      <c r="AY2608" s="3" t="s">
        <v>31811</v>
      </c>
      <c r="AZ2608" s="3" t="s">
        <v>73</v>
      </c>
      <c r="BB2608" s="3" t="s">
        <v>31812</v>
      </c>
      <c r="BC2608" s="3" t="s">
        <v>31813</v>
      </c>
      <c r="BD2608" s="3" t="s">
        <v>31814</v>
      </c>
    </row>
    <row r="2609" spans="1:56" ht="51" customHeight="1" x14ac:dyDescent="0.25">
      <c r="A2609" s="7" t="s">
        <v>58</v>
      </c>
      <c r="B2609" s="2" t="s">
        <v>31815</v>
      </c>
      <c r="C2609" s="2" t="s">
        <v>31816</v>
      </c>
      <c r="D2609" s="2" t="s">
        <v>31817</v>
      </c>
      <c r="F2609" s="3" t="s">
        <v>58</v>
      </c>
      <c r="G2609" s="3" t="s">
        <v>59</v>
      </c>
      <c r="H2609" s="3" t="s">
        <v>58</v>
      </c>
      <c r="I2609" s="3" t="s">
        <v>58</v>
      </c>
      <c r="J2609" s="3" t="s">
        <v>60</v>
      </c>
      <c r="K2609" s="2" t="s">
        <v>31818</v>
      </c>
      <c r="L2609" s="2" t="s">
        <v>31819</v>
      </c>
      <c r="M2609" s="3" t="s">
        <v>951</v>
      </c>
      <c r="O2609" s="3" t="s">
        <v>63</v>
      </c>
      <c r="P2609" s="3" t="s">
        <v>3109</v>
      </c>
      <c r="Q2609" s="2" t="s">
        <v>31820</v>
      </c>
      <c r="R2609" s="3" t="s">
        <v>65</v>
      </c>
      <c r="S2609" s="4">
        <v>5</v>
      </c>
      <c r="T2609" s="4">
        <v>5</v>
      </c>
      <c r="U2609" s="5" t="s">
        <v>31821</v>
      </c>
      <c r="V2609" s="5" t="s">
        <v>31821</v>
      </c>
      <c r="W2609" s="5" t="s">
        <v>3310</v>
      </c>
      <c r="X2609" s="5" t="s">
        <v>3310</v>
      </c>
      <c r="Y2609" s="4">
        <v>73</v>
      </c>
      <c r="Z2609" s="4">
        <v>57</v>
      </c>
      <c r="AA2609" s="4">
        <v>57</v>
      </c>
      <c r="AB2609" s="4">
        <v>1</v>
      </c>
      <c r="AC2609" s="4">
        <v>1</v>
      </c>
      <c r="AD2609" s="4">
        <v>3</v>
      </c>
      <c r="AE2609" s="4">
        <v>3</v>
      </c>
      <c r="AF2609" s="4">
        <v>1</v>
      </c>
      <c r="AG2609" s="4">
        <v>1</v>
      </c>
      <c r="AH2609" s="4">
        <v>0</v>
      </c>
      <c r="AI2609" s="4">
        <v>0</v>
      </c>
      <c r="AJ2609" s="4">
        <v>2</v>
      </c>
      <c r="AK2609" s="4">
        <v>2</v>
      </c>
      <c r="AL2609" s="4">
        <v>0</v>
      </c>
      <c r="AM2609" s="4">
        <v>0</v>
      </c>
      <c r="AN2609" s="4">
        <v>0</v>
      </c>
      <c r="AO2609" s="4">
        <v>0</v>
      </c>
      <c r="AP2609" s="3" t="s">
        <v>58</v>
      </c>
      <c r="AQ2609" s="3" t="s">
        <v>58</v>
      </c>
      <c r="AS2609" s="6" t="str">
        <f>HYPERLINK("https://creighton-primo.hosted.exlibrisgroup.com/primo-explore/search?tab=default_tab&amp;search_scope=EVERYTHING&amp;vid=01CRU&amp;lang=en_US&amp;offset=0&amp;query=any,contains,991003998399702656","Catalog Record")</f>
        <v>Catalog Record</v>
      </c>
      <c r="AT2609" s="6" t="str">
        <f>HYPERLINK("http://www.worldcat.org/oclc/44541848","WorldCat Record")</f>
        <v>WorldCat Record</v>
      </c>
      <c r="AU2609" s="3" t="s">
        <v>31822</v>
      </c>
      <c r="AV2609" s="3" t="s">
        <v>31823</v>
      </c>
      <c r="AW2609" s="3" t="s">
        <v>31824</v>
      </c>
      <c r="AX2609" s="3" t="s">
        <v>31824</v>
      </c>
      <c r="AY2609" s="3" t="s">
        <v>31825</v>
      </c>
      <c r="AZ2609" s="3" t="s">
        <v>73</v>
      </c>
      <c r="BB2609" s="3" t="s">
        <v>31826</v>
      </c>
      <c r="BC2609" s="3" t="s">
        <v>31827</v>
      </c>
      <c r="BD2609" s="3" t="s">
        <v>31828</v>
      </c>
    </row>
    <row r="2610" spans="1:56" ht="51" customHeight="1" x14ac:dyDescent="0.25">
      <c r="A2610" s="7" t="s">
        <v>58</v>
      </c>
      <c r="B2610" s="2" t="s">
        <v>31829</v>
      </c>
      <c r="C2610" s="2" t="s">
        <v>31830</v>
      </c>
      <c r="D2610" s="2" t="s">
        <v>31831</v>
      </c>
      <c r="F2610" s="3" t="s">
        <v>58</v>
      </c>
      <c r="G2610" s="3" t="s">
        <v>59</v>
      </c>
      <c r="H2610" s="3" t="s">
        <v>58</v>
      </c>
      <c r="I2610" s="3" t="s">
        <v>58</v>
      </c>
      <c r="J2610" s="3" t="s">
        <v>60</v>
      </c>
      <c r="K2610" s="2" t="s">
        <v>31832</v>
      </c>
      <c r="L2610" s="2" t="s">
        <v>31833</v>
      </c>
      <c r="M2610" s="3" t="s">
        <v>842</v>
      </c>
      <c r="O2610" s="3" t="s">
        <v>63</v>
      </c>
      <c r="P2610" s="3" t="s">
        <v>2061</v>
      </c>
      <c r="R2610" s="3" t="s">
        <v>65</v>
      </c>
      <c r="S2610" s="4">
        <v>2</v>
      </c>
      <c r="T2610" s="4">
        <v>2</v>
      </c>
      <c r="U2610" s="5" t="s">
        <v>30895</v>
      </c>
      <c r="V2610" s="5" t="s">
        <v>30895</v>
      </c>
      <c r="W2610" s="5" t="s">
        <v>9162</v>
      </c>
      <c r="X2610" s="5" t="s">
        <v>9162</v>
      </c>
      <c r="Y2610" s="4">
        <v>691</v>
      </c>
      <c r="Z2610" s="4">
        <v>529</v>
      </c>
      <c r="AA2610" s="4">
        <v>530</v>
      </c>
      <c r="AB2610" s="4">
        <v>7</v>
      </c>
      <c r="AC2610" s="4">
        <v>7</v>
      </c>
      <c r="AD2610" s="4">
        <v>30</v>
      </c>
      <c r="AE2610" s="4">
        <v>30</v>
      </c>
      <c r="AF2610" s="4">
        <v>11</v>
      </c>
      <c r="AG2610" s="4">
        <v>11</v>
      </c>
      <c r="AH2610" s="4">
        <v>8</v>
      </c>
      <c r="AI2610" s="4">
        <v>8</v>
      </c>
      <c r="AJ2610" s="4">
        <v>15</v>
      </c>
      <c r="AK2610" s="4">
        <v>15</v>
      </c>
      <c r="AL2610" s="4">
        <v>6</v>
      </c>
      <c r="AM2610" s="4">
        <v>6</v>
      </c>
      <c r="AN2610" s="4">
        <v>0</v>
      </c>
      <c r="AO2610" s="4">
        <v>0</v>
      </c>
      <c r="AP2610" s="3" t="s">
        <v>58</v>
      </c>
      <c r="AQ2610" s="3" t="s">
        <v>58</v>
      </c>
      <c r="AS2610" s="6" t="str">
        <f>HYPERLINK("https://creighton-primo.hosted.exlibrisgroup.com/primo-explore/search?tab=default_tab&amp;search_scope=EVERYTHING&amp;vid=01CRU&amp;lang=en_US&amp;offset=0&amp;query=any,contains,991003997129702656","Catalog Record")</f>
        <v>Catalog Record</v>
      </c>
      <c r="AT2610" s="6" t="str">
        <f>HYPERLINK("http://www.worldcat.org/oclc/7655421","WorldCat Record")</f>
        <v>WorldCat Record</v>
      </c>
      <c r="AU2610" s="3" t="s">
        <v>31834</v>
      </c>
      <c r="AV2610" s="3" t="s">
        <v>31835</v>
      </c>
      <c r="AW2610" s="3" t="s">
        <v>31836</v>
      </c>
      <c r="AX2610" s="3" t="s">
        <v>31836</v>
      </c>
      <c r="AY2610" s="3" t="s">
        <v>31837</v>
      </c>
      <c r="AZ2610" s="3" t="s">
        <v>73</v>
      </c>
      <c r="BB2610" s="3" t="s">
        <v>31838</v>
      </c>
      <c r="BC2610" s="3" t="s">
        <v>31839</v>
      </c>
      <c r="BD2610" s="3" t="s">
        <v>31840</v>
      </c>
    </row>
    <row r="2611" spans="1:56" ht="51" customHeight="1" x14ac:dyDescent="0.25">
      <c r="A2611" s="7" t="s">
        <v>58</v>
      </c>
      <c r="B2611" s="2" t="s">
        <v>31841</v>
      </c>
      <c r="C2611" s="2" t="s">
        <v>31842</v>
      </c>
      <c r="D2611" s="2" t="s">
        <v>31843</v>
      </c>
      <c r="F2611" s="3" t="s">
        <v>58</v>
      </c>
      <c r="G2611" s="3" t="s">
        <v>59</v>
      </c>
      <c r="H2611" s="3" t="s">
        <v>58</v>
      </c>
      <c r="I2611" s="3" t="s">
        <v>58</v>
      </c>
      <c r="J2611" s="3" t="s">
        <v>60</v>
      </c>
      <c r="K2611" s="2" t="s">
        <v>31844</v>
      </c>
      <c r="L2611" s="2" t="s">
        <v>31845</v>
      </c>
      <c r="M2611" s="3" t="s">
        <v>249</v>
      </c>
      <c r="O2611" s="3" t="s">
        <v>63</v>
      </c>
      <c r="P2611" s="3" t="s">
        <v>816</v>
      </c>
      <c r="R2611" s="3" t="s">
        <v>65</v>
      </c>
      <c r="S2611" s="4">
        <v>4</v>
      </c>
      <c r="T2611" s="4">
        <v>4</v>
      </c>
      <c r="U2611" s="5" t="s">
        <v>15894</v>
      </c>
      <c r="V2611" s="5" t="s">
        <v>15894</v>
      </c>
      <c r="W2611" s="5" t="s">
        <v>572</v>
      </c>
      <c r="X2611" s="5" t="s">
        <v>572</v>
      </c>
      <c r="Y2611" s="4">
        <v>710</v>
      </c>
      <c r="Z2611" s="4">
        <v>653</v>
      </c>
      <c r="AA2611" s="4">
        <v>745</v>
      </c>
      <c r="AB2611" s="4">
        <v>3</v>
      </c>
      <c r="AC2611" s="4">
        <v>5</v>
      </c>
      <c r="AD2611" s="4">
        <v>21</v>
      </c>
      <c r="AE2611" s="4">
        <v>24</v>
      </c>
      <c r="AF2611" s="4">
        <v>10</v>
      </c>
      <c r="AG2611" s="4">
        <v>10</v>
      </c>
      <c r="AH2611" s="4">
        <v>6</v>
      </c>
      <c r="AI2611" s="4">
        <v>6</v>
      </c>
      <c r="AJ2611" s="4">
        <v>9</v>
      </c>
      <c r="AK2611" s="4">
        <v>10</v>
      </c>
      <c r="AL2611" s="4">
        <v>2</v>
      </c>
      <c r="AM2611" s="4">
        <v>4</v>
      </c>
      <c r="AN2611" s="4">
        <v>0</v>
      </c>
      <c r="AO2611" s="4">
        <v>0</v>
      </c>
      <c r="AP2611" s="3" t="s">
        <v>58</v>
      </c>
      <c r="AQ2611" s="3" t="s">
        <v>68</v>
      </c>
      <c r="AR2611" s="6" t="str">
        <f>HYPERLINK("http://catalog.hathitrust.org/Record/001605007","HathiTrust Record")</f>
        <v>HathiTrust Record</v>
      </c>
      <c r="AS2611" s="6" t="str">
        <f>HYPERLINK("https://creighton-primo.hosted.exlibrisgroup.com/primo-explore/search?tab=default_tab&amp;search_scope=EVERYTHING&amp;vid=01CRU&amp;lang=en_US&amp;offset=0&amp;query=any,contains,991001912469702656","Catalog Record")</f>
        <v>Catalog Record</v>
      </c>
      <c r="AT2611" s="6" t="str">
        <f>HYPERLINK("http://www.worldcat.org/oclc/242620","WorldCat Record")</f>
        <v>WorldCat Record</v>
      </c>
      <c r="AU2611" s="3" t="s">
        <v>31846</v>
      </c>
      <c r="AV2611" s="3" t="s">
        <v>31847</v>
      </c>
      <c r="AW2611" s="3" t="s">
        <v>31848</v>
      </c>
      <c r="AX2611" s="3" t="s">
        <v>31848</v>
      </c>
      <c r="AY2611" s="3" t="s">
        <v>31849</v>
      </c>
      <c r="AZ2611" s="3" t="s">
        <v>73</v>
      </c>
      <c r="BC2611" s="3" t="s">
        <v>31850</v>
      </c>
      <c r="BD2611" s="3" t="s">
        <v>31851</v>
      </c>
    </row>
    <row r="2612" spans="1:56" ht="51" customHeight="1" x14ac:dyDescent="0.25">
      <c r="A2612" s="7" t="s">
        <v>58</v>
      </c>
      <c r="B2612" s="2" t="s">
        <v>31852</v>
      </c>
      <c r="C2612" s="2" t="s">
        <v>31853</v>
      </c>
      <c r="D2612" s="2" t="s">
        <v>31854</v>
      </c>
      <c r="F2612" s="3" t="s">
        <v>58</v>
      </c>
      <c r="G2612" s="3" t="s">
        <v>59</v>
      </c>
      <c r="H2612" s="3" t="s">
        <v>58</v>
      </c>
      <c r="I2612" s="3" t="s">
        <v>58</v>
      </c>
      <c r="J2612" s="3" t="s">
        <v>60</v>
      </c>
      <c r="K2612" s="2" t="s">
        <v>31855</v>
      </c>
      <c r="L2612" s="2" t="s">
        <v>31856</v>
      </c>
      <c r="M2612" s="3" t="s">
        <v>1153</v>
      </c>
      <c r="O2612" s="3" t="s">
        <v>63</v>
      </c>
      <c r="P2612" s="3" t="s">
        <v>214</v>
      </c>
      <c r="Q2612" s="2" t="s">
        <v>31857</v>
      </c>
      <c r="R2612" s="3" t="s">
        <v>65</v>
      </c>
      <c r="S2612" s="4">
        <v>7</v>
      </c>
      <c r="T2612" s="4">
        <v>7</v>
      </c>
      <c r="U2612" s="5" t="s">
        <v>31858</v>
      </c>
      <c r="V2612" s="5" t="s">
        <v>31858</v>
      </c>
      <c r="W2612" s="5" t="s">
        <v>572</v>
      </c>
      <c r="X2612" s="5" t="s">
        <v>572</v>
      </c>
      <c r="Y2612" s="4">
        <v>406</v>
      </c>
      <c r="Z2612" s="4">
        <v>345</v>
      </c>
      <c r="AA2612" s="4">
        <v>348</v>
      </c>
      <c r="AB2612" s="4">
        <v>5</v>
      </c>
      <c r="AC2612" s="4">
        <v>5</v>
      </c>
      <c r="AD2612" s="4">
        <v>22</v>
      </c>
      <c r="AE2612" s="4">
        <v>22</v>
      </c>
      <c r="AF2612" s="4">
        <v>6</v>
      </c>
      <c r="AG2612" s="4">
        <v>6</v>
      </c>
      <c r="AH2612" s="4">
        <v>8</v>
      </c>
      <c r="AI2612" s="4">
        <v>8</v>
      </c>
      <c r="AJ2612" s="4">
        <v>10</v>
      </c>
      <c r="AK2612" s="4">
        <v>10</v>
      </c>
      <c r="AL2612" s="4">
        <v>4</v>
      </c>
      <c r="AM2612" s="4">
        <v>4</v>
      </c>
      <c r="AN2612" s="4">
        <v>0</v>
      </c>
      <c r="AO2612" s="4">
        <v>0</v>
      </c>
      <c r="AP2612" s="3" t="s">
        <v>58</v>
      </c>
      <c r="AQ2612" s="3" t="s">
        <v>68</v>
      </c>
      <c r="AR2612" s="6" t="str">
        <f>HYPERLINK("http://catalog.hathitrust.org/Record/001968428","HathiTrust Record")</f>
        <v>HathiTrust Record</v>
      </c>
      <c r="AS2612" s="6" t="str">
        <f>HYPERLINK("https://creighton-primo.hosted.exlibrisgroup.com/primo-explore/search?tab=default_tab&amp;search_scope=EVERYTHING&amp;vid=01CRU&amp;lang=en_US&amp;offset=0&amp;query=any,contains,991003161289702656","Catalog Record")</f>
        <v>Catalog Record</v>
      </c>
      <c r="AT2612" s="6" t="str">
        <f>HYPERLINK("http://www.worldcat.org/oclc/700400","WorldCat Record")</f>
        <v>WorldCat Record</v>
      </c>
      <c r="AU2612" s="3" t="s">
        <v>31859</v>
      </c>
      <c r="AV2612" s="3" t="s">
        <v>31860</v>
      </c>
      <c r="AW2612" s="3" t="s">
        <v>31861</v>
      </c>
      <c r="AX2612" s="3" t="s">
        <v>31861</v>
      </c>
      <c r="AY2612" s="3" t="s">
        <v>31862</v>
      </c>
      <c r="AZ2612" s="3" t="s">
        <v>73</v>
      </c>
      <c r="BB2612" s="3" t="s">
        <v>31863</v>
      </c>
      <c r="BC2612" s="3" t="s">
        <v>31864</v>
      </c>
      <c r="BD2612" s="3" t="s">
        <v>31865</v>
      </c>
    </row>
    <row r="2613" spans="1:56" ht="51" customHeight="1" x14ac:dyDescent="0.25">
      <c r="A2613" s="7" t="s">
        <v>58</v>
      </c>
      <c r="B2613" s="2" t="s">
        <v>31866</v>
      </c>
      <c r="C2613" s="2" t="s">
        <v>31867</v>
      </c>
      <c r="D2613" s="2" t="s">
        <v>31868</v>
      </c>
      <c r="F2613" s="3" t="s">
        <v>58</v>
      </c>
      <c r="G2613" s="3" t="s">
        <v>59</v>
      </c>
      <c r="H2613" s="3" t="s">
        <v>58</v>
      </c>
      <c r="I2613" s="3" t="s">
        <v>58</v>
      </c>
      <c r="J2613" s="3" t="s">
        <v>60</v>
      </c>
      <c r="L2613" s="2" t="s">
        <v>31869</v>
      </c>
      <c r="M2613" s="3" t="s">
        <v>1357</v>
      </c>
      <c r="O2613" s="3" t="s">
        <v>63</v>
      </c>
      <c r="P2613" s="3" t="s">
        <v>214</v>
      </c>
      <c r="Q2613" s="2" t="s">
        <v>31870</v>
      </c>
      <c r="R2613" s="3" t="s">
        <v>65</v>
      </c>
      <c r="S2613" s="4">
        <v>4</v>
      </c>
      <c r="T2613" s="4">
        <v>4</v>
      </c>
      <c r="U2613" s="5" t="s">
        <v>31858</v>
      </c>
      <c r="V2613" s="5" t="s">
        <v>31858</v>
      </c>
      <c r="W2613" s="5" t="s">
        <v>572</v>
      </c>
      <c r="X2613" s="5" t="s">
        <v>572</v>
      </c>
      <c r="Y2613" s="4">
        <v>625</v>
      </c>
      <c r="Z2613" s="4">
        <v>527</v>
      </c>
      <c r="AA2613" s="4">
        <v>531</v>
      </c>
      <c r="AB2613" s="4">
        <v>4</v>
      </c>
      <c r="AC2613" s="4">
        <v>4</v>
      </c>
      <c r="AD2613" s="4">
        <v>24</v>
      </c>
      <c r="AE2613" s="4">
        <v>24</v>
      </c>
      <c r="AF2613" s="4">
        <v>9</v>
      </c>
      <c r="AG2613" s="4">
        <v>9</v>
      </c>
      <c r="AH2613" s="4">
        <v>7</v>
      </c>
      <c r="AI2613" s="4">
        <v>7</v>
      </c>
      <c r="AJ2613" s="4">
        <v>12</v>
      </c>
      <c r="AK2613" s="4">
        <v>12</v>
      </c>
      <c r="AL2613" s="4">
        <v>3</v>
      </c>
      <c r="AM2613" s="4">
        <v>3</v>
      </c>
      <c r="AN2613" s="4">
        <v>0</v>
      </c>
      <c r="AO2613" s="4">
        <v>0</v>
      </c>
      <c r="AP2613" s="3" t="s">
        <v>58</v>
      </c>
      <c r="AQ2613" s="3" t="s">
        <v>58</v>
      </c>
      <c r="AS2613" s="6" t="str">
        <f>HYPERLINK("https://creighton-primo.hosted.exlibrisgroup.com/primo-explore/search?tab=default_tab&amp;search_scope=EVERYTHING&amp;vid=01CRU&amp;lang=en_US&amp;offset=0&amp;query=any,contains,991000470269702656","Catalog Record")</f>
        <v>Catalog Record</v>
      </c>
      <c r="AT2613" s="6" t="str">
        <f>HYPERLINK("http://www.worldcat.org/oclc/79149","WorldCat Record")</f>
        <v>WorldCat Record</v>
      </c>
      <c r="AU2613" s="3" t="s">
        <v>31871</v>
      </c>
      <c r="AV2613" s="3" t="s">
        <v>31872</v>
      </c>
      <c r="AW2613" s="3" t="s">
        <v>31873</v>
      </c>
      <c r="AX2613" s="3" t="s">
        <v>31873</v>
      </c>
      <c r="AY2613" s="3" t="s">
        <v>31874</v>
      </c>
      <c r="AZ2613" s="3" t="s">
        <v>73</v>
      </c>
      <c r="BB2613" s="3" t="s">
        <v>31875</v>
      </c>
      <c r="BC2613" s="3" t="s">
        <v>31876</v>
      </c>
      <c r="BD2613" s="3" t="s">
        <v>31877</v>
      </c>
    </row>
    <row r="2614" spans="1:56" ht="51" customHeight="1" x14ac:dyDescent="0.25">
      <c r="A2614" s="7" t="s">
        <v>58</v>
      </c>
      <c r="B2614" s="2" t="s">
        <v>31878</v>
      </c>
      <c r="C2614" s="2" t="s">
        <v>31879</v>
      </c>
      <c r="D2614" s="2" t="s">
        <v>31880</v>
      </c>
      <c r="F2614" s="3" t="s">
        <v>58</v>
      </c>
      <c r="G2614" s="3" t="s">
        <v>59</v>
      </c>
      <c r="H2614" s="3" t="s">
        <v>58</v>
      </c>
      <c r="I2614" s="3" t="s">
        <v>58</v>
      </c>
      <c r="J2614" s="3" t="s">
        <v>60</v>
      </c>
      <c r="K2614" s="2" t="s">
        <v>31881</v>
      </c>
      <c r="L2614" s="2" t="s">
        <v>31882</v>
      </c>
      <c r="M2614" s="3" t="s">
        <v>2132</v>
      </c>
      <c r="O2614" s="3" t="s">
        <v>63</v>
      </c>
      <c r="P2614" s="3" t="s">
        <v>214</v>
      </c>
      <c r="Q2614" s="2" t="s">
        <v>31883</v>
      </c>
      <c r="R2614" s="3" t="s">
        <v>65</v>
      </c>
      <c r="S2614" s="4">
        <v>6</v>
      </c>
      <c r="T2614" s="4">
        <v>6</v>
      </c>
      <c r="U2614" s="5" t="s">
        <v>31858</v>
      </c>
      <c r="V2614" s="5" t="s">
        <v>31858</v>
      </c>
      <c r="W2614" s="5" t="s">
        <v>572</v>
      </c>
      <c r="X2614" s="5" t="s">
        <v>572</v>
      </c>
      <c r="Y2614" s="4">
        <v>732</v>
      </c>
      <c r="Z2614" s="4">
        <v>657</v>
      </c>
      <c r="AA2614" s="4">
        <v>665</v>
      </c>
      <c r="AB2614" s="4">
        <v>5</v>
      </c>
      <c r="AC2614" s="4">
        <v>5</v>
      </c>
      <c r="AD2614" s="4">
        <v>22</v>
      </c>
      <c r="AE2614" s="4">
        <v>22</v>
      </c>
      <c r="AF2614" s="4">
        <v>9</v>
      </c>
      <c r="AG2614" s="4">
        <v>9</v>
      </c>
      <c r="AH2614" s="4">
        <v>4</v>
      </c>
      <c r="AI2614" s="4">
        <v>4</v>
      </c>
      <c r="AJ2614" s="4">
        <v>10</v>
      </c>
      <c r="AK2614" s="4">
        <v>10</v>
      </c>
      <c r="AL2614" s="4">
        <v>4</v>
      </c>
      <c r="AM2614" s="4">
        <v>4</v>
      </c>
      <c r="AN2614" s="4">
        <v>0</v>
      </c>
      <c r="AO2614" s="4">
        <v>0</v>
      </c>
      <c r="AP2614" s="3" t="s">
        <v>58</v>
      </c>
      <c r="AQ2614" s="3" t="s">
        <v>68</v>
      </c>
      <c r="AR2614" s="6" t="str">
        <f>HYPERLINK("http://catalog.hathitrust.org/Record/001606569","HathiTrust Record")</f>
        <v>HathiTrust Record</v>
      </c>
      <c r="AS2614" s="6" t="str">
        <f>HYPERLINK("https://creighton-primo.hosted.exlibrisgroup.com/primo-explore/search?tab=default_tab&amp;search_scope=EVERYTHING&amp;vid=01CRU&amp;lang=en_US&amp;offset=0&amp;query=any,contains,991002827309702656","Catalog Record")</f>
        <v>Catalog Record</v>
      </c>
      <c r="AT2614" s="6" t="str">
        <f>HYPERLINK("http://www.worldcat.org/oclc/475964","WorldCat Record")</f>
        <v>WorldCat Record</v>
      </c>
      <c r="AU2614" s="3" t="s">
        <v>31884</v>
      </c>
      <c r="AV2614" s="3" t="s">
        <v>31885</v>
      </c>
      <c r="AW2614" s="3" t="s">
        <v>31886</v>
      </c>
      <c r="AX2614" s="3" t="s">
        <v>31886</v>
      </c>
      <c r="AY2614" s="3" t="s">
        <v>31887</v>
      </c>
      <c r="AZ2614" s="3" t="s">
        <v>73</v>
      </c>
      <c r="BC2614" s="3" t="s">
        <v>31888</v>
      </c>
      <c r="BD2614" s="3" t="s">
        <v>31889</v>
      </c>
    </row>
    <row r="2615" spans="1:56" ht="51" customHeight="1" x14ac:dyDescent="0.25">
      <c r="A2615" s="7" t="s">
        <v>58</v>
      </c>
      <c r="B2615" s="2" t="s">
        <v>31890</v>
      </c>
      <c r="C2615" s="2" t="s">
        <v>31891</v>
      </c>
      <c r="D2615" s="2" t="s">
        <v>31892</v>
      </c>
      <c r="F2615" s="3" t="s">
        <v>58</v>
      </c>
      <c r="G2615" s="3" t="s">
        <v>59</v>
      </c>
      <c r="H2615" s="3" t="s">
        <v>58</v>
      </c>
      <c r="I2615" s="3" t="s">
        <v>58</v>
      </c>
      <c r="J2615" s="3" t="s">
        <v>60</v>
      </c>
      <c r="K2615" s="2" t="s">
        <v>31893</v>
      </c>
      <c r="L2615" s="2" t="s">
        <v>31894</v>
      </c>
      <c r="M2615" s="3" t="s">
        <v>1357</v>
      </c>
      <c r="O2615" s="3" t="s">
        <v>63</v>
      </c>
      <c r="P2615" s="3" t="s">
        <v>2061</v>
      </c>
      <c r="R2615" s="3" t="s">
        <v>65</v>
      </c>
      <c r="S2615" s="4">
        <v>2</v>
      </c>
      <c r="T2615" s="4">
        <v>2</v>
      </c>
      <c r="U2615" s="5" t="s">
        <v>10981</v>
      </c>
      <c r="V2615" s="5" t="s">
        <v>10981</v>
      </c>
      <c r="W2615" s="5" t="s">
        <v>572</v>
      </c>
      <c r="X2615" s="5" t="s">
        <v>572</v>
      </c>
      <c r="Y2615" s="4">
        <v>738</v>
      </c>
      <c r="Z2615" s="4">
        <v>614</v>
      </c>
      <c r="AA2615" s="4">
        <v>620</v>
      </c>
      <c r="AB2615" s="4">
        <v>4</v>
      </c>
      <c r="AC2615" s="4">
        <v>4</v>
      </c>
      <c r="AD2615" s="4">
        <v>33</v>
      </c>
      <c r="AE2615" s="4">
        <v>33</v>
      </c>
      <c r="AF2615" s="4">
        <v>13</v>
      </c>
      <c r="AG2615" s="4">
        <v>13</v>
      </c>
      <c r="AH2615" s="4">
        <v>8</v>
      </c>
      <c r="AI2615" s="4">
        <v>8</v>
      </c>
      <c r="AJ2615" s="4">
        <v>16</v>
      </c>
      <c r="AK2615" s="4">
        <v>16</v>
      </c>
      <c r="AL2615" s="4">
        <v>3</v>
      </c>
      <c r="AM2615" s="4">
        <v>3</v>
      </c>
      <c r="AN2615" s="4">
        <v>1</v>
      </c>
      <c r="AO2615" s="4">
        <v>1</v>
      </c>
      <c r="AP2615" s="3" t="s">
        <v>58</v>
      </c>
      <c r="AQ2615" s="3" t="s">
        <v>58</v>
      </c>
      <c r="AS2615" s="6" t="str">
        <f>HYPERLINK("https://creighton-primo.hosted.exlibrisgroup.com/primo-explore/search?tab=default_tab&amp;search_scope=EVERYTHING&amp;vid=01CRU&amp;lang=en_US&amp;offset=0&amp;query=any,contains,991000197789702656","Catalog Record")</f>
        <v>Catalog Record</v>
      </c>
      <c r="AT2615" s="6" t="str">
        <f>HYPERLINK("http://www.worldcat.org/oclc/64322","WorldCat Record")</f>
        <v>WorldCat Record</v>
      </c>
      <c r="AU2615" s="3" t="s">
        <v>31895</v>
      </c>
      <c r="AV2615" s="3" t="s">
        <v>31896</v>
      </c>
      <c r="AW2615" s="3" t="s">
        <v>31897</v>
      </c>
      <c r="AX2615" s="3" t="s">
        <v>31897</v>
      </c>
      <c r="AY2615" s="3" t="s">
        <v>31898</v>
      </c>
      <c r="AZ2615" s="3" t="s">
        <v>73</v>
      </c>
      <c r="BB2615" s="3" t="s">
        <v>31899</v>
      </c>
      <c r="BC2615" s="3" t="s">
        <v>31900</v>
      </c>
      <c r="BD2615" s="3" t="s">
        <v>31901</v>
      </c>
    </row>
    <row r="2616" spans="1:56" ht="51" customHeight="1" x14ac:dyDescent="0.25">
      <c r="A2616" s="7" t="s">
        <v>58</v>
      </c>
      <c r="B2616" s="2" t="s">
        <v>31902</v>
      </c>
      <c r="C2616" s="2" t="s">
        <v>31903</v>
      </c>
      <c r="D2616" s="2" t="s">
        <v>31904</v>
      </c>
      <c r="F2616" s="3" t="s">
        <v>58</v>
      </c>
      <c r="G2616" s="3" t="s">
        <v>59</v>
      </c>
      <c r="H2616" s="3" t="s">
        <v>58</v>
      </c>
      <c r="I2616" s="3" t="s">
        <v>58</v>
      </c>
      <c r="J2616" s="3" t="s">
        <v>60</v>
      </c>
      <c r="K2616" s="2" t="s">
        <v>31905</v>
      </c>
      <c r="L2616" s="2" t="s">
        <v>31906</v>
      </c>
      <c r="M2616" s="3" t="s">
        <v>996</v>
      </c>
      <c r="O2616" s="3" t="s">
        <v>63</v>
      </c>
      <c r="P2616" s="3" t="s">
        <v>214</v>
      </c>
      <c r="R2616" s="3" t="s">
        <v>65</v>
      </c>
      <c r="S2616" s="4">
        <v>4</v>
      </c>
      <c r="T2616" s="4">
        <v>4</v>
      </c>
      <c r="U2616" s="5" t="s">
        <v>25623</v>
      </c>
      <c r="V2616" s="5" t="s">
        <v>25623</v>
      </c>
      <c r="W2616" s="5" t="s">
        <v>572</v>
      </c>
      <c r="X2616" s="5" t="s">
        <v>572</v>
      </c>
      <c r="Y2616" s="4">
        <v>161</v>
      </c>
      <c r="Z2616" s="4">
        <v>133</v>
      </c>
      <c r="AA2616" s="4">
        <v>471</v>
      </c>
      <c r="AB2616" s="4">
        <v>4</v>
      </c>
      <c r="AC2616" s="4">
        <v>6</v>
      </c>
      <c r="AD2616" s="4">
        <v>7</v>
      </c>
      <c r="AE2616" s="4">
        <v>22</v>
      </c>
      <c r="AF2616" s="4">
        <v>2</v>
      </c>
      <c r="AG2616" s="4">
        <v>7</v>
      </c>
      <c r="AH2616" s="4">
        <v>0</v>
      </c>
      <c r="AI2616" s="4">
        <v>5</v>
      </c>
      <c r="AJ2616" s="4">
        <v>2</v>
      </c>
      <c r="AK2616" s="4">
        <v>10</v>
      </c>
      <c r="AL2616" s="4">
        <v>3</v>
      </c>
      <c r="AM2616" s="4">
        <v>5</v>
      </c>
      <c r="AN2616" s="4">
        <v>0</v>
      </c>
      <c r="AO2616" s="4">
        <v>0</v>
      </c>
      <c r="AP2616" s="3" t="s">
        <v>58</v>
      </c>
      <c r="AQ2616" s="3" t="s">
        <v>58</v>
      </c>
      <c r="AS2616" s="6" t="str">
        <f>HYPERLINK("https://creighton-primo.hosted.exlibrisgroup.com/primo-explore/search?tab=default_tab&amp;search_scope=EVERYTHING&amp;vid=01CRU&amp;lang=en_US&amp;offset=0&amp;query=any,contains,991002180919702656","Catalog Record")</f>
        <v>Catalog Record</v>
      </c>
      <c r="AT2616" s="6" t="str">
        <f>HYPERLINK("http://www.worldcat.org/oclc/279019","WorldCat Record")</f>
        <v>WorldCat Record</v>
      </c>
      <c r="AU2616" s="3" t="s">
        <v>31907</v>
      </c>
      <c r="AV2616" s="3" t="s">
        <v>31908</v>
      </c>
      <c r="AW2616" s="3" t="s">
        <v>31909</v>
      </c>
      <c r="AX2616" s="3" t="s">
        <v>31909</v>
      </c>
      <c r="AY2616" s="3" t="s">
        <v>31910</v>
      </c>
      <c r="AZ2616" s="3" t="s">
        <v>73</v>
      </c>
      <c r="BB2616" s="3" t="s">
        <v>31911</v>
      </c>
      <c r="BC2616" s="3" t="s">
        <v>31912</v>
      </c>
      <c r="BD2616" s="3" t="s">
        <v>31913</v>
      </c>
    </row>
    <row r="2617" spans="1:56" ht="51" customHeight="1" x14ac:dyDescent="0.25">
      <c r="A2617" s="7" t="s">
        <v>58</v>
      </c>
      <c r="B2617" s="2" t="s">
        <v>31914</v>
      </c>
      <c r="C2617" s="2" t="s">
        <v>31915</v>
      </c>
      <c r="D2617" s="2" t="s">
        <v>31916</v>
      </c>
      <c r="F2617" s="3" t="s">
        <v>58</v>
      </c>
      <c r="G2617" s="3" t="s">
        <v>59</v>
      </c>
      <c r="H2617" s="3" t="s">
        <v>58</v>
      </c>
      <c r="I2617" s="3" t="s">
        <v>58</v>
      </c>
      <c r="J2617" s="3" t="s">
        <v>60</v>
      </c>
      <c r="K2617" s="2" t="s">
        <v>29707</v>
      </c>
      <c r="L2617" s="2" t="s">
        <v>31132</v>
      </c>
      <c r="M2617" s="3" t="s">
        <v>855</v>
      </c>
      <c r="N2617" s="2" t="s">
        <v>338</v>
      </c>
      <c r="O2617" s="3" t="s">
        <v>63</v>
      </c>
      <c r="P2617" s="3" t="s">
        <v>10900</v>
      </c>
      <c r="R2617" s="3" t="s">
        <v>65</v>
      </c>
      <c r="S2617" s="4">
        <v>1</v>
      </c>
      <c r="T2617" s="4">
        <v>1</v>
      </c>
      <c r="U2617" s="5" t="s">
        <v>14274</v>
      </c>
      <c r="V2617" s="5" t="s">
        <v>14274</v>
      </c>
      <c r="W2617" s="5" t="s">
        <v>31917</v>
      </c>
      <c r="X2617" s="5" t="s">
        <v>31917</v>
      </c>
      <c r="Y2617" s="4">
        <v>46</v>
      </c>
      <c r="Z2617" s="4">
        <v>28</v>
      </c>
      <c r="AA2617" s="4">
        <v>621</v>
      </c>
      <c r="AB2617" s="4">
        <v>1</v>
      </c>
      <c r="AC2617" s="4">
        <v>6</v>
      </c>
      <c r="AD2617" s="4">
        <v>1</v>
      </c>
      <c r="AE2617" s="4">
        <v>19</v>
      </c>
      <c r="AF2617" s="4">
        <v>0</v>
      </c>
      <c r="AG2617" s="4">
        <v>6</v>
      </c>
      <c r="AH2617" s="4">
        <v>0</v>
      </c>
      <c r="AI2617" s="4">
        <v>6</v>
      </c>
      <c r="AJ2617" s="4">
        <v>1</v>
      </c>
      <c r="AK2617" s="4">
        <v>6</v>
      </c>
      <c r="AL2617" s="4">
        <v>0</v>
      </c>
      <c r="AM2617" s="4">
        <v>5</v>
      </c>
      <c r="AN2617" s="4">
        <v>0</v>
      </c>
      <c r="AO2617" s="4">
        <v>0</v>
      </c>
      <c r="AP2617" s="3" t="s">
        <v>58</v>
      </c>
      <c r="AQ2617" s="3" t="s">
        <v>58</v>
      </c>
      <c r="AS2617" s="6" t="str">
        <f>HYPERLINK("https://creighton-primo.hosted.exlibrisgroup.com/primo-explore/search?tab=default_tab&amp;search_scope=EVERYTHING&amp;vid=01CRU&amp;lang=en_US&amp;offset=0&amp;query=any,contains,991002287409702656","Catalog Record")</f>
        <v>Catalog Record</v>
      </c>
      <c r="AT2617" s="6" t="str">
        <f>HYPERLINK("http://www.worldcat.org/oclc/29660412","WorldCat Record")</f>
        <v>WorldCat Record</v>
      </c>
      <c r="AU2617" s="3" t="s">
        <v>31918</v>
      </c>
      <c r="AV2617" s="3" t="s">
        <v>31919</v>
      </c>
      <c r="AW2617" s="3" t="s">
        <v>31920</v>
      </c>
      <c r="AX2617" s="3" t="s">
        <v>31920</v>
      </c>
      <c r="AY2617" s="3" t="s">
        <v>31921</v>
      </c>
      <c r="AZ2617" s="3" t="s">
        <v>73</v>
      </c>
      <c r="BB2617" s="3" t="s">
        <v>31922</v>
      </c>
      <c r="BC2617" s="3" t="s">
        <v>31923</v>
      </c>
      <c r="BD2617" s="3" t="s">
        <v>31924</v>
      </c>
    </row>
    <row r="2618" spans="1:56" ht="51" customHeight="1" x14ac:dyDescent="0.25">
      <c r="A2618" s="7" t="s">
        <v>58</v>
      </c>
      <c r="B2618" s="2" t="s">
        <v>31925</v>
      </c>
      <c r="C2618" s="2" t="s">
        <v>31926</v>
      </c>
      <c r="D2618" s="2" t="s">
        <v>31927</v>
      </c>
      <c r="F2618" s="3" t="s">
        <v>58</v>
      </c>
      <c r="G2618" s="3" t="s">
        <v>59</v>
      </c>
      <c r="H2618" s="3" t="s">
        <v>58</v>
      </c>
      <c r="I2618" s="3" t="s">
        <v>58</v>
      </c>
      <c r="J2618" s="3" t="s">
        <v>60</v>
      </c>
      <c r="K2618" s="2" t="s">
        <v>31844</v>
      </c>
      <c r="L2618" s="2" t="s">
        <v>31928</v>
      </c>
      <c r="M2618" s="3" t="s">
        <v>731</v>
      </c>
      <c r="N2618" s="2" t="s">
        <v>1470</v>
      </c>
      <c r="O2618" s="3" t="s">
        <v>63</v>
      </c>
      <c r="P2618" s="3" t="s">
        <v>981</v>
      </c>
      <c r="R2618" s="3" t="s">
        <v>65</v>
      </c>
      <c r="S2618" s="4">
        <v>4</v>
      </c>
      <c r="T2618" s="4">
        <v>4</v>
      </c>
      <c r="U2618" s="5" t="s">
        <v>31929</v>
      </c>
      <c r="V2618" s="5" t="s">
        <v>31929</v>
      </c>
      <c r="W2618" s="5" t="s">
        <v>31579</v>
      </c>
      <c r="X2618" s="5" t="s">
        <v>31579</v>
      </c>
      <c r="Y2618" s="4">
        <v>690</v>
      </c>
      <c r="Z2618" s="4">
        <v>635</v>
      </c>
      <c r="AA2618" s="4">
        <v>805</v>
      </c>
      <c r="AB2618" s="4">
        <v>2</v>
      </c>
      <c r="AC2618" s="4">
        <v>3</v>
      </c>
      <c r="AD2618" s="4">
        <v>17</v>
      </c>
      <c r="AE2618" s="4">
        <v>22</v>
      </c>
      <c r="AF2618" s="4">
        <v>7</v>
      </c>
      <c r="AG2618" s="4">
        <v>10</v>
      </c>
      <c r="AH2618" s="4">
        <v>4</v>
      </c>
      <c r="AI2618" s="4">
        <v>6</v>
      </c>
      <c r="AJ2618" s="4">
        <v>8</v>
      </c>
      <c r="AK2618" s="4">
        <v>10</v>
      </c>
      <c r="AL2618" s="4">
        <v>1</v>
      </c>
      <c r="AM2618" s="4">
        <v>2</v>
      </c>
      <c r="AN2618" s="4">
        <v>0</v>
      </c>
      <c r="AO2618" s="4">
        <v>0</v>
      </c>
      <c r="AP2618" s="3" t="s">
        <v>68</v>
      </c>
      <c r="AQ2618" s="3" t="s">
        <v>58</v>
      </c>
      <c r="AR2618" s="6" t="str">
        <f>HYPERLINK("http://catalog.hathitrust.org/Record/001606589","HathiTrust Record")</f>
        <v>HathiTrust Record</v>
      </c>
      <c r="AS2618" s="6" t="str">
        <f>HYPERLINK("https://creighton-primo.hosted.exlibrisgroup.com/primo-explore/search?tab=default_tab&amp;search_scope=EVERYTHING&amp;vid=01CRU&amp;lang=en_US&amp;offset=0&amp;query=any,contains,991003197189702656","Catalog Record")</f>
        <v>Catalog Record</v>
      </c>
      <c r="AT2618" s="6" t="str">
        <f>HYPERLINK("http://www.worldcat.org/oclc/722356","WorldCat Record")</f>
        <v>WorldCat Record</v>
      </c>
      <c r="AU2618" s="3" t="s">
        <v>31930</v>
      </c>
      <c r="AV2618" s="3" t="s">
        <v>31931</v>
      </c>
      <c r="AW2618" s="3" t="s">
        <v>31932</v>
      </c>
      <c r="AX2618" s="3" t="s">
        <v>31932</v>
      </c>
      <c r="AY2618" s="3" t="s">
        <v>31933</v>
      </c>
      <c r="AZ2618" s="3" t="s">
        <v>73</v>
      </c>
      <c r="BC2618" s="3" t="s">
        <v>31934</v>
      </c>
      <c r="BD2618" s="3" t="s">
        <v>31935</v>
      </c>
    </row>
    <row r="2619" spans="1:56" ht="51" customHeight="1" x14ac:dyDescent="0.25">
      <c r="A2619" s="7" t="s">
        <v>58</v>
      </c>
      <c r="B2619" s="2" t="s">
        <v>31936</v>
      </c>
      <c r="C2619" s="2" t="s">
        <v>31937</v>
      </c>
      <c r="D2619" s="2" t="s">
        <v>31938</v>
      </c>
      <c r="F2619" s="3" t="s">
        <v>58</v>
      </c>
      <c r="G2619" s="3" t="s">
        <v>59</v>
      </c>
      <c r="H2619" s="3" t="s">
        <v>58</v>
      </c>
      <c r="I2619" s="3" t="s">
        <v>58</v>
      </c>
      <c r="J2619" s="3" t="s">
        <v>60</v>
      </c>
      <c r="K2619" s="2" t="s">
        <v>31939</v>
      </c>
      <c r="L2619" s="2" t="s">
        <v>31940</v>
      </c>
      <c r="M2619" s="3" t="s">
        <v>382</v>
      </c>
      <c r="O2619" s="3" t="s">
        <v>63</v>
      </c>
      <c r="P2619" s="3" t="s">
        <v>10160</v>
      </c>
      <c r="R2619" s="3" t="s">
        <v>65</v>
      </c>
      <c r="S2619" s="4">
        <v>2</v>
      </c>
      <c r="T2619" s="4">
        <v>2</v>
      </c>
      <c r="U2619" s="5" t="s">
        <v>31941</v>
      </c>
      <c r="V2619" s="5" t="s">
        <v>31941</v>
      </c>
      <c r="W2619" s="5" t="s">
        <v>31942</v>
      </c>
      <c r="X2619" s="5" t="s">
        <v>31942</v>
      </c>
      <c r="Y2619" s="4">
        <v>448</v>
      </c>
      <c r="Z2619" s="4">
        <v>349</v>
      </c>
      <c r="AA2619" s="4">
        <v>1223</v>
      </c>
      <c r="AB2619" s="4">
        <v>3</v>
      </c>
      <c r="AC2619" s="4">
        <v>5</v>
      </c>
      <c r="AD2619" s="4">
        <v>21</v>
      </c>
      <c r="AE2619" s="4">
        <v>31</v>
      </c>
      <c r="AF2619" s="4">
        <v>6</v>
      </c>
      <c r="AG2619" s="4">
        <v>14</v>
      </c>
      <c r="AH2619" s="4">
        <v>7</v>
      </c>
      <c r="AI2619" s="4">
        <v>8</v>
      </c>
      <c r="AJ2619" s="4">
        <v>13</v>
      </c>
      <c r="AK2619" s="4">
        <v>15</v>
      </c>
      <c r="AL2619" s="4">
        <v>2</v>
      </c>
      <c r="AM2619" s="4">
        <v>4</v>
      </c>
      <c r="AN2619" s="4">
        <v>0</v>
      </c>
      <c r="AO2619" s="4">
        <v>0</v>
      </c>
      <c r="AP2619" s="3" t="s">
        <v>58</v>
      </c>
      <c r="AQ2619" s="3" t="s">
        <v>58</v>
      </c>
      <c r="AS2619" s="6" t="str">
        <f>HYPERLINK("https://creighton-primo.hosted.exlibrisgroup.com/primo-explore/search?tab=default_tab&amp;search_scope=EVERYTHING&amp;vid=01CRU&amp;lang=en_US&amp;offset=0&amp;query=any,contains,991003510029702656","Catalog Record")</f>
        <v>Catalog Record</v>
      </c>
      <c r="AT2619" s="6" t="str">
        <f>HYPERLINK("http://www.worldcat.org/oclc/39633631","WorldCat Record")</f>
        <v>WorldCat Record</v>
      </c>
      <c r="AU2619" s="3" t="s">
        <v>31943</v>
      </c>
      <c r="AV2619" s="3" t="s">
        <v>31944</v>
      </c>
      <c r="AW2619" s="3" t="s">
        <v>31945</v>
      </c>
      <c r="AX2619" s="3" t="s">
        <v>31945</v>
      </c>
      <c r="AY2619" s="3" t="s">
        <v>31946</v>
      </c>
      <c r="AZ2619" s="3" t="s">
        <v>73</v>
      </c>
      <c r="BB2619" s="3" t="s">
        <v>31947</v>
      </c>
      <c r="BC2619" s="3" t="s">
        <v>31948</v>
      </c>
      <c r="BD2619" s="3" t="s">
        <v>31949</v>
      </c>
    </row>
    <row r="2620" spans="1:56" ht="51" customHeight="1" x14ac:dyDescent="0.25">
      <c r="A2620" s="7" t="s">
        <v>58</v>
      </c>
      <c r="B2620" s="2" t="s">
        <v>31950</v>
      </c>
      <c r="C2620" s="2" t="s">
        <v>31951</v>
      </c>
      <c r="D2620" s="2" t="s">
        <v>31952</v>
      </c>
      <c r="F2620" s="3" t="s">
        <v>58</v>
      </c>
      <c r="G2620" s="3" t="s">
        <v>59</v>
      </c>
      <c r="H2620" s="3" t="s">
        <v>58</v>
      </c>
      <c r="I2620" s="3" t="s">
        <v>58</v>
      </c>
      <c r="J2620" s="3" t="s">
        <v>60</v>
      </c>
      <c r="K2620" s="2" t="s">
        <v>28897</v>
      </c>
      <c r="L2620" s="2" t="s">
        <v>31953</v>
      </c>
      <c r="M2620" s="3" t="s">
        <v>552</v>
      </c>
      <c r="N2620" s="2" t="s">
        <v>338</v>
      </c>
      <c r="O2620" s="3" t="s">
        <v>63</v>
      </c>
      <c r="P2620" s="3" t="s">
        <v>214</v>
      </c>
      <c r="R2620" s="3" t="s">
        <v>65</v>
      </c>
      <c r="S2620" s="4">
        <v>1</v>
      </c>
      <c r="T2620" s="4">
        <v>1</v>
      </c>
      <c r="U2620" s="5" t="s">
        <v>16113</v>
      </c>
      <c r="V2620" s="5" t="s">
        <v>16113</v>
      </c>
      <c r="W2620" s="5" t="s">
        <v>31954</v>
      </c>
      <c r="X2620" s="5" t="s">
        <v>31954</v>
      </c>
      <c r="Y2620" s="4">
        <v>667</v>
      </c>
      <c r="Z2620" s="4">
        <v>589</v>
      </c>
      <c r="AA2620" s="4">
        <v>686</v>
      </c>
      <c r="AB2620" s="4">
        <v>4</v>
      </c>
      <c r="AC2620" s="4">
        <v>4</v>
      </c>
      <c r="AD2620" s="4">
        <v>17</v>
      </c>
      <c r="AE2620" s="4">
        <v>21</v>
      </c>
      <c r="AF2620" s="4">
        <v>6</v>
      </c>
      <c r="AG2620" s="4">
        <v>10</v>
      </c>
      <c r="AH2620" s="4">
        <v>3</v>
      </c>
      <c r="AI2620" s="4">
        <v>3</v>
      </c>
      <c r="AJ2620" s="4">
        <v>13</v>
      </c>
      <c r="AK2620" s="4">
        <v>15</v>
      </c>
      <c r="AL2620" s="4">
        <v>2</v>
      </c>
      <c r="AM2620" s="4">
        <v>2</v>
      </c>
      <c r="AN2620" s="4">
        <v>0</v>
      </c>
      <c r="AO2620" s="4">
        <v>0</v>
      </c>
      <c r="AP2620" s="3" t="s">
        <v>58</v>
      </c>
      <c r="AQ2620" s="3" t="s">
        <v>58</v>
      </c>
      <c r="AS2620" s="6" t="str">
        <f>HYPERLINK("https://creighton-primo.hosted.exlibrisgroup.com/primo-explore/search?tab=default_tab&amp;search_scope=EVERYTHING&amp;vid=01CRU&amp;lang=en_US&amp;offset=0&amp;query=any,contains,991001490099702656","Catalog Record")</f>
        <v>Catalog Record</v>
      </c>
      <c r="AT2620" s="6" t="str">
        <f>HYPERLINK("http://www.worldcat.org/oclc/19722163","WorldCat Record")</f>
        <v>WorldCat Record</v>
      </c>
      <c r="AU2620" s="3" t="s">
        <v>31955</v>
      </c>
      <c r="AV2620" s="3" t="s">
        <v>31956</v>
      </c>
      <c r="AW2620" s="3" t="s">
        <v>31957</v>
      </c>
      <c r="AX2620" s="3" t="s">
        <v>31957</v>
      </c>
      <c r="AY2620" s="3" t="s">
        <v>31958</v>
      </c>
      <c r="AZ2620" s="3" t="s">
        <v>73</v>
      </c>
      <c r="BB2620" s="3" t="s">
        <v>31959</v>
      </c>
      <c r="BC2620" s="3" t="s">
        <v>31960</v>
      </c>
      <c r="BD2620" s="3" t="s">
        <v>31961</v>
      </c>
    </row>
    <row r="2621" spans="1:56" ht="51" customHeight="1" x14ac:dyDescent="0.25">
      <c r="A2621" s="7" t="s">
        <v>58</v>
      </c>
      <c r="B2621" s="2" t="s">
        <v>31962</v>
      </c>
      <c r="C2621" s="2" t="s">
        <v>31963</v>
      </c>
      <c r="D2621" s="2" t="s">
        <v>31964</v>
      </c>
      <c r="F2621" s="3" t="s">
        <v>58</v>
      </c>
      <c r="G2621" s="3" t="s">
        <v>59</v>
      </c>
      <c r="H2621" s="3" t="s">
        <v>58</v>
      </c>
      <c r="I2621" s="3" t="s">
        <v>58</v>
      </c>
      <c r="J2621" s="3" t="s">
        <v>60</v>
      </c>
      <c r="K2621" s="2" t="s">
        <v>28897</v>
      </c>
      <c r="L2621" s="2" t="s">
        <v>31965</v>
      </c>
      <c r="M2621" s="3" t="s">
        <v>626</v>
      </c>
      <c r="N2621" s="2" t="s">
        <v>338</v>
      </c>
      <c r="O2621" s="3" t="s">
        <v>63</v>
      </c>
      <c r="P2621" s="3" t="s">
        <v>214</v>
      </c>
      <c r="R2621" s="3" t="s">
        <v>65</v>
      </c>
      <c r="S2621" s="4">
        <v>1</v>
      </c>
      <c r="T2621" s="4">
        <v>1</v>
      </c>
      <c r="U2621" s="5" t="s">
        <v>31455</v>
      </c>
      <c r="V2621" s="5" t="s">
        <v>31455</v>
      </c>
      <c r="W2621" s="5" t="s">
        <v>31579</v>
      </c>
      <c r="X2621" s="5" t="s">
        <v>31579</v>
      </c>
      <c r="Y2621" s="4">
        <v>880</v>
      </c>
      <c r="Z2621" s="4">
        <v>782</v>
      </c>
      <c r="AA2621" s="4">
        <v>905</v>
      </c>
      <c r="AB2621" s="4">
        <v>5</v>
      </c>
      <c r="AC2621" s="4">
        <v>6</v>
      </c>
      <c r="AD2621" s="4">
        <v>26</v>
      </c>
      <c r="AE2621" s="4">
        <v>32</v>
      </c>
      <c r="AF2621" s="4">
        <v>11</v>
      </c>
      <c r="AG2621" s="4">
        <v>14</v>
      </c>
      <c r="AH2621" s="4">
        <v>6</v>
      </c>
      <c r="AI2621" s="4">
        <v>7</v>
      </c>
      <c r="AJ2621" s="4">
        <v>13</v>
      </c>
      <c r="AK2621" s="4">
        <v>16</v>
      </c>
      <c r="AL2621" s="4">
        <v>4</v>
      </c>
      <c r="AM2621" s="4">
        <v>5</v>
      </c>
      <c r="AN2621" s="4">
        <v>0</v>
      </c>
      <c r="AO2621" s="4">
        <v>0</v>
      </c>
      <c r="AP2621" s="3" t="s">
        <v>58</v>
      </c>
      <c r="AQ2621" s="3" t="s">
        <v>68</v>
      </c>
      <c r="AR2621" s="6" t="str">
        <f>HYPERLINK("http://catalog.hathitrust.org/Record/000239889","HathiTrust Record")</f>
        <v>HathiTrust Record</v>
      </c>
      <c r="AS2621" s="6" t="str">
        <f>HYPERLINK("https://creighton-primo.hosted.exlibrisgroup.com/primo-explore/search?tab=default_tab&amp;search_scope=EVERYTHING&amp;vid=01CRU&amp;lang=en_US&amp;offset=0&amp;query=any,contains,991000152299702656","Catalog Record")</f>
        <v>Catalog Record</v>
      </c>
      <c r="AT2621" s="6" t="str">
        <f>HYPERLINK("http://www.worldcat.org/oclc/9217421","WorldCat Record")</f>
        <v>WorldCat Record</v>
      </c>
      <c r="AU2621" s="3" t="s">
        <v>31966</v>
      </c>
      <c r="AV2621" s="3" t="s">
        <v>31967</v>
      </c>
      <c r="AW2621" s="3" t="s">
        <v>31968</v>
      </c>
      <c r="AX2621" s="3" t="s">
        <v>31968</v>
      </c>
      <c r="AY2621" s="3" t="s">
        <v>31969</v>
      </c>
      <c r="AZ2621" s="3" t="s">
        <v>73</v>
      </c>
      <c r="BB2621" s="3" t="s">
        <v>31970</v>
      </c>
      <c r="BC2621" s="3" t="s">
        <v>31971</v>
      </c>
      <c r="BD2621" s="3" t="s">
        <v>31972</v>
      </c>
    </row>
    <row r="2622" spans="1:56" ht="51" customHeight="1" x14ac:dyDescent="0.25">
      <c r="A2622" s="7" t="s">
        <v>58</v>
      </c>
      <c r="B2622" s="2" t="s">
        <v>31973</v>
      </c>
      <c r="C2622" s="2" t="s">
        <v>31974</v>
      </c>
      <c r="D2622" s="2" t="s">
        <v>31975</v>
      </c>
      <c r="F2622" s="3" t="s">
        <v>58</v>
      </c>
      <c r="G2622" s="3" t="s">
        <v>59</v>
      </c>
      <c r="H2622" s="3" t="s">
        <v>58</v>
      </c>
      <c r="I2622" s="3" t="s">
        <v>58</v>
      </c>
      <c r="J2622" s="3" t="s">
        <v>60</v>
      </c>
      <c r="K2622" s="2" t="s">
        <v>31034</v>
      </c>
      <c r="L2622" s="2" t="s">
        <v>16972</v>
      </c>
      <c r="M2622" s="3" t="s">
        <v>138</v>
      </c>
      <c r="O2622" s="3" t="s">
        <v>63</v>
      </c>
      <c r="P2622" s="3" t="s">
        <v>510</v>
      </c>
      <c r="Q2622" s="2" t="s">
        <v>31976</v>
      </c>
      <c r="R2622" s="3" t="s">
        <v>65</v>
      </c>
      <c r="S2622" s="4">
        <v>1</v>
      </c>
      <c r="T2622" s="4">
        <v>1</v>
      </c>
      <c r="U2622" s="5" t="s">
        <v>31036</v>
      </c>
      <c r="V2622" s="5" t="s">
        <v>31036</v>
      </c>
      <c r="W2622" s="5" t="s">
        <v>31579</v>
      </c>
      <c r="X2622" s="5" t="s">
        <v>31579</v>
      </c>
      <c r="Y2622" s="4">
        <v>462</v>
      </c>
      <c r="Z2622" s="4">
        <v>370</v>
      </c>
      <c r="AA2622" s="4">
        <v>370</v>
      </c>
      <c r="AB2622" s="4">
        <v>3</v>
      </c>
      <c r="AC2622" s="4">
        <v>3</v>
      </c>
      <c r="AD2622" s="4">
        <v>18</v>
      </c>
      <c r="AE2622" s="4">
        <v>18</v>
      </c>
      <c r="AF2622" s="4">
        <v>5</v>
      </c>
      <c r="AG2622" s="4">
        <v>5</v>
      </c>
      <c r="AH2622" s="4">
        <v>5</v>
      </c>
      <c r="AI2622" s="4">
        <v>5</v>
      </c>
      <c r="AJ2622" s="4">
        <v>10</v>
      </c>
      <c r="AK2622" s="4">
        <v>10</v>
      </c>
      <c r="AL2622" s="4">
        <v>2</v>
      </c>
      <c r="AM2622" s="4">
        <v>2</v>
      </c>
      <c r="AN2622" s="4">
        <v>0</v>
      </c>
      <c r="AO2622" s="4">
        <v>0</v>
      </c>
      <c r="AP2622" s="3" t="s">
        <v>58</v>
      </c>
      <c r="AQ2622" s="3" t="s">
        <v>58</v>
      </c>
      <c r="AS2622" s="6" t="str">
        <f>HYPERLINK("https://creighton-primo.hosted.exlibrisgroup.com/primo-explore/search?tab=default_tab&amp;search_scope=EVERYTHING&amp;vid=01CRU&amp;lang=en_US&amp;offset=0&amp;query=any,contains,991005239529702656","Catalog Record")</f>
        <v>Catalog Record</v>
      </c>
      <c r="AT2622" s="6" t="str">
        <f>HYPERLINK("http://www.worldcat.org/oclc/8409035","WorldCat Record")</f>
        <v>WorldCat Record</v>
      </c>
      <c r="AU2622" s="3" t="s">
        <v>31977</v>
      </c>
      <c r="AV2622" s="3" t="s">
        <v>31978</v>
      </c>
      <c r="AW2622" s="3" t="s">
        <v>31979</v>
      </c>
      <c r="AX2622" s="3" t="s">
        <v>31979</v>
      </c>
      <c r="AY2622" s="3" t="s">
        <v>31980</v>
      </c>
      <c r="AZ2622" s="3" t="s">
        <v>73</v>
      </c>
      <c r="BB2622" s="3" t="s">
        <v>31981</v>
      </c>
      <c r="BC2622" s="3" t="s">
        <v>31982</v>
      </c>
      <c r="BD2622" s="3" t="s">
        <v>31983</v>
      </c>
    </row>
    <row r="2623" spans="1:56" ht="51" customHeight="1" x14ac:dyDescent="0.25">
      <c r="A2623" s="7" t="s">
        <v>58</v>
      </c>
      <c r="B2623" s="2" t="s">
        <v>31984</v>
      </c>
      <c r="C2623" s="2" t="s">
        <v>31985</v>
      </c>
      <c r="D2623" s="2" t="s">
        <v>31986</v>
      </c>
      <c r="F2623" s="3" t="s">
        <v>58</v>
      </c>
      <c r="G2623" s="3" t="s">
        <v>59</v>
      </c>
      <c r="H2623" s="3" t="s">
        <v>58</v>
      </c>
      <c r="I2623" s="3" t="s">
        <v>58</v>
      </c>
      <c r="J2623" s="3" t="s">
        <v>60</v>
      </c>
      <c r="K2623" s="2" t="s">
        <v>31987</v>
      </c>
      <c r="L2623" s="2" t="s">
        <v>31988</v>
      </c>
      <c r="M2623" s="3" t="s">
        <v>800</v>
      </c>
      <c r="O2623" s="3" t="s">
        <v>63</v>
      </c>
      <c r="P2623" s="3" t="s">
        <v>2061</v>
      </c>
      <c r="R2623" s="3" t="s">
        <v>65</v>
      </c>
      <c r="S2623" s="4">
        <v>3</v>
      </c>
      <c r="T2623" s="4">
        <v>3</v>
      </c>
      <c r="U2623" s="5" t="s">
        <v>1010</v>
      </c>
      <c r="V2623" s="5" t="s">
        <v>1010</v>
      </c>
      <c r="W2623" s="5" t="s">
        <v>17972</v>
      </c>
      <c r="X2623" s="5" t="s">
        <v>17972</v>
      </c>
      <c r="Y2623" s="4">
        <v>544</v>
      </c>
      <c r="Z2623" s="4">
        <v>446</v>
      </c>
      <c r="AA2623" s="4">
        <v>447</v>
      </c>
      <c r="AB2623" s="4">
        <v>5</v>
      </c>
      <c r="AC2623" s="4">
        <v>5</v>
      </c>
      <c r="AD2623" s="4">
        <v>25</v>
      </c>
      <c r="AE2623" s="4">
        <v>25</v>
      </c>
      <c r="AF2623" s="4">
        <v>7</v>
      </c>
      <c r="AG2623" s="4">
        <v>7</v>
      </c>
      <c r="AH2623" s="4">
        <v>7</v>
      </c>
      <c r="AI2623" s="4">
        <v>7</v>
      </c>
      <c r="AJ2623" s="4">
        <v>12</v>
      </c>
      <c r="AK2623" s="4">
        <v>12</v>
      </c>
      <c r="AL2623" s="4">
        <v>4</v>
      </c>
      <c r="AM2623" s="4">
        <v>4</v>
      </c>
      <c r="AN2623" s="4">
        <v>0</v>
      </c>
      <c r="AO2623" s="4">
        <v>0</v>
      </c>
      <c r="AP2623" s="3" t="s">
        <v>58</v>
      </c>
      <c r="AQ2623" s="3" t="s">
        <v>58</v>
      </c>
      <c r="AS2623" s="6" t="str">
        <f>HYPERLINK("https://creighton-primo.hosted.exlibrisgroup.com/primo-explore/search?tab=default_tab&amp;search_scope=EVERYTHING&amp;vid=01CRU&amp;lang=en_US&amp;offset=0&amp;query=any,contains,991002420169702656","Catalog Record")</f>
        <v>Catalog Record</v>
      </c>
      <c r="AT2623" s="6" t="str">
        <f>HYPERLINK("http://www.worldcat.org/oclc/31516559","WorldCat Record")</f>
        <v>WorldCat Record</v>
      </c>
      <c r="AU2623" s="3" t="s">
        <v>31989</v>
      </c>
      <c r="AV2623" s="3" t="s">
        <v>31990</v>
      </c>
      <c r="AW2623" s="3" t="s">
        <v>31991</v>
      </c>
      <c r="AX2623" s="3" t="s">
        <v>31991</v>
      </c>
      <c r="AY2623" s="3" t="s">
        <v>31992</v>
      </c>
      <c r="AZ2623" s="3" t="s">
        <v>73</v>
      </c>
      <c r="BB2623" s="3" t="s">
        <v>31993</v>
      </c>
      <c r="BC2623" s="3" t="s">
        <v>31994</v>
      </c>
      <c r="BD2623" s="3" t="s">
        <v>31995</v>
      </c>
    </row>
    <row r="2624" spans="1:56" ht="51" customHeight="1" x14ac:dyDescent="0.25">
      <c r="A2624" s="7" t="s">
        <v>58</v>
      </c>
      <c r="B2624" s="2" t="s">
        <v>31996</v>
      </c>
      <c r="C2624" s="2" t="s">
        <v>31997</v>
      </c>
      <c r="D2624" s="2" t="s">
        <v>31998</v>
      </c>
      <c r="F2624" s="3" t="s">
        <v>58</v>
      </c>
      <c r="G2624" s="3" t="s">
        <v>59</v>
      </c>
      <c r="H2624" s="3" t="s">
        <v>58</v>
      </c>
      <c r="I2624" s="3" t="s">
        <v>58</v>
      </c>
      <c r="J2624" s="3" t="s">
        <v>60</v>
      </c>
      <c r="K2624" s="2" t="s">
        <v>31999</v>
      </c>
      <c r="L2624" s="2" t="s">
        <v>32000</v>
      </c>
      <c r="M2624" s="3" t="s">
        <v>1091</v>
      </c>
      <c r="O2624" s="3" t="s">
        <v>63</v>
      </c>
      <c r="P2624" s="3" t="s">
        <v>816</v>
      </c>
      <c r="Q2624" s="2" t="s">
        <v>32001</v>
      </c>
      <c r="R2624" s="3" t="s">
        <v>65</v>
      </c>
      <c r="S2624" s="4">
        <v>1</v>
      </c>
      <c r="T2624" s="4">
        <v>1</v>
      </c>
      <c r="U2624" s="5" t="s">
        <v>4325</v>
      </c>
      <c r="V2624" s="5" t="s">
        <v>4325</v>
      </c>
      <c r="W2624" s="5" t="s">
        <v>4325</v>
      </c>
      <c r="X2624" s="5" t="s">
        <v>4325</v>
      </c>
      <c r="Y2624" s="4">
        <v>419</v>
      </c>
      <c r="Z2624" s="4">
        <v>340</v>
      </c>
      <c r="AA2624" s="4">
        <v>388</v>
      </c>
      <c r="AB2624" s="4">
        <v>3</v>
      </c>
      <c r="AC2624" s="4">
        <v>3</v>
      </c>
      <c r="AD2624" s="4">
        <v>21</v>
      </c>
      <c r="AE2624" s="4">
        <v>27</v>
      </c>
      <c r="AF2624" s="4">
        <v>8</v>
      </c>
      <c r="AG2624" s="4">
        <v>12</v>
      </c>
      <c r="AH2624" s="4">
        <v>7</v>
      </c>
      <c r="AI2624" s="4">
        <v>8</v>
      </c>
      <c r="AJ2624" s="4">
        <v>11</v>
      </c>
      <c r="AK2624" s="4">
        <v>12</v>
      </c>
      <c r="AL2624" s="4">
        <v>2</v>
      </c>
      <c r="AM2624" s="4">
        <v>2</v>
      </c>
      <c r="AN2624" s="4">
        <v>0</v>
      </c>
      <c r="AO2624" s="4">
        <v>0</v>
      </c>
      <c r="AP2624" s="3" t="s">
        <v>58</v>
      </c>
      <c r="AQ2624" s="3" t="s">
        <v>68</v>
      </c>
      <c r="AR2624" s="6" t="str">
        <f>HYPERLINK("http://catalog.hathitrust.org/Record/003544691","HathiTrust Record")</f>
        <v>HathiTrust Record</v>
      </c>
      <c r="AS2624" s="6" t="str">
        <f>HYPERLINK("https://creighton-primo.hosted.exlibrisgroup.com/primo-explore/search?tab=default_tab&amp;search_scope=EVERYTHING&amp;vid=01CRU&amp;lang=en_US&amp;offset=0&amp;query=any,contains,991003997279702656","Catalog Record")</f>
        <v>Catalog Record</v>
      </c>
      <c r="AT2624" s="6" t="str">
        <f>HYPERLINK("http://www.worldcat.org/oclc/44979639","WorldCat Record")</f>
        <v>WorldCat Record</v>
      </c>
      <c r="AU2624" s="3" t="s">
        <v>32002</v>
      </c>
      <c r="AV2624" s="3" t="s">
        <v>32003</v>
      </c>
      <c r="AW2624" s="3" t="s">
        <v>32004</v>
      </c>
      <c r="AX2624" s="3" t="s">
        <v>32004</v>
      </c>
      <c r="AY2624" s="3" t="s">
        <v>32005</v>
      </c>
      <c r="AZ2624" s="3" t="s">
        <v>73</v>
      </c>
      <c r="BB2624" s="3" t="s">
        <v>32006</v>
      </c>
      <c r="BC2624" s="3" t="s">
        <v>32007</v>
      </c>
      <c r="BD2624" s="3" t="s">
        <v>32008</v>
      </c>
    </row>
    <row r="2625" spans="1:56" ht="51" customHeight="1" x14ac:dyDescent="0.25">
      <c r="A2625" s="7" t="s">
        <v>58</v>
      </c>
      <c r="B2625" s="2" t="s">
        <v>32009</v>
      </c>
      <c r="C2625" s="2" t="s">
        <v>32010</v>
      </c>
      <c r="D2625" s="2" t="s">
        <v>32011</v>
      </c>
      <c r="F2625" s="3" t="s">
        <v>58</v>
      </c>
      <c r="G2625" s="3" t="s">
        <v>59</v>
      </c>
      <c r="H2625" s="3" t="s">
        <v>58</v>
      </c>
      <c r="I2625" s="3" t="s">
        <v>58</v>
      </c>
      <c r="J2625" s="3" t="s">
        <v>60</v>
      </c>
      <c r="L2625" s="2" t="s">
        <v>32012</v>
      </c>
      <c r="M2625" s="3" t="s">
        <v>1784</v>
      </c>
      <c r="O2625" s="3" t="s">
        <v>63</v>
      </c>
      <c r="P2625" s="3" t="s">
        <v>495</v>
      </c>
      <c r="Q2625" s="2" t="s">
        <v>32013</v>
      </c>
      <c r="R2625" s="3" t="s">
        <v>65</v>
      </c>
      <c r="S2625" s="4">
        <v>6</v>
      </c>
      <c r="T2625" s="4">
        <v>6</v>
      </c>
      <c r="U2625" s="5" t="s">
        <v>32014</v>
      </c>
      <c r="V2625" s="5" t="s">
        <v>32014</v>
      </c>
      <c r="W2625" s="5" t="s">
        <v>31579</v>
      </c>
      <c r="X2625" s="5" t="s">
        <v>31579</v>
      </c>
      <c r="Y2625" s="4">
        <v>152</v>
      </c>
      <c r="Z2625" s="4">
        <v>135</v>
      </c>
      <c r="AA2625" s="4">
        <v>136</v>
      </c>
      <c r="AB2625" s="4">
        <v>2</v>
      </c>
      <c r="AC2625" s="4">
        <v>2</v>
      </c>
      <c r="AD2625" s="4">
        <v>4</v>
      </c>
      <c r="AE2625" s="4">
        <v>4</v>
      </c>
      <c r="AF2625" s="4">
        <v>0</v>
      </c>
      <c r="AG2625" s="4">
        <v>0</v>
      </c>
      <c r="AH2625" s="4">
        <v>1</v>
      </c>
      <c r="AI2625" s="4">
        <v>1</v>
      </c>
      <c r="AJ2625" s="4">
        <v>3</v>
      </c>
      <c r="AK2625" s="4">
        <v>3</v>
      </c>
      <c r="AL2625" s="4">
        <v>1</v>
      </c>
      <c r="AM2625" s="4">
        <v>1</v>
      </c>
      <c r="AN2625" s="4">
        <v>0</v>
      </c>
      <c r="AO2625" s="4">
        <v>0</v>
      </c>
      <c r="AP2625" s="3" t="s">
        <v>58</v>
      </c>
      <c r="AQ2625" s="3" t="s">
        <v>68</v>
      </c>
      <c r="AR2625" s="6" t="str">
        <f>HYPERLINK("http://catalog.hathitrust.org/Record/000030198","HathiTrust Record")</f>
        <v>HathiTrust Record</v>
      </c>
      <c r="AS2625" s="6" t="str">
        <f>HYPERLINK("https://creighton-primo.hosted.exlibrisgroup.com/primo-explore/search?tab=default_tab&amp;search_scope=EVERYTHING&amp;vid=01CRU&amp;lang=en_US&amp;offset=0&amp;query=any,contains,991004653589702656","Catalog Record")</f>
        <v>Catalog Record</v>
      </c>
      <c r="AT2625" s="6" t="str">
        <f>HYPERLINK("http://www.worldcat.org/oclc/4494666","WorldCat Record")</f>
        <v>WorldCat Record</v>
      </c>
      <c r="AU2625" s="3" t="s">
        <v>32015</v>
      </c>
      <c r="AV2625" s="3" t="s">
        <v>32016</v>
      </c>
      <c r="AW2625" s="3" t="s">
        <v>32017</v>
      </c>
      <c r="AX2625" s="3" t="s">
        <v>32017</v>
      </c>
      <c r="AY2625" s="3" t="s">
        <v>32018</v>
      </c>
      <c r="AZ2625" s="3" t="s">
        <v>73</v>
      </c>
      <c r="BB2625" s="3" t="s">
        <v>32019</v>
      </c>
      <c r="BC2625" s="3" t="s">
        <v>32020</v>
      </c>
      <c r="BD2625" s="3" t="s">
        <v>32021</v>
      </c>
    </row>
    <row r="2626" spans="1:56" ht="51" customHeight="1" x14ac:dyDescent="0.25">
      <c r="A2626" s="7" t="s">
        <v>58</v>
      </c>
      <c r="B2626" s="2" t="s">
        <v>32022</v>
      </c>
      <c r="C2626" s="2" t="s">
        <v>32023</v>
      </c>
      <c r="D2626" s="2" t="s">
        <v>32024</v>
      </c>
      <c r="F2626" s="3" t="s">
        <v>58</v>
      </c>
      <c r="G2626" s="3" t="s">
        <v>59</v>
      </c>
      <c r="H2626" s="3" t="s">
        <v>58</v>
      </c>
      <c r="I2626" s="3" t="s">
        <v>58</v>
      </c>
      <c r="J2626" s="3" t="s">
        <v>60</v>
      </c>
      <c r="K2626" s="2" t="s">
        <v>32025</v>
      </c>
      <c r="L2626" s="2" t="s">
        <v>16972</v>
      </c>
      <c r="M2626" s="3" t="s">
        <v>842</v>
      </c>
      <c r="O2626" s="3" t="s">
        <v>63</v>
      </c>
      <c r="P2626" s="3" t="s">
        <v>510</v>
      </c>
      <c r="R2626" s="3" t="s">
        <v>65</v>
      </c>
      <c r="S2626" s="4">
        <v>10</v>
      </c>
      <c r="T2626" s="4">
        <v>10</v>
      </c>
      <c r="U2626" s="5" t="s">
        <v>2683</v>
      </c>
      <c r="V2626" s="5" t="s">
        <v>2683</v>
      </c>
      <c r="W2626" s="5" t="s">
        <v>17640</v>
      </c>
      <c r="X2626" s="5" t="s">
        <v>17640</v>
      </c>
      <c r="Y2626" s="4">
        <v>648</v>
      </c>
      <c r="Z2626" s="4">
        <v>535</v>
      </c>
      <c r="AA2626" s="4">
        <v>552</v>
      </c>
      <c r="AB2626" s="4">
        <v>5</v>
      </c>
      <c r="AC2626" s="4">
        <v>5</v>
      </c>
      <c r="AD2626" s="4">
        <v>25</v>
      </c>
      <c r="AE2626" s="4">
        <v>25</v>
      </c>
      <c r="AF2626" s="4">
        <v>12</v>
      </c>
      <c r="AG2626" s="4">
        <v>12</v>
      </c>
      <c r="AH2626" s="4">
        <v>6</v>
      </c>
      <c r="AI2626" s="4">
        <v>6</v>
      </c>
      <c r="AJ2626" s="4">
        <v>11</v>
      </c>
      <c r="AK2626" s="4">
        <v>11</v>
      </c>
      <c r="AL2626" s="4">
        <v>4</v>
      </c>
      <c r="AM2626" s="4">
        <v>4</v>
      </c>
      <c r="AN2626" s="4">
        <v>0</v>
      </c>
      <c r="AO2626" s="4">
        <v>0</v>
      </c>
      <c r="AP2626" s="3" t="s">
        <v>58</v>
      </c>
      <c r="AQ2626" s="3" t="s">
        <v>58</v>
      </c>
      <c r="AS2626" s="6" t="str">
        <f>HYPERLINK("https://creighton-primo.hosted.exlibrisgroup.com/primo-explore/search?tab=default_tab&amp;search_scope=EVERYTHING&amp;vid=01CRU&amp;lang=en_US&amp;offset=0&amp;query=any,contains,991005033399702656","Catalog Record")</f>
        <v>Catalog Record</v>
      </c>
      <c r="AT2626" s="6" t="str">
        <f>HYPERLINK("http://www.worldcat.org/oclc/6735520","WorldCat Record")</f>
        <v>WorldCat Record</v>
      </c>
      <c r="AU2626" s="3" t="s">
        <v>32026</v>
      </c>
      <c r="AV2626" s="3" t="s">
        <v>32027</v>
      </c>
      <c r="AW2626" s="3" t="s">
        <v>32028</v>
      </c>
      <c r="AX2626" s="3" t="s">
        <v>32028</v>
      </c>
      <c r="AY2626" s="3" t="s">
        <v>32029</v>
      </c>
      <c r="AZ2626" s="3" t="s">
        <v>73</v>
      </c>
      <c r="BB2626" s="3" t="s">
        <v>32030</v>
      </c>
      <c r="BC2626" s="3" t="s">
        <v>32031</v>
      </c>
      <c r="BD2626" s="3" t="s">
        <v>32032</v>
      </c>
    </row>
    <row r="2627" spans="1:56" ht="51" customHeight="1" x14ac:dyDescent="0.25">
      <c r="A2627" s="7" t="s">
        <v>58</v>
      </c>
      <c r="B2627" s="2" t="s">
        <v>32033</v>
      </c>
      <c r="C2627" s="2" t="s">
        <v>32034</v>
      </c>
      <c r="D2627" s="2" t="s">
        <v>32035</v>
      </c>
      <c r="F2627" s="3" t="s">
        <v>58</v>
      </c>
      <c r="G2627" s="3" t="s">
        <v>59</v>
      </c>
      <c r="H2627" s="3" t="s">
        <v>58</v>
      </c>
      <c r="I2627" s="3" t="s">
        <v>58</v>
      </c>
      <c r="J2627" s="3" t="s">
        <v>60</v>
      </c>
      <c r="K2627" s="2" t="s">
        <v>32025</v>
      </c>
      <c r="L2627" s="2" t="s">
        <v>32036</v>
      </c>
      <c r="M2627" s="3" t="s">
        <v>1544</v>
      </c>
      <c r="O2627" s="3" t="s">
        <v>63</v>
      </c>
      <c r="P2627" s="3" t="s">
        <v>214</v>
      </c>
      <c r="R2627" s="3" t="s">
        <v>65</v>
      </c>
      <c r="S2627" s="4">
        <v>10</v>
      </c>
      <c r="T2627" s="4">
        <v>10</v>
      </c>
      <c r="U2627" s="5" t="s">
        <v>2683</v>
      </c>
      <c r="V2627" s="5" t="s">
        <v>2683</v>
      </c>
      <c r="W2627" s="5" t="s">
        <v>157</v>
      </c>
      <c r="X2627" s="5" t="s">
        <v>157</v>
      </c>
      <c r="Y2627" s="4">
        <v>829</v>
      </c>
      <c r="Z2627" s="4">
        <v>715</v>
      </c>
      <c r="AA2627" s="4">
        <v>722</v>
      </c>
      <c r="AB2627" s="4">
        <v>3</v>
      </c>
      <c r="AC2627" s="4">
        <v>3</v>
      </c>
      <c r="AD2627" s="4">
        <v>23</v>
      </c>
      <c r="AE2627" s="4">
        <v>23</v>
      </c>
      <c r="AF2627" s="4">
        <v>9</v>
      </c>
      <c r="AG2627" s="4">
        <v>9</v>
      </c>
      <c r="AH2627" s="4">
        <v>4</v>
      </c>
      <c r="AI2627" s="4">
        <v>4</v>
      </c>
      <c r="AJ2627" s="4">
        <v>13</v>
      </c>
      <c r="AK2627" s="4">
        <v>13</v>
      </c>
      <c r="AL2627" s="4">
        <v>1</v>
      </c>
      <c r="AM2627" s="4">
        <v>1</v>
      </c>
      <c r="AN2627" s="4">
        <v>0</v>
      </c>
      <c r="AO2627" s="4">
        <v>0</v>
      </c>
      <c r="AP2627" s="3" t="s">
        <v>58</v>
      </c>
      <c r="AQ2627" s="3" t="s">
        <v>68</v>
      </c>
      <c r="AR2627" s="6" t="str">
        <f>HYPERLINK("http://catalog.hathitrust.org/Record/002574945","HathiTrust Record")</f>
        <v>HathiTrust Record</v>
      </c>
      <c r="AS2627" s="6" t="str">
        <f>HYPERLINK("https://creighton-primo.hosted.exlibrisgroup.com/primo-explore/search?tab=default_tab&amp;search_scope=EVERYTHING&amp;vid=01CRU&amp;lang=en_US&amp;offset=0&amp;query=any,contains,991001976469702656","Catalog Record")</f>
        <v>Catalog Record</v>
      </c>
      <c r="AT2627" s="6" t="str">
        <f>HYPERLINK("http://www.worldcat.org/oclc/25050180","WorldCat Record")</f>
        <v>WorldCat Record</v>
      </c>
      <c r="AU2627" s="3" t="s">
        <v>32037</v>
      </c>
      <c r="AV2627" s="3" t="s">
        <v>32038</v>
      </c>
      <c r="AW2627" s="3" t="s">
        <v>32039</v>
      </c>
      <c r="AX2627" s="3" t="s">
        <v>32039</v>
      </c>
      <c r="AY2627" s="3" t="s">
        <v>32040</v>
      </c>
      <c r="AZ2627" s="3" t="s">
        <v>73</v>
      </c>
      <c r="BB2627" s="3" t="s">
        <v>32041</v>
      </c>
      <c r="BC2627" s="3" t="s">
        <v>32042</v>
      </c>
      <c r="BD2627" s="3" t="s">
        <v>32043</v>
      </c>
    </row>
    <row r="2628" spans="1:56" ht="51" customHeight="1" x14ac:dyDescent="0.25">
      <c r="A2628" s="7" t="s">
        <v>58</v>
      </c>
      <c r="B2628" s="2" t="s">
        <v>32044</v>
      </c>
      <c r="C2628" s="2" t="s">
        <v>32045</v>
      </c>
      <c r="D2628" s="2" t="s">
        <v>32046</v>
      </c>
      <c r="F2628" s="3" t="s">
        <v>58</v>
      </c>
      <c r="G2628" s="3" t="s">
        <v>59</v>
      </c>
      <c r="H2628" s="3" t="s">
        <v>58</v>
      </c>
      <c r="I2628" s="3" t="s">
        <v>58</v>
      </c>
      <c r="J2628" s="3" t="s">
        <v>60</v>
      </c>
      <c r="K2628" s="2" t="s">
        <v>32047</v>
      </c>
      <c r="L2628" s="2" t="s">
        <v>32048</v>
      </c>
      <c r="M2628" s="3" t="s">
        <v>196</v>
      </c>
      <c r="O2628" s="3" t="s">
        <v>63</v>
      </c>
      <c r="P2628" s="3" t="s">
        <v>786</v>
      </c>
      <c r="Q2628" s="2" t="s">
        <v>32049</v>
      </c>
      <c r="R2628" s="3" t="s">
        <v>65</v>
      </c>
      <c r="S2628" s="4">
        <v>3</v>
      </c>
      <c r="T2628" s="4">
        <v>3</v>
      </c>
      <c r="U2628" s="5" t="s">
        <v>32050</v>
      </c>
      <c r="V2628" s="5" t="s">
        <v>32050</v>
      </c>
      <c r="W2628" s="5" t="s">
        <v>157</v>
      </c>
      <c r="X2628" s="5" t="s">
        <v>157</v>
      </c>
      <c r="Y2628" s="4">
        <v>231</v>
      </c>
      <c r="Z2628" s="4">
        <v>175</v>
      </c>
      <c r="AA2628" s="4">
        <v>177</v>
      </c>
      <c r="AB2628" s="4">
        <v>2</v>
      </c>
      <c r="AC2628" s="4">
        <v>2</v>
      </c>
      <c r="AD2628" s="4">
        <v>8</v>
      </c>
      <c r="AE2628" s="4">
        <v>8</v>
      </c>
      <c r="AF2628" s="4">
        <v>0</v>
      </c>
      <c r="AG2628" s="4">
        <v>0</v>
      </c>
      <c r="AH2628" s="4">
        <v>3</v>
      </c>
      <c r="AI2628" s="4">
        <v>3</v>
      </c>
      <c r="AJ2628" s="4">
        <v>6</v>
      </c>
      <c r="AK2628" s="4">
        <v>6</v>
      </c>
      <c r="AL2628" s="4">
        <v>1</v>
      </c>
      <c r="AM2628" s="4">
        <v>1</v>
      </c>
      <c r="AN2628" s="4">
        <v>0</v>
      </c>
      <c r="AO2628" s="4">
        <v>0</v>
      </c>
      <c r="AP2628" s="3" t="s">
        <v>58</v>
      </c>
      <c r="AQ2628" s="3" t="s">
        <v>58</v>
      </c>
      <c r="AS2628" s="6" t="str">
        <f>HYPERLINK("https://creighton-primo.hosted.exlibrisgroup.com/primo-explore/search?tab=default_tab&amp;search_scope=EVERYTHING&amp;vid=01CRU&amp;lang=en_US&amp;offset=0&amp;query=any,contains,991002719739702656","Catalog Record")</f>
        <v>Catalog Record</v>
      </c>
      <c r="AT2628" s="6" t="str">
        <f>HYPERLINK("http://www.worldcat.org/oclc/35657860","WorldCat Record")</f>
        <v>WorldCat Record</v>
      </c>
      <c r="AU2628" s="3" t="s">
        <v>32051</v>
      </c>
      <c r="AV2628" s="3" t="s">
        <v>32052</v>
      </c>
      <c r="AW2628" s="3" t="s">
        <v>32053</v>
      </c>
      <c r="AX2628" s="3" t="s">
        <v>32053</v>
      </c>
      <c r="AY2628" s="3" t="s">
        <v>32054</v>
      </c>
      <c r="AZ2628" s="3" t="s">
        <v>73</v>
      </c>
      <c r="BB2628" s="3" t="s">
        <v>32055</v>
      </c>
      <c r="BC2628" s="3" t="s">
        <v>32056</v>
      </c>
      <c r="BD2628" s="3" t="s">
        <v>32057</v>
      </c>
    </row>
    <row r="2629" spans="1:56" ht="51" customHeight="1" x14ac:dyDescent="0.25">
      <c r="A2629" s="7" t="s">
        <v>58</v>
      </c>
      <c r="B2629" s="2" t="s">
        <v>32058</v>
      </c>
      <c r="C2629" s="2" t="s">
        <v>32059</v>
      </c>
      <c r="D2629" s="2" t="s">
        <v>32060</v>
      </c>
      <c r="F2629" s="3" t="s">
        <v>58</v>
      </c>
      <c r="G2629" s="3" t="s">
        <v>59</v>
      </c>
      <c r="H2629" s="3" t="s">
        <v>58</v>
      </c>
      <c r="I2629" s="3" t="s">
        <v>58</v>
      </c>
      <c r="J2629" s="3" t="s">
        <v>60</v>
      </c>
      <c r="K2629" s="2" t="s">
        <v>32061</v>
      </c>
      <c r="L2629" s="2" t="s">
        <v>32062</v>
      </c>
      <c r="M2629" s="3" t="s">
        <v>996</v>
      </c>
      <c r="O2629" s="3" t="s">
        <v>63</v>
      </c>
      <c r="P2629" s="3" t="s">
        <v>760</v>
      </c>
      <c r="Q2629" s="2" t="s">
        <v>8523</v>
      </c>
      <c r="R2629" s="3" t="s">
        <v>65</v>
      </c>
      <c r="S2629" s="4">
        <v>6</v>
      </c>
      <c r="T2629" s="4">
        <v>6</v>
      </c>
      <c r="U2629" s="5" t="s">
        <v>2683</v>
      </c>
      <c r="V2629" s="5" t="s">
        <v>2683</v>
      </c>
      <c r="W2629" s="5" t="s">
        <v>886</v>
      </c>
      <c r="X2629" s="5" t="s">
        <v>886</v>
      </c>
      <c r="Y2629" s="4">
        <v>341</v>
      </c>
      <c r="Z2629" s="4">
        <v>294</v>
      </c>
      <c r="AA2629" s="4">
        <v>309</v>
      </c>
      <c r="AB2629" s="4">
        <v>1</v>
      </c>
      <c r="AC2629" s="4">
        <v>1</v>
      </c>
      <c r="AD2629" s="4">
        <v>9</v>
      </c>
      <c r="AE2629" s="4">
        <v>9</v>
      </c>
      <c r="AF2629" s="4">
        <v>4</v>
      </c>
      <c r="AG2629" s="4">
        <v>4</v>
      </c>
      <c r="AH2629" s="4">
        <v>2</v>
      </c>
      <c r="AI2629" s="4">
        <v>2</v>
      </c>
      <c r="AJ2629" s="4">
        <v>5</v>
      </c>
      <c r="AK2629" s="4">
        <v>5</v>
      </c>
      <c r="AL2629" s="4">
        <v>0</v>
      </c>
      <c r="AM2629" s="4">
        <v>0</v>
      </c>
      <c r="AN2629" s="4">
        <v>0</v>
      </c>
      <c r="AO2629" s="4">
        <v>0</v>
      </c>
      <c r="AP2629" s="3" t="s">
        <v>58</v>
      </c>
      <c r="AQ2629" s="3" t="s">
        <v>58</v>
      </c>
      <c r="AS2629" s="6" t="str">
        <f>HYPERLINK("https://creighton-primo.hosted.exlibrisgroup.com/primo-explore/search?tab=default_tab&amp;search_scope=EVERYTHING&amp;vid=01CRU&amp;lang=en_US&amp;offset=0&amp;query=any,contains,991003029189702656","Catalog Record")</f>
        <v>Catalog Record</v>
      </c>
      <c r="AT2629" s="6" t="str">
        <f>HYPERLINK("http://www.worldcat.org/oclc/592415","WorldCat Record")</f>
        <v>WorldCat Record</v>
      </c>
      <c r="AU2629" s="3" t="s">
        <v>32063</v>
      </c>
      <c r="AV2629" s="3" t="s">
        <v>32064</v>
      </c>
      <c r="AW2629" s="3" t="s">
        <v>32065</v>
      </c>
      <c r="AX2629" s="3" t="s">
        <v>32065</v>
      </c>
      <c r="AY2629" s="3" t="s">
        <v>32066</v>
      </c>
      <c r="AZ2629" s="3" t="s">
        <v>73</v>
      </c>
      <c r="BB2629" s="3" t="s">
        <v>32067</v>
      </c>
      <c r="BC2629" s="3" t="s">
        <v>32068</v>
      </c>
      <c r="BD2629" s="3" t="s">
        <v>32069</v>
      </c>
    </row>
    <row r="2630" spans="1:56" ht="51" customHeight="1" x14ac:dyDescent="0.25">
      <c r="A2630" s="7" t="s">
        <v>58</v>
      </c>
      <c r="B2630" s="2" t="s">
        <v>32070</v>
      </c>
      <c r="C2630" s="2" t="s">
        <v>32071</v>
      </c>
      <c r="D2630" s="2" t="s">
        <v>32072</v>
      </c>
      <c r="F2630" s="3" t="s">
        <v>58</v>
      </c>
      <c r="G2630" s="3" t="s">
        <v>59</v>
      </c>
      <c r="H2630" s="3" t="s">
        <v>58</v>
      </c>
      <c r="I2630" s="3" t="s">
        <v>58</v>
      </c>
      <c r="J2630" s="3" t="s">
        <v>60</v>
      </c>
      <c r="L2630" s="2" t="s">
        <v>32073</v>
      </c>
      <c r="M2630" s="3" t="s">
        <v>1720</v>
      </c>
      <c r="N2630" s="2" t="s">
        <v>13431</v>
      </c>
      <c r="O2630" s="3" t="s">
        <v>63</v>
      </c>
      <c r="P2630" s="3" t="s">
        <v>32074</v>
      </c>
      <c r="R2630" s="3" t="s">
        <v>65</v>
      </c>
      <c r="S2630" s="4">
        <v>6</v>
      </c>
      <c r="T2630" s="4">
        <v>6</v>
      </c>
      <c r="U2630" s="5" t="s">
        <v>16522</v>
      </c>
      <c r="V2630" s="5" t="s">
        <v>16522</v>
      </c>
      <c r="W2630" s="5" t="s">
        <v>18033</v>
      </c>
      <c r="X2630" s="5" t="s">
        <v>18033</v>
      </c>
      <c r="Y2630" s="4">
        <v>130</v>
      </c>
      <c r="Z2630" s="4">
        <v>113</v>
      </c>
      <c r="AA2630" s="4">
        <v>120</v>
      </c>
      <c r="AB2630" s="4">
        <v>3</v>
      </c>
      <c r="AC2630" s="4">
        <v>3</v>
      </c>
      <c r="AD2630" s="4">
        <v>5</v>
      </c>
      <c r="AE2630" s="4">
        <v>5</v>
      </c>
      <c r="AF2630" s="4">
        <v>1</v>
      </c>
      <c r="AG2630" s="4">
        <v>1</v>
      </c>
      <c r="AH2630" s="4">
        <v>1</v>
      </c>
      <c r="AI2630" s="4">
        <v>1</v>
      </c>
      <c r="AJ2630" s="4">
        <v>2</v>
      </c>
      <c r="AK2630" s="4">
        <v>2</v>
      </c>
      <c r="AL2630" s="4">
        <v>2</v>
      </c>
      <c r="AM2630" s="4">
        <v>2</v>
      </c>
      <c r="AN2630" s="4">
        <v>0</v>
      </c>
      <c r="AO2630" s="4">
        <v>0</v>
      </c>
      <c r="AP2630" s="3" t="s">
        <v>58</v>
      </c>
      <c r="AQ2630" s="3" t="s">
        <v>68</v>
      </c>
      <c r="AR2630" s="6" t="str">
        <f>HYPERLINK("http://catalog.hathitrust.org/Record/001606625","HathiTrust Record")</f>
        <v>HathiTrust Record</v>
      </c>
      <c r="AS2630" s="6" t="str">
        <f>HYPERLINK("https://creighton-primo.hosted.exlibrisgroup.com/primo-explore/search?tab=default_tab&amp;search_scope=EVERYTHING&amp;vid=01CRU&amp;lang=en_US&amp;offset=0&amp;query=any,contains,991003197459702656","Catalog Record")</f>
        <v>Catalog Record</v>
      </c>
      <c r="AT2630" s="6" t="str">
        <f>HYPERLINK("http://www.worldcat.org/oclc/722605","WorldCat Record")</f>
        <v>WorldCat Record</v>
      </c>
      <c r="AU2630" s="3" t="s">
        <v>32075</v>
      </c>
      <c r="AV2630" s="3" t="s">
        <v>32076</v>
      </c>
      <c r="AW2630" s="3" t="s">
        <v>32077</v>
      </c>
      <c r="AX2630" s="3" t="s">
        <v>32077</v>
      </c>
      <c r="AY2630" s="3" t="s">
        <v>32078</v>
      </c>
      <c r="AZ2630" s="3" t="s">
        <v>73</v>
      </c>
      <c r="BC2630" s="3" t="s">
        <v>32079</v>
      </c>
      <c r="BD2630" s="3" t="s">
        <v>32080</v>
      </c>
    </row>
    <row r="2631" spans="1:56" ht="51" customHeight="1" x14ac:dyDescent="0.25">
      <c r="A2631" s="7" t="s">
        <v>58</v>
      </c>
      <c r="B2631" s="2" t="s">
        <v>32081</v>
      </c>
      <c r="C2631" s="2" t="s">
        <v>32082</v>
      </c>
      <c r="D2631" s="2" t="s">
        <v>32083</v>
      </c>
      <c r="F2631" s="3" t="s">
        <v>58</v>
      </c>
      <c r="G2631" s="3" t="s">
        <v>59</v>
      </c>
      <c r="H2631" s="3" t="s">
        <v>58</v>
      </c>
      <c r="I2631" s="3" t="s">
        <v>58</v>
      </c>
      <c r="J2631" s="3" t="s">
        <v>60</v>
      </c>
      <c r="L2631" s="2" t="s">
        <v>32084</v>
      </c>
      <c r="M2631" s="3" t="s">
        <v>996</v>
      </c>
      <c r="N2631" s="2" t="s">
        <v>32085</v>
      </c>
      <c r="O2631" s="3" t="s">
        <v>63</v>
      </c>
      <c r="P2631" s="3" t="s">
        <v>32074</v>
      </c>
      <c r="R2631" s="3" t="s">
        <v>65</v>
      </c>
      <c r="S2631" s="4">
        <v>7</v>
      </c>
      <c r="T2631" s="4">
        <v>7</v>
      </c>
      <c r="U2631" s="5" t="s">
        <v>26808</v>
      </c>
      <c r="V2631" s="5" t="s">
        <v>26808</v>
      </c>
      <c r="W2631" s="5" t="s">
        <v>18033</v>
      </c>
      <c r="X2631" s="5" t="s">
        <v>18033</v>
      </c>
      <c r="Y2631" s="4">
        <v>349</v>
      </c>
      <c r="Z2631" s="4">
        <v>248</v>
      </c>
      <c r="AA2631" s="4">
        <v>250</v>
      </c>
      <c r="AB2631" s="4">
        <v>4</v>
      </c>
      <c r="AC2631" s="4">
        <v>4</v>
      </c>
      <c r="AD2631" s="4">
        <v>21</v>
      </c>
      <c r="AE2631" s="4">
        <v>21</v>
      </c>
      <c r="AF2631" s="4">
        <v>9</v>
      </c>
      <c r="AG2631" s="4">
        <v>9</v>
      </c>
      <c r="AH2631" s="4">
        <v>4</v>
      </c>
      <c r="AI2631" s="4">
        <v>4</v>
      </c>
      <c r="AJ2631" s="4">
        <v>11</v>
      </c>
      <c r="AK2631" s="4">
        <v>11</v>
      </c>
      <c r="AL2631" s="4">
        <v>3</v>
      </c>
      <c r="AM2631" s="4">
        <v>3</v>
      </c>
      <c r="AN2631" s="4">
        <v>0</v>
      </c>
      <c r="AO2631" s="4">
        <v>0</v>
      </c>
      <c r="AP2631" s="3" t="s">
        <v>58</v>
      </c>
      <c r="AQ2631" s="3" t="s">
        <v>68</v>
      </c>
      <c r="AR2631" s="6" t="str">
        <f>HYPERLINK("http://catalog.hathitrust.org/Record/001606626","HathiTrust Record")</f>
        <v>HathiTrust Record</v>
      </c>
      <c r="AS2631" s="6" t="str">
        <f>HYPERLINK("https://creighton-primo.hosted.exlibrisgroup.com/primo-explore/search?tab=default_tab&amp;search_scope=EVERYTHING&amp;vid=01CRU&amp;lang=en_US&amp;offset=0&amp;query=any,contains,991003153169702656","Catalog Record")</f>
        <v>Catalog Record</v>
      </c>
      <c r="AT2631" s="6" t="str">
        <f>HYPERLINK("http://www.worldcat.org/oclc/692335","WorldCat Record")</f>
        <v>WorldCat Record</v>
      </c>
      <c r="AU2631" s="3" t="s">
        <v>32086</v>
      </c>
      <c r="AV2631" s="3" t="s">
        <v>32087</v>
      </c>
      <c r="AW2631" s="3" t="s">
        <v>32088</v>
      </c>
      <c r="AX2631" s="3" t="s">
        <v>32088</v>
      </c>
      <c r="AY2631" s="3" t="s">
        <v>32089</v>
      </c>
      <c r="AZ2631" s="3" t="s">
        <v>73</v>
      </c>
      <c r="BC2631" s="3" t="s">
        <v>32090</v>
      </c>
      <c r="BD2631" s="3" t="s">
        <v>32091</v>
      </c>
    </row>
    <row r="2632" spans="1:56" ht="51" customHeight="1" x14ac:dyDescent="0.25">
      <c r="A2632" s="7" t="s">
        <v>58</v>
      </c>
      <c r="B2632" s="2" t="s">
        <v>32092</v>
      </c>
      <c r="C2632" s="2" t="s">
        <v>32093</v>
      </c>
      <c r="D2632" s="2" t="s">
        <v>32094</v>
      </c>
      <c r="F2632" s="3" t="s">
        <v>58</v>
      </c>
      <c r="G2632" s="3" t="s">
        <v>59</v>
      </c>
      <c r="H2632" s="3" t="s">
        <v>58</v>
      </c>
      <c r="I2632" s="3" t="s">
        <v>58</v>
      </c>
      <c r="J2632" s="3" t="s">
        <v>60</v>
      </c>
      <c r="L2632" s="2" t="s">
        <v>32095</v>
      </c>
      <c r="M2632" s="3" t="s">
        <v>1784</v>
      </c>
      <c r="O2632" s="3" t="s">
        <v>63</v>
      </c>
      <c r="P2632" s="3" t="s">
        <v>32074</v>
      </c>
      <c r="R2632" s="3" t="s">
        <v>65</v>
      </c>
      <c r="S2632" s="4">
        <v>5</v>
      </c>
      <c r="T2632" s="4">
        <v>5</v>
      </c>
      <c r="U2632" s="5" t="s">
        <v>7934</v>
      </c>
      <c r="V2632" s="5" t="s">
        <v>7934</v>
      </c>
      <c r="W2632" s="5" t="s">
        <v>31579</v>
      </c>
      <c r="X2632" s="5" t="s">
        <v>31579</v>
      </c>
      <c r="Y2632" s="4">
        <v>262</v>
      </c>
      <c r="Z2632" s="4">
        <v>215</v>
      </c>
      <c r="AA2632" s="4">
        <v>302</v>
      </c>
      <c r="AB2632" s="4">
        <v>2</v>
      </c>
      <c r="AC2632" s="4">
        <v>2</v>
      </c>
      <c r="AD2632" s="4">
        <v>7</v>
      </c>
      <c r="AE2632" s="4">
        <v>10</v>
      </c>
      <c r="AF2632" s="4">
        <v>1</v>
      </c>
      <c r="AG2632" s="4">
        <v>1</v>
      </c>
      <c r="AH2632" s="4">
        <v>2</v>
      </c>
      <c r="AI2632" s="4">
        <v>4</v>
      </c>
      <c r="AJ2632" s="4">
        <v>4</v>
      </c>
      <c r="AK2632" s="4">
        <v>6</v>
      </c>
      <c r="AL2632" s="4">
        <v>1</v>
      </c>
      <c r="AM2632" s="4">
        <v>1</v>
      </c>
      <c r="AN2632" s="4">
        <v>0</v>
      </c>
      <c r="AO2632" s="4">
        <v>0</v>
      </c>
      <c r="AP2632" s="3" t="s">
        <v>58</v>
      </c>
      <c r="AQ2632" s="3" t="s">
        <v>68</v>
      </c>
      <c r="AR2632" s="6" t="str">
        <f>HYPERLINK("http://catalog.hathitrust.org/Record/007165067","HathiTrust Record")</f>
        <v>HathiTrust Record</v>
      </c>
      <c r="AS2632" s="6" t="str">
        <f>HYPERLINK("https://creighton-primo.hosted.exlibrisgroup.com/primo-explore/search?tab=default_tab&amp;search_scope=EVERYTHING&amp;vid=01CRU&amp;lang=en_US&amp;offset=0&amp;query=any,contains,991004940889702656","Catalog Record")</f>
        <v>Catalog Record</v>
      </c>
      <c r="AT2632" s="6" t="str">
        <f>HYPERLINK("http://www.worldcat.org/oclc/6188601","WorldCat Record")</f>
        <v>WorldCat Record</v>
      </c>
      <c r="AU2632" s="3" t="s">
        <v>32096</v>
      </c>
      <c r="AV2632" s="3" t="s">
        <v>32097</v>
      </c>
      <c r="AW2632" s="3" t="s">
        <v>32098</v>
      </c>
      <c r="AX2632" s="3" t="s">
        <v>32098</v>
      </c>
      <c r="AY2632" s="3" t="s">
        <v>32099</v>
      </c>
      <c r="AZ2632" s="3" t="s">
        <v>73</v>
      </c>
      <c r="BC2632" s="3" t="s">
        <v>32100</v>
      </c>
      <c r="BD2632" s="3" t="s">
        <v>32101</v>
      </c>
    </row>
    <row r="2633" spans="1:56" ht="51" customHeight="1" x14ac:dyDescent="0.25">
      <c r="A2633" s="7" t="s">
        <v>58</v>
      </c>
      <c r="B2633" s="2" t="s">
        <v>32102</v>
      </c>
      <c r="C2633" s="2" t="s">
        <v>32103</v>
      </c>
      <c r="D2633" s="2" t="s">
        <v>32104</v>
      </c>
      <c r="E2633" s="3" t="s">
        <v>297</v>
      </c>
      <c r="F2633" s="3" t="s">
        <v>68</v>
      </c>
      <c r="G2633" s="3" t="s">
        <v>59</v>
      </c>
      <c r="H2633" s="3" t="s">
        <v>58</v>
      </c>
      <c r="I2633" s="3" t="s">
        <v>58</v>
      </c>
      <c r="J2633" s="3" t="s">
        <v>60</v>
      </c>
      <c r="L2633" s="2" t="s">
        <v>32105</v>
      </c>
      <c r="M2633" s="3" t="s">
        <v>479</v>
      </c>
      <c r="O2633" s="3" t="s">
        <v>63</v>
      </c>
      <c r="P2633" s="3" t="s">
        <v>32074</v>
      </c>
      <c r="R2633" s="3" t="s">
        <v>65</v>
      </c>
      <c r="S2633" s="4">
        <v>2</v>
      </c>
      <c r="T2633" s="4">
        <v>9</v>
      </c>
      <c r="U2633" s="5" t="s">
        <v>32106</v>
      </c>
      <c r="V2633" s="5" t="s">
        <v>32106</v>
      </c>
      <c r="W2633" s="5" t="s">
        <v>10066</v>
      </c>
      <c r="X2633" s="5" t="s">
        <v>10066</v>
      </c>
      <c r="Y2633" s="4">
        <v>827</v>
      </c>
      <c r="Z2633" s="4">
        <v>704</v>
      </c>
      <c r="AA2633" s="4">
        <v>717</v>
      </c>
      <c r="AB2633" s="4">
        <v>3</v>
      </c>
      <c r="AC2633" s="4">
        <v>3</v>
      </c>
      <c r="AD2633" s="4">
        <v>25</v>
      </c>
      <c r="AE2633" s="4">
        <v>25</v>
      </c>
      <c r="AF2633" s="4">
        <v>10</v>
      </c>
      <c r="AG2633" s="4">
        <v>10</v>
      </c>
      <c r="AH2633" s="4">
        <v>4</v>
      </c>
      <c r="AI2633" s="4">
        <v>4</v>
      </c>
      <c r="AJ2633" s="4">
        <v>17</v>
      </c>
      <c r="AK2633" s="4">
        <v>17</v>
      </c>
      <c r="AL2633" s="4">
        <v>0</v>
      </c>
      <c r="AM2633" s="4">
        <v>0</v>
      </c>
      <c r="AN2633" s="4">
        <v>0</v>
      </c>
      <c r="AO2633" s="4">
        <v>0</v>
      </c>
      <c r="AP2633" s="3" t="s">
        <v>58</v>
      </c>
      <c r="AQ2633" s="3" t="s">
        <v>58</v>
      </c>
      <c r="AS2633" s="6" t="str">
        <f>HYPERLINK("https://creighton-primo.hosted.exlibrisgroup.com/primo-explore/search?tab=default_tab&amp;search_scope=EVERYTHING&amp;vid=01CRU&amp;lang=en_US&amp;offset=0&amp;query=any,contains,991002493819702656","Catalog Record")</f>
        <v>Catalog Record</v>
      </c>
      <c r="AT2633" s="6" t="str">
        <f>HYPERLINK("http://www.worldcat.org/oclc/32451775","WorldCat Record")</f>
        <v>WorldCat Record</v>
      </c>
      <c r="AU2633" s="3" t="s">
        <v>32107</v>
      </c>
      <c r="AV2633" s="3" t="s">
        <v>32108</v>
      </c>
      <c r="AW2633" s="3" t="s">
        <v>32109</v>
      </c>
      <c r="AX2633" s="3" t="s">
        <v>32109</v>
      </c>
      <c r="AY2633" s="3" t="s">
        <v>32110</v>
      </c>
      <c r="AZ2633" s="3" t="s">
        <v>73</v>
      </c>
      <c r="BC2633" s="3" t="s">
        <v>32111</v>
      </c>
      <c r="BD2633" s="3" t="s">
        <v>32112</v>
      </c>
    </row>
    <row r="2634" spans="1:56" ht="51" customHeight="1" x14ac:dyDescent="0.25">
      <c r="A2634" s="7" t="s">
        <v>58</v>
      </c>
      <c r="B2634" s="2" t="s">
        <v>32102</v>
      </c>
      <c r="C2634" s="2" t="s">
        <v>32103</v>
      </c>
      <c r="D2634" s="2" t="s">
        <v>32104</v>
      </c>
      <c r="E2634" s="3" t="s">
        <v>223</v>
      </c>
      <c r="F2634" s="3" t="s">
        <v>68</v>
      </c>
      <c r="G2634" s="3" t="s">
        <v>59</v>
      </c>
      <c r="H2634" s="3" t="s">
        <v>58</v>
      </c>
      <c r="I2634" s="3" t="s">
        <v>58</v>
      </c>
      <c r="J2634" s="3" t="s">
        <v>60</v>
      </c>
      <c r="L2634" s="2" t="s">
        <v>32105</v>
      </c>
      <c r="M2634" s="3" t="s">
        <v>479</v>
      </c>
      <c r="O2634" s="3" t="s">
        <v>63</v>
      </c>
      <c r="P2634" s="3" t="s">
        <v>32074</v>
      </c>
      <c r="R2634" s="3" t="s">
        <v>65</v>
      </c>
      <c r="S2634" s="4">
        <v>4</v>
      </c>
      <c r="T2634" s="4">
        <v>9</v>
      </c>
      <c r="U2634" s="5" t="s">
        <v>12995</v>
      </c>
      <c r="V2634" s="5" t="s">
        <v>32106</v>
      </c>
      <c r="W2634" s="5" t="s">
        <v>7686</v>
      </c>
      <c r="X2634" s="5" t="s">
        <v>10066</v>
      </c>
      <c r="Y2634" s="4">
        <v>827</v>
      </c>
      <c r="Z2634" s="4">
        <v>704</v>
      </c>
      <c r="AA2634" s="4">
        <v>717</v>
      </c>
      <c r="AB2634" s="4">
        <v>3</v>
      </c>
      <c r="AC2634" s="4">
        <v>3</v>
      </c>
      <c r="AD2634" s="4">
        <v>25</v>
      </c>
      <c r="AE2634" s="4">
        <v>25</v>
      </c>
      <c r="AF2634" s="4">
        <v>10</v>
      </c>
      <c r="AG2634" s="4">
        <v>10</v>
      </c>
      <c r="AH2634" s="4">
        <v>4</v>
      </c>
      <c r="AI2634" s="4">
        <v>4</v>
      </c>
      <c r="AJ2634" s="4">
        <v>17</v>
      </c>
      <c r="AK2634" s="4">
        <v>17</v>
      </c>
      <c r="AL2634" s="4">
        <v>0</v>
      </c>
      <c r="AM2634" s="4">
        <v>0</v>
      </c>
      <c r="AN2634" s="4">
        <v>0</v>
      </c>
      <c r="AO2634" s="4">
        <v>0</v>
      </c>
      <c r="AP2634" s="3" t="s">
        <v>58</v>
      </c>
      <c r="AQ2634" s="3" t="s">
        <v>58</v>
      </c>
      <c r="AS2634" s="6" t="str">
        <f>HYPERLINK("https://creighton-primo.hosted.exlibrisgroup.com/primo-explore/search?tab=default_tab&amp;search_scope=EVERYTHING&amp;vid=01CRU&amp;lang=en_US&amp;offset=0&amp;query=any,contains,991002493819702656","Catalog Record")</f>
        <v>Catalog Record</v>
      </c>
      <c r="AT2634" s="6" t="str">
        <f>HYPERLINK("http://www.worldcat.org/oclc/32451775","WorldCat Record")</f>
        <v>WorldCat Record</v>
      </c>
      <c r="AU2634" s="3" t="s">
        <v>32107</v>
      </c>
      <c r="AV2634" s="3" t="s">
        <v>32108</v>
      </c>
      <c r="AW2634" s="3" t="s">
        <v>32109</v>
      </c>
      <c r="AX2634" s="3" t="s">
        <v>32109</v>
      </c>
      <c r="AY2634" s="3" t="s">
        <v>32110</v>
      </c>
      <c r="AZ2634" s="3" t="s">
        <v>73</v>
      </c>
      <c r="BC2634" s="3" t="s">
        <v>32113</v>
      </c>
      <c r="BD2634" s="3" t="s">
        <v>32114</v>
      </c>
    </row>
    <row r="2635" spans="1:56" ht="51" customHeight="1" x14ac:dyDescent="0.25">
      <c r="A2635" s="7" t="s">
        <v>58</v>
      </c>
      <c r="B2635" s="2" t="s">
        <v>32102</v>
      </c>
      <c r="C2635" s="2" t="s">
        <v>32103</v>
      </c>
      <c r="D2635" s="2" t="s">
        <v>32104</v>
      </c>
      <c r="E2635" s="3" t="s">
        <v>210</v>
      </c>
      <c r="F2635" s="3" t="s">
        <v>68</v>
      </c>
      <c r="G2635" s="3" t="s">
        <v>59</v>
      </c>
      <c r="H2635" s="3" t="s">
        <v>58</v>
      </c>
      <c r="I2635" s="3" t="s">
        <v>58</v>
      </c>
      <c r="J2635" s="3" t="s">
        <v>60</v>
      </c>
      <c r="L2635" s="2" t="s">
        <v>32105</v>
      </c>
      <c r="M2635" s="3" t="s">
        <v>479</v>
      </c>
      <c r="O2635" s="3" t="s">
        <v>63</v>
      </c>
      <c r="P2635" s="3" t="s">
        <v>32074</v>
      </c>
      <c r="R2635" s="3" t="s">
        <v>65</v>
      </c>
      <c r="S2635" s="4">
        <v>3</v>
      </c>
      <c r="T2635" s="4">
        <v>9</v>
      </c>
      <c r="U2635" s="5" t="s">
        <v>32115</v>
      </c>
      <c r="V2635" s="5" t="s">
        <v>32106</v>
      </c>
      <c r="W2635" s="5" t="s">
        <v>26783</v>
      </c>
      <c r="X2635" s="5" t="s">
        <v>10066</v>
      </c>
      <c r="Y2635" s="4">
        <v>827</v>
      </c>
      <c r="Z2635" s="4">
        <v>704</v>
      </c>
      <c r="AA2635" s="4">
        <v>717</v>
      </c>
      <c r="AB2635" s="4">
        <v>3</v>
      </c>
      <c r="AC2635" s="4">
        <v>3</v>
      </c>
      <c r="AD2635" s="4">
        <v>25</v>
      </c>
      <c r="AE2635" s="4">
        <v>25</v>
      </c>
      <c r="AF2635" s="4">
        <v>10</v>
      </c>
      <c r="AG2635" s="4">
        <v>10</v>
      </c>
      <c r="AH2635" s="4">
        <v>4</v>
      </c>
      <c r="AI2635" s="4">
        <v>4</v>
      </c>
      <c r="AJ2635" s="4">
        <v>17</v>
      </c>
      <c r="AK2635" s="4">
        <v>17</v>
      </c>
      <c r="AL2635" s="4">
        <v>0</v>
      </c>
      <c r="AM2635" s="4">
        <v>0</v>
      </c>
      <c r="AN2635" s="4">
        <v>0</v>
      </c>
      <c r="AO2635" s="4">
        <v>0</v>
      </c>
      <c r="AP2635" s="3" t="s">
        <v>58</v>
      </c>
      <c r="AQ2635" s="3" t="s">
        <v>58</v>
      </c>
      <c r="AS2635" s="6" t="str">
        <f>HYPERLINK("https://creighton-primo.hosted.exlibrisgroup.com/primo-explore/search?tab=default_tab&amp;search_scope=EVERYTHING&amp;vid=01CRU&amp;lang=en_US&amp;offset=0&amp;query=any,contains,991002493819702656","Catalog Record")</f>
        <v>Catalog Record</v>
      </c>
      <c r="AT2635" s="6" t="str">
        <f>HYPERLINK("http://www.worldcat.org/oclc/32451775","WorldCat Record")</f>
        <v>WorldCat Record</v>
      </c>
      <c r="AU2635" s="3" t="s">
        <v>32107</v>
      </c>
      <c r="AV2635" s="3" t="s">
        <v>32108</v>
      </c>
      <c r="AW2635" s="3" t="s">
        <v>32109</v>
      </c>
      <c r="AX2635" s="3" t="s">
        <v>32109</v>
      </c>
      <c r="AY2635" s="3" t="s">
        <v>32110</v>
      </c>
      <c r="AZ2635" s="3" t="s">
        <v>73</v>
      </c>
      <c r="BC2635" s="3" t="s">
        <v>32116</v>
      </c>
      <c r="BD2635" s="3" t="s">
        <v>32117</v>
      </c>
    </row>
    <row r="2636" spans="1:56" ht="51" customHeight="1" x14ac:dyDescent="0.25">
      <c r="A2636" s="7" t="s">
        <v>58</v>
      </c>
      <c r="B2636" s="2" t="s">
        <v>32102</v>
      </c>
      <c r="C2636" s="2" t="s">
        <v>32103</v>
      </c>
      <c r="D2636" s="2" t="s">
        <v>32104</v>
      </c>
      <c r="E2636" s="3" t="s">
        <v>279</v>
      </c>
      <c r="F2636" s="3" t="s">
        <v>68</v>
      </c>
      <c r="G2636" s="3" t="s">
        <v>59</v>
      </c>
      <c r="H2636" s="3" t="s">
        <v>58</v>
      </c>
      <c r="I2636" s="3" t="s">
        <v>58</v>
      </c>
      <c r="J2636" s="3" t="s">
        <v>60</v>
      </c>
      <c r="L2636" s="2" t="s">
        <v>32105</v>
      </c>
      <c r="M2636" s="3" t="s">
        <v>479</v>
      </c>
      <c r="O2636" s="3" t="s">
        <v>63</v>
      </c>
      <c r="P2636" s="3" t="s">
        <v>32074</v>
      </c>
      <c r="R2636" s="3" t="s">
        <v>65</v>
      </c>
      <c r="S2636" s="4">
        <v>0</v>
      </c>
      <c r="T2636" s="4">
        <v>9</v>
      </c>
      <c r="V2636" s="5" t="s">
        <v>32106</v>
      </c>
      <c r="W2636" s="5" t="s">
        <v>32118</v>
      </c>
      <c r="X2636" s="5" t="s">
        <v>10066</v>
      </c>
      <c r="Y2636" s="4">
        <v>827</v>
      </c>
      <c r="Z2636" s="4">
        <v>704</v>
      </c>
      <c r="AA2636" s="4">
        <v>717</v>
      </c>
      <c r="AB2636" s="4">
        <v>3</v>
      </c>
      <c r="AC2636" s="4">
        <v>3</v>
      </c>
      <c r="AD2636" s="4">
        <v>25</v>
      </c>
      <c r="AE2636" s="4">
        <v>25</v>
      </c>
      <c r="AF2636" s="4">
        <v>10</v>
      </c>
      <c r="AG2636" s="4">
        <v>10</v>
      </c>
      <c r="AH2636" s="4">
        <v>4</v>
      </c>
      <c r="AI2636" s="4">
        <v>4</v>
      </c>
      <c r="AJ2636" s="4">
        <v>17</v>
      </c>
      <c r="AK2636" s="4">
        <v>17</v>
      </c>
      <c r="AL2636" s="4">
        <v>0</v>
      </c>
      <c r="AM2636" s="4">
        <v>0</v>
      </c>
      <c r="AN2636" s="4">
        <v>0</v>
      </c>
      <c r="AO2636" s="4">
        <v>0</v>
      </c>
      <c r="AP2636" s="3" t="s">
        <v>58</v>
      </c>
      <c r="AQ2636" s="3" t="s">
        <v>58</v>
      </c>
      <c r="AS2636" s="6" t="str">
        <f>HYPERLINK("https://creighton-primo.hosted.exlibrisgroup.com/primo-explore/search?tab=default_tab&amp;search_scope=EVERYTHING&amp;vid=01CRU&amp;lang=en_US&amp;offset=0&amp;query=any,contains,991002493819702656","Catalog Record")</f>
        <v>Catalog Record</v>
      </c>
      <c r="AT2636" s="6" t="str">
        <f>HYPERLINK("http://www.worldcat.org/oclc/32451775","WorldCat Record")</f>
        <v>WorldCat Record</v>
      </c>
      <c r="AU2636" s="3" t="s">
        <v>32107</v>
      </c>
      <c r="AV2636" s="3" t="s">
        <v>32108</v>
      </c>
      <c r="AW2636" s="3" t="s">
        <v>32109</v>
      </c>
      <c r="AX2636" s="3" t="s">
        <v>32109</v>
      </c>
      <c r="AY2636" s="3" t="s">
        <v>32110</v>
      </c>
      <c r="AZ2636" s="3" t="s">
        <v>73</v>
      </c>
      <c r="BC2636" s="3" t="s">
        <v>32119</v>
      </c>
      <c r="BD2636" s="3" t="s">
        <v>32120</v>
      </c>
    </row>
    <row r="2637" spans="1:56" ht="51" customHeight="1" x14ac:dyDescent="0.25">
      <c r="A2637" s="7" t="s">
        <v>58</v>
      </c>
      <c r="B2637" s="2" t="s">
        <v>32121</v>
      </c>
      <c r="C2637" s="2" t="s">
        <v>32122</v>
      </c>
      <c r="D2637" s="2" t="s">
        <v>32123</v>
      </c>
      <c r="F2637" s="3" t="s">
        <v>58</v>
      </c>
      <c r="G2637" s="3" t="s">
        <v>59</v>
      </c>
      <c r="H2637" s="3" t="s">
        <v>58</v>
      </c>
      <c r="I2637" s="3" t="s">
        <v>58</v>
      </c>
      <c r="J2637" s="3" t="s">
        <v>60</v>
      </c>
      <c r="K2637" s="2" t="s">
        <v>32124</v>
      </c>
      <c r="L2637" s="2" t="s">
        <v>32125</v>
      </c>
      <c r="M2637" s="3" t="s">
        <v>598</v>
      </c>
      <c r="O2637" s="3" t="s">
        <v>63</v>
      </c>
      <c r="P2637" s="3" t="s">
        <v>214</v>
      </c>
      <c r="R2637" s="3" t="s">
        <v>65</v>
      </c>
      <c r="S2637" s="4">
        <v>5</v>
      </c>
      <c r="T2637" s="4">
        <v>5</v>
      </c>
      <c r="U2637" s="5" t="s">
        <v>7934</v>
      </c>
      <c r="V2637" s="5" t="s">
        <v>7934</v>
      </c>
      <c r="W2637" s="5" t="s">
        <v>17910</v>
      </c>
      <c r="X2637" s="5" t="s">
        <v>17910</v>
      </c>
      <c r="Y2637" s="4">
        <v>1153</v>
      </c>
      <c r="Z2637" s="4">
        <v>1058</v>
      </c>
      <c r="AA2637" s="4">
        <v>1114</v>
      </c>
      <c r="AB2637" s="4">
        <v>10</v>
      </c>
      <c r="AC2637" s="4">
        <v>10</v>
      </c>
      <c r="AD2637" s="4">
        <v>44</v>
      </c>
      <c r="AE2637" s="4">
        <v>46</v>
      </c>
      <c r="AF2637" s="4">
        <v>20</v>
      </c>
      <c r="AG2637" s="4">
        <v>21</v>
      </c>
      <c r="AH2637" s="4">
        <v>6</v>
      </c>
      <c r="AI2637" s="4">
        <v>6</v>
      </c>
      <c r="AJ2637" s="4">
        <v>17</v>
      </c>
      <c r="AK2637" s="4">
        <v>19</v>
      </c>
      <c r="AL2637" s="4">
        <v>9</v>
      </c>
      <c r="AM2637" s="4">
        <v>9</v>
      </c>
      <c r="AN2637" s="4">
        <v>0</v>
      </c>
      <c r="AO2637" s="4">
        <v>0</v>
      </c>
      <c r="AP2637" s="3" t="s">
        <v>58</v>
      </c>
      <c r="AQ2637" s="3" t="s">
        <v>68</v>
      </c>
      <c r="AR2637" s="6" t="str">
        <f>HYPERLINK("http://catalog.hathitrust.org/Record/001606650","HathiTrust Record")</f>
        <v>HathiTrust Record</v>
      </c>
      <c r="AS2637" s="6" t="str">
        <f>HYPERLINK("https://creighton-primo.hosted.exlibrisgroup.com/primo-explore/search?tab=default_tab&amp;search_scope=EVERYTHING&amp;vid=01CRU&amp;lang=en_US&amp;offset=0&amp;query=any,contains,991002720599702656","Catalog Record")</f>
        <v>Catalog Record</v>
      </c>
      <c r="AT2637" s="6" t="str">
        <f>HYPERLINK("http://www.worldcat.org/oclc/412547","WorldCat Record")</f>
        <v>WorldCat Record</v>
      </c>
      <c r="AU2637" s="3" t="s">
        <v>32126</v>
      </c>
      <c r="AV2637" s="3" t="s">
        <v>32127</v>
      </c>
      <c r="AW2637" s="3" t="s">
        <v>32128</v>
      </c>
      <c r="AX2637" s="3" t="s">
        <v>32128</v>
      </c>
      <c r="AY2637" s="3" t="s">
        <v>32129</v>
      </c>
      <c r="AZ2637" s="3" t="s">
        <v>73</v>
      </c>
      <c r="BC2637" s="3" t="s">
        <v>32130</v>
      </c>
      <c r="BD2637" s="3" t="s">
        <v>32131</v>
      </c>
    </row>
    <row r="2638" spans="1:56" ht="51" customHeight="1" x14ac:dyDescent="0.25">
      <c r="A2638" s="7" t="s">
        <v>58</v>
      </c>
      <c r="B2638" s="2" t="s">
        <v>32132</v>
      </c>
      <c r="C2638" s="2" t="s">
        <v>32133</v>
      </c>
      <c r="D2638" s="2" t="s">
        <v>32134</v>
      </c>
      <c r="F2638" s="3" t="s">
        <v>58</v>
      </c>
      <c r="G2638" s="3" t="s">
        <v>59</v>
      </c>
      <c r="H2638" s="3" t="s">
        <v>58</v>
      </c>
      <c r="I2638" s="3" t="s">
        <v>58</v>
      </c>
      <c r="J2638" s="3" t="s">
        <v>60</v>
      </c>
      <c r="K2638" s="2" t="s">
        <v>32135</v>
      </c>
      <c r="L2638" s="2" t="s">
        <v>32136</v>
      </c>
      <c r="M2638" s="3" t="s">
        <v>538</v>
      </c>
      <c r="O2638" s="3" t="s">
        <v>63</v>
      </c>
      <c r="P2638" s="3" t="s">
        <v>2061</v>
      </c>
      <c r="R2638" s="3" t="s">
        <v>65</v>
      </c>
      <c r="S2638" s="4">
        <v>13</v>
      </c>
      <c r="T2638" s="4">
        <v>13</v>
      </c>
      <c r="U2638" s="5" t="s">
        <v>32137</v>
      </c>
      <c r="V2638" s="5" t="s">
        <v>32137</v>
      </c>
      <c r="W2638" s="5" t="s">
        <v>9175</v>
      </c>
      <c r="X2638" s="5" t="s">
        <v>9175</v>
      </c>
      <c r="Y2638" s="4">
        <v>896</v>
      </c>
      <c r="Z2638" s="4">
        <v>780</v>
      </c>
      <c r="AA2638" s="4">
        <v>810</v>
      </c>
      <c r="AB2638" s="4">
        <v>8</v>
      </c>
      <c r="AC2638" s="4">
        <v>8</v>
      </c>
      <c r="AD2638" s="4">
        <v>37</v>
      </c>
      <c r="AE2638" s="4">
        <v>38</v>
      </c>
      <c r="AF2638" s="4">
        <v>14</v>
      </c>
      <c r="AG2638" s="4">
        <v>15</v>
      </c>
      <c r="AH2638" s="4">
        <v>6</v>
      </c>
      <c r="AI2638" s="4">
        <v>6</v>
      </c>
      <c r="AJ2638" s="4">
        <v>19</v>
      </c>
      <c r="AK2638" s="4">
        <v>19</v>
      </c>
      <c r="AL2638" s="4">
        <v>7</v>
      </c>
      <c r="AM2638" s="4">
        <v>7</v>
      </c>
      <c r="AN2638" s="4">
        <v>0</v>
      </c>
      <c r="AO2638" s="4">
        <v>0</v>
      </c>
      <c r="AP2638" s="3" t="s">
        <v>58</v>
      </c>
      <c r="AQ2638" s="3" t="s">
        <v>68</v>
      </c>
      <c r="AR2638" s="6" t="str">
        <f>HYPERLINK("http://catalog.hathitrust.org/Record/001606661","HathiTrust Record")</f>
        <v>HathiTrust Record</v>
      </c>
      <c r="AS2638" s="6" t="str">
        <f>HYPERLINK("https://creighton-primo.hosted.exlibrisgroup.com/primo-explore/search?tab=default_tab&amp;search_scope=EVERYTHING&amp;vid=01CRU&amp;lang=en_US&amp;offset=0&amp;query=any,contains,991001398959702656","Catalog Record")</f>
        <v>Catalog Record</v>
      </c>
      <c r="AT2638" s="6" t="str">
        <f>HYPERLINK("http://www.worldcat.org/oclc/228867","WorldCat Record")</f>
        <v>WorldCat Record</v>
      </c>
      <c r="AU2638" s="3" t="s">
        <v>32138</v>
      </c>
      <c r="AV2638" s="3" t="s">
        <v>32139</v>
      </c>
      <c r="AW2638" s="3" t="s">
        <v>32140</v>
      </c>
      <c r="AX2638" s="3" t="s">
        <v>32140</v>
      </c>
      <c r="AY2638" s="3" t="s">
        <v>32141</v>
      </c>
      <c r="AZ2638" s="3" t="s">
        <v>73</v>
      </c>
      <c r="BC2638" s="3" t="s">
        <v>32142</v>
      </c>
      <c r="BD2638" s="3" t="s">
        <v>32143</v>
      </c>
    </row>
    <row r="2639" spans="1:56" ht="51" customHeight="1" x14ac:dyDescent="0.25">
      <c r="A2639" s="7" t="s">
        <v>58</v>
      </c>
      <c r="B2639" s="2" t="s">
        <v>32144</v>
      </c>
      <c r="C2639" s="2" t="s">
        <v>32145</v>
      </c>
      <c r="D2639" s="2" t="s">
        <v>32146</v>
      </c>
      <c r="E2639" s="3" t="s">
        <v>210</v>
      </c>
      <c r="F2639" s="3" t="s">
        <v>68</v>
      </c>
      <c r="G2639" s="3" t="s">
        <v>59</v>
      </c>
      <c r="H2639" s="3" t="s">
        <v>58</v>
      </c>
      <c r="I2639" s="3" t="s">
        <v>58</v>
      </c>
      <c r="J2639" s="3" t="s">
        <v>60</v>
      </c>
      <c r="K2639" s="2" t="s">
        <v>32147</v>
      </c>
      <c r="L2639" s="2" t="s">
        <v>32148</v>
      </c>
      <c r="M2639" s="3" t="s">
        <v>2004</v>
      </c>
      <c r="O2639" s="3" t="s">
        <v>63</v>
      </c>
      <c r="P2639" s="3" t="s">
        <v>214</v>
      </c>
      <c r="R2639" s="3" t="s">
        <v>65</v>
      </c>
      <c r="S2639" s="4">
        <v>2</v>
      </c>
      <c r="T2639" s="4">
        <v>6</v>
      </c>
      <c r="V2639" s="5" t="s">
        <v>32149</v>
      </c>
      <c r="W2639" s="5" t="s">
        <v>31579</v>
      </c>
      <c r="X2639" s="5" t="s">
        <v>31579</v>
      </c>
      <c r="Y2639" s="4">
        <v>943</v>
      </c>
      <c r="Z2639" s="4">
        <v>878</v>
      </c>
      <c r="AA2639" s="4">
        <v>998</v>
      </c>
      <c r="AB2639" s="4">
        <v>5</v>
      </c>
      <c r="AC2639" s="4">
        <v>6</v>
      </c>
      <c r="AD2639" s="4">
        <v>25</v>
      </c>
      <c r="AE2639" s="4">
        <v>32</v>
      </c>
      <c r="AF2639" s="4">
        <v>10</v>
      </c>
      <c r="AG2639" s="4">
        <v>13</v>
      </c>
      <c r="AH2639" s="4">
        <v>5</v>
      </c>
      <c r="AI2639" s="4">
        <v>5</v>
      </c>
      <c r="AJ2639" s="4">
        <v>9</v>
      </c>
      <c r="AK2639" s="4">
        <v>13</v>
      </c>
      <c r="AL2639" s="4">
        <v>4</v>
      </c>
      <c r="AM2639" s="4">
        <v>5</v>
      </c>
      <c r="AN2639" s="4">
        <v>0</v>
      </c>
      <c r="AO2639" s="4">
        <v>0</v>
      </c>
      <c r="AP2639" s="3" t="s">
        <v>68</v>
      </c>
      <c r="AQ2639" s="3" t="s">
        <v>58</v>
      </c>
      <c r="AR2639" s="6" t="str">
        <f>HYPERLINK("http://catalog.hathitrust.org/Record/001605023","HathiTrust Record")</f>
        <v>HathiTrust Record</v>
      </c>
      <c r="AS2639" s="6" t="str">
        <f>HYPERLINK("https://creighton-primo.hosted.exlibrisgroup.com/primo-explore/search?tab=default_tab&amp;search_scope=EVERYTHING&amp;vid=01CRU&amp;lang=en_US&amp;offset=0&amp;query=any,contains,991002721999702656","Catalog Record")</f>
        <v>Catalog Record</v>
      </c>
      <c r="AT2639" s="6" t="str">
        <f>HYPERLINK("http://www.worldcat.org/oclc/412893","WorldCat Record")</f>
        <v>WorldCat Record</v>
      </c>
      <c r="AU2639" s="3" t="s">
        <v>32150</v>
      </c>
      <c r="AV2639" s="3" t="s">
        <v>32151</v>
      </c>
      <c r="AW2639" s="3" t="s">
        <v>32152</v>
      </c>
      <c r="AX2639" s="3" t="s">
        <v>32152</v>
      </c>
      <c r="AY2639" s="3" t="s">
        <v>32153</v>
      </c>
      <c r="AZ2639" s="3" t="s">
        <v>73</v>
      </c>
      <c r="BC2639" s="3" t="s">
        <v>32154</v>
      </c>
      <c r="BD2639" s="3" t="s">
        <v>32155</v>
      </c>
    </row>
    <row r="2640" spans="1:56" ht="51" customHeight="1" x14ac:dyDescent="0.25">
      <c r="A2640" s="7" t="s">
        <v>58</v>
      </c>
      <c r="B2640" s="2" t="s">
        <v>32144</v>
      </c>
      <c r="C2640" s="2" t="s">
        <v>32145</v>
      </c>
      <c r="D2640" s="2" t="s">
        <v>32146</v>
      </c>
      <c r="E2640" s="3" t="s">
        <v>223</v>
      </c>
      <c r="F2640" s="3" t="s">
        <v>68</v>
      </c>
      <c r="G2640" s="3" t="s">
        <v>59</v>
      </c>
      <c r="H2640" s="3" t="s">
        <v>58</v>
      </c>
      <c r="I2640" s="3" t="s">
        <v>58</v>
      </c>
      <c r="J2640" s="3" t="s">
        <v>60</v>
      </c>
      <c r="K2640" s="2" t="s">
        <v>32147</v>
      </c>
      <c r="L2640" s="2" t="s">
        <v>32148</v>
      </c>
      <c r="M2640" s="3" t="s">
        <v>2004</v>
      </c>
      <c r="O2640" s="3" t="s">
        <v>63</v>
      </c>
      <c r="P2640" s="3" t="s">
        <v>214</v>
      </c>
      <c r="R2640" s="3" t="s">
        <v>65</v>
      </c>
      <c r="S2640" s="4">
        <v>4</v>
      </c>
      <c r="T2640" s="4">
        <v>6</v>
      </c>
      <c r="U2640" s="5" t="s">
        <v>32149</v>
      </c>
      <c r="V2640" s="5" t="s">
        <v>32149</v>
      </c>
      <c r="W2640" s="5" t="s">
        <v>31579</v>
      </c>
      <c r="X2640" s="5" t="s">
        <v>31579</v>
      </c>
      <c r="Y2640" s="4">
        <v>943</v>
      </c>
      <c r="Z2640" s="4">
        <v>878</v>
      </c>
      <c r="AA2640" s="4">
        <v>998</v>
      </c>
      <c r="AB2640" s="4">
        <v>5</v>
      </c>
      <c r="AC2640" s="4">
        <v>6</v>
      </c>
      <c r="AD2640" s="4">
        <v>25</v>
      </c>
      <c r="AE2640" s="4">
        <v>32</v>
      </c>
      <c r="AF2640" s="4">
        <v>10</v>
      </c>
      <c r="AG2640" s="4">
        <v>13</v>
      </c>
      <c r="AH2640" s="4">
        <v>5</v>
      </c>
      <c r="AI2640" s="4">
        <v>5</v>
      </c>
      <c r="AJ2640" s="4">
        <v>9</v>
      </c>
      <c r="AK2640" s="4">
        <v>13</v>
      </c>
      <c r="AL2640" s="4">
        <v>4</v>
      </c>
      <c r="AM2640" s="4">
        <v>5</v>
      </c>
      <c r="AN2640" s="4">
        <v>0</v>
      </c>
      <c r="AO2640" s="4">
        <v>0</v>
      </c>
      <c r="AP2640" s="3" t="s">
        <v>68</v>
      </c>
      <c r="AQ2640" s="3" t="s">
        <v>58</v>
      </c>
      <c r="AR2640" s="6" t="str">
        <f>HYPERLINK("http://catalog.hathitrust.org/Record/001605023","HathiTrust Record")</f>
        <v>HathiTrust Record</v>
      </c>
      <c r="AS2640" s="6" t="str">
        <f>HYPERLINK("https://creighton-primo.hosted.exlibrisgroup.com/primo-explore/search?tab=default_tab&amp;search_scope=EVERYTHING&amp;vid=01CRU&amp;lang=en_US&amp;offset=0&amp;query=any,contains,991002721999702656","Catalog Record")</f>
        <v>Catalog Record</v>
      </c>
      <c r="AT2640" s="6" t="str">
        <f>HYPERLINK("http://www.worldcat.org/oclc/412893","WorldCat Record")</f>
        <v>WorldCat Record</v>
      </c>
      <c r="AU2640" s="3" t="s">
        <v>32150</v>
      </c>
      <c r="AV2640" s="3" t="s">
        <v>32151</v>
      </c>
      <c r="AW2640" s="3" t="s">
        <v>32152</v>
      </c>
      <c r="AX2640" s="3" t="s">
        <v>32152</v>
      </c>
      <c r="AY2640" s="3" t="s">
        <v>32153</v>
      </c>
      <c r="AZ2640" s="3" t="s">
        <v>73</v>
      </c>
      <c r="BC2640" s="3" t="s">
        <v>32156</v>
      </c>
      <c r="BD2640" s="3" t="s">
        <v>32157</v>
      </c>
    </row>
    <row r="2641" spans="1:56" ht="51" customHeight="1" x14ac:dyDescent="0.25">
      <c r="A2641" s="7" t="s">
        <v>58</v>
      </c>
      <c r="B2641" s="2" t="s">
        <v>32158</v>
      </c>
      <c r="C2641" s="2" t="s">
        <v>32159</v>
      </c>
      <c r="D2641" s="2" t="s">
        <v>32160</v>
      </c>
      <c r="F2641" s="3" t="s">
        <v>58</v>
      </c>
      <c r="G2641" s="3" t="s">
        <v>59</v>
      </c>
      <c r="H2641" s="3" t="s">
        <v>58</v>
      </c>
      <c r="I2641" s="3" t="s">
        <v>58</v>
      </c>
      <c r="J2641" s="3" t="s">
        <v>60</v>
      </c>
      <c r="K2641" s="2" t="s">
        <v>32147</v>
      </c>
      <c r="L2641" s="2" t="s">
        <v>32161</v>
      </c>
      <c r="M2641" s="3" t="s">
        <v>538</v>
      </c>
      <c r="O2641" s="3" t="s">
        <v>63</v>
      </c>
      <c r="P2641" s="3" t="s">
        <v>32074</v>
      </c>
      <c r="Q2641" s="2" t="s">
        <v>32162</v>
      </c>
      <c r="R2641" s="3" t="s">
        <v>65</v>
      </c>
      <c r="S2641" s="4">
        <v>4</v>
      </c>
      <c r="T2641" s="4">
        <v>4</v>
      </c>
      <c r="U2641" s="5" t="s">
        <v>32163</v>
      </c>
      <c r="V2641" s="5" t="s">
        <v>32163</v>
      </c>
      <c r="W2641" s="5" t="s">
        <v>31579</v>
      </c>
      <c r="X2641" s="5" t="s">
        <v>31579</v>
      </c>
      <c r="Y2641" s="4">
        <v>172</v>
      </c>
      <c r="Z2641" s="4">
        <v>134</v>
      </c>
      <c r="AA2641" s="4">
        <v>369</v>
      </c>
      <c r="AB2641" s="4">
        <v>1</v>
      </c>
      <c r="AC2641" s="4">
        <v>3</v>
      </c>
      <c r="AD2641" s="4">
        <v>5</v>
      </c>
      <c r="AE2641" s="4">
        <v>12</v>
      </c>
      <c r="AF2641" s="4">
        <v>1</v>
      </c>
      <c r="AG2641" s="4">
        <v>3</v>
      </c>
      <c r="AH2641" s="4">
        <v>2</v>
      </c>
      <c r="AI2641" s="4">
        <v>4</v>
      </c>
      <c r="AJ2641" s="4">
        <v>3</v>
      </c>
      <c r="AK2641" s="4">
        <v>5</v>
      </c>
      <c r="AL2641" s="4">
        <v>0</v>
      </c>
      <c r="AM2641" s="4">
        <v>2</v>
      </c>
      <c r="AN2641" s="4">
        <v>0</v>
      </c>
      <c r="AO2641" s="4">
        <v>0</v>
      </c>
      <c r="AP2641" s="3" t="s">
        <v>58</v>
      </c>
      <c r="AQ2641" s="3" t="s">
        <v>68</v>
      </c>
      <c r="AR2641" s="6" t="str">
        <f>HYPERLINK("http://catalog.hathitrust.org/Record/001605018","HathiTrust Record")</f>
        <v>HathiTrust Record</v>
      </c>
      <c r="AS2641" s="6" t="str">
        <f>HYPERLINK("https://creighton-primo.hosted.exlibrisgroup.com/primo-explore/search?tab=default_tab&amp;search_scope=EVERYTHING&amp;vid=01CRU&amp;lang=en_US&amp;offset=0&amp;query=any,contains,991002007529702656","Catalog Record")</f>
        <v>Catalog Record</v>
      </c>
      <c r="AT2641" s="6" t="str">
        <f>HYPERLINK("http://www.worldcat.org/oclc/258451","WorldCat Record")</f>
        <v>WorldCat Record</v>
      </c>
      <c r="AU2641" s="3" t="s">
        <v>32164</v>
      </c>
      <c r="AV2641" s="3" t="s">
        <v>32165</v>
      </c>
      <c r="AW2641" s="3" t="s">
        <v>32166</v>
      </c>
      <c r="AX2641" s="3" t="s">
        <v>32166</v>
      </c>
      <c r="AY2641" s="3" t="s">
        <v>32167</v>
      </c>
      <c r="AZ2641" s="3" t="s">
        <v>73</v>
      </c>
      <c r="BC2641" s="3" t="s">
        <v>32168</v>
      </c>
      <c r="BD2641" s="3" t="s">
        <v>32169</v>
      </c>
    </row>
    <row r="2642" spans="1:56" ht="51" customHeight="1" x14ac:dyDescent="0.25">
      <c r="A2642" s="7" t="s">
        <v>58</v>
      </c>
      <c r="B2642" s="2" t="s">
        <v>32170</v>
      </c>
      <c r="C2642" s="2" t="s">
        <v>32171</v>
      </c>
      <c r="D2642" s="2" t="s">
        <v>32172</v>
      </c>
      <c r="F2642" s="3" t="s">
        <v>58</v>
      </c>
      <c r="G2642" s="3" t="s">
        <v>59</v>
      </c>
      <c r="H2642" s="3" t="s">
        <v>58</v>
      </c>
      <c r="I2642" s="3" t="s">
        <v>58</v>
      </c>
      <c r="J2642" s="3" t="s">
        <v>60</v>
      </c>
      <c r="K2642" s="2" t="s">
        <v>32173</v>
      </c>
      <c r="L2642" s="2" t="s">
        <v>32174</v>
      </c>
      <c r="M2642" s="3" t="s">
        <v>2186</v>
      </c>
      <c r="N2642" s="2" t="s">
        <v>19140</v>
      </c>
      <c r="O2642" s="3" t="s">
        <v>63</v>
      </c>
      <c r="P2642" s="3" t="s">
        <v>584</v>
      </c>
      <c r="R2642" s="3" t="s">
        <v>65</v>
      </c>
      <c r="S2642" s="4">
        <v>5</v>
      </c>
      <c r="T2642" s="4">
        <v>5</v>
      </c>
      <c r="U2642" s="5" t="s">
        <v>29757</v>
      </c>
      <c r="V2642" s="5" t="s">
        <v>29757</v>
      </c>
      <c r="W2642" s="5" t="s">
        <v>18842</v>
      </c>
      <c r="X2642" s="5" t="s">
        <v>18842</v>
      </c>
      <c r="Y2642" s="4">
        <v>103</v>
      </c>
      <c r="Z2642" s="4">
        <v>84</v>
      </c>
      <c r="AA2642" s="4">
        <v>564</v>
      </c>
      <c r="AB2642" s="4">
        <v>1</v>
      </c>
      <c r="AC2642" s="4">
        <v>3</v>
      </c>
      <c r="AD2642" s="4">
        <v>1</v>
      </c>
      <c r="AE2642" s="4">
        <v>21</v>
      </c>
      <c r="AF2642" s="4">
        <v>1</v>
      </c>
      <c r="AG2642" s="4">
        <v>8</v>
      </c>
      <c r="AH2642" s="4">
        <v>0</v>
      </c>
      <c r="AI2642" s="4">
        <v>8</v>
      </c>
      <c r="AJ2642" s="4">
        <v>1</v>
      </c>
      <c r="AK2642" s="4">
        <v>11</v>
      </c>
      <c r="AL2642" s="4">
        <v>0</v>
      </c>
      <c r="AM2642" s="4">
        <v>2</v>
      </c>
      <c r="AN2642" s="4">
        <v>0</v>
      </c>
      <c r="AO2642" s="4">
        <v>0</v>
      </c>
      <c r="AP2642" s="3" t="s">
        <v>58</v>
      </c>
      <c r="AQ2642" s="3" t="s">
        <v>58</v>
      </c>
      <c r="AS2642" s="6" t="str">
        <f>HYPERLINK("https://creighton-primo.hosted.exlibrisgroup.com/primo-explore/search?tab=default_tab&amp;search_scope=EVERYTHING&amp;vid=01CRU&amp;lang=en_US&amp;offset=0&amp;query=any,contains,991005259129702656","Catalog Record")</f>
        <v>Catalog Record</v>
      </c>
      <c r="AT2642" s="6" t="str">
        <f>HYPERLINK("http://www.worldcat.org/oclc/972876536","WorldCat Record")</f>
        <v>WorldCat Record</v>
      </c>
      <c r="AU2642" s="3" t="s">
        <v>32175</v>
      </c>
      <c r="AV2642" s="3" t="s">
        <v>32176</v>
      </c>
      <c r="AW2642" s="3" t="s">
        <v>32177</v>
      </c>
      <c r="AX2642" s="3" t="s">
        <v>32177</v>
      </c>
      <c r="AY2642" s="3" t="s">
        <v>32178</v>
      </c>
      <c r="AZ2642" s="3" t="s">
        <v>73</v>
      </c>
      <c r="BB2642" s="3" t="s">
        <v>32179</v>
      </c>
      <c r="BC2642" s="3" t="s">
        <v>32180</v>
      </c>
      <c r="BD2642" s="3" t="s">
        <v>32181</v>
      </c>
    </row>
    <row r="2643" spans="1:56" ht="51" customHeight="1" x14ac:dyDescent="0.25">
      <c r="A2643" s="7" t="s">
        <v>58</v>
      </c>
      <c r="B2643" s="2" t="s">
        <v>32182</v>
      </c>
      <c r="C2643" s="2" t="s">
        <v>32183</v>
      </c>
      <c r="D2643" s="2" t="s">
        <v>32184</v>
      </c>
      <c r="F2643" s="3" t="s">
        <v>58</v>
      </c>
      <c r="G2643" s="3" t="s">
        <v>59</v>
      </c>
      <c r="H2643" s="3" t="s">
        <v>58</v>
      </c>
      <c r="I2643" s="3" t="s">
        <v>58</v>
      </c>
      <c r="J2643" s="3" t="s">
        <v>60</v>
      </c>
      <c r="K2643" s="2" t="s">
        <v>32185</v>
      </c>
      <c r="L2643" s="2" t="s">
        <v>32186</v>
      </c>
      <c r="M2643" s="3" t="s">
        <v>101</v>
      </c>
      <c r="O2643" s="3" t="s">
        <v>63</v>
      </c>
      <c r="P2643" s="3" t="s">
        <v>32074</v>
      </c>
      <c r="R2643" s="3" t="s">
        <v>65</v>
      </c>
      <c r="S2643" s="4">
        <v>6</v>
      </c>
      <c r="T2643" s="4">
        <v>6</v>
      </c>
      <c r="U2643" s="5" t="s">
        <v>32115</v>
      </c>
      <c r="V2643" s="5" t="s">
        <v>32115</v>
      </c>
      <c r="W2643" s="5" t="s">
        <v>31579</v>
      </c>
      <c r="X2643" s="5" t="s">
        <v>31579</v>
      </c>
      <c r="Y2643" s="4">
        <v>376</v>
      </c>
      <c r="Z2643" s="4">
        <v>319</v>
      </c>
      <c r="AA2643" s="4">
        <v>1680</v>
      </c>
      <c r="AB2643" s="4">
        <v>3</v>
      </c>
      <c r="AC2643" s="4">
        <v>10</v>
      </c>
      <c r="AD2643" s="4">
        <v>9</v>
      </c>
      <c r="AE2643" s="4">
        <v>35</v>
      </c>
      <c r="AF2643" s="4">
        <v>2</v>
      </c>
      <c r="AG2643" s="4">
        <v>15</v>
      </c>
      <c r="AH2643" s="4">
        <v>4</v>
      </c>
      <c r="AI2643" s="4">
        <v>8</v>
      </c>
      <c r="AJ2643" s="4">
        <v>4</v>
      </c>
      <c r="AK2643" s="4">
        <v>19</v>
      </c>
      <c r="AL2643" s="4">
        <v>1</v>
      </c>
      <c r="AM2643" s="4">
        <v>4</v>
      </c>
      <c r="AN2643" s="4">
        <v>0</v>
      </c>
      <c r="AO2643" s="4">
        <v>0</v>
      </c>
      <c r="AP2643" s="3" t="s">
        <v>58</v>
      </c>
      <c r="AQ2643" s="3" t="s">
        <v>68</v>
      </c>
      <c r="AR2643" s="6" t="str">
        <f>HYPERLINK("http://catalog.hathitrust.org/Record/006782604","HathiTrust Record")</f>
        <v>HathiTrust Record</v>
      </c>
      <c r="AS2643" s="6" t="str">
        <f>HYPERLINK("https://creighton-primo.hosted.exlibrisgroup.com/primo-explore/search?tab=default_tab&amp;search_scope=EVERYTHING&amp;vid=01CRU&amp;lang=en_US&amp;offset=0&amp;query=any,contains,991000586889702656","Catalog Record")</f>
        <v>Catalog Record</v>
      </c>
      <c r="AT2643" s="6" t="str">
        <f>HYPERLINK("http://www.worldcat.org/oclc/11761016","WorldCat Record")</f>
        <v>WorldCat Record</v>
      </c>
      <c r="AU2643" s="3" t="s">
        <v>32187</v>
      </c>
      <c r="AV2643" s="3" t="s">
        <v>32188</v>
      </c>
      <c r="AW2643" s="3" t="s">
        <v>32189</v>
      </c>
      <c r="AX2643" s="3" t="s">
        <v>32189</v>
      </c>
      <c r="AY2643" s="3" t="s">
        <v>32190</v>
      </c>
      <c r="AZ2643" s="3" t="s">
        <v>73</v>
      </c>
      <c r="BC2643" s="3" t="s">
        <v>32191</v>
      </c>
      <c r="BD2643" s="3" t="s">
        <v>32192</v>
      </c>
    </row>
    <row r="2644" spans="1:56" ht="51" customHeight="1" x14ac:dyDescent="0.25">
      <c r="A2644" s="7" t="s">
        <v>58</v>
      </c>
      <c r="B2644" s="2" t="s">
        <v>32193</v>
      </c>
      <c r="C2644" s="2" t="s">
        <v>32194</v>
      </c>
      <c r="D2644" s="2" t="s">
        <v>32195</v>
      </c>
      <c r="F2644" s="3" t="s">
        <v>58</v>
      </c>
      <c r="G2644" s="3" t="s">
        <v>59</v>
      </c>
      <c r="H2644" s="3" t="s">
        <v>58</v>
      </c>
      <c r="I2644" s="3" t="s">
        <v>58</v>
      </c>
      <c r="J2644" s="3" t="s">
        <v>60</v>
      </c>
      <c r="K2644" s="2" t="s">
        <v>32196</v>
      </c>
      <c r="L2644" s="2" t="s">
        <v>32197</v>
      </c>
      <c r="M2644" s="3" t="s">
        <v>196</v>
      </c>
      <c r="N2644" s="2" t="s">
        <v>3417</v>
      </c>
      <c r="O2644" s="3" t="s">
        <v>63</v>
      </c>
      <c r="P2644" s="3" t="s">
        <v>2630</v>
      </c>
      <c r="R2644" s="3" t="s">
        <v>65</v>
      </c>
      <c r="S2644" s="4">
        <v>14</v>
      </c>
      <c r="T2644" s="4">
        <v>14</v>
      </c>
      <c r="U2644" s="5" t="s">
        <v>32198</v>
      </c>
      <c r="V2644" s="5" t="s">
        <v>32198</v>
      </c>
      <c r="W2644" s="5" t="s">
        <v>18258</v>
      </c>
      <c r="X2644" s="5" t="s">
        <v>18258</v>
      </c>
      <c r="Y2644" s="4">
        <v>307</v>
      </c>
      <c r="Z2644" s="4">
        <v>245</v>
      </c>
      <c r="AA2644" s="4">
        <v>718</v>
      </c>
      <c r="AB2644" s="4">
        <v>3</v>
      </c>
      <c r="AC2644" s="4">
        <v>4</v>
      </c>
      <c r="AD2644" s="4">
        <v>15</v>
      </c>
      <c r="AE2644" s="4">
        <v>33</v>
      </c>
      <c r="AF2644" s="4">
        <v>7</v>
      </c>
      <c r="AG2644" s="4">
        <v>16</v>
      </c>
      <c r="AH2644" s="4">
        <v>5</v>
      </c>
      <c r="AI2644" s="4">
        <v>9</v>
      </c>
      <c r="AJ2644" s="4">
        <v>9</v>
      </c>
      <c r="AK2644" s="4">
        <v>15</v>
      </c>
      <c r="AL2644" s="4">
        <v>2</v>
      </c>
      <c r="AM2644" s="4">
        <v>3</v>
      </c>
      <c r="AN2644" s="4">
        <v>0</v>
      </c>
      <c r="AO2644" s="4">
        <v>0</v>
      </c>
      <c r="AP2644" s="3" t="s">
        <v>58</v>
      </c>
      <c r="AQ2644" s="3" t="s">
        <v>68</v>
      </c>
      <c r="AR2644" s="6" t="str">
        <f>HYPERLINK("http://catalog.hathitrust.org/Record/003941600","HathiTrust Record")</f>
        <v>HathiTrust Record</v>
      </c>
      <c r="AS2644" s="6" t="str">
        <f>HYPERLINK("https://creighton-primo.hosted.exlibrisgroup.com/primo-explore/search?tab=default_tab&amp;search_scope=EVERYTHING&amp;vid=01CRU&amp;lang=en_US&amp;offset=0&amp;query=any,contains,991002624559702656","Catalog Record")</f>
        <v>Catalog Record</v>
      </c>
      <c r="AT2644" s="6" t="str">
        <f>HYPERLINK("http://www.worldcat.org/oclc/34410471","WorldCat Record")</f>
        <v>WorldCat Record</v>
      </c>
      <c r="AU2644" s="3" t="s">
        <v>32199</v>
      </c>
      <c r="AV2644" s="3" t="s">
        <v>32200</v>
      </c>
      <c r="AW2644" s="3" t="s">
        <v>32201</v>
      </c>
      <c r="AX2644" s="3" t="s">
        <v>32201</v>
      </c>
      <c r="AY2644" s="3" t="s">
        <v>32202</v>
      </c>
      <c r="AZ2644" s="3" t="s">
        <v>73</v>
      </c>
      <c r="BB2644" s="3" t="s">
        <v>32203</v>
      </c>
      <c r="BC2644" s="3" t="s">
        <v>32204</v>
      </c>
      <c r="BD2644" s="3" t="s">
        <v>32205</v>
      </c>
    </row>
    <row r="2645" spans="1:56" ht="51" customHeight="1" x14ac:dyDescent="0.25">
      <c r="A2645" s="7" t="s">
        <v>58</v>
      </c>
      <c r="B2645" s="2" t="s">
        <v>32206</v>
      </c>
      <c r="C2645" s="2" t="s">
        <v>32207</v>
      </c>
      <c r="D2645" s="2" t="s">
        <v>32208</v>
      </c>
      <c r="F2645" s="3" t="s">
        <v>58</v>
      </c>
      <c r="G2645" s="3" t="s">
        <v>59</v>
      </c>
      <c r="H2645" s="3" t="s">
        <v>58</v>
      </c>
      <c r="I2645" s="3" t="s">
        <v>58</v>
      </c>
      <c r="J2645" s="3" t="s">
        <v>60</v>
      </c>
      <c r="K2645" s="2" t="s">
        <v>32209</v>
      </c>
      <c r="L2645" s="2" t="s">
        <v>26646</v>
      </c>
      <c r="M2645" s="3" t="s">
        <v>898</v>
      </c>
      <c r="O2645" s="3" t="s">
        <v>63</v>
      </c>
      <c r="P2645" s="3" t="s">
        <v>3109</v>
      </c>
      <c r="R2645" s="3" t="s">
        <v>65</v>
      </c>
      <c r="S2645" s="4">
        <v>4</v>
      </c>
      <c r="T2645" s="4">
        <v>4</v>
      </c>
      <c r="U2645" s="5" t="s">
        <v>32210</v>
      </c>
      <c r="V2645" s="5" t="s">
        <v>32210</v>
      </c>
      <c r="W2645" s="5" t="s">
        <v>2173</v>
      </c>
      <c r="X2645" s="5" t="s">
        <v>2173</v>
      </c>
      <c r="Y2645" s="4">
        <v>466</v>
      </c>
      <c r="Z2645" s="4">
        <v>394</v>
      </c>
      <c r="AA2645" s="4">
        <v>412</v>
      </c>
      <c r="AB2645" s="4">
        <v>4</v>
      </c>
      <c r="AC2645" s="4">
        <v>4</v>
      </c>
      <c r="AD2645" s="4">
        <v>17</v>
      </c>
      <c r="AE2645" s="4">
        <v>17</v>
      </c>
      <c r="AF2645" s="4">
        <v>6</v>
      </c>
      <c r="AG2645" s="4">
        <v>6</v>
      </c>
      <c r="AH2645" s="4">
        <v>8</v>
      </c>
      <c r="AI2645" s="4">
        <v>8</v>
      </c>
      <c r="AJ2645" s="4">
        <v>9</v>
      </c>
      <c r="AK2645" s="4">
        <v>9</v>
      </c>
      <c r="AL2645" s="4">
        <v>0</v>
      </c>
      <c r="AM2645" s="4">
        <v>0</v>
      </c>
      <c r="AN2645" s="4">
        <v>0</v>
      </c>
      <c r="AO2645" s="4">
        <v>0</v>
      </c>
      <c r="AP2645" s="3" t="s">
        <v>58</v>
      </c>
      <c r="AQ2645" s="3" t="s">
        <v>68</v>
      </c>
      <c r="AR2645" s="6" t="str">
        <f>HYPERLINK("http://catalog.hathitrust.org/Record/005579243","HathiTrust Record")</f>
        <v>HathiTrust Record</v>
      </c>
      <c r="AS2645" s="6" t="str">
        <f>HYPERLINK("https://creighton-primo.hosted.exlibrisgroup.com/primo-explore/search?tab=default_tab&amp;search_scope=EVERYTHING&amp;vid=01CRU&amp;lang=en_US&amp;offset=0&amp;query=any,contains,991004937709702656","Catalog Record")</f>
        <v>Catalog Record</v>
      </c>
      <c r="AT2645" s="6" t="str">
        <f>HYPERLINK("http://www.worldcat.org/oclc/65407346","WorldCat Record")</f>
        <v>WorldCat Record</v>
      </c>
      <c r="AU2645" s="3" t="s">
        <v>32211</v>
      </c>
      <c r="AV2645" s="3" t="s">
        <v>32212</v>
      </c>
      <c r="AW2645" s="3" t="s">
        <v>32213</v>
      </c>
      <c r="AX2645" s="3" t="s">
        <v>32213</v>
      </c>
      <c r="AY2645" s="3" t="s">
        <v>32214</v>
      </c>
      <c r="AZ2645" s="3" t="s">
        <v>73</v>
      </c>
      <c r="BB2645" s="3" t="s">
        <v>32215</v>
      </c>
      <c r="BC2645" s="3" t="s">
        <v>32216</v>
      </c>
      <c r="BD2645" s="3" t="s">
        <v>32217</v>
      </c>
    </row>
    <row r="2646" spans="1:56" ht="51" customHeight="1" x14ac:dyDescent="0.25">
      <c r="A2646" s="7" t="s">
        <v>58</v>
      </c>
      <c r="B2646" s="2" t="s">
        <v>32218</v>
      </c>
      <c r="C2646" s="2" t="s">
        <v>32219</v>
      </c>
      <c r="D2646" s="2" t="s">
        <v>32220</v>
      </c>
      <c r="F2646" s="3" t="s">
        <v>58</v>
      </c>
      <c r="G2646" s="3" t="s">
        <v>59</v>
      </c>
      <c r="H2646" s="3" t="s">
        <v>58</v>
      </c>
      <c r="I2646" s="3" t="s">
        <v>58</v>
      </c>
      <c r="J2646" s="3" t="s">
        <v>60</v>
      </c>
      <c r="L2646" s="2" t="s">
        <v>32221</v>
      </c>
      <c r="M2646" s="3" t="s">
        <v>423</v>
      </c>
      <c r="O2646" s="3" t="s">
        <v>63</v>
      </c>
      <c r="P2646" s="3" t="s">
        <v>3109</v>
      </c>
      <c r="R2646" s="3" t="s">
        <v>65</v>
      </c>
      <c r="S2646" s="4">
        <v>1</v>
      </c>
      <c r="T2646" s="4">
        <v>1</v>
      </c>
      <c r="U2646" s="5" t="s">
        <v>18551</v>
      </c>
      <c r="V2646" s="5" t="s">
        <v>18551</v>
      </c>
      <c r="W2646" s="5" t="s">
        <v>18551</v>
      </c>
      <c r="X2646" s="5" t="s">
        <v>18551</v>
      </c>
      <c r="Y2646" s="4">
        <v>129</v>
      </c>
      <c r="Z2646" s="4">
        <v>101</v>
      </c>
      <c r="AA2646" s="4">
        <v>101</v>
      </c>
      <c r="AB2646" s="4">
        <v>2</v>
      </c>
      <c r="AC2646" s="4">
        <v>2</v>
      </c>
      <c r="AD2646" s="4">
        <v>6</v>
      </c>
      <c r="AE2646" s="4">
        <v>6</v>
      </c>
      <c r="AF2646" s="4">
        <v>1</v>
      </c>
      <c r="AG2646" s="4">
        <v>1</v>
      </c>
      <c r="AH2646" s="4">
        <v>2</v>
      </c>
      <c r="AI2646" s="4">
        <v>2</v>
      </c>
      <c r="AJ2646" s="4">
        <v>4</v>
      </c>
      <c r="AK2646" s="4">
        <v>4</v>
      </c>
      <c r="AL2646" s="4">
        <v>1</v>
      </c>
      <c r="AM2646" s="4">
        <v>1</v>
      </c>
      <c r="AN2646" s="4">
        <v>0</v>
      </c>
      <c r="AO2646" s="4">
        <v>0</v>
      </c>
      <c r="AP2646" s="3" t="s">
        <v>58</v>
      </c>
      <c r="AQ2646" s="3" t="s">
        <v>58</v>
      </c>
      <c r="AS2646" s="6" t="str">
        <f>HYPERLINK("https://creighton-primo.hosted.exlibrisgroup.com/primo-explore/search?tab=default_tab&amp;search_scope=EVERYTHING&amp;vid=01CRU&amp;lang=en_US&amp;offset=0&amp;query=any,contains,991003520949702656","Catalog Record")</f>
        <v>Catalog Record</v>
      </c>
      <c r="AT2646" s="6" t="str">
        <f>HYPERLINK("http://www.worldcat.org/oclc/39627563","WorldCat Record")</f>
        <v>WorldCat Record</v>
      </c>
      <c r="AU2646" s="3" t="s">
        <v>32222</v>
      </c>
      <c r="AV2646" s="3" t="s">
        <v>32223</v>
      </c>
      <c r="AW2646" s="3" t="s">
        <v>32224</v>
      </c>
      <c r="AX2646" s="3" t="s">
        <v>32224</v>
      </c>
      <c r="AY2646" s="3" t="s">
        <v>32225</v>
      </c>
      <c r="AZ2646" s="3" t="s">
        <v>73</v>
      </c>
      <c r="BB2646" s="3" t="s">
        <v>32226</v>
      </c>
      <c r="BC2646" s="3" t="s">
        <v>32227</v>
      </c>
      <c r="BD2646" s="3" t="s">
        <v>32228</v>
      </c>
    </row>
    <row r="2647" spans="1:56" ht="51" customHeight="1" x14ac:dyDescent="0.25">
      <c r="A2647" s="7" t="s">
        <v>58</v>
      </c>
      <c r="B2647" s="2" t="s">
        <v>32229</v>
      </c>
      <c r="C2647" s="2" t="s">
        <v>32230</v>
      </c>
      <c r="D2647" s="2" t="s">
        <v>32231</v>
      </c>
      <c r="F2647" s="3" t="s">
        <v>58</v>
      </c>
      <c r="G2647" s="3" t="s">
        <v>59</v>
      </c>
      <c r="H2647" s="3" t="s">
        <v>58</v>
      </c>
      <c r="I2647" s="3" t="s">
        <v>58</v>
      </c>
      <c r="J2647" s="3" t="s">
        <v>60</v>
      </c>
      <c r="L2647" s="2" t="s">
        <v>11358</v>
      </c>
      <c r="M2647" s="3" t="s">
        <v>2295</v>
      </c>
      <c r="O2647" s="3" t="s">
        <v>63</v>
      </c>
      <c r="P2647" s="3" t="s">
        <v>510</v>
      </c>
      <c r="R2647" s="3" t="s">
        <v>65</v>
      </c>
      <c r="S2647" s="4">
        <v>8</v>
      </c>
      <c r="T2647" s="4">
        <v>8</v>
      </c>
      <c r="U2647" s="5" t="s">
        <v>14590</v>
      </c>
      <c r="V2647" s="5" t="s">
        <v>14590</v>
      </c>
      <c r="W2647" s="5" t="s">
        <v>32232</v>
      </c>
      <c r="X2647" s="5" t="s">
        <v>32232</v>
      </c>
      <c r="Y2647" s="4">
        <v>351</v>
      </c>
      <c r="Z2647" s="4">
        <v>286</v>
      </c>
      <c r="AA2647" s="4">
        <v>905</v>
      </c>
      <c r="AB2647" s="4">
        <v>1</v>
      </c>
      <c r="AC2647" s="4">
        <v>31</v>
      </c>
      <c r="AD2647" s="4">
        <v>9</v>
      </c>
      <c r="AE2647" s="4">
        <v>26</v>
      </c>
      <c r="AF2647" s="4">
        <v>4</v>
      </c>
      <c r="AG2647" s="4">
        <v>8</v>
      </c>
      <c r="AH2647" s="4">
        <v>3</v>
      </c>
      <c r="AI2647" s="4">
        <v>3</v>
      </c>
      <c r="AJ2647" s="4">
        <v>6</v>
      </c>
      <c r="AK2647" s="4">
        <v>8</v>
      </c>
      <c r="AL2647" s="4">
        <v>0</v>
      </c>
      <c r="AM2647" s="4">
        <v>12</v>
      </c>
      <c r="AN2647" s="4">
        <v>0</v>
      </c>
      <c r="AO2647" s="4">
        <v>0</v>
      </c>
      <c r="AP2647" s="3" t="s">
        <v>58</v>
      </c>
      <c r="AQ2647" s="3" t="s">
        <v>68</v>
      </c>
      <c r="AR2647" s="6" t="str">
        <f>HYPERLINK("http://catalog.hathitrust.org/Record/004321669","HathiTrust Record")</f>
        <v>HathiTrust Record</v>
      </c>
      <c r="AS2647" s="6" t="str">
        <f>HYPERLINK("https://creighton-primo.hosted.exlibrisgroup.com/primo-explore/search?tab=default_tab&amp;search_scope=EVERYTHING&amp;vid=01CRU&amp;lang=en_US&amp;offset=0&amp;query=any,contains,991004080459702656","Catalog Record")</f>
        <v>Catalog Record</v>
      </c>
      <c r="AT2647" s="6" t="str">
        <f>HYPERLINK("http://www.worldcat.org/oclc/49583730","WorldCat Record")</f>
        <v>WorldCat Record</v>
      </c>
      <c r="AU2647" s="3" t="s">
        <v>32233</v>
      </c>
      <c r="AV2647" s="3" t="s">
        <v>32234</v>
      </c>
      <c r="AW2647" s="3" t="s">
        <v>32235</v>
      </c>
      <c r="AX2647" s="3" t="s">
        <v>32235</v>
      </c>
      <c r="AY2647" s="3" t="s">
        <v>32236</v>
      </c>
      <c r="AZ2647" s="3" t="s">
        <v>73</v>
      </c>
      <c r="BB2647" s="3" t="s">
        <v>32237</v>
      </c>
      <c r="BC2647" s="3" t="s">
        <v>32238</v>
      </c>
      <c r="BD2647" s="3" t="s">
        <v>32239</v>
      </c>
    </row>
    <row r="2648" spans="1:56" ht="51" customHeight="1" x14ac:dyDescent="0.25">
      <c r="A2648" s="7" t="s">
        <v>58</v>
      </c>
      <c r="B2648" s="2" t="s">
        <v>32240</v>
      </c>
      <c r="C2648" s="2" t="s">
        <v>32241</v>
      </c>
      <c r="D2648" s="2" t="s">
        <v>32242</v>
      </c>
      <c r="F2648" s="3" t="s">
        <v>58</v>
      </c>
      <c r="G2648" s="3" t="s">
        <v>59</v>
      </c>
      <c r="H2648" s="3" t="s">
        <v>58</v>
      </c>
      <c r="I2648" s="3" t="s">
        <v>58</v>
      </c>
      <c r="J2648" s="3" t="s">
        <v>60</v>
      </c>
      <c r="K2648" s="2" t="s">
        <v>32243</v>
      </c>
      <c r="L2648" s="2" t="s">
        <v>32244</v>
      </c>
      <c r="M2648" s="3" t="s">
        <v>337</v>
      </c>
      <c r="O2648" s="3" t="s">
        <v>63</v>
      </c>
      <c r="P2648" s="3" t="s">
        <v>584</v>
      </c>
      <c r="R2648" s="3" t="s">
        <v>65</v>
      </c>
      <c r="S2648" s="4">
        <v>9</v>
      </c>
      <c r="T2648" s="4">
        <v>9</v>
      </c>
      <c r="U2648" s="5" t="s">
        <v>32245</v>
      </c>
      <c r="V2648" s="5" t="s">
        <v>32245</v>
      </c>
      <c r="W2648" s="5" t="s">
        <v>2229</v>
      </c>
      <c r="X2648" s="5" t="s">
        <v>2229</v>
      </c>
      <c r="Y2648" s="4">
        <v>448</v>
      </c>
      <c r="Z2648" s="4">
        <v>389</v>
      </c>
      <c r="AA2648" s="4">
        <v>391</v>
      </c>
      <c r="AB2648" s="4">
        <v>4</v>
      </c>
      <c r="AC2648" s="4">
        <v>4</v>
      </c>
      <c r="AD2648" s="4">
        <v>17</v>
      </c>
      <c r="AE2648" s="4">
        <v>17</v>
      </c>
      <c r="AF2648" s="4">
        <v>6</v>
      </c>
      <c r="AG2648" s="4">
        <v>6</v>
      </c>
      <c r="AH2648" s="4">
        <v>5</v>
      </c>
      <c r="AI2648" s="4">
        <v>5</v>
      </c>
      <c r="AJ2648" s="4">
        <v>6</v>
      </c>
      <c r="AK2648" s="4">
        <v>6</v>
      </c>
      <c r="AL2648" s="4">
        <v>3</v>
      </c>
      <c r="AM2648" s="4">
        <v>3</v>
      </c>
      <c r="AN2648" s="4">
        <v>0</v>
      </c>
      <c r="AO2648" s="4">
        <v>0</v>
      </c>
      <c r="AP2648" s="3" t="s">
        <v>58</v>
      </c>
      <c r="AQ2648" s="3" t="s">
        <v>58</v>
      </c>
      <c r="AS2648" s="6" t="str">
        <f>HYPERLINK("https://creighton-primo.hosted.exlibrisgroup.com/primo-explore/search?tab=default_tab&amp;search_scope=EVERYTHING&amp;vid=01CRU&amp;lang=en_US&amp;offset=0&amp;query=any,contains,991003961099702656","Catalog Record")</f>
        <v>Catalog Record</v>
      </c>
      <c r="AT2648" s="6" t="str">
        <f>HYPERLINK("http://www.worldcat.org/oclc/50289152","WorldCat Record")</f>
        <v>WorldCat Record</v>
      </c>
      <c r="AU2648" s="3" t="s">
        <v>32246</v>
      </c>
      <c r="AV2648" s="3" t="s">
        <v>32247</v>
      </c>
      <c r="AW2648" s="3" t="s">
        <v>32248</v>
      </c>
      <c r="AX2648" s="3" t="s">
        <v>32248</v>
      </c>
      <c r="AY2648" s="3" t="s">
        <v>32249</v>
      </c>
      <c r="AZ2648" s="3" t="s">
        <v>73</v>
      </c>
      <c r="BB2648" s="3" t="s">
        <v>32250</v>
      </c>
      <c r="BC2648" s="3" t="s">
        <v>32251</v>
      </c>
      <c r="BD2648" s="3" t="s">
        <v>32252</v>
      </c>
    </row>
    <row r="2649" spans="1:56" ht="51" customHeight="1" x14ac:dyDescent="0.25">
      <c r="A2649" s="7" t="s">
        <v>58</v>
      </c>
      <c r="B2649" s="2" t="s">
        <v>32253</v>
      </c>
      <c r="C2649" s="2" t="s">
        <v>32254</v>
      </c>
      <c r="D2649" s="2" t="s">
        <v>32255</v>
      </c>
      <c r="F2649" s="3" t="s">
        <v>58</v>
      </c>
      <c r="G2649" s="3" t="s">
        <v>59</v>
      </c>
      <c r="H2649" s="3" t="s">
        <v>58</v>
      </c>
      <c r="I2649" s="3" t="s">
        <v>58</v>
      </c>
      <c r="J2649" s="3" t="s">
        <v>60</v>
      </c>
      <c r="K2649" s="2" t="s">
        <v>32256</v>
      </c>
      <c r="L2649" s="2" t="s">
        <v>32257</v>
      </c>
      <c r="M2649" s="3" t="s">
        <v>1385</v>
      </c>
      <c r="N2649" s="2" t="s">
        <v>32258</v>
      </c>
      <c r="O2649" s="3" t="s">
        <v>63</v>
      </c>
      <c r="P2649" s="3" t="s">
        <v>495</v>
      </c>
      <c r="Q2649" s="2" t="s">
        <v>32259</v>
      </c>
      <c r="R2649" s="3" t="s">
        <v>65</v>
      </c>
      <c r="S2649" s="4">
        <v>8</v>
      </c>
      <c r="T2649" s="4">
        <v>8</v>
      </c>
      <c r="U2649" s="5" t="s">
        <v>15159</v>
      </c>
      <c r="V2649" s="5" t="s">
        <v>15159</v>
      </c>
      <c r="W2649" s="5" t="s">
        <v>31579</v>
      </c>
      <c r="X2649" s="5" t="s">
        <v>31579</v>
      </c>
      <c r="Y2649" s="4">
        <v>114</v>
      </c>
      <c r="Z2649" s="4">
        <v>88</v>
      </c>
      <c r="AA2649" s="4">
        <v>920</v>
      </c>
      <c r="AB2649" s="4">
        <v>2</v>
      </c>
      <c r="AC2649" s="4">
        <v>6</v>
      </c>
      <c r="AD2649" s="4">
        <v>5</v>
      </c>
      <c r="AE2649" s="4">
        <v>48</v>
      </c>
      <c r="AF2649" s="4">
        <v>2</v>
      </c>
      <c r="AG2649" s="4">
        <v>22</v>
      </c>
      <c r="AH2649" s="4">
        <v>1</v>
      </c>
      <c r="AI2649" s="4">
        <v>8</v>
      </c>
      <c r="AJ2649" s="4">
        <v>2</v>
      </c>
      <c r="AK2649" s="4">
        <v>22</v>
      </c>
      <c r="AL2649" s="4">
        <v>1</v>
      </c>
      <c r="AM2649" s="4">
        <v>4</v>
      </c>
      <c r="AN2649" s="4">
        <v>0</v>
      </c>
      <c r="AO2649" s="4">
        <v>5</v>
      </c>
      <c r="AP2649" s="3" t="s">
        <v>58</v>
      </c>
      <c r="AQ2649" s="3" t="s">
        <v>58</v>
      </c>
      <c r="AS2649" s="6" t="str">
        <f>HYPERLINK("https://creighton-primo.hosted.exlibrisgroup.com/primo-explore/search?tab=default_tab&amp;search_scope=EVERYTHING&amp;vid=01CRU&amp;lang=en_US&amp;offset=0&amp;query=any,contains,991004412509702656","Catalog Record")</f>
        <v>Catalog Record</v>
      </c>
      <c r="AT2649" s="6" t="str">
        <f>HYPERLINK("http://www.worldcat.org/oclc/1943653","WorldCat Record")</f>
        <v>WorldCat Record</v>
      </c>
      <c r="AU2649" s="3" t="s">
        <v>32260</v>
      </c>
      <c r="AV2649" s="3" t="s">
        <v>32261</v>
      </c>
      <c r="AW2649" s="3" t="s">
        <v>32262</v>
      </c>
      <c r="AX2649" s="3" t="s">
        <v>32262</v>
      </c>
      <c r="AY2649" s="3" t="s">
        <v>32263</v>
      </c>
      <c r="AZ2649" s="3" t="s">
        <v>73</v>
      </c>
      <c r="BB2649" s="3" t="s">
        <v>32264</v>
      </c>
      <c r="BC2649" s="3" t="s">
        <v>32265</v>
      </c>
      <c r="BD2649" s="3" t="s">
        <v>32266</v>
      </c>
    </row>
    <row r="2650" spans="1:56" ht="51" customHeight="1" x14ac:dyDescent="0.25">
      <c r="A2650" s="7" t="s">
        <v>58</v>
      </c>
      <c r="B2650" s="2" t="s">
        <v>32267</v>
      </c>
      <c r="C2650" s="2" t="s">
        <v>32268</v>
      </c>
      <c r="D2650" s="2" t="s">
        <v>32269</v>
      </c>
      <c r="F2650" s="3" t="s">
        <v>58</v>
      </c>
      <c r="G2650" s="3" t="s">
        <v>59</v>
      </c>
      <c r="H2650" s="3" t="s">
        <v>58</v>
      </c>
      <c r="I2650" s="3" t="s">
        <v>58</v>
      </c>
      <c r="J2650" s="3" t="s">
        <v>60</v>
      </c>
      <c r="K2650" s="2" t="s">
        <v>32270</v>
      </c>
      <c r="L2650" s="2" t="s">
        <v>32271</v>
      </c>
      <c r="M2650" s="3" t="s">
        <v>996</v>
      </c>
      <c r="O2650" s="3" t="s">
        <v>63</v>
      </c>
      <c r="P2650" s="3" t="s">
        <v>32074</v>
      </c>
      <c r="Q2650" s="2" t="s">
        <v>32272</v>
      </c>
      <c r="R2650" s="3" t="s">
        <v>65</v>
      </c>
      <c r="S2650" s="4">
        <v>1</v>
      </c>
      <c r="T2650" s="4">
        <v>1</v>
      </c>
      <c r="U2650" s="5" t="s">
        <v>32273</v>
      </c>
      <c r="V2650" s="5" t="s">
        <v>32273</v>
      </c>
      <c r="W2650" s="5" t="s">
        <v>31579</v>
      </c>
      <c r="X2650" s="5" t="s">
        <v>31579</v>
      </c>
      <c r="Y2650" s="4">
        <v>231</v>
      </c>
      <c r="Z2650" s="4">
        <v>171</v>
      </c>
      <c r="AA2650" s="4">
        <v>175</v>
      </c>
      <c r="AB2650" s="4">
        <v>1</v>
      </c>
      <c r="AC2650" s="4">
        <v>1</v>
      </c>
      <c r="AD2650" s="4">
        <v>11</v>
      </c>
      <c r="AE2650" s="4">
        <v>11</v>
      </c>
      <c r="AF2650" s="4">
        <v>4</v>
      </c>
      <c r="AG2650" s="4">
        <v>4</v>
      </c>
      <c r="AH2650" s="4">
        <v>4</v>
      </c>
      <c r="AI2650" s="4">
        <v>4</v>
      </c>
      <c r="AJ2650" s="4">
        <v>6</v>
      </c>
      <c r="AK2650" s="4">
        <v>6</v>
      </c>
      <c r="AL2650" s="4">
        <v>0</v>
      </c>
      <c r="AM2650" s="4">
        <v>0</v>
      </c>
      <c r="AN2650" s="4">
        <v>0</v>
      </c>
      <c r="AO2650" s="4">
        <v>0</v>
      </c>
      <c r="AP2650" s="3" t="s">
        <v>58</v>
      </c>
      <c r="AQ2650" s="3" t="s">
        <v>68</v>
      </c>
      <c r="AR2650" s="6" t="str">
        <f>HYPERLINK("http://catalog.hathitrust.org/Record/001606677","HathiTrust Record")</f>
        <v>HathiTrust Record</v>
      </c>
      <c r="AS2650" s="6" t="str">
        <f>HYPERLINK("https://creighton-primo.hosted.exlibrisgroup.com/primo-explore/search?tab=default_tab&amp;search_scope=EVERYTHING&amp;vid=01CRU&amp;lang=en_US&amp;offset=0&amp;query=any,contains,991002455869702656","Catalog Record")</f>
        <v>Catalog Record</v>
      </c>
      <c r="AT2650" s="6" t="str">
        <f>HYPERLINK("http://www.worldcat.org/oclc/354362","WorldCat Record")</f>
        <v>WorldCat Record</v>
      </c>
      <c r="AU2650" s="3" t="s">
        <v>32274</v>
      </c>
      <c r="AV2650" s="3" t="s">
        <v>32275</v>
      </c>
      <c r="AW2650" s="3" t="s">
        <v>32276</v>
      </c>
      <c r="AX2650" s="3" t="s">
        <v>32276</v>
      </c>
      <c r="AY2650" s="3" t="s">
        <v>32277</v>
      </c>
      <c r="AZ2650" s="3" t="s">
        <v>73</v>
      </c>
      <c r="BC2650" s="3" t="s">
        <v>32278</v>
      </c>
      <c r="BD2650" s="3" t="s">
        <v>32279</v>
      </c>
    </row>
    <row r="2651" spans="1:56" ht="51" customHeight="1" x14ac:dyDescent="0.25">
      <c r="A2651" s="7" t="s">
        <v>58</v>
      </c>
      <c r="B2651" s="2" t="s">
        <v>32280</v>
      </c>
      <c r="C2651" s="2" t="s">
        <v>32281</v>
      </c>
      <c r="D2651" s="2" t="s">
        <v>32282</v>
      </c>
      <c r="F2651" s="3" t="s">
        <v>58</v>
      </c>
      <c r="G2651" s="3" t="s">
        <v>59</v>
      </c>
      <c r="H2651" s="3" t="s">
        <v>58</v>
      </c>
      <c r="I2651" s="3" t="s">
        <v>58</v>
      </c>
      <c r="J2651" s="3" t="s">
        <v>60</v>
      </c>
      <c r="K2651" s="2" t="s">
        <v>32283</v>
      </c>
      <c r="L2651" s="2" t="s">
        <v>21723</v>
      </c>
      <c r="M2651" s="3" t="s">
        <v>759</v>
      </c>
      <c r="O2651" s="3" t="s">
        <v>63</v>
      </c>
      <c r="P2651" s="3" t="s">
        <v>571</v>
      </c>
      <c r="R2651" s="3" t="s">
        <v>65</v>
      </c>
      <c r="S2651" s="4">
        <v>4</v>
      </c>
      <c r="T2651" s="4">
        <v>4</v>
      </c>
      <c r="U2651" s="5" t="s">
        <v>32163</v>
      </c>
      <c r="V2651" s="5" t="s">
        <v>32163</v>
      </c>
      <c r="W2651" s="5" t="s">
        <v>31579</v>
      </c>
      <c r="X2651" s="5" t="s">
        <v>31579</v>
      </c>
      <c r="Y2651" s="4">
        <v>454</v>
      </c>
      <c r="Z2651" s="4">
        <v>332</v>
      </c>
      <c r="AA2651" s="4">
        <v>332</v>
      </c>
      <c r="AB2651" s="4">
        <v>3</v>
      </c>
      <c r="AC2651" s="4">
        <v>3</v>
      </c>
      <c r="AD2651" s="4">
        <v>20</v>
      </c>
      <c r="AE2651" s="4">
        <v>20</v>
      </c>
      <c r="AF2651" s="4">
        <v>9</v>
      </c>
      <c r="AG2651" s="4">
        <v>9</v>
      </c>
      <c r="AH2651" s="4">
        <v>5</v>
      </c>
      <c r="AI2651" s="4">
        <v>5</v>
      </c>
      <c r="AJ2651" s="4">
        <v>11</v>
      </c>
      <c r="AK2651" s="4">
        <v>11</v>
      </c>
      <c r="AL2651" s="4">
        <v>2</v>
      </c>
      <c r="AM2651" s="4">
        <v>2</v>
      </c>
      <c r="AN2651" s="4">
        <v>0</v>
      </c>
      <c r="AO2651" s="4">
        <v>0</v>
      </c>
      <c r="AP2651" s="3" t="s">
        <v>58</v>
      </c>
      <c r="AQ2651" s="3" t="s">
        <v>58</v>
      </c>
      <c r="AS2651" s="6" t="str">
        <f>HYPERLINK("https://creighton-primo.hosted.exlibrisgroup.com/primo-explore/search?tab=default_tab&amp;search_scope=EVERYTHING&amp;vid=01CRU&amp;lang=en_US&amp;offset=0&amp;query=any,contains,991004932999702656","Catalog Record")</f>
        <v>Catalog Record</v>
      </c>
      <c r="AT2651" s="6" t="str">
        <f>HYPERLINK("http://www.worldcat.org/oclc/6114963","WorldCat Record")</f>
        <v>WorldCat Record</v>
      </c>
      <c r="AU2651" s="3" t="s">
        <v>32284</v>
      </c>
      <c r="AV2651" s="3" t="s">
        <v>32285</v>
      </c>
      <c r="AW2651" s="3" t="s">
        <v>32286</v>
      </c>
      <c r="AX2651" s="3" t="s">
        <v>32286</v>
      </c>
      <c r="AY2651" s="3" t="s">
        <v>32287</v>
      </c>
      <c r="AZ2651" s="3" t="s">
        <v>73</v>
      </c>
      <c r="BB2651" s="3" t="s">
        <v>32288</v>
      </c>
      <c r="BC2651" s="3" t="s">
        <v>32289</v>
      </c>
      <c r="BD2651" s="3" t="s">
        <v>32290</v>
      </c>
    </row>
    <row r="2652" spans="1:56" ht="51" customHeight="1" x14ac:dyDescent="0.25">
      <c r="A2652" s="7" t="s">
        <v>58</v>
      </c>
      <c r="B2652" s="2" t="s">
        <v>32291</v>
      </c>
      <c r="C2652" s="2" t="s">
        <v>32292</v>
      </c>
      <c r="D2652" s="2" t="s">
        <v>32293</v>
      </c>
      <c r="F2652" s="3" t="s">
        <v>58</v>
      </c>
      <c r="G2652" s="3" t="s">
        <v>59</v>
      </c>
      <c r="H2652" s="3" t="s">
        <v>58</v>
      </c>
      <c r="I2652" s="3" t="s">
        <v>58</v>
      </c>
      <c r="J2652" s="3" t="s">
        <v>60</v>
      </c>
      <c r="K2652" s="2" t="s">
        <v>32294</v>
      </c>
      <c r="L2652" s="2" t="s">
        <v>32295</v>
      </c>
      <c r="M2652" s="3" t="s">
        <v>1153</v>
      </c>
      <c r="O2652" s="3" t="s">
        <v>63</v>
      </c>
      <c r="P2652" s="3" t="s">
        <v>510</v>
      </c>
      <c r="R2652" s="3" t="s">
        <v>65</v>
      </c>
      <c r="S2652" s="4">
        <v>2</v>
      </c>
      <c r="T2652" s="4">
        <v>2</v>
      </c>
      <c r="U2652" s="5" t="s">
        <v>32296</v>
      </c>
      <c r="V2652" s="5" t="s">
        <v>32296</v>
      </c>
      <c r="W2652" s="5" t="s">
        <v>572</v>
      </c>
      <c r="X2652" s="5" t="s">
        <v>572</v>
      </c>
      <c r="Y2652" s="4">
        <v>71</v>
      </c>
      <c r="Z2652" s="4">
        <v>61</v>
      </c>
      <c r="AA2652" s="4">
        <v>724</v>
      </c>
      <c r="AB2652" s="4">
        <v>1</v>
      </c>
      <c r="AC2652" s="4">
        <v>5</v>
      </c>
      <c r="AD2652" s="4">
        <v>2</v>
      </c>
      <c r="AE2652" s="4">
        <v>22</v>
      </c>
      <c r="AF2652" s="4">
        <v>0</v>
      </c>
      <c r="AG2652" s="4">
        <v>7</v>
      </c>
      <c r="AH2652" s="4">
        <v>1</v>
      </c>
      <c r="AI2652" s="4">
        <v>7</v>
      </c>
      <c r="AJ2652" s="4">
        <v>1</v>
      </c>
      <c r="AK2652" s="4">
        <v>10</v>
      </c>
      <c r="AL2652" s="4">
        <v>0</v>
      </c>
      <c r="AM2652" s="4">
        <v>3</v>
      </c>
      <c r="AN2652" s="4">
        <v>0</v>
      </c>
      <c r="AO2652" s="4">
        <v>0</v>
      </c>
      <c r="AP2652" s="3" t="s">
        <v>58</v>
      </c>
      <c r="AQ2652" s="3" t="s">
        <v>58</v>
      </c>
      <c r="AS2652" s="6" t="str">
        <f>HYPERLINK("https://creighton-primo.hosted.exlibrisgroup.com/primo-explore/search?tab=default_tab&amp;search_scope=EVERYTHING&amp;vid=01CRU&amp;lang=en_US&amp;offset=0&amp;query=any,contains,991003032609702656","Catalog Record")</f>
        <v>Catalog Record</v>
      </c>
      <c r="AT2652" s="6" t="str">
        <f>HYPERLINK("http://www.worldcat.org/oclc/595318","WorldCat Record")</f>
        <v>WorldCat Record</v>
      </c>
      <c r="AU2652" s="3" t="s">
        <v>32297</v>
      </c>
      <c r="AV2652" s="3" t="s">
        <v>32298</v>
      </c>
      <c r="AW2652" s="3" t="s">
        <v>32299</v>
      </c>
      <c r="AX2652" s="3" t="s">
        <v>32299</v>
      </c>
      <c r="AY2652" s="3" t="s">
        <v>32300</v>
      </c>
      <c r="AZ2652" s="3" t="s">
        <v>73</v>
      </c>
      <c r="BB2652" s="3" t="s">
        <v>32301</v>
      </c>
      <c r="BC2652" s="3" t="s">
        <v>32302</v>
      </c>
      <c r="BD2652" s="3" t="s">
        <v>32303</v>
      </c>
    </row>
    <row r="2653" spans="1:56" ht="51" customHeight="1" x14ac:dyDescent="0.25">
      <c r="A2653" s="7" t="s">
        <v>58</v>
      </c>
      <c r="B2653" s="2" t="s">
        <v>32304</v>
      </c>
      <c r="C2653" s="2" t="s">
        <v>32305</v>
      </c>
      <c r="D2653" s="2" t="s">
        <v>32306</v>
      </c>
      <c r="F2653" s="3" t="s">
        <v>58</v>
      </c>
      <c r="G2653" s="3" t="s">
        <v>59</v>
      </c>
      <c r="H2653" s="3" t="s">
        <v>58</v>
      </c>
      <c r="I2653" s="3" t="s">
        <v>58</v>
      </c>
      <c r="J2653" s="3" t="s">
        <v>60</v>
      </c>
      <c r="K2653" s="2" t="s">
        <v>32307</v>
      </c>
      <c r="L2653" s="2" t="s">
        <v>32308</v>
      </c>
      <c r="M2653" s="3" t="s">
        <v>951</v>
      </c>
      <c r="O2653" s="3" t="s">
        <v>63</v>
      </c>
      <c r="P2653" s="3" t="s">
        <v>3109</v>
      </c>
      <c r="R2653" s="3" t="s">
        <v>65</v>
      </c>
      <c r="S2653" s="4">
        <v>1</v>
      </c>
      <c r="T2653" s="4">
        <v>1</v>
      </c>
      <c r="U2653" s="5" t="s">
        <v>32309</v>
      </c>
      <c r="V2653" s="5" t="s">
        <v>32309</v>
      </c>
      <c r="W2653" s="5" t="s">
        <v>18551</v>
      </c>
      <c r="X2653" s="5" t="s">
        <v>18551</v>
      </c>
      <c r="Y2653" s="4">
        <v>148</v>
      </c>
      <c r="Z2653" s="4">
        <v>122</v>
      </c>
      <c r="AA2653" s="4">
        <v>124</v>
      </c>
      <c r="AB2653" s="4">
        <v>2</v>
      </c>
      <c r="AC2653" s="4">
        <v>2</v>
      </c>
      <c r="AD2653" s="4">
        <v>7</v>
      </c>
      <c r="AE2653" s="4">
        <v>7</v>
      </c>
      <c r="AF2653" s="4">
        <v>2</v>
      </c>
      <c r="AG2653" s="4">
        <v>2</v>
      </c>
      <c r="AH2653" s="4">
        <v>3</v>
      </c>
      <c r="AI2653" s="4">
        <v>3</v>
      </c>
      <c r="AJ2653" s="4">
        <v>4</v>
      </c>
      <c r="AK2653" s="4">
        <v>4</v>
      </c>
      <c r="AL2653" s="4">
        <v>1</v>
      </c>
      <c r="AM2653" s="4">
        <v>1</v>
      </c>
      <c r="AN2653" s="4">
        <v>0</v>
      </c>
      <c r="AO2653" s="4">
        <v>0</v>
      </c>
      <c r="AP2653" s="3" t="s">
        <v>58</v>
      </c>
      <c r="AQ2653" s="3" t="s">
        <v>68</v>
      </c>
      <c r="AR2653" s="6" t="str">
        <f>HYPERLINK("http://catalog.hathitrust.org/Record/004131467","HathiTrust Record")</f>
        <v>HathiTrust Record</v>
      </c>
      <c r="AS2653" s="6" t="str">
        <f>HYPERLINK("https://creighton-primo.hosted.exlibrisgroup.com/primo-explore/search?tab=default_tab&amp;search_scope=EVERYTHING&amp;vid=01CRU&amp;lang=en_US&amp;offset=0&amp;query=any,contains,991003520899702656","Catalog Record")</f>
        <v>Catalog Record</v>
      </c>
      <c r="AT2653" s="6" t="str">
        <f>HYPERLINK("http://www.worldcat.org/oclc/43641313","WorldCat Record")</f>
        <v>WorldCat Record</v>
      </c>
      <c r="AU2653" s="3" t="s">
        <v>32310</v>
      </c>
      <c r="AV2653" s="3" t="s">
        <v>32311</v>
      </c>
      <c r="AW2653" s="3" t="s">
        <v>32312</v>
      </c>
      <c r="AX2653" s="3" t="s">
        <v>32312</v>
      </c>
      <c r="AY2653" s="3" t="s">
        <v>32313</v>
      </c>
      <c r="AZ2653" s="3" t="s">
        <v>73</v>
      </c>
      <c r="BB2653" s="3" t="s">
        <v>32314</v>
      </c>
      <c r="BC2653" s="3" t="s">
        <v>32315</v>
      </c>
      <c r="BD2653" s="3" t="s">
        <v>32316</v>
      </c>
    </row>
    <row r="2654" spans="1:56" ht="51" customHeight="1" x14ac:dyDescent="0.25">
      <c r="A2654" s="7" t="s">
        <v>58</v>
      </c>
      <c r="B2654" s="2" t="s">
        <v>32317</v>
      </c>
      <c r="C2654" s="2" t="s">
        <v>32318</v>
      </c>
      <c r="D2654" s="2" t="s">
        <v>32319</v>
      </c>
      <c r="F2654" s="3" t="s">
        <v>58</v>
      </c>
      <c r="G2654" s="3" t="s">
        <v>59</v>
      </c>
      <c r="H2654" s="3" t="s">
        <v>58</v>
      </c>
      <c r="I2654" s="3" t="s">
        <v>58</v>
      </c>
      <c r="J2654" s="3" t="s">
        <v>60</v>
      </c>
      <c r="K2654" s="2" t="s">
        <v>32320</v>
      </c>
      <c r="L2654" s="2" t="s">
        <v>32321</v>
      </c>
      <c r="M2654" s="3" t="s">
        <v>2214</v>
      </c>
      <c r="N2654" s="2" t="s">
        <v>32322</v>
      </c>
      <c r="O2654" s="3" t="s">
        <v>63</v>
      </c>
      <c r="P2654" s="3" t="s">
        <v>214</v>
      </c>
      <c r="R2654" s="3" t="s">
        <v>65</v>
      </c>
      <c r="S2654" s="4">
        <v>3</v>
      </c>
      <c r="T2654" s="4">
        <v>3</v>
      </c>
      <c r="U2654" s="5" t="s">
        <v>32323</v>
      </c>
      <c r="V2654" s="5" t="s">
        <v>32323</v>
      </c>
      <c r="W2654" s="5" t="s">
        <v>4156</v>
      </c>
      <c r="X2654" s="5" t="s">
        <v>4156</v>
      </c>
      <c r="Y2654" s="4">
        <v>606</v>
      </c>
      <c r="Z2654" s="4">
        <v>479</v>
      </c>
      <c r="AA2654" s="4">
        <v>1578</v>
      </c>
      <c r="AB2654" s="4">
        <v>5</v>
      </c>
      <c r="AC2654" s="4">
        <v>12</v>
      </c>
      <c r="AD2654" s="4">
        <v>15</v>
      </c>
      <c r="AE2654" s="4">
        <v>42</v>
      </c>
      <c r="AF2654" s="4">
        <v>6</v>
      </c>
      <c r="AG2654" s="4">
        <v>19</v>
      </c>
      <c r="AH2654" s="4">
        <v>6</v>
      </c>
      <c r="AI2654" s="4">
        <v>9</v>
      </c>
      <c r="AJ2654" s="4">
        <v>7</v>
      </c>
      <c r="AK2654" s="4">
        <v>17</v>
      </c>
      <c r="AL2654" s="4">
        <v>1</v>
      </c>
      <c r="AM2654" s="4">
        <v>7</v>
      </c>
      <c r="AN2654" s="4">
        <v>0</v>
      </c>
      <c r="AO2654" s="4">
        <v>0</v>
      </c>
      <c r="AP2654" s="3" t="s">
        <v>58</v>
      </c>
      <c r="AQ2654" s="3" t="s">
        <v>58</v>
      </c>
      <c r="AS2654" s="6" t="str">
        <f>HYPERLINK("https://creighton-primo.hosted.exlibrisgroup.com/primo-explore/search?tab=default_tab&amp;search_scope=EVERYTHING&amp;vid=01CRU&amp;lang=en_US&amp;offset=0&amp;query=any,contains,991004683159702656","Catalog Record")</f>
        <v>Catalog Record</v>
      </c>
      <c r="AT2654" s="6" t="str">
        <f>HYPERLINK("http://www.worldcat.org/oclc/62042862","WorldCat Record")</f>
        <v>WorldCat Record</v>
      </c>
      <c r="AU2654" s="3" t="s">
        <v>32324</v>
      </c>
      <c r="AV2654" s="3" t="s">
        <v>32325</v>
      </c>
      <c r="AW2654" s="3" t="s">
        <v>32326</v>
      </c>
      <c r="AX2654" s="3" t="s">
        <v>32326</v>
      </c>
      <c r="AY2654" s="3" t="s">
        <v>32327</v>
      </c>
      <c r="AZ2654" s="3" t="s">
        <v>73</v>
      </c>
      <c r="BB2654" s="3" t="s">
        <v>32328</v>
      </c>
      <c r="BC2654" s="3" t="s">
        <v>32329</v>
      </c>
      <c r="BD2654" s="3" t="s">
        <v>32330</v>
      </c>
    </row>
    <row r="2655" spans="1:56" ht="51" customHeight="1" x14ac:dyDescent="0.25">
      <c r="A2655" s="7" t="s">
        <v>58</v>
      </c>
      <c r="B2655" s="2" t="s">
        <v>32331</v>
      </c>
      <c r="C2655" s="2" t="s">
        <v>32332</v>
      </c>
      <c r="D2655" s="2" t="s">
        <v>32333</v>
      </c>
      <c r="F2655" s="3" t="s">
        <v>58</v>
      </c>
      <c r="G2655" s="3" t="s">
        <v>59</v>
      </c>
      <c r="H2655" s="3" t="s">
        <v>58</v>
      </c>
      <c r="I2655" s="3" t="s">
        <v>58</v>
      </c>
      <c r="J2655" s="3" t="s">
        <v>60</v>
      </c>
      <c r="K2655" s="2" t="s">
        <v>32334</v>
      </c>
      <c r="L2655" s="2" t="s">
        <v>32335</v>
      </c>
      <c r="M2655" s="3" t="s">
        <v>22217</v>
      </c>
      <c r="N2655" s="2" t="s">
        <v>1470</v>
      </c>
      <c r="O2655" s="3" t="s">
        <v>63</v>
      </c>
      <c r="P2655" s="3" t="s">
        <v>214</v>
      </c>
      <c r="R2655" s="3" t="s">
        <v>65</v>
      </c>
      <c r="S2655" s="4">
        <v>4</v>
      </c>
      <c r="T2655" s="4">
        <v>4</v>
      </c>
      <c r="U2655" s="5" t="s">
        <v>32336</v>
      </c>
      <c r="V2655" s="5" t="s">
        <v>32336</v>
      </c>
      <c r="W2655" s="5" t="s">
        <v>32337</v>
      </c>
      <c r="X2655" s="5" t="s">
        <v>32337</v>
      </c>
      <c r="Y2655" s="4">
        <v>392</v>
      </c>
      <c r="Z2655" s="4">
        <v>348</v>
      </c>
      <c r="AA2655" s="4">
        <v>520</v>
      </c>
      <c r="AB2655" s="4">
        <v>3</v>
      </c>
      <c r="AC2655" s="4">
        <v>5</v>
      </c>
      <c r="AD2655" s="4">
        <v>17</v>
      </c>
      <c r="AE2655" s="4">
        <v>33</v>
      </c>
      <c r="AF2655" s="4">
        <v>5</v>
      </c>
      <c r="AG2655" s="4">
        <v>10</v>
      </c>
      <c r="AH2655" s="4">
        <v>3</v>
      </c>
      <c r="AI2655" s="4">
        <v>6</v>
      </c>
      <c r="AJ2655" s="4">
        <v>8</v>
      </c>
      <c r="AK2655" s="4">
        <v>14</v>
      </c>
      <c r="AL2655" s="4">
        <v>2</v>
      </c>
      <c r="AM2655" s="4">
        <v>2</v>
      </c>
      <c r="AN2655" s="4">
        <v>2</v>
      </c>
      <c r="AO2655" s="4">
        <v>9</v>
      </c>
      <c r="AP2655" s="3" t="s">
        <v>58</v>
      </c>
      <c r="AQ2655" s="3" t="s">
        <v>68</v>
      </c>
      <c r="AR2655" s="6" t="str">
        <f>HYPERLINK("http://catalog.hathitrust.org/Record/001606698","HathiTrust Record")</f>
        <v>HathiTrust Record</v>
      </c>
      <c r="AS2655" s="6" t="str">
        <f>HYPERLINK("https://creighton-primo.hosted.exlibrisgroup.com/primo-explore/search?tab=default_tab&amp;search_scope=EVERYTHING&amp;vid=01CRU&amp;lang=en_US&amp;offset=0&amp;query=any,contains,991003815089702656","Catalog Record")</f>
        <v>Catalog Record</v>
      </c>
      <c r="AT2655" s="6" t="str">
        <f>HYPERLINK("http://www.worldcat.org/oclc/1546243","WorldCat Record")</f>
        <v>WorldCat Record</v>
      </c>
      <c r="AU2655" s="3" t="s">
        <v>32338</v>
      </c>
      <c r="AV2655" s="3" t="s">
        <v>32339</v>
      </c>
      <c r="AW2655" s="3" t="s">
        <v>32340</v>
      </c>
      <c r="AX2655" s="3" t="s">
        <v>32340</v>
      </c>
      <c r="AY2655" s="3" t="s">
        <v>32341</v>
      </c>
      <c r="AZ2655" s="3" t="s">
        <v>73</v>
      </c>
      <c r="BC2655" s="3" t="s">
        <v>32342</v>
      </c>
      <c r="BD2655" s="3" t="s">
        <v>32343</v>
      </c>
    </row>
    <row r="2656" spans="1:56" ht="51" customHeight="1" x14ac:dyDescent="0.25">
      <c r="A2656" s="7" t="s">
        <v>58</v>
      </c>
      <c r="B2656" s="2" t="s">
        <v>32344</v>
      </c>
      <c r="C2656" s="2" t="s">
        <v>32345</v>
      </c>
      <c r="D2656" s="2" t="s">
        <v>32346</v>
      </c>
      <c r="F2656" s="3" t="s">
        <v>58</v>
      </c>
      <c r="G2656" s="3" t="s">
        <v>59</v>
      </c>
      <c r="H2656" s="3" t="s">
        <v>58</v>
      </c>
      <c r="I2656" s="3" t="s">
        <v>58</v>
      </c>
      <c r="J2656" s="3" t="s">
        <v>60</v>
      </c>
      <c r="K2656" s="2" t="s">
        <v>32347</v>
      </c>
      <c r="L2656" s="2" t="s">
        <v>32348</v>
      </c>
      <c r="M2656" s="3" t="s">
        <v>759</v>
      </c>
      <c r="O2656" s="3" t="s">
        <v>63</v>
      </c>
      <c r="P2656" s="3" t="s">
        <v>32074</v>
      </c>
      <c r="R2656" s="3" t="s">
        <v>65</v>
      </c>
      <c r="S2656" s="4">
        <v>7</v>
      </c>
      <c r="T2656" s="4">
        <v>7</v>
      </c>
      <c r="U2656" s="5" t="s">
        <v>15185</v>
      </c>
      <c r="V2656" s="5" t="s">
        <v>15185</v>
      </c>
      <c r="W2656" s="5" t="s">
        <v>31579</v>
      </c>
      <c r="X2656" s="5" t="s">
        <v>31579</v>
      </c>
      <c r="Y2656" s="4">
        <v>156</v>
      </c>
      <c r="Z2656" s="4">
        <v>153</v>
      </c>
      <c r="AA2656" s="4">
        <v>191</v>
      </c>
      <c r="AB2656" s="4">
        <v>2</v>
      </c>
      <c r="AC2656" s="4">
        <v>2</v>
      </c>
      <c r="AD2656" s="4">
        <v>10</v>
      </c>
      <c r="AE2656" s="4">
        <v>10</v>
      </c>
      <c r="AF2656" s="4">
        <v>5</v>
      </c>
      <c r="AG2656" s="4">
        <v>5</v>
      </c>
      <c r="AH2656" s="4">
        <v>2</v>
      </c>
      <c r="AI2656" s="4">
        <v>2</v>
      </c>
      <c r="AJ2656" s="4">
        <v>5</v>
      </c>
      <c r="AK2656" s="4">
        <v>5</v>
      </c>
      <c r="AL2656" s="4">
        <v>1</v>
      </c>
      <c r="AM2656" s="4">
        <v>1</v>
      </c>
      <c r="AN2656" s="4">
        <v>0</v>
      </c>
      <c r="AO2656" s="4">
        <v>0</v>
      </c>
      <c r="AP2656" s="3" t="s">
        <v>58</v>
      </c>
      <c r="AQ2656" s="3" t="s">
        <v>58</v>
      </c>
      <c r="AS2656" s="6" t="str">
        <f>HYPERLINK("https://creighton-primo.hosted.exlibrisgroup.com/primo-explore/search?tab=default_tab&amp;search_scope=EVERYTHING&amp;vid=01CRU&amp;lang=en_US&amp;offset=0&amp;query=any,contains,991005001319702656","Catalog Record")</f>
        <v>Catalog Record</v>
      </c>
      <c r="AT2656" s="6" t="str">
        <f>HYPERLINK("http://www.worldcat.org/oclc/6549105","WorldCat Record")</f>
        <v>WorldCat Record</v>
      </c>
      <c r="AU2656" s="3" t="s">
        <v>32349</v>
      </c>
      <c r="AV2656" s="3" t="s">
        <v>32350</v>
      </c>
      <c r="AW2656" s="3" t="s">
        <v>32351</v>
      </c>
      <c r="AX2656" s="3" t="s">
        <v>32351</v>
      </c>
      <c r="AY2656" s="3" t="s">
        <v>32352</v>
      </c>
      <c r="AZ2656" s="3" t="s">
        <v>73</v>
      </c>
      <c r="BC2656" s="3" t="s">
        <v>32353</v>
      </c>
      <c r="BD2656" s="3" t="s">
        <v>32354</v>
      </c>
    </row>
    <row r="2657" spans="1:56" ht="51" customHeight="1" x14ac:dyDescent="0.25">
      <c r="A2657" s="7" t="s">
        <v>58</v>
      </c>
      <c r="B2657" s="2" t="s">
        <v>32355</v>
      </c>
      <c r="C2657" s="2" t="s">
        <v>32356</v>
      </c>
      <c r="D2657" s="2" t="s">
        <v>32357</v>
      </c>
      <c r="F2657" s="3" t="s">
        <v>58</v>
      </c>
      <c r="G2657" s="3" t="s">
        <v>59</v>
      </c>
      <c r="H2657" s="3" t="s">
        <v>58</v>
      </c>
      <c r="I2657" s="3" t="s">
        <v>58</v>
      </c>
      <c r="J2657" s="3" t="s">
        <v>60</v>
      </c>
      <c r="K2657" s="2" t="s">
        <v>32358</v>
      </c>
      <c r="L2657" s="2" t="s">
        <v>32359</v>
      </c>
      <c r="M2657" s="3" t="s">
        <v>368</v>
      </c>
      <c r="N2657" s="2" t="s">
        <v>2091</v>
      </c>
      <c r="O2657" s="3" t="s">
        <v>63</v>
      </c>
      <c r="P2657" s="3" t="s">
        <v>214</v>
      </c>
      <c r="R2657" s="3" t="s">
        <v>65</v>
      </c>
      <c r="S2657" s="4">
        <v>3</v>
      </c>
      <c r="T2657" s="4">
        <v>3</v>
      </c>
      <c r="U2657" s="5" t="s">
        <v>15010</v>
      </c>
      <c r="V2657" s="5" t="s">
        <v>15010</v>
      </c>
      <c r="W2657" s="5" t="s">
        <v>32360</v>
      </c>
      <c r="X2657" s="5" t="s">
        <v>32360</v>
      </c>
      <c r="Y2657" s="4">
        <v>678</v>
      </c>
      <c r="Z2657" s="4">
        <v>670</v>
      </c>
      <c r="AA2657" s="4">
        <v>1124</v>
      </c>
      <c r="AB2657" s="4">
        <v>6</v>
      </c>
      <c r="AC2657" s="4">
        <v>8</v>
      </c>
      <c r="AD2657" s="4">
        <v>26</v>
      </c>
      <c r="AE2657" s="4">
        <v>49</v>
      </c>
      <c r="AF2657" s="4">
        <v>5</v>
      </c>
      <c r="AG2657" s="4">
        <v>20</v>
      </c>
      <c r="AH2657" s="4">
        <v>8</v>
      </c>
      <c r="AI2657" s="4">
        <v>10</v>
      </c>
      <c r="AJ2657" s="4">
        <v>10</v>
      </c>
      <c r="AK2657" s="4">
        <v>20</v>
      </c>
      <c r="AL2657" s="4">
        <v>5</v>
      </c>
      <c r="AM2657" s="4">
        <v>7</v>
      </c>
      <c r="AN2657" s="4">
        <v>3</v>
      </c>
      <c r="AO2657" s="4">
        <v>3</v>
      </c>
      <c r="AP2657" s="3" t="s">
        <v>58</v>
      </c>
      <c r="AQ2657" s="3" t="s">
        <v>68</v>
      </c>
      <c r="AR2657" s="6" t="str">
        <f>HYPERLINK("http://catalog.hathitrust.org/Record/000737313","HathiTrust Record")</f>
        <v>HathiTrust Record</v>
      </c>
      <c r="AS2657" s="6" t="str">
        <f>HYPERLINK("https://creighton-primo.hosted.exlibrisgroup.com/primo-explore/search?tab=default_tab&amp;search_scope=EVERYTHING&amp;vid=01CRU&amp;lang=en_US&amp;offset=0&amp;query=any,contains,991004174389702656","Catalog Record")</f>
        <v>Catalog Record</v>
      </c>
      <c r="AT2657" s="6" t="str">
        <f>HYPERLINK("http://www.worldcat.org/oclc/2593062","WorldCat Record")</f>
        <v>WorldCat Record</v>
      </c>
      <c r="AU2657" s="3" t="s">
        <v>32361</v>
      </c>
      <c r="AV2657" s="3" t="s">
        <v>32362</v>
      </c>
      <c r="AW2657" s="3" t="s">
        <v>32363</v>
      </c>
      <c r="AX2657" s="3" t="s">
        <v>32363</v>
      </c>
      <c r="AY2657" s="3" t="s">
        <v>32364</v>
      </c>
      <c r="AZ2657" s="3" t="s">
        <v>73</v>
      </c>
      <c r="BB2657" s="3" t="s">
        <v>32365</v>
      </c>
      <c r="BC2657" s="3" t="s">
        <v>32366</v>
      </c>
      <c r="BD2657" s="3" t="s">
        <v>32367</v>
      </c>
    </row>
    <row r="2658" spans="1:56" ht="51" customHeight="1" x14ac:dyDescent="0.25">
      <c r="A2658" s="7" t="s">
        <v>58</v>
      </c>
      <c r="B2658" s="2" t="s">
        <v>32368</v>
      </c>
      <c r="C2658" s="2" t="s">
        <v>32369</v>
      </c>
      <c r="D2658" s="2" t="s">
        <v>32370</v>
      </c>
      <c r="F2658" s="3" t="s">
        <v>58</v>
      </c>
      <c r="G2658" s="3" t="s">
        <v>59</v>
      </c>
      <c r="H2658" s="3" t="s">
        <v>58</v>
      </c>
      <c r="I2658" s="3" t="s">
        <v>58</v>
      </c>
      <c r="J2658" s="3" t="s">
        <v>60</v>
      </c>
      <c r="L2658" s="2" t="s">
        <v>32371</v>
      </c>
      <c r="M2658" s="3" t="s">
        <v>261</v>
      </c>
      <c r="O2658" s="3" t="s">
        <v>63</v>
      </c>
      <c r="P2658" s="3" t="s">
        <v>6817</v>
      </c>
      <c r="R2658" s="3" t="s">
        <v>65</v>
      </c>
      <c r="S2658" s="4">
        <v>7</v>
      </c>
      <c r="T2658" s="4">
        <v>7</v>
      </c>
      <c r="U2658" s="5" t="s">
        <v>32372</v>
      </c>
      <c r="V2658" s="5" t="s">
        <v>32372</v>
      </c>
      <c r="W2658" s="5" t="s">
        <v>32373</v>
      </c>
      <c r="X2658" s="5" t="s">
        <v>32373</v>
      </c>
      <c r="Y2658" s="4">
        <v>475</v>
      </c>
      <c r="Z2658" s="4">
        <v>394</v>
      </c>
      <c r="AA2658" s="4">
        <v>396</v>
      </c>
      <c r="AB2658" s="4">
        <v>4</v>
      </c>
      <c r="AC2658" s="4">
        <v>4</v>
      </c>
      <c r="AD2658" s="4">
        <v>19</v>
      </c>
      <c r="AE2658" s="4">
        <v>19</v>
      </c>
      <c r="AF2658" s="4">
        <v>6</v>
      </c>
      <c r="AG2658" s="4">
        <v>6</v>
      </c>
      <c r="AH2658" s="4">
        <v>5</v>
      </c>
      <c r="AI2658" s="4">
        <v>5</v>
      </c>
      <c r="AJ2658" s="4">
        <v>11</v>
      </c>
      <c r="AK2658" s="4">
        <v>11</v>
      </c>
      <c r="AL2658" s="4">
        <v>3</v>
      </c>
      <c r="AM2658" s="4">
        <v>3</v>
      </c>
      <c r="AN2658" s="4">
        <v>0</v>
      </c>
      <c r="AO2658" s="4">
        <v>0</v>
      </c>
      <c r="AP2658" s="3" t="s">
        <v>58</v>
      </c>
      <c r="AQ2658" s="3" t="s">
        <v>68</v>
      </c>
      <c r="AR2658" s="6" t="str">
        <f>HYPERLINK("http://catalog.hathitrust.org/Record/000025371","HathiTrust Record")</f>
        <v>HathiTrust Record</v>
      </c>
      <c r="AS2658" s="6" t="str">
        <f>HYPERLINK("https://creighton-primo.hosted.exlibrisgroup.com/primo-explore/search?tab=default_tab&amp;search_scope=EVERYTHING&amp;vid=01CRU&amp;lang=en_US&amp;offset=0&amp;query=any,contains,991003817479702656","Catalog Record")</f>
        <v>Catalog Record</v>
      </c>
      <c r="AT2658" s="6" t="str">
        <f>HYPERLINK("http://www.worldcat.org/oclc/1551118","WorldCat Record")</f>
        <v>WorldCat Record</v>
      </c>
      <c r="AU2658" s="3" t="s">
        <v>32374</v>
      </c>
      <c r="AV2658" s="3" t="s">
        <v>32375</v>
      </c>
      <c r="AW2658" s="3" t="s">
        <v>32376</v>
      </c>
      <c r="AX2658" s="3" t="s">
        <v>32376</v>
      </c>
      <c r="AY2658" s="3" t="s">
        <v>32377</v>
      </c>
      <c r="AZ2658" s="3" t="s">
        <v>73</v>
      </c>
      <c r="BB2658" s="3" t="s">
        <v>32378</v>
      </c>
      <c r="BC2658" s="3" t="s">
        <v>32379</v>
      </c>
      <c r="BD2658" s="3" t="s">
        <v>32380</v>
      </c>
    </row>
    <row r="2659" spans="1:56" ht="51" customHeight="1" x14ac:dyDescent="0.25">
      <c r="A2659" s="7" t="s">
        <v>58</v>
      </c>
      <c r="B2659" s="2" t="s">
        <v>32381</v>
      </c>
      <c r="C2659" s="2" t="s">
        <v>32382</v>
      </c>
      <c r="D2659" s="2" t="s">
        <v>32383</v>
      </c>
      <c r="F2659" s="3" t="s">
        <v>58</v>
      </c>
      <c r="G2659" s="3" t="s">
        <v>59</v>
      </c>
      <c r="H2659" s="3" t="s">
        <v>58</v>
      </c>
      <c r="I2659" s="3" t="s">
        <v>58</v>
      </c>
      <c r="J2659" s="3" t="s">
        <v>60</v>
      </c>
      <c r="K2659" s="2" t="s">
        <v>32384</v>
      </c>
      <c r="L2659" s="2" t="s">
        <v>32385</v>
      </c>
      <c r="M2659" s="3" t="s">
        <v>1153</v>
      </c>
      <c r="O2659" s="3" t="s">
        <v>63</v>
      </c>
      <c r="P2659" s="3" t="s">
        <v>32074</v>
      </c>
      <c r="R2659" s="3" t="s">
        <v>65</v>
      </c>
      <c r="S2659" s="4">
        <v>1</v>
      </c>
      <c r="T2659" s="4">
        <v>1</v>
      </c>
      <c r="U2659" s="5" t="s">
        <v>15010</v>
      </c>
      <c r="V2659" s="5" t="s">
        <v>15010</v>
      </c>
      <c r="W2659" s="5" t="s">
        <v>3724</v>
      </c>
      <c r="X2659" s="5" t="s">
        <v>3724</v>
      </c>
      <c r="Y2659" s="4">
        <v>59</v>
      </c>
      <c r="Z2659" s="4">
        <v>40</v>
      </c>
      <c r="AA2659" s="4">
        <v>41</v>
      </c>
      <c r="AB2659" s="4">
        <v>2</v>
      </c>
      <c r="AC2659" s="4">
        <v>2</v>
      </c>
      <c r="AD2659" s="4">
        <v>5</v>
      </c>
      <c r="AE2659" s="4">
        <v>5</v>
      </c>
      <c r="AF2659" s="4">
        <v>0</v>
      </c>
      <c r="AG2659" s="4">
        <v>0</v>
      </c>
      <c r="AH2659" s="4">
        <v>2</v>
      </c>
      <c r="AI2659" s="4">
        <v>2</v>
      </c>
      <c r="AJ2659" s="4">
        <v>3</v>
      </c>
      <c r="AK2659" s="4">
        <v>3</v>
      </c>
      <c r="AL2659" s="4">
        <v>1</v>
      </c>
      <c r="AM2659" s="4">
        <v>1</v>
      </c>
      <c r="AN2659" s="4">
        <v>0</v>
      </c>
      <c r="AO2659" s="4">
        <v>0</v>
      </c>
      <c r="AP2659" s="3" t="s">
        <v>58</v>
      </c>
      <c r="AQ2659" s="3" t="s">
        <v>68</v>
      </c>
      <c r="AR2659" s="6" t="str">
        <f>HYPERLINK("http://catalog.hathitrust.org/Record/009048042","HathiTrust Record")</f>
        <v>HathiTrust Record</v>
      </c>
      <c r="AS2659" s="6" t="str">
        <f>HYPERLINK("https://creighton-primo.hosted.exlibrisgroup.com/primo-explore/search?tab=default_tab&amp;search_scope=EVERYTHING&amp;vid=01CRU&amp;lang=en_US&amp;offset=0&amp;query=any,contains,991004451379702656","Catalog Record")</f>
        <v>Catalog Record</v>
      </c>
      <c r="AT2659" s="6" t="str">
        <f>HYPERLINK("http://www.worldcat.org/oclc/3515538","WorldCat Record")</f>
        <v>WorldCat Record</v>
      </c>
      <c r="AU2659" s="3" t="s">
        <v>32386</v>
      </c>
      <c r="AV2659" s="3" t="s">
        <v>32387</v>
      </c>
      <c r="AW2659" s="3" t="s">
        <v>32388</v>
      </c>
      <c r="AX2659" s="3" t="s">
        <v>32388</v>
      </c>
      <c r="AY2659" s="3" t="s">
        <v>32389</v>
      </c>
      <c r="AZ2659" s="3" t="s">
        <v>73</v>
      </c>
      <c r="BC2659" s="3" t="s">
        <v>32390</v>
      </c>
      <c r="BD2659" s="3" t="s">
        <v>32391</v>
      </c>
    </row>
    <row r="2660" spans="1:56" ht="51" customHeight="1" x14ac:dyDescent="0.25">
      <c r="A2660" s="7" t="s">
        <v>58</v>
      </c>
      <c r="B2660" s="2" t="s">
        <v>32392</v>
      </c>
      <c r="C2660" s="2" t="s">
        <v>32393</v>
      </c>
      <c r="D2660" s="2" t="s">
        <v>32394</v>
      </c>
      <c r="F2660" s="3" t="s">
        <v>58</v>
      </c>
      <c r="G2660" s="3" t="s">
        <v>59</v>
      </c>
      <c r="H2660" s="3" t="s">
        <v>58</v>
      </c>
      <c r="I2660" s="3" t="s">
        <v>58</v>
      </c>
      <c r="J2660" s="3" t="s">
        <v>60</v>
      </c>
      <c r="K2660" s="2" t="s">
        <v>32294</v>
      </c>
      <c r="L2660" s="2" t="s">
        <v>32395</v>
      </c>
      <c r="M2660" s="3" t="s">
        <v>509</v>
      </c>
      <c r="O2660" s="3" t="s">
        <v>63</v>
      </c>
      <c r="P2660" s="3" t="s">
        <v>214</v>
      </c>
      <c r="R2660" s="3" t="s">
        <v>65</v>
      </c>
      <c r="S2660" s="4">
        <v>6</v>
      </c>
      <c r="T2660" s="4">
        <v>6</v>
      </c>
      <c r="U2660" s="5" t="s">
        <v>32396</v>
      </c>
      <c r="V2660" s="5" t="s">
        <v>32396</v>
      </c>
      <c r="W2660" s="5" t="s">
        <v>10015</v>
      </c>
      <c r="X2660" s="5" t="s">
        <v>10015</v>
      </c>
      <c r="Y2660" s="4">
        <v>422</v>
      </c>
      <c r="Z2660" s="4">
        <v>392</v>
      </c>
      <c r="AA2660" s="4">
        <v>401</v>
      </c>
      <c r="AB2660" s="4">
        <v>5</v>
      </c>
      <c r="AC2660" s="4">
        <v>5</v>
      </c>
      <c r="AD2660" s="4">
        <v>24</v>
      </c>
      <c r="AE2660" s="4">
        <v>24</v>
      </c>
      <c r="AF2660" s="4">
        <v>9</v>
      </c>
      <c r="AG2660" s="4">
        <v>9</v>
      </c>
      <c r="AH2660" s="4">
        <v>2</v>
      </c>
      <c r="AI2660" s="4">
        <v>2</v>
      </c>
      <c r="AJ2660" s="4">
        <v>13</v>
      </c>
      <c r="AK2660" s="4">
        <v>13</v>
      </c>
      <c r="AL2660" s="4">
        <v>4</v>
      </c>
      <c r="AM2660" s="4">
        <v>4</v>
      </c>
      <c r="AN2660" s="4">
        <v>0</v>
      </c>
      <c r="AO2660" s="4">
        <v>0</v>
      </c>
      <c r="AP2660" s="3" t="s">
        <v>68</v>
      </c>
      <c r="AQ2660" s="3" t="s">
        <v>58</v>
      </c>
      <c r="AR2660" s="6" t="str">
        <f>HYPERLINK("http://catalog.hathitrust.org/Record/001606706","HathiTrust Record")</f>
        <v>HathiTrust Record</v>
      </c>
      <c r="AS2660" s="6" t="str">
        <f>HYPERLINK("https://creighton-primo.hosted.exlibrisgroup.com/primo-explore/search?tab=default_tab&amp;search_scope=EVERYTHING&amp;vid=01CRU&amp;lang=en_US&amp;offset=0&amp;query=any,contains,991002720849702656","Catalog Record")</f>
        <v>Catalog Record</v>
      </c>
      <c r="AT2660" s="6" t="str">
        <f>HYPERLINK("http://www.worldcat.org/oclc/412572","WorldCat Record")</f>
        <v>WorldCat Record</v>
      </c>
      <c r="AU2660" s="3" t="s">
        <v>32397</v>
      </c>
      <c r="AV2660" s="3" t="s">
        <v>32398</v>
      </c>
      <c r="AW2660" s="3" t="s">
        <v>32399</v>
      </c>
      <c r="AX2660" s="3" t="s">
        <v>32399</v>
      </c>
      <c r="AY2660" s="3" t="s">
        <v>32400</v>
      </c>
      <c r="AZ2660" s="3" t="s">
        <v>73</v>
      </c>
      <c r="BC2660" s="3" t="s">
        <v>32401</v>
      </c>
      <c r="BD2660" s="3" t="s">
        <v>32402</v>
      </c>
    </row>
    <row r="2661" spans="1:56" ht="51" customHeight="1" x14ac:dyDescent="0.25">
      <c r="A2661" s="7" t="s">
        <v>58</v>
      </c>
      <c r="B2661" s="2" t="s">
        <v>32403</v>
      </c>
      <c r="C2661" s="2" t="s">
        <v>32404</v>
      </c>
      <c r="D2661" s="2" t="s">
        <v>32405</v>
      </c>
      <c r="F2661" s="3" t="s">
        <v>58</v>
      </c>
      <c r="G2661" s="3" t="s">
        <v>59</v>
      </c>
      <c r="H2661" s="3" t="s">
        <v>58</v>
      </c>
      <c r="I2661" s="3" t="s">
        <v>58</v>
      </c>
      <c r="J2661" s="3" t="s">
        <v>60</v>
      </c>
      <c r="K2661" s="2" t="s">
        <v>32406</v>
      </c>
      <c r="L2661" s="2" t="s">
        <v>32407</v>
      </c>
      <c r="M2661" s="3" t="s">
        <v>1357</v>
      </c>
      <c r="N2661" s="2" t="s">
        <v>13431</v>
      </c>
      <c r="O2661" s="3" t="s">
        <v>63</v>
      </c>
      <c r="P2661" s="3" t="s">
        <v>32074</v>
      </c>
      <c r="Q2661" s="2" t="s">
        <v>32408</v>
      </c>
      <c r="R2661" s="3" t="s">
        <v>65</v>
      </c>
      <c r="S2661" s="4">
        <v>1</v>
      </c>
      <c r="T2661" s="4">
        <v>1</v>
      </c>
      <c r="U2661" s="5" t="s">
        <v>7631</v>
      </c>
      <c r="V2661" s="5" t="s">
        <v>7631</v>
      </c>
      <c r="W2661" s="5" t="s">
        <v>25126</v>
      </c>
      <c r="X2661" s="5" t="s">
        <v>25126</v>
      </c>
      <c r="Y2661" s="4">
        <v>251</v>
      </c>
      <c r="Z2661" s="4">
        <v>158</v>
      </c>
      <c r="AA2661" s="4">
        <v>161</v>
      </c>
      <c r="AB2661" s="4">
        <v>1</v>
      </c>
      <c r="AC2661" s="4">
        <v>1</v>
      </c>
      <c r="AD2661" s="4">
        <v>6</v>
      </c>
      <c r="AE2661" s="4">
        <v>7</v>
      </c>
      <c r="AF2661" s="4">
        <v>2</v>
      </c>
      <c r="AG2661" s="4">
        <v>2</v>
      </c>
      <c r="AH2661" s="4">
        <v>2</v>
      </c>
      <c r="AI2661" s="4">
        <v>3</v>
      </c>
      <c r="AJ2661" s="4">
        <v>4</v>
      </c>
      <c r="AK2661" s="4">
        <v>4</v>
      </c>
      <c r="AL2661" s="4">
        <v>0</v>
      </c>
      <c r="AM2661" s="4">
        <v>0</v>
      </c>
      <c r="AN2661" s="4">
        <v>0</v>
      </c>
      <c r="AO2661" s="4">
        <v>0</v>
      </c>
      <c r="AP2661" s="3" t="s">
        <v>58</v>
      </c>
      <c r="AQ2661" s="3" t="s">
        <v>68</v>
      </c>
      <c r="AR2661" s="6" t="str">
        <f>HYPERLINK("http://catalog.hathitrust.org/Record/001605025","HathiTrust Record")</f>
        <v>HathiTrust Record</v>
      </c>
      <c r="AS2661" s="6" t="str">
        <f>HYPERLINK("https://creighton-primo.hosted.exlibrisgroup.com/primo-explore/search?tab=default_tab&amp;search_scope=EVERYTHING&amp;vid=01CRU&amp;lang=en_US&amp;offset=0&amp;query=any,contains,991003540889702656","Catalog Record")</f>
        <v>Catalog Record</v>
      </c>
      <c r="AT2661" s="6" t="str">
        <f>HYPERLINK("http://www.worldcat.org/oclc/1105075","WorldCat Record")</f>
        <v>WorldCat Record</v>
      </c>
      <c r="AU2661" s="3" t="s">
        <v>32409</v>
      </c>
      <c r="AV2661" s="3" t="s">
        <v>32410</v>
      </c>
      <c r="AW2661" s="3" t="s">
        <v>32411</v>
      </c>
      <c r="AX2661" s="3" t="s">
        <v>32411</v>
      </c>
      <c r="AY2661" s="3" t="s">
        <v>32412</v>
      </c>
      <c r="AZ2661" s="3" t="s">
        <v>73</v>
      </c>
      <c r="BC2661" s="3" t="s">
        <v>32413</v>
      </c>
      <c r="BD2661" s="3" t="s">
        <v>32414</v>
      </c>
    </row>
    <row r="2662" spans="1:56" ht="51" customHeight="1" x14ac:dyDescent="0.25">
      <c r="A2662" s="7" t="s">
        <v>58</v>
      </c>
      <c r="B2662" s="2" t="s">
        <v>32415</v>
      </c>
      <c r="C2662" s="2" t="s">
        <v>32416</v>
      </c>
      <c r="D2662" s="2" t="s">
        <v>32417</v>
      </c>
      <c r="F2662" s="3" t="s">
        <v>58</v>
      </c>
      <c r="G2662" s="3" t="s">
        <v>59</v>
      </c>
      <c r="H2662" s="3" t="s">
        <v>58</v>
      </c>
      <c r="I2662" s="3" t="s">
        <v>58</v>
      </c>
      <c r="J2662" s="3" t="s">
        <v>60</v>
      </c>
      <c r="K2662" s="2" t="s">
        <v>32418</v>
      </c>
      <c r="L2662" s="2" t="s">
        <v>32419</v>
      </c>
      <c r="M2662" s="3" t="s">
        <v>4023</v>
      </c>
      <c r="O2662" s="3" t="s">
        <v>63</v>
      </c>
      <c r="P2662" s="3" t="s">
        <v>32074</v>
      </c>
      <c r="R2662" s="3" t="s">
        <v>65</v>
      </c>
      <c r="S2662" s="4">
        <v>1</v>
      </c>
      <c r="T2662" s="4">
        <v>1</v>
      </c>
      <c r="U2662" s="5" t="s">
        <v>28143</v>
      </c>
      <c r="V2662" s="5" t="s">
        <v>28143</v>
      </c>
      <c r="W2662" s="5" t="s">
        <v>28143</v>
      </c>
      <c r="X2662" s="5" t="s">
        <v>28143</v>
      </c>
      <c r="Y2662" s="4">
        <v>331</v>
      </c>
      <c r="Z2662" s="4">
        <v>287</v>
      </c>
      <c r="AA2662" s="4">
        <v>288</v>
      </c>
      <c r="AB2662" s="4">
        <v>3</v>
      </c>
      <c r="AC2662" s="4">
        <v>3</v>
      </c>
      <c r="AD2662" s="4">
        <v>16</v>
      </c>
      <c r="AE2662" s="4">
        <v>16</v>
      </c>
      <c r="AF2662" s="4">
        <v>5</v>
      </c>
      <c r="AG2662" s="4">
        <v>5</v>
      </c>
      <c r="AH2662" s="4">
        <v>5</v>
      </c>
      <c r="AI2662" s="4">
        <v>5</v>
      </c>
      <c r="AJ2662" s="4">
        <v>8</v>
      </c>
      <c r="AK2662" s="4">
        <v>8</v>
      </c>
      <c r="AL2662" s="4">
        <v>2</v>
      </c>
      <c r="AM2662" s="4">
        <v>2</v>
      </c>
      <c r="AN2662" s="4">
        <v>0</v>
      </c>
      <c r="AO2662" s="4">
        <v>0</v>
      </c>
      <c r="AP2662" s="3" t="s">
        <v>58</v>
      </c>
      <c r="AQ2662" s="3" t="s">
        <v>68</v>
      </c>
      <c r="AR2662" s="6" t="str">
        <f>HYPERLINK("http://catalog.hathitrust.org/Record/007256620","HathiTrust Record")</f>
        <v>HathiTrust Record</v>
      </c>
      <c r="AS2662" s="6" t="str">
        <f>HYPERLINK("https://creighton-primo.hosted.exlibrisgroup.com/primo-explore/search?tab=default_tab&amp;search_scope=EVERYTHING&amp;vid=01CRU&amp;lang=en_US&amp;offset=0&amp;query=any,contains,991004321779702656","Catalog Record")</f>
        <v>Catalog Record</v>
      </c>
      <c r="AT2662" s="6" t="str">
        <f>HYPERLINK("http://www.worldcat.org/oclc/55945625","WorldCat Record")</f>
        <v>WorldCat Record</v>
      </c>
      <c r="AU2662" s="3" t="s">
        <v>32420</v>
      </c>
      <c r="AV2662" s="3" t="s">
        <v>32421</v>
      </c>
      <c r="AW2662" s="3" t="s">
        <v>32422</v>
      </c>
      <c r="AX2662" s="3" t="s">
        <v>32422</v>
      </c>
      <c r="AY2662" s="3" t="s">
        <v>32423</v>
      </c>
      <c r="AZ2662" s="3" t="s">
        <v>73</v>
      </c>
      <c r="BC2662" s="3" t="s">
        <v>32424</v>
      </c>
      <c r="BD2662" s="3" t="s">
        <v>32425</v>
      </c>
    </row>
    <row r="2663" spans="1:56" ht="51" customHeight="1" x14ac:dyDescent="0.25">
      <c r="A2663" s="7" t="s">
        <v>58</v>
      </c>
      <c r="B2663" s="2" t="s">
        <v>32426</v>
      </c>
      <c r="C2663" s="2" t="s">
        <v>32427</v>
      </c>
      <c r="D2663" s="2" t="s">
        <v>32428</v>
      </c>
      <c r="F2663" s="3" t="s">
        <v>58</v>
      </c>
      <c r="G2663" s="3" t="s">
        <v>59</v>
      </c>
      <c r="H2663" s="3" t="s">
        <v>58</v>
      </c>
      <c r="I2663" s="3" t="s">
        <v>58</v>
      </c>
      <c r="J2663" s="3" t="s">
        <v>60</v>
      </c>
      <c r="L2663" s="2" t="s">
        <v>32429</v>
      </c>
      <c r="M2663" s="3" t="s">
        <v>368</v>
      </c>
      <c r="O2663" s="3" t="s">
        <v>63</v>
      </c>
      <c r="P2663" s="3" t="s">
        <v>214</v>
      </c>
      <c r="R2663" s="3" t="s">
        <v>65</v>
      </c>
      <c r="S2663" s="4">
        <v>2</v>
      </c>
      <c r="T2663" s="4">
        <v>2</v>
      </c>
      <c r="U2663" s="5" t="s">
        <v>15185</v>
      </c>
      <c r="V2663" s="5" t="s">
        <v>15185</v>
      </c>
      <c r="W2663" s="5" t="s">
        <v>1329</v>
      </c>
      <c r="X2663" s="5" t="s">
        <v>1329</v>
      </c>
      <c r="Y2663" s="4">
        <v>490</v>
      </c>
      <c r="Z2663" s="4">
        <v>389</v>
      </c>
      <c r="AA2663" s="4">
        <v>408</v>
      </c>
      <c r="AB2663" s="4">
        <v>3</v>
      </c>
      <c r="AC2663" s="4">
        <v>3</v>
      </c>
      <c r="AD2663" s="4">
        <v>16</v>
      </c>
      <c r="AE2663" s="4">
        <v>20</v>
      </c>
      <c r="AF2663" s="4">
        <v>4</v>
      </c>
      <c r="AG2663" s="4">
        <v>4</v>
      </c>
      <c r="AH2663" s="4">
        <v>4</v>
      </c>
      <c r="AI2663" s="4">
        <v>4</v>
      </c>
      <c r="AJ2663" s="4">
        <v>11</v>
      </c>
      <c r="AK2663" s="4">
        <v>11</v>
      </c>
      <c r="AL2663" s="4">
        <v>2</v>
      </c>
      <c r="AM2663" s="4">
        <v>2</v>
      </c>
      <c r="AN2663" s="4">
        <v>0</v>
      </c>
      <c r="AO2663" s="4">
        <v>4</v>
      </c>
      <c r="AP2663" s="3" t="s">
        <v>58</v>
      </c>
      <c r="AQ2663" s="3" t="s">
        <v>58</v>
      </c>
      <c r="AS2663" s="6" t="str">
        <f>HYPERLINK("https://creighton-primo.hosted.exlibrisgroup.com/primo-explore/search?tab=default_tab&amp;search_scope=EVERYTHING&amp;vid=01CRU&amp;lang=en_US&amp;offset=0&amp;query=any,contains,991003980979702656","Catalog Record")</f>
        <v>Catalog Record</v>
      </c>
      <c r="AT2663" s="6" t="str">
        <f>HYPERLINK("http://www.worldcat.org/oclc/2020057","WorldCat Record")</f>
        <v>WorldCat Record</v>
      </c>
      <c r="AU2663" s="3" t="s">
        <v>32430</v>
      </c>
      <c r="AV2663" s="3" t="s">
        <v>32431</v>
      </c>
      <c r="AW2663" s="3" t="s">
        <v>32432</v>
      </c>
      <c r="AX2663" s="3" t="s">
        <v>32432</v>
      </c>
      <c r="AY2663" s="3" t="s">
        <v>32433</v>
      </c>
      <c r="AZ2663" s="3" t="s">
        <v>73</v>
      </c>
      <c r="BB2663" s="3" t="s">
        <v>32434</v>
      </c>
      <c r="BC2663" s="3" t="s">
        <v>32435</v>
      </c>
      <c r="BD2663" s="3" t="s">
        <v>32436</v>
      </c>
    </row>
    <row r="2664" spans="1:56" ht="51" customHeight="1" x14ac:dyDescent="0.25">
      <c r="A2664" s="7" t="s">
        <v>58</v>
      </c>
      <c r="B2664" s="2" t="s">
        <v>32437</v>
      </c>
      <c r="C2664" s="2" t="s">
        <v>32438</v>
      </c>
      <c r="D2664" s="2" t="s">
        <v>32439</v>
      </c>
      <c r="F2664" s="3" t="s">
        <v>58</v>
      </c>
      <c r="G2664" s="3" t="s">
        <v>59</v>
      </c>
      <c r="H2664" s="3" t="s">
        <v>58</v>
      </c>
      <c r="I2664" s="3" t="s">
        <v>58</v>
      </c>
      <c r="J2664" s="3" t="s">
        <v>60</v>
      </c>
      <c r="K2664" s="2" t="s">
        <v>32440</v>
      </c>
      <c r="L2664" s="2" t="s">
        <v>32441</v>
      </c>
      <c r="M2664" s="3" t="s">
        <v>538</v>
      </c>
      <c r="O2664" s="3" t="s">
        <v>63</v>
      </c>
      <c r="P2664" s="3" t="s">
        <v>214</v>
      </c>
      <c r="R2664" s="3" t="s">
        <v>65</v>
      </c>
      <c r="S2664" s="4">
        <v>2</v>
      </c>
      <c r="T2664" s="4">
        <v>2</v>
      </c>
      <c r="U2664" s="5" t="s">
        <v>15185</v>
      </c>
      <c r="V2664" s="5" t="s">
        <v>15185</v>
      </c>
      <c r="W2664" s="5" t="s">
        <v>1329</v>
      </c>
      <c r="X2664" s="5" t="s">
        <v>1329</v>
      </c>
      <c r="Y2664" s="4">
        <v>208</v>
      </c>
      <c r="Z2664" s="4">
        <v>181</v>
      </c>
      <c r="AA2664" s="4">
        <v>182</v>
      </c>
      <c r="AB2664" s="4">
        <v>4</v>
      </c>
      <c r="AC2664" s="4">
        <v>4</v>
      </c>
      <c r="AD2664" s="4">
        <v>10</v>
      </c>
      <c r="AE2664" s="4">
        <v>10</v>
      </c>
      <c r="AF2664" s="4">
        <v>1</v>
      </c>
      <c r="AG2664" s="4">
        <v>1</v>
      </c>
      <c r="AH2664" s="4">
        <v>2</v>
      </c>
      <c r="AI2664" s="4">
        <v>2</v>
      </c>
      <c r="AJ2664" s="4">
        <v>5</v>
      </c>
      <c r="AK2664" s="4">
        <v>5</v>
      </c>
      <c r="AL2664" s="4">
        <v>3</v>
      </c>
      <c r="AM2664" s="4">
        <v>3</v>
      </c>
      <c r="AN2664" s="4">
        <v>0</v>
      </c>
      <c r="AO2664" s="4">
        <v>0</v>
      </c>
      <c r="AP2664" s="3" t="s">
        <v>58</v>
      </c>
      <c r="AQ2664" s="3" t="s">
        <v>68</v>
      </c>
      <c r="AR2664" s="6" t="str">
        <f>HYPERLINK("http://catalog.hathitrust.org/Record/006253183","HathiTrust Record")</f>
        <v>HathiTrust Record</v>
      </c>
      <c r="AS2664" s="6" t="str">
        <f>HYPERLINK("https://creighton-primo.hosted.exlibrisgroup.com/primo-explore/search?tab=default_tab&amp;search_scope=EVERYTHING&amp;vid=01CRU&amp;lang=en_US&amp;offset=0&amp;query=any,contains,991000041539702656","Catalog Record")</f>
        <v>Catalog Record</v>
      </c>
      <c r="AT2664" s="6" t="str">
        <f>HYPERLINK("http://www.worldcat.org/oclc/21845","WorldCat Record")</f>
        <v>WorldCat Record</v>
      </c>
      <c r="AU2664" s="3" t="s">
        <v>32442</v>
      </c>
      <c r="AV2664" s="3" t="s">
        <v>32443</v>
      </c>
      <c r="AW2664" s="3" t="s">
        <v>32444</v>
      </c>
      <c r="AX2664" s="3" t="s">
        <v>32444</v>
      </c>
      <c r="AY2664" s="3" t="s">
        <v>32445</v>
      </c>
      <c r="AZ2664" s="3" t="s">
        <v>73</v>
      </c>
      <c r="BB2664" s="3" t="s">
        <v>32446</v>
      </c>
      <c r="BC2664" s="3" t="s">
        <v>32447</v>
      </c>
      <c r="BD2664" s="3" t="s">
        <v>32448</v>
      </c>
    </row>
    <row r="2665" spans="1:56" ht="51" customHeight="1" x14ac:dyDescent="0.25">
      <c r="A2665" s="7" t="s">
        <v>58</v>
      </c>
      <c r="B2665" s="2" t="s">
        <v>32449</v>
      </c>
      <c r="C2665" s="2" t="s">
        <v>32450</v>
      </c>
      <c r="D2665" s="2" t="s">
        <v>32451</v>
      </c>
      <c r="F2665" s="3" t="s">
        <v>58</v>
      </c>
      <c r="G2665" s="3" t="s">
        <v>59</v>
      </c>
      <c r="H2665" s="3" t="s">
        <v>58</v>
      </c>
      <c r="I2665" s="3" t="s">
        <v>58</v>
      </c>
      <c r="J2665" s="3" t="s">
        <v>60</v>
      </c>
      <c r="L2665" s="2" t="s">
        <v>32452</v>
      </c>
      <c r="M2665" s="3" t="s">
        <v>479</v>
      </c>
      <c r="O2665" s="3" t="s">
        <v>63</v>
      </c>
      <c r="P2665" s="3" t="s">
        <v>2061</v>
      </c>
      <c r="Q2665" s="2" t="s">
        <v>32453</v>
      </c>
      <c r="R2665" s="3" t="s">
        <v>65</v>
      </c>
      <c r="S2665" s="4">
        <v>10</v>
      </c>
      <c r="T2665" s="4">
        <v>10</v>
      </c>
      <c r="U2665" s="5" t="s">
        <v>32454</v>
      </c>
      <c r="V2665" s="5" t="s">
        <v>32454</v>
      </c>
      <c r="W2665" s="5" t="s">
        <v>32455</v>
      </c>
      <c r="X2665" s="5" t="s">
        <v>32455</v>
      </c>
      <c r="Y2665" s="4">
        <v>388</v>
      </c>
      <c r="Z2665" s="4">
        <v>331</v>
      </c>
      <c r="AA2665" s="4">
        <v>337</v>
      </c>
      <c r="AB2665" s="4">
        <v>3</v>
      </c>
      <c r="AC2665" s="4">
        <v>3</v>
      </c>
      <c r="AD2665" s="4">
        <v>19</v>
      </c>
      <c r="AE2665" s="4">
        <v>19</v>
      </c>
      <c r="AF2665" s="4">
        <v>8</v>
      </c>
      <c r="AG2665" s="4">
        <v>8</v>
      </c>
      <c r="AH2665" s="4">
        <v>5</v>
      </c>
      <c r="AI2665" s="4">
        <v>5</v>
      </c>
      <c r="AJ2665" s="4">
        <v>9</v>
      </c>
      <c r="AK2665" s="4">
        <v>9</v>
      </c>
      <c r="AL2665" s="4">
        <v>2</v>
      </c>
      <c r="AM2665" s="4">
        <v>2</v>
      </c>
      <c r="AN2665" s="4">
        <v>0</v>
      </c>
      <c r="AO2665" s="4">
        <v>0</v>
      </c>
      <c r="AP2665" s="3" t="s">
        <v>58</v>
      </c>
      <c r="AQ2665" s="3" t="s">
        <v>68</v>
      </c>
      <c r="AR2665" s="6" t="str">
        <f>HYPERLINK("http://catalog.hathitrust.org/Record/002902312","HathiTrust Record")</f>
        <v>HathiTrust Record</v>
      </c>
      <c r="AS2665" s="6" t="str">
        <f>HYPERLINK("https://creighton-primo.hosted.exlibrisgroup.com/primo-explore/search?tab=default_tab&amp;search_scope=EVERYTHING&amp;vid=01CRU&amp;lang=en_US&amp;offset=0&amp;query=any,contains,991002353789702656","Catalog Record")</f>
        <v>Catalog Record</v>
      </c>
      <c r="AT2665" s="6" t="str">
        <f>HYPERLINK("http://www.worldcat.org/oclc/30625391","WorldCat Record")</f>
        <v>WorldCat Record</v>
      </c>
      <c r="AU2665" s="3" t="s">
        <v>32456</v>
      </c>
      <c r="AV2665" s="3" t="s">
        <v>32457</v>
      </c>
      <c r="AW2665" s="3" t="s">
        <v>32458</v>
      </c>
      <c r="AX2665" s="3" t="s">
        <v>32458</v>
      </c>
      <c r="AY2665" s="3" t="s">
        <v>32459</v>
      </c>
      <c r="AZ2665" s="3" t="s">
        <v>73</v>
      </c>
      <c r="BB2665" s="3" t="s">
        <v>32460</v>
      </c>
      <c r="BC2665" s="3" t="s">
        <v>32461</v>
      </c>
      <c r="BD2665" s="3" t="s">
        <v>32462</v>
      </c>
    </row>
    <row r="2666" spans="1:56" ht="51" customHeight="1" x14ac:dyDescent="0.25">
      <c r="A2666" s="7" t="s">
        <v>58</v>
      </c>
      <c r="B2666" s="2" t="s">
        <v>32463</v>
      </c>
      <c r="C2666" s="2" t="s">
        <v>32464</v>
      </c>
      <c r="D2666" s="2" t="s">
        <v>32465</v>
      </c>
      <c r="F2666" s="3" t="s">
        <v>58</v>
      </c>
      <c r="G2666" s="3" t="s">
        <v>59</v>
      </c>
      <c r="H2666" s="3" t="s">
        <v>58</v>
      </c>
      <c r="I2666" s="3" t="s">
        <v>58</v>
      </c>
      <c r="J2666" s="3" t="s">
        <v>60</v>
      </c>
      <c r="K2666" s="2" t="s">
        <v>32466</v>
      </c>
      <c r="L2666" s="2" t="s">
        <v>32467</v>
      </c>
      <c r="M2666" s="3" t="s">
        <v>337</v>
      </c>
      <c r="O2666" s="3" t="s">
        <v>63</v>
      </c>
      <c r="P2666" s="3" t="s">
        <v>354</v>
      </c>
      <c r="R2666" s="3" t="s">
        <v>65</v>
      </c>
      <c r="S2666" s="4">
        <v>8</v>
      </c>
      <c r="T2666" s="4">
        <v>8</v>
      </c>
      <c r="U2666" s="5" t="s">
        <v>32468</v>
      </c>
      <c r="V2666" s="5" t="s">
        <v>32468</v>
      </c>
      <c r="W2666" s="5" t="s">
        <v>9872</v>
      </c>
      <c r="X2666" s="5" t="s">
        <v>9872</v>
      </c>
      <c r="Y2666" s="4">
        <v>641</v>
      </c>
      <c r="Z2666" s="4">
        <v>504</v>
      </c>
      <c r="AA2666" s="4">
        <v>758</v>
      </c>
      <c r="AB2666" s="4">
        <v>3</v>
      </c>
      <c r="AC2666" s="4">
        <v>3</v>
      </c>
      <c r="AD2666" s="4">
        <v>25</v>
      </c>
      <c r="AE2666" s="4">
        <v>37</v>
      </c>
      <c r="AF2666" s="4">
        <v>13</v>
      </c>
      <c r="AG2666" s="4">
        <v>19</v>
      </c>
      <c r="AH2666" s="4">
        <v>6</v>
      </c>
      <c r="AI2666" s="4">
        <v>9</v>
      </c>
      <c r="AJ2666" s="4">
        <v>12</v>
      </c>
      <c r="AK2666" s="4">
        <v>16</v>
      </c>
      <c r="AL2666" s="4">
        <v>2</v>
      </c>
      <c r="AM2666" s="4">
        <v>2</v>
      </c>
      <c r="AN2666" s="4">
        <v>0</v>
      </c>
      <c r="AO2666" s="4">
        <v>1</v>
      </c>
      <c r="AP2666" s="3" t="s">
        <v>58</v>
      </c>
      <c r="AQ2666" s="3" t="s">
        <v>58</v>
      </c>
      <c r="AS2666" s="6" t="str">
        <f>HYPERLINK("https://creighton-primo.hosted.exlibrisgroup.com/primo-explore/search?tab=default_tab&amp;search_scope=EVERYTHING&amp;vid=01CRU&amp;lang=en_US&amp;offset=0&amp;query=any,contains,991004499519702656","Catalog Record")</f>
        <v>Catalog Record</v>
      </c>
      <c r="AT2666" s="6" t="str">
        <f>HYPERLINK("http://www.worldcat.org/oclc/48613450","WorldCat Record")</f>
        <v>WorldCat Record</v>
      </c>
      <c r="AU2666" s="3" t="s">
        <v>32469</v>
      </c>
      <c r="AV2666" s="3" t="s">
        <v>32470</v>
      </c>
      <c r="AW2666" s="3" t="s">
        <v>32471</v>
      </c>
      <c r="AX2666" s="3" t="s">
        <v>32471</v>
      </c>
      <c r="AY2666" s="3" t="s">
        <v>32472</v>
      </c>
      <c r="AZ2666" s="3" t="s">
        <v>73</v>
      </c>
      <c r="BB2666" s="3" t="s">
        <v>32473</v>
      </c>
      <c r="BC2666" s="3" t="s">
        <v>32474</v>
      </c>
      <c r="BD2666" s="3" t="s">
        <v>32475</v>
      </c>
    </row>
    <row r="2667" spans="1:56" ht="51" customHeight="1" x14ac:dyDescent="0.25">
      <c r="A2667" s="7" t="s">
        <v>58</v>
      </c>
      <c r="B2667" s="2" t="s">
        <v>32476</v>
      </c>
      <c r="C2667" s="2" t="s">
        <v>32477</v>
      </c>
      <c r="D2667" s="2" t="s">
        <v>32478</v>
      </c>
      <c r="F2667" s="3" t="s">
        <v>58</v>
      </c>
      <c r="G2667" s="3" t="s">
        <v>59</v>
      </c>
      <c r="H2667" s="3" t="s">
        <v>58</v>
      </c>
      <c r="I2667" s="3" t="s">
        <v>58</v>
      </c>
      <c r="J2667" s="3" t="s">
        <v>60</v>
      </c>
      <c r="K2667" s="2" t="s">
        <v>32479</v>
      </c>
      <c r="L2667" s="2" t="s">
        <v>32480</v>
      </c>
      <c r="M2667" s="3" t="s">
        <v>524</v>
      </c>
      <c r="O2667" s="3" t="s">
        <v>63</v>
      </c>
      <c r="P2667" s="3" t="s">
        <v>214</v>
      </c>
      <c r="R2667" s="3" t="s">
        <v>65</v>
      </c>
      <c r="S2667" s="4">
        <v>9</v>
      </c>
      <c r="T2667" s="4">
        <v>9</v>
      </c>
      <c r="U2667" s="5" t="s">
        <v>32481</v>
      </c>
      <c r="V2667" s="5" t="s">
        <v>32481</v>
      </c>
      <c r="W2667" s="5" t="s">
        <v>6475</v>
      </c>
      <c r="X2667" s="5" t="s">
        <v>6475</v>
      </c>
      <c r="Y2667" s="4">
        <v>1003</v>
      </c>
      <c r="Z2667" s="4">
        <v>959</v>
      </c>
      <c r="AA2667" s="4">
        <v>1109</v>
      </c>
      <c r="AB2667" s="4">
        <v>8</v>
      </c>
      <c r="AC2667" s="4">
        <v>9</v>
      </c>
      <c r="AD2667" s="4">
        <v>19</v>
      </c>
      <c r="AE2667" s="4">
        <v>22</v>
      </c>
      <c r="AF2667" s="4">
        <v>8</v>
      </c>
      <c r="AG2667" s="4">
        <v>8</v>
      </c>
      <c r="AH2667" s="4">
        <v>3</v>
      </c>
      <c r="AI2667" s="4">
        <v>4</v>
      </c>
      <c r="AJ2667" s="4">
        <v>11</v>
      </c>
      <c r="AK2667" s="4">
        <v>14</v>
      </c>
      <c r="AL2667" s="4">
        <v>2</v>
      </c>
      <c r="AM2667" s="4">
        <v>2</v>
      </c>
      <c r="AN2667" s="4">
        <v>0</v>
      </c>
      <c r="AO2667" s="4">
        <v>0</v>
      </c>
      <c r="AP2667" s="3" t="s">
        <v>58</v>
      </c>
      <c r="AQ2667" s="3" t="s">
        <v>68</v>
      </c>
      <c r="AR2667" s="6" t="str">
        <f>HYPERLINK("http://catalog.hathitrust.org/Record/000446349","HathiTrust Record")</f>
        <v>HathiTrust Record</v>
      </c>
      <c r="AS2667" s="6" t="str">
        <f>HYPERLINK("https://creighton-primo.hosted.exlibrisgroup.com/primo-explore/search?tab=default_tab&amp;search_scope=EVERYTHING&amp;vid=01CRU&amp;lang=en_US&amp;offset=0&amp;query=any,contains,991000876349702656","Catalog Record")</f>
        <v>Catalog Record</v>
      </c>
      <c r="AT2667" s="6" t="str">
        <f>HYPERLINK("http://www.worldcat.org/oclc/20994629","WorldCat Record")</f>
        <v>WorldCat Record</v>
      </c>
      <c r="AU2667" s="3" t="s">
        <v>32482</v>
      </c>
      <c r="AV2667" s="3" t="s">
        <v>32483</v>
      </c>
      <c r="AW2667" s="3" t="s">
        <v>32484</v>
      </c>
      <c r="AX2667" s="3" t="s">
        <v>32484</v>
      </c>
      <c r="AY2667" s="3" t="s">
        <v>32485</v>
      </c>
      <c r="AZ2667" s="3" t="s">
        <v>73</v>
      </c>
      <c r="BB2667" s="3" t="s">
        <v>32486</v>
      </c>
      <c r="BC2667" s="3" t="s">
        <v>32487</v>
      </c>
      <c r="BD2667" s="3" t="s">
        <v>32488</v>
      </c>
    </row>
    <row r="2668" spans="1:56" ht="51" customHeight="1" x14ac:dyDescent="0.25">
      <c r="A2668" s="7" t="s">
        <v>58</v>
      </c>
      <c r="B2668" s="2" t="s">
        <v>32489</v>
      </c>
      <c r="C2668" s="2" t="s">
        <v>32490</v>
      </c>
      <c r="D2668" s="2" t="s">
        <v>32491</v>
      </c>
      <c r="F2668" s="3" t="s">
        <v>58</v>
      </c>
      <c r="G2668" s="3" t="s">
        <v>59</v>
      </c>
      <c r="H2668" s="3" t="s">
        <v>58</v>
      </c>
      <c r="I2668" s="3" t="s">
        <v>58</v>
      </c>
      <c r="J2668" s="3" t="s">
        <v>60</v>
      </c>
      <c r="K2668" s="2" t="s">
        <v>32492</v>
      </c>
      <c r="L2668" s="2" t="s">
        <v>32493</v>
      </c>
      <c r="M2668" s="3" t="s">
        <v>2132</v>
      </c>
      <c r="N2668" s="2" t="s">
        <v>2091</v>
      </c>
      <c r="O2668" s="3" t="s">
        <v>63</v>
      </c>
      <c r="P2668" s="3" t="s">
        <v>495</v>
      </c>
      <c r="R2668" s="3" t="s">
        <v>65</v>
      </c>
      <c r="S2668" s="4">
        <v>2</v>
      </c>
      <c r="T2668" s="4">
        <v>2</v>
      </c>
      <c r="U2668" s="5" t="s">
        <v>15185</v>
      </c>
      <c r="V2668" s="5" t="s">
        <v>15185</v>
      </c>
      <c r="W2668" s="5" t="s">
        <v>1329</v>
      </c>
      <c r="X2668" s="5" t="s">
        <v>1329</v>
      </c>
      <c r="Y2668" s="4">
        <v>118</v>
      </c>
      <c r="Z2668" s="4">
        <v>73</v>
      </c>
      <c r="AA2668" s="4">
        <v>1050</v>
      </c>
      <c r="AB2668" s="4">
        <v>2</v>
      </c>
      <c r="AC2668" s="4">
        <v>8</v>
      </c>
      <c r="AD2668" s="4">
        <v>3</v>
      </c>
      <c r="AE2668" s="4">
        <v>43</v>
      </c>
      <c r="AF2668" s="4">
        <v>0</v>
      </c>
      <c r="AG2668" s="4">
        <v>19</v>
      </c>
      <c r="AH2668" s="4">
        <v>1</v>
      </c>
      <c r="AI2668" s="4">
        <v>9</v>
      </c>
      <c r="AJ2668" s="4">
        <v>2</v>
      </c>
      <c r="AK2668" s="4">
        <v>17</v>
      </c>
      <c r="AL2668" s="4">
        <v>1</v>
      </c>
      <c r="AM2668" s="4">
        <v>7</v>
      </c>
      <c r="AN2668" s="4">
        <v>0</v>
      </c>
      <c r="AO2668" s="4">
        <v>0</v>
      </c>
      <c r="AP2668" s="3" t="s">
        <v>58</v>
      </c>
      <c r="AQ2668" s="3" t="s">
        <v>58</v>
      </c>
      <c r="AS2668" s="6" t="str">
        <f>HYPERLINK("https://creighton-primo.hosted.exlibrisgroup.com/primo-explore/search?tab=default_tab&amp;search_scope=EVERYTHING&amp;vid=01CRU&amp;lang=en_US&amp;offset=0&amp;query=any,contains,991001012369702656","Catalog Record")</f>
        <v>Catalog Record</v>
      </c>
      <c r="AT2668" s="6" t="str">
        <f>HYPERLINK("http://www.worldcat.org/oclc/15285559","WorldCat Record")</f>
        <v>WorldCat Record</v>
      </c>
      <c r="AU2668" s="3" t="s">
        <v>32494</v>
      </c>
      <c r="AV2668" s="3" t="s">
        <v>32495</v>
      </c>
      <c r="AW2668" s="3" t="s">
        <v>32496</v>
      </c>
      <c r="AX2668" s="3" t="s">
        <v>32496</v>
      </c>
      <c r="AY2668" s="3" t="s">
        <v>32497</v>
      </c>
      <c r="AZ2668" s="3" t="s">
        <v>73</v>
      </c>
      <c r="BC2668" s="3" t="s">
        <v>32498</v>
      </c>
      <c r="BD2668" s="3" t="s">
        <v>32499</v>
      </c>
    </row>
    <row r="2669" spans="1:56" ht="51" customHeight="1" x14ac:dyDescent="0.25">
      <c r="A2669" s="7" t="s">
        <v>58</v>
      </c>
      <c r="B2669" s="2" t="s">
        <v>32500</v>
      </c>
      <c r="C2669" s="2" t="s">
        <v>32501</v>
      </c>
      <c r="D2669" s="2" t="s">
        <v>32502</v>
      </c>
      <c r="F2669" s="3" t="s">
        <v>58</v>
      </c>
      <c r="G2669" s="3" t="s">
        <v>59</v>
      </c>
      <c r="H2669" s="3" t="s">
        <v>58</v>
      </c>
      <c r="I2669" s="3" t="s">
        <v>58</v>
      </c>
      <c r="J2669" s="3" t="s">
        <v>60</v>
      </c>
      <c r="K2669" s="2" t="s">
        <v>32503</v>
      </c>
      <c r="L2669" s="2" t="s">
        <v>32504</v>
      </c>
      <c r="M2669" s="3" t="s">
        <v>951</v>
      </c>
      <c r="N2669" s="2" t="s">
        <v>27518</v>
      </c>
      <c r="O2669" s="3" t="s">
        <v>63</v>
      </c>
      <c r="P2669" s="3" t="s">
        <v>214</v>
      </c>
      <c r="R2669" s="3" t="s">
        <v>65</v>
      </c>
      <c r="S2669" s="4">
        <v>3</v>
      </c>
      <c r="T2669" s="4">
        <v>3</v>
      </c>
      <c r="U2669" s="5" t="s">
        <v>32505</v>
      </c>
      <c r="V2669" s="5" t="s">
        <v>32505</v>
      </c>
      <c r="W2669" s="5" t="s">
        <v>20647</v>
      </c>
      <c r="X2669" s="5" t="s">
        <v>20647</v>
      </c>
      <c r="Y2669" s="4">
        <v>732</v>
      </c>
      <c r="Z2669" s="4">
        <v>711</v>
      </c>
      <c r="AA2669" s="4">
        <v>830</v>
      </c>
      <c r="AB2669" s="4">
        <v>5</v>
      </c>
      <c r="AC2669" s="4">
        <v>5</v>
      </c>
      <c r="AD2669" s="4">
        <v>9</v>
      </c>
      <c r="AE2669" s="4">
        <v>11</v>
      </c>
      <c r="AF2669" s="4">
        <v>5</v>
      </c>
      <c r="AG2669" s="4">
        <v>5</v>
      </c>
      <c r="AH2669" s="4">
        <v>1</v>
      </c>
      <c r="AI2669" s="4">
        <v>2</v>
      </c>
      <c r="AJ2669" s="4">
        <v>4</v>
      </c>
      <c r="AK2669" s="4">
        <v>6</v>
      </c>
      <c r="AL2669" s="4">
        <v>1</v>
      </c>
      <c r="AM2669" s="4">
        <v>1</v>
      </c>
      <c r="AN2669" s="4">
        <v>0</v>
      </c>
      <c r="AO2669" s="4">
        <v>0</v>
      </c>
      <c r="AP2669" s="3" t="s">
        <v>58</v>
      </c>
      <c r="AQ2669" s="3" t="s">
        <v>58</v>
      </c>
      <c r="AS2669" s="6" t="str">
        <f>HYPERLINK("https://creighton-primo.hosted.exlibrisgroup.com/primo-explore/search?tab=default_tab&amp;search_scope=EVERYTHING&amp;vid=01CRU&amp;lang=en_US&amp;offset=0&amp;query=any,contains,991003729849702656","Catalog Record")</f>
        <v>Catalog Record</v>
      </c>
      <c r="AT2669" s="6" t="str">
        <f>HYPERLINK("http://www.worldcat.org/oclc/45231073","WorldCat Record")</f>
        <v>WorldCat Record</v>
      </c>
      <c r="AU2669" s="3" t="s">
        <v>32506</v>
      </c>
      <c r="AV2669" s="3" t="s">
        <v>32507</v>
      </c>
      <c r="AW2669" s="3" t="s">
        <v>32508</v>
      </c>
      <c r="AX2669" s="3" t="s">
        <v>32508</v>
      </c>
      <c r="AY2669" s="3" t="s">
        <v>32509</v>
      </c>
      <c r="AZ2669" s="3" t="s">
        <v>73</v>
      </c>
      <c r="BB2669" s="3" t="s">
        <v>32510</v>
      </c>
      <c r="BC2669" s="3" t="s">
        <v>32511</v>
      </c>
      <c r="BD2669" s="3" t="s">
        <v>32512</v>
      </c>
    </row>
    <row r="2670" spans="1:56" ht="51" customHeight="1" x14ac:dyDescent="0.25">
      <c r="A2670" s="7" t="s">
        <v>58</v>
      </c>
      <c r="B2670" s="2" t="s">
        <v>32513</v>
      </c>
      <c r="C2670" s="2" t="s">
        <v>32514</v>
      </c>
      <c r="D2670" s="2" t="s">
        <v>32515</v>
      </c>
      <c r="F2670" s="3" t="s">
        <v>58</v>
      </c>
      <c r="G2670" s="3" t="s">
        <v>59</v>
      </c>
      <c r="H2670" s="3" t="s">
        <v>58</v>
      </c>
      <c r="I2670" s="3" t="s">
        <v>58</v>
      </c>
      <c r="J2670" s="3" t="s">
        <v>60</v>
      </c>
      <c r="K2670" s="2" t="s">
        <v>32516</v>
      </c>
      <c r="L2670" s="2" t="s">
        <v>32295</v>
      </c>
      <c r="M2670" s="3" t="s">
        <v>1153</v>
      </c>
      <c r="O2670" s="3" t="s">
        <v>63</v>
      </c>
      <c r="P2670" s="3" t="s">
        <v>510</v>
      </c>
      <c r="R2670" s="3" t="s">
        <v>65</v>
      </c>
      <c r="S2670" s="4">
        <v>3</v>
      </c>
      <c r="T2670" s="4">
        <v>3</v>
      </c>
      <c r="U2670" s="5" t="s">
        <v>32517</v>
      </c>
      <c r="V2670" s="5" t="s">
        <v>32517</v>
      </c>
      <c r="W2670" s="5" t="s">
        <v>1329</v>
      </c>
      <c r="X2670" s="5" t="s">
        <v>1329</v>
      </c>
      <c r="Y2670" s="4">
        <v>75</v>
      </c>
      <c r="Z2670" s="4">
        <v>68</v>
      </c>
      <c r="AA2670" s="4">
        <v>864</v>
      </c>
      <c r="AB2670" s="4">
        <v>1</v>
      </c>
      <c r="AC2670" s="4">
        <v>7</v>
      </c>
      <c r="AD2670" s="4">
        <v>2</v>
      </c>
      <c r="AE2670" s="4">
        <v>34</v>
      </c>
      <c r="AF2670" s="4">
        <v>0</v>
      </c>
      <c r="AG2670" s="4">
        <v>11</v>
      </c>
      <c r="AH2670" s="4">
        <v>1</v>
      </c>
      <c r="AI2670" s="4">
        <v>6</v>
      </c>
      <c r="AJ2670" s="4">
        <v>1</v>
      </c>
      <c r="AK2670" s="4">
        <v>19</v>
      </c>
      <c r="AL2670" s="4">
        <v>0</v>
      </c>
      <c r="AM2670" s="4">
        <v>5</v>
      </c>
      <c r="AN2670" s="4">
        <v>0</v>
      </c>
      <c r="AO2670" s="4">
        <v>0</v>
      </c>
      <c r="AP2670" s="3" t="s">
        <v>58</v>
      </c>
      <c r="AQ2670" s="3" t="s">
        <v>58</v>
      </c>
      <c r="AS2670" s="6" t="str">
        <f>HYPERLINK("https://creighton-primo.hosted.exlibrisgroup.com/primo-explore/search?tab=default_tab&amp;search_scope=EVERYTHING&amp;vid=01CRU&amp;lang=en_US&amp;offset=0&amp;query=any,contains,991002970119702656","Catalog Record")</f>
        <v>Catalog Record</v>
      </c>
      <c r="AT2670" s="6" t="str">
        <f>HYPERLINK("http://www.worldcat.org/oclc/548093","WorldCat Record")</f>
        <v>WorldCat Record</v>
      </c>
      <c r="AU2670" s="3" t="s">
        <v>32518</v>
      </c>
      <c r="AV2670" s="3" t="s">
        <v>32519</v>
      </c>
      <c r="AW2670" s="3" t="s">
        <v>32520</v>
      </c>
      <c r="AX2670" s="3" t="s">
        <v>32520</v>
      </c>
      <c r="AY2670" s="3" t="s">
        <v>32521</v>
      </c>
      <c r="AZ2670" s="3" t="s">
        <v>73</v>
      </c>
      <c r="BB2670" s="3" t="s">
        <v>32522</v>
      </c>
      <c r="BC2670" s="3" t="s">
        <v>32523</v>
      </c>
      <c r="BD2670" s="3" t="s">
        <v>32524</v>
      </c>
    </row>
    <row r="2671" spans="1:56" ht="51" customHeight="1" x14ac:dyDescent="0.25">
      <c r="A2671" s="7" t="s">
        <v>58</v>
      </c>
      <c r="B2671" s="2" t="s">
        <v>32525</v>
      </c>
      <c r="C2671" s="2" t="s">
        <v>32526</v>
      </c>
      <c r="D2671" s="2" t="s">
        <v>32527</v>
      </c>
      <c r="F2671" s="3" t="s">
        <v>58</v>
      </c>
      <c r="G2671" s="3" t="s">
        <v>59</v>
      </c>
      <c r="H2671" s="3" t="s">
        <v>58</v>
      </c>
      <c r="I2671" s="3" t="s">
        <v>58</v>
      </c>
      <c r="J2671" s="3" t="s">
        <v>60</v>
      </c>
      <c r="K2671" s="2" t="s">
        <v>32528</v>
      </c>
      <c r="L2671" s="2" t="s">
        <v>32529</v>
      </c>
      <c r="M2671" s="3" t="s">
        <v>552</v>
      </c>
      <c r="O2671" s="3" t="s">
        <v>63</v>
      </c>
      <c r="P2671" s="3" t="s">
        <v>816</v>
      </c>
      <c r="R2671" s="3" t="s">
        <v>65</v>
      </c>
      <c r="S2671" s="4">
        <v>6</v>
      </c>
      <c r="T2671" s="4">
        <v>6</v>
      </c>
      <c r="U2671" s="5" t="s">
        <v>32530</v>
      </c>
      <c r="V2671" s="5" t="s">
        <v>32530</v>
      </c>
      <c r="W2671" s="5" t="s">
        <v>21598</v>
      </c>
      <c r="X2671" s="5" t="s">
        <v>21598</v>
      </c>
      <c r="Y2671" s="4">
        <v>302</v>
      </c>
      <c r="Z2671" s="4">
        <v>273</v>
      </c>
      <c r="AA2671" s="4">
        <v>278</v>
      </c>
      <c r="AB2671" s="4">
        <v>6</v>
      </c>
      <c r="AC2671" s="4">
        <v>6</v>
      </c>
      <c r="AD2671" s="4">
        <v>8</v>
      </c>
      <c r="AE2671" s="4">
        <v>8</v>
      </c>
      <c r="AF2671" s="4">
        <v>5</v>
      </c>
      <c r="AG2671" s="4">
        <v>5</v>
      </c>
      <c r="AH2671" s="4">
        <v>0</v>
      </c>
      <c r="AI2671" s="4">
        <v>0</v>
      </c>
      <c r="AJ2671" s="4">
        <v>2</v>
      </c>
      <c r="AK2671" s="4">
        <v>2</v>
      </c>
      <c r="AL2671" s="4">
        <v>2</v>
      </c>
      <c r="AM2671" s="4">
        <v>2</v>
      </c>
      <c r="AN2671" s="4">
        <v>0</v>
      </c>
      <c r="AO2671" s="4">
        <v>0</v>
      </c>
      <c r="AP2671" s="3" t="s">
        <v>58</v>
      </c>
      <c r="AQ2671" s="3" t="s">
        <v>58</v>
      </c>
      <c r="AS2671" s="6" t="str">
        <f>HYPERLINK("https://creighton-primo.hosted.exlibrisgroup.com/primo-explore/search?tab=default_tab&amp;search_scope=EVERYTHING&amp;vid=01CRU&amp;lang=en_US&amp;offset=0&amp;query=any,contains,991001638499702656","Catalog Record")</f>
        <v>Catalog Record</v>
      </c>
      <c r="AT2671" s="6" t="str">
        <f>HYPERLINK("http://www.worldcat.org/oclc/20994221","WorldCat Record")</f>
        <v>WorldCat Record</v>
      </c>
      <c r="AU2671" s="3" t="s">
        <v>32531</v>
      </c>
      <c r="AV2671" s="3" t="s">
        <v>32532</v>
      </c>
      <c r="AW2671" s="3" t="s">
        <v>32533</v>
      </c>
      <c r="AX2671" s="3" t="s">
        <v>32533</v>
      </c>
      <c r="AY2671" s="3" t="s">
        <v>32534</v>
      </c>
      <c r="AZ2671" s="3" t="s">
        <v>73</v>
      </c>
      <c r="BB2671" s="3" t="s">
        <v>32535</v>
      </c>
      <c r="BC2671" s="3" t="s">
        <v>32536</v>
      </c>
      <c r="BD2671" s="3" t="s">
        <v>32537</v>
      </c>
    </row>
    <row r="2672" spans="1:56" ht="51" customHeight="1" x14ac:dyDescent="0.25">
      <c r="A2672" s="7" t="s">
        <v>58</v>
      </c>
      <c r="B2672" s="2" t="s">
        <v>32538</v>
      </c>
      <c r="C2672" s="2" t="s">
        <v>32539</v>
      </c>
      <c r="D2672" s="2" t="s">
        <v>32540</v>
      </c>
      <c r="F2672" s="3" t="s">
        <v>58</v>
      </c>
      <c r="G2672" s="3" t="s">
        <v>59</v>
      </c>
      <c r="H2672" s="3" t="s">
        <v>58</v>
      </c>
      <c r="I2672" s="3" t="s">
        <v>58</v>
      </c>
      <c r="J2672" s="3" t="s">
        <v>60</v>
      </c>
      <c r="K2672" s="2" t="s">
        <v>32541</v>
      </c>
      <c r="L2672" s="2" t="s">
        <v>18193</v>
      </c>
      <c r="M2672" s="3" t="s">
        <v>423</v>
      </c>
      <c r="O2672" s="3" t="s">
        <v>63</v>
      </c>
      <c r="P2672" s="3" t="s">
        <v>510</v>
      </c>
      <c r="Q2672" s="2" t="s">
        <v>32542</v>
      </c>
      <c r="R2672" s="3" t="s">
        <v>65</v>
      </c>
      <c r="S2672" s="4">
        <v>3</v>
      </c>
      <c r="T2672" s="4">
        <v>3</v>
      </c>
      <c r="U2672" s="5" t="s">
        <v>4633</v>
      </c>
      <c r="V2672" s="5" t="s">
        <v>4633</v>
      </c>
      <c r="W2672" s="5" t="s">
        <v>157</v>
      </c>
      <c r="X2672" s="5" t="s">
        <v>157</v>
      </c>
      <c r="Y2672" s="4">
        <v>260</v>
      </c>
      <c r="Z2672" s="4">
        <v>208</v>
      </c>
      <c r="AA2672" s="4">
        <v>212</v>
      </c>
      <c r="AB2672" s="4">
        <v>2</v>
      </c>
      <c r="AC2672" s="4">
        <v>2</v>
      </c>
      <c r="AD2672" s="4">
        <v>11</v>
      </c>
      <c r="AE2672" s="4">
        <v>11</v>
      </c>
      <c r="AF2672" s="4">
        <v>3</v>
      </c>
      <c r="AG2672" s="4">
        <v>3</v>
      </c>
      <c r="AH2672" s="4">
        <v>3</v>
      </c>
      <c r="AI2672" s="4">
        <v>3</v>
      </c>
      <c r="AJ2672" s="4">
        <v>7</v>
      </c>
      <c r="AK2672" s="4">
        <v>7</v>
      </c>
      <c r="AL2672" s="4">
        <v>1</v>
      </c>
      <c r="AM2672" s="4">
        <v>1</v>
      </c>
      <c r="AN2672" s="4">
        <v>0</v>
      </c>
      <c r="AO2672" s="4">
        <v>0</v>
      </c>
      <c r="AP2672" s="3" t="s">
        <v>58</v>
      </c>
      <c r="AQ2672" s="3" t="s">
        <v>58</v>
      </c>
      <c r="AS2672" s="6" t="str">
        <f>HYPERLINK("https://creighton-primo.hosted.exlibrisgroup.com/primo-explore/search?tab=default_tab&amp;search_scope=EVERYTHING&amp;vid=01CRU&amp;lang=en_US&amp;offset=0&amp;query=any,contains,991002858839702656","Catalog Record")</f>
        <v>Catalog Record</v>
      </c>
      <c r="AT2672" s="6" t="str">
        <f>HYPERLINK("http://www.worldcat.org/oclc/37675804","WorldCat Record")</f>
        <v>WorldCat Record</v>
      </c>
      <c r="AU2672" s="3" t="s">
        <v>32543</v>
      </c>
      <c r="AV2672" s="3" t="s">
        <v>32544</v>
      </c>
      <c r="AW2672" s="3" t="s">
        <v>32545</v>
      </c>
      <c r="AX2672" s="3" t="s">
        <v>32545</v>
      </c>
      <c r="AY2672" s="3" t="s">
        <v>32546</v>
      </c>
      <c r="AZ2672" s="3" t="s">
        <v>73</v>
      </c>
      <c r="BB2672" s="3" t="s">
        <v>32547</v>
      </c>
      <c r="BC2672" s="3" t="s">
        <v>32548</v>
      </c>
      <c r="BD2672" s="3" t="s">
        <v>32549</v>
      </c>
    </row>
    <row r="2673" spans="1:56" ht="51" customHeight="1" x14ac:dyDescent="0.25">
      <c r="A2673" s="7" t="s">
        <v>58</v>
      </c>
      <c r="B2673" s="2" t="s">
        <v>32550</v>
      </c>
      <c r="C2673" s="2" t="s">
        <v>32551</v>
      </c>
      <c r="D2673" s="2" t="s">
        <v>32552</v>
      </c>
      <c r="F2673" s="3" t="s">
        <v>58</v>
      </c>
      <c r="G2673" s="3" t="s">
        <v>59</v>
      </c>
      <c r="H2673" s="3" t="s">
        <v>58</v>
      </c>
      <c r="I2673" s="3" t="s">
        <v>58</v>
      </c>
      <c r="J2673" s="3" t="s">
        <v>60</v>
      </c>
      <c r="K2673" s="2" t="s">
        <v>32541</v>
      </c>
      <c r="L2673" s="2" t="s">
        <v>32553</v>
      </c>
      <c r="M2673" s="3" t="s">
        <v>951</v>
      </c>
      <c r="O2673" s="3" t="s">
        <v>63</v>
      </c>
      <c r="P2673" s="3" t="s">
        <v>510</v>
      </c>
      <c r="Q2673" s="2" t="s">
        <v>32554</v>
      </c>
      <c r="R2673" s="3" t="s">
        <v>65</v>
      </c>
      <c r="S2673" s="4">
        <v>4</v>
      </c>
      <c r="T2673" s="4">
        <v>4</v>
      </c>
      <c r="U2673" s="5" t="s">
        <v>1302</v>
      </c>
      <c r="V2673" s="5" t="s">
        <v>1302</v>
      </c>
      <c r="W2673" s="5" t="s">
        <v>32555</v>
      </c>
      <c r="X2673" s="5" t="s">
        <v>32555</v>
      </c>
      <c r="Y2673" s="4">
        <v>252</v>
      </c>
      <c r="Z2673" s="4">
        <v>204</v>
      </c>
      <c r="AA2673" s="4">
        <v>216</v>
      </c>
      <c r="AB2673" s="4">
        <v>3</v>
      </c>
      <c r="AC2673" s="4">
        <v>3</v>
      </c>
      <c r="AD2673" s="4">
        <v>11</v>
      </c>
      <c r="AE2673" s="4">
        <v>11</v>
      </c>
      <c r="AF2673" s="4">
        <v>4</v>
      </c>
      <c r="AG2673" s="4">
        <v>4</v>
      </c>
      <c r="AH2673" s="4">
        <v>3</v>
      </c>
      <c r="AI2673" s="4">
        <v>3</v>
      </c>
      <c r="AJ2673" s="4">
        <v>8</v>
      </c>
      <c r="AK2673" s="4">
        <v>8</v>
      </c>
      <c r="AL2673" s="4">
        <v>2</v>
      </c>
      <c r="AM2673" s="4">
        <v>2</v>
      </c>
      <c r="AN2673" s="4">
        <v>0</v>
      </c>
      <c r="AO2673" s="4">
        <v>0</v>
      </c>
      <c r="AP2673" s="3" t="s">
        <v>58</v>
      </c>
      <c r="AQ2673" s="3" t="s">
        <v>68</v>
      </c>
      <c r="AR2673" s="6" t="str">
        <f>HYPERLINK("http://catalog.hathitrust.org/Record/003501235","HathiTrust Record")</f>
        <v>HathiTrust Record</v>
      </c>
      <c r="AS2673" s="6" t="str">
        <f>HYPERLINK("https://creighton-primo.hosted.exlibrisgroup.com/primo-explore/search?tab=default_tab&amp;search_scope=EVERYTHING&amp;vid=01CRU&amp;lang=en_US&amp;offset=0&amp;query=any,contains,991003320219702656","Catalog Record")</f>
        <v>Catalog Record</v>
      </c>
      <c r="AT2673" s="6" t="str">
        <f>HYPERLINK("http://www.worldcat.org/oclc/42772737","WorldCat Record")</f>
        <v>WorldCat Record</v>
      </c>
      <c r="AU2673" s="3" t="s">
        <v>32556</v>
      </c>
      <c r="AV2673" s="3" t="s">
        <v>32557</v>
      </c>
      <c r="AW2673" s="3" t="s">
        <v>32558</v>
      </c>
      <c r="AX2673" s="3" t="s">
        <v>32558</v>
      </c>
      <c r="AY2673" s="3" t="s">
        <v>32559</v>
      </c>
      <c r="AZ2673" s="3" t="s">
        <v>73</v>
      </c>
      <c r="BB2673" s="3" t="s">
        <v>32560</v>
      </c>
      <c r="BC2673" s="3" t="s">
        <v>32561</v>
      </c>
      <c r="BD2673" s="3" t="s">
        <v>32562</v>
      </c>
    </row>
    <row r="2674" spans="1:56" ht="51" customHeight="1" x14ac:dyDescent="0.25">
      <c r="A2674" s="7" t="s">
        <v>58</v>
      </c>
      <c r="B2674" s="2" t="s">
        <v>32563</v>
      </c>
      <c r="C2674" s="2" t="s">
        <v>32564</v>
      </c>
      <c r="D2674" s="2" t="s">
        <v>32565</v>
      </c>
      <c r="F2674" s="3" t="s">
        <v>58</v>
      </c>
      <c r="G2674" s="3" t="s">
        <v>59</v>
      </c>
      <c r="H2674" s="3" t="s">
        <v>58</v>
      </c>
      <c r="I2674" s="3" t="s">
        <v>58</v>
      </c>
      <c r="J2674" s="3" t="s">
        <v>60</v>
      </c>
      <c r="K2674" s="2" t="s">
        <v>32566</v>
      </c>
      <c r="L2674" s="2" t="s">
        <v>32567</v>
      </c>
      <c r="M2674" s="3" t="s">
        <v>397</v>
      </c>
      <c r="O2674" s="3" t="s">
        <v>63</v>
      </c>
      <c r="P2674" s="3" t="s">
        <v>214</v>
      </c>
      <c r="Q2674" s="2" t="s">
        <v>32568</v>
      </c>
      <c r="R2674" s="3" t="s">
        <v>65</v>
      </c>
      <c r="S2674" s="4">
        <v>7</v>
      </c>
      <c r="T2674" s="4">
        <v>7</v>
      </c>
      <c r="U2674" s="5" t="s">
        <v>15185</v>
      </c>
      <c r="V2674" s="5" t="s">
        <v>15185</v>
      </c>
      <c r="W2674" s="5" t="s">
        <v>31579</v>
      </c>
      <c r="X2674" s="5" t="s">
        <v>31579</v>
      </c>
      <c r="Y2674" s="4">
        <v>721</v>
      </c>
      <c r="Z2674" s="4">
        <v>597</v>
      </c>
      <c r="AA2674" s="4">
        <v>742</v>
      </c>
      <c r="AB2674" s="4">
        <v>4</v>
      </c>
      <c r="AC2674" s="4">
        <v>4</v>
      </c>
      <c r="AD2674" s="4">
        <v>24</v>
      </c>
      <c r="AE2674" s="4">
        <v>33</v>
      </c>
      <c r="AF2674" s="4">
        <v>10</v>
      </c>
      <c r="AG2674" s="4">
        <v>15</v>
      </c>
      <c r="AH2674" s="4">
        <v>5</v>
      </c>
      <c r="AI2674" s="4">
        <v>9</v>
      </c>
      <c r="AJ2674" s="4">
        <v>12</v>
      </c>
      <c r="AK2674" s="4">
        <v>16</v>
      </c>
      <c r="AL2674" s="4">
        <v>3</v>
      </c>
      <c r="AM2674" s="4">
        <v>3</v>
      </c>
      <c r="AN2674" s="4">
        <v>0</v>
      </c>
      <c r="AO2674" s="4">
        <v>0</v>
      </c>
      <c r="AP2674" s="3" t="s">
        <v>58</v>
      </c>
      <c r="AQ2674" s="3" t="s">
        <v>68</v>
      </c>
      <c r="AR2674" s="6" t="str">
        <f>HYPERLINK("http://catalog.hathitrust.org/Record/000651789","HathiTrust Record")</f>
        <v>HathiTrust Record</v>
      </c>
      <c r="AS2674" s="6" t="str">
        <f>HYPERLINK("https://creighton-primo.hosted.exlibrisgroup.com/primo-explore/search?tab=default_tab&amp;search_scope=EVERYTHING&amp;vid=01CRU&amp;lang=en_US&amp;offset=0&amp;query=any,contains,991000564739702656","Catalog Record")</f>
        <v>Catalog Record</v>
      </c>
      <c r="AT2674" s="6" t="str">
        <f>HYPERLINK("http://www.worldcat.org/oclc/11621430","WorldCat Record")</f>
        <v>WorldCat Record</v>
      </c>
      <c r="AU2674" s="3" t="s">
        <v>32569</v>
      </c>
      <c r="AV2674" s="3" t="s">
        <v>32570</v>
      </c>
      <c r="AW2674" s="3" t="s">
        <v>32571</v>
      </c>
      <c r="AX2674" s="3" t="s">
        <v>32571</v>
      </c>
      <c r="AY2674" s="3" t="s">
        <v>32572</v>
      </c>
      <c r="AZ2674" s="3" t="s">
        <v>73</v>
      </c>
      <c r="BB2674" s="3" t="s">
        <v>32573</v>
      </c>
      <c r="BC2674" s="3" t="s">
        <v>32574</v>
      </c>
      <c r="BD2674" s="3" t="s">
        <v>32575</v>
      </c>
    </row>
    <row r="2675" spans="1:56" ht="51" customHeight="1" x14ac:dyDescent="0.25">
      <c r="A2675" s="7" t="s">
        <v>58</v>
      </c>
      <c r="B2675" s="2" t="s">
        <v>32576</v>
      </c>
      <c r="C2675" s="2" t="s">
        <v>32577</v>
      </c>
      <c r="D2675" s="2" t="s">
        <v>32578</v>
      </c>
      <c r="F2675" s="3" t="s">
        <v>58</v>
      </c>
      <c r="G2675" s="3" t="s">
        <v>59</v>
      </c>
      <c r="H2675" s="3" t="s">
        <v>58</v>
      </c>
      <c r="I2675" s="3" t="s">
        <v>58</v>
      </c>
      <c r="J2675" s="3" t="s">
        <v>60</v>
      </c>
      <c r="K2675" s="2" t="s">
        <v>32579</v>
      </c>
      <c r="L2675" s="2" t="s">
        <v>32580</v>
      </c>
      <c r="M2675" s="3" t="s">
        <v>231</v>
      </c>
      <c r="O2675" s="3" t="s">
        <v>63</v>
      </c>
      <c r="P2675" s="3" t="s">
        <v>214</v>
      </c>
      <c r="R2675" s="3" t="s">
        <v>65</v>
      </c>
      <c r="S2675" s="4">
        <v>2</v>
      </c>
      <c r="T2675" s="4">
        <v>2</v>
      </c>
      <c r="U2675" s="5" t="s">
        <v>32581</v>
      </c>
      <c r="V2675" s="5" t="s">
        <v>32581</v>
      </c>
      <c r="W2675" s="5" t="s">
        <v>1329</v>
      </c>
      <c r="X2675" s="5" t="s">
        <v>1329</v>
      </c>
      <c r="Y2675" s="4">
        <v>862</v>
      </c>
      <c r="Z2675" s="4">
        <v>770</v>
      </c>
      <c r="AA2675" s="4">
        <v>787</v>
      </c>
      <c r="AB2675" s="4">
        <v>8</v>
      </c>
      <c r="AC2675" s="4">
        <v>8</v>
      </c>
      <c r="AD2675" s="4">
        <v>33</v>
      </c>
      <c r="AE2675" s="4">
        <v>34</v>
      </c>
      <c r="AF2675" s="4">
        <v>15</v>
      </c>
      <c r="AG2675" s="4">
        <v>15</v>
      </c>
      <c r="AH2675" s="4">
        <v>7</v>
      </c>
      <c r="AI2675" s="4">
        <v>7</v>
      </c>
      <c r="AJ2675" s="4">
        <v>13</v>
      </c>
      <c r="AK2675" s="4">
        <v>14</v>
      </c>
      <c r="AL2675" s="4">
        <v>6</v>
      </c>
      <c r="AM2675" s="4">
        <v>6</v>
      </c>
      <c r="AN2675" s="4">
        <v>0</v>
      </c>
      <c r="AO2675" s="4">
        <v>0</v>
      </c>
      <c r="AP2675" s="3" t="s">
        <v>58</v>
      </c>
      <c r="AQ2675" s="3" t="s">
        <v>68</v>
      </c>
      <c r="AR2675" s="6" t="str">
        <f>HYPERLINK("http://catalog.hathitrust.org/Record/001606721","HathiTrust Record")</f>
        <v>HathiTrust Record</v>
      </c>
      <c r="AS2675" s="6" t="str">
        <f>HYPERLINK("https://creighton-primo.hosted.exlibrisgroup.com/primo-explore/search?tab=default_tab&amp;search_scope=EVERYTHING&amp;vid=01CRU&amp;lang=en_US&amp;offset=0&amp;query=any,contains,991002720929702656","Catalog Record")</f>
        <v>Catalog Record</v>
      </c>
      <c r="AT2675" s="6" t="str">
        <f>HYPERLINK("http://www.worldcat.org/oclc/412581","WorldCat Record")</f>
        <v>WorldCat Record</v>
      </c>
      <c r="AU2675" s="3" t="s">
        <v>32582</v>
      </c>
      <c r="AV2675" s="3" t="s">
        <v>32583</v>
      </c>
      <c r="AW2675" s="3" t="s">
        <v>32584</v>
      </c>
      <c r="AX2675" s="3" t="s">
        <v>32584</v>
      </c>
      <c r="AY2675" s="3" t="s">
        <v>32585</v>
      </c>
      <c r="AZ2675" s="3" t="s">
        <v>73</v>
      </c>
      <c r="BC2675" s="3" t="s">
        <v>32586</v>
      </c>
      <c r="BD2675" s="3" t="s">
        <v>32587</v>
      </c>
    </row>
    <row r="2676" spans="1:56" ht="51" customHeight="1" x14ac:dyDescent="0.25">
      <c r="A2676" s="7" t="s">
        <v>58</v>
      </c>
      <c r="B2676" s="2" t="s">
        <v>32588</v>
      </c>
      <c r="C2676" s="2" t="s">
        <v>32589</v>
      </c>
      <c r="D2676" s="2" t="s">
        <v>32590</v>
      </c>
      <c r="F2676" s="3" t="s">
        <v>58</v>
      </c>
      <c r="G2676" s="3" t="s">
        <v>59</v>
      </c>
      <c r="H2676" s="3" t="s">
        <v>58</v>
      </c>
      <c r="I2676" s="3" t="s">
        <v>58</v>
      </c>
      <c r="J2676" s="3" t="s">
        <v>60</v>
      </c>
      <c r="L2676" s="2" t="s">
        <v>32591</v>
      </c>
      <c r="M2676" s="3" t="s">
        <v>423</v>
      </c>
      <c r="O2676" s="3" t="s">
        <v>63</v>
      </c>
      <c r="P2676" s="3" t="s">
        <v>3109</v>
      </c>
      <c r="R2676" s="3" t="s">
        <v>65</v>
      </c>
      <c r="S2676" s="4">
        <v>1</v>
      </c>
      <c r="T2676" s="4">
        <v>1</v>
      </c>
      <c r="U2676" s="5" t="s">
        <v>19221</v>
      </c>
      <c r="V2676" s="5" t="s">
        <v>19221</v>
      </c>
      <c r="W2676" s="5" t="s">
        <v>19221</v>
      </c>
      <c r="X2676" s="5" t="s">
        <v>19221</v>
      </c>
      <c r="Y2676" s="4">
        <v>160</v>
      </c>
      <c r="Z2676" s="4">
        <v>133</v>
      </c>
      <c r="AA2676" s="4">
        <v>135</v>
      </c>
      <c r="AB2676" s="4">
        <v>2</v>
      </c>
      <c r="AC2676" s="4">
        <v>2</v>
      </c>
      <c r="AD2676" s="4">
        <v>9</v>
      </c>
      <c r="AE2676" s="4">
        <v>9</v>
      </c>
      <c r="AF2676" s="4">
        <v>3</v>
      </c>
      <c r="AG2676" s="4">
        <v>3</v>
      </c>
      <c r="AH2676" s="4">
        <v>3</v>
      </c>
      <c r="AI2676" s="4">
        <v>3</v>
      </c>
      <c r="AJ2676" s="4">
        <v>4</v>
      </c>
      <c r="AK2676" s="4">
        <v>4</v>
      </c>
      <c r="AL2676" s="4">
        <v>1</v>
      </c>
      <c r="AM2676" s="4">
        <v>1</v>
      </c>
      <c r="AN2676" s="4">
        <v>0</v>
      </c>
      <c r="AO2676" s="4">
        <v>0</v>
      </c>
      <c r="AP2676" s="3" t="s">
        <v>58</v>
      </c>
      <c r="AQ2676" s="3" t="s">
        <v>68</v>
      </c>
      <c r="AR2676" s="6" t="str">
        <f>HYPERLINK("http://catalog.hathitrust.org/Record/003987731","HathiTrust Record")</f>
        <v>HathiTrust Record</v>
      </c>
      <c r="AS2676" s="6" t="str">
        <f>HYPERLINK("https://creighton-primo.hosted.exlibrisgroup.com/primo-explore/search?tab=default_tab&amp;search_scope=EVERYTHING&amp;vid=01CRU&amp;lang=en_US&amp;offset=0&amp;query=any,contains,991003520919702656","Catalog Record")</f>
        <v>Catalog Record</v>
      </c>
      <c r="AT2676" s="6" t="str">
        <f>HYPERLINK("http://www.worldcat.org/oclc/38281712","WorldCat Record")</f>
        <v>WorldCat Record</v>
      </c>
      <c r="AU2676" s="3" t="s">
        <v>32592</v>
      </c>
      <c r="AV2676" s="3" t="s">
        <v>32593</v>
      </c>
      <c r="AW2676" s="3" t="s">
        <v>32594</v>
      </c>
      <c r="AX2676" s="3" t="s">
        <v>32594</v>
      </c>
      <c r="AY2676" s="3" t="s">
        <v>32595</v>
      </c>
      <c r="AZ2676" s="3" t="s">
        <v>73</v>
      </c>
      <c r="BB2676" s="3" t="s">
        <v>32596</v>
      </c>
      <c r="BC2676" s="3" t="s">
        <v>32597</v>
      </c>
      <c r="BD2676" s="3" t="s">
        <v>32598</v>
      </c>
    </row>
    <row r="2677" spans="1:56" ht="51" customHeight="1" x14ac:dyDescent="0.25">
      <c r="A2677" s="7" t="s">
        <v>58</v>
      </c>
      <c r="B2677" s="2" t="s">
        <v>32599</v>
      </c>
      <c r="C2677" s="2" t="s">
        <v>32600</v>
      </c>
      <c r="D2677" s="2" t="s">
        <v>32601</v>
      </c>
      <c r="F2677" s="3" t="s">
        <v>58</v>
      </c>
      <c r="G2677" s="3" t="s">
        <v>59</v>
      </c>
      <c r="H2677" s="3" t="s">
        <v>58</v>
      </c>
      <c r="I2677" s="3" t="s">
        <v>58</v>
      </c>
      <c r="J2677" s="3" t="s">
        <v>60</v>
      </c>
      <c r="L2677" s="2" t="s">
        <v>32602</v>
      </c>
      <c r="M2677" s="3" t="s">
        <v>4023</v>
      </c>
      <c r="O2677" s="3" t="s">
        <v>63</v>
      </c>
      <c r="P2677" s="3" t="s">
        <v>1933</v>
      </c>
      <c r="R2677" s="3" t="s">
        <v>65</v>
      </c>
      <c r="S2677" s="4">
        <v>2</v>
      </c>
      <c r="T2677" s="4">
        <v>2</v>
      </c>
      <c r="U2677" s="5" t="s">
        <v>17198</v>
      </c>
      <c r="V2677" s="5" t="s">
        <v>17198</v>
      </c>
      <c r="W2677" s="5" t="s">
        <v>30203</v>
      </c>
      <c r="X2677" s="5" t="s">
        <v>30203</v>
      </c>
      <c r="Y2677" s="4">
        <v>470</v>
      </c>
      <c r="Z2677" s="4">
        <v>387</v>
      </c>
      <c r="AA2677" s="4">
        <v>1049</v>
      </c>
      <c r="AB2677" s="4">
        <v>3</v>
      </c>
      <c r="AC2677" s="4">
        <v>6</v>
      </c>
      <c r="AD2677" s="4">
        <v>20</v>
      </c>
      <c r="AE2677" s="4">
        <v>32</v>
      </c>
      <c r="AF2677" s="4">
        <v>11</v>
      </c>
      <c r="AG2677" s="4">
        <v>17</v>
      </c>
      <c r="AH2677" s="4">
        <v>5</v>
      </c>
      <c r="AI2677" s="4">
        <v>7</v>
      </c>
      <c r="AJ2677" s="4">
        <v>9</v>
      </c>
      <c r="AK2677" s="4">
        <v>14</v>
      </c>
      <c r="AL2677" s="4">
        <v>2</v>
      </c>
      <c r="AM2677" s="4">
        <v>4</v>
      </c>
      <c r="AN2677" s="4">
        <v>0</v>
      </c>
      <c r="AO2677" s="4">
        <v>0</v>
      </c>
      <c r="AP2677" s="3" t="s">
        <v>58</v>
      </c>
      <c r="AQ2677" s="3" t="s">
        <v>68</v>
      </c>
      <c r="AR2677" s="6" t="str">
        <f>HYPERLINK("http://catalog.hathitrust.org/Record/004381561","HathiTrust Record")</f>
        <v>HathiTrust Record</v>
      </c>
      <c r="AS2677" s="6" t="str">
        <f>HYPERLINK("https://creighton-primo.hosted.exlibrisgroup.com/primo-explore/search?tab=default_tab&amp;search_scope=EVERYTHING&amp;vid=01CRU&amp;lang=en_US&amp;offset=0&amp;query=any,contains,991005053639702656","Catalog Record")</f>
        <v>Catalog Record</v>
      </c>
      <c r="AT2677" s="6" t="str">
        <f>HYPERLINK("http://www.worldcat.org/oclc/53375148","WorldCat Record")</f>
        <v>WorldCat Record</v>
      </c>
      <c r="AU2677" s="3" t="s">
        <v>32603</v>
      </c>
      <c r="AV2677" s="3" t="s">
        <v>32604</v>
      </c>
      <c r="AW2677" s="3" t="s">
        <v>32605</v>
      </c>
      <c r="AX2677" s="3" t="s">
        <v>32605</v>
      </c>
      <c r="AY2677" s="3" t="s">
        <v>32606</v>
      </c>
      <c r="AZ2677" s="3" t="s">
        <v>73</v>
      </c>
      <c r="BB2677" s="3" t="s">
        <v>32607</v>
      </c>
      <c r="BC2677" s="3" t="s">
        <v>32608</v>
      </c>
      <c r="BD2677" s="3" t="s">
        <v>32609</v>
      </c>
    </row>
    <row r="2678" spans="1:56" ht="51" customHeight="1" x14ac:dyDescent="0.25">
      <c r="A2678" s="7" t="s">
        <v>58</v>
      </c>
      <c r="B2678" s="2" t="s">
        <v>32610</v>
      </c>
      <c r="C2678" s="2" t="s">
        <v>32611</v>
      </c>
      <c r="D2678" s="2" t="s">
        <v>32612</v>
      </c>
      <c r="F2678" s="3" t="s">
        <v>58</v>
      </c>
      <c r="G2678" s="3" t="s">
        <v>59</v>
      </c>
      <c r="H2678" s="3" t="s">
        <v>58</v>
      </c>
      <c r="I2678" s="3" t="s">
        <v>58</v>
      </c>
      <c r="J2678" s="3" t="s">
        <v>60</v>
      </c>
      <c r="K2678" s="2" t="s">
        <v>32613</v>
      </c>
      <c r="L2678" s="2" t="s">
        <v>12342</v>
      </c>
      <c r="M2678" s="3" t="s">
        <v>524</v>
      </c>
      <c r="O2678" s="3" t="s">
        <v>63</v>
      </c>
      <c r="P2678" s="3" t="s">
        <v>584</v>
      </c>
      <c r="Q2678" s="2" t="s">
        <v>32614</v>
      </c>
      <c r="R2678" s="3" t="s">
        <v>65</v>
      </c>
      <c r="S2678" s="4">
        <v>20</v>
      </c>
      <c r="T2678" s="4">
        <v>20</v>
      </c>
      <c r="U2678" s="5" t="s">
        <v>32615</v>
      </c>
      <c r="V2678" s="5" t="s">
        <v>32615</v>
      </c>
      <c r="W2678" s="5" t="s">
        <v>31579</v>
      </c>
      <c r="X2678" s="5" t="s">
        <v>31579</v>
      </c>
      <c r="Y2678" s="4">
        <v>593</v>
      </c>
      <c r="Z2678" s="4">
        <v>345</v>
      </c>
      <c r="AA2678" s="4">
        <v>466</v>
      </c>
      <c r="AB2678" s="4">
        <v>5</v>
      </c>
      <c r="AC2678" s="4">
        <v>5</v>
      </c>
      <c r="AD2678" s="4">
        <v>20</v>
      </c>
      <c r="AE2678" s="4">
        <v>25</v>
      </c>
      <c r="AF2678" s="4">
        <v>7</v>
      </c>
      <c r="AG2678" s="4">
        <v>9</v>
      </c>
      <c r="AH2678" s="4">
        <v>7</v>
      </c>
      <c r="AI2678" s="4">
        <v>8</v>
      </c>
      <c r="AJ2678" s="4">
        <v>9</v>
      </c>
      <c r="AK2678" s="4">
        <v>13</v>
      </c>
      <c r="AL2678" s="4">
        <v>4</v>
      </c>
      <c r="AM2678" s="4">
        <v>4</v>
      </c>
      <c r="AN2678" s="4">
        <v>0</v>
      </c>
      <c r="AO2678" s="4">
        <v>0</v>
      </c>
      <c r="AP2678" s="3" t="s">
        <v>58</v>
      </c>
      <c r="AQ2678" s="3" t="s">
        <v>68</v>
      </c>
      <c r="AR2678" s="6" t="str">
        <f>HYPERLINK("http://catalog.hathitrust.org/Record/000537973","HathiTrust Record")</f>
        <v>HathiTrust Record</v>
      </c>
      <c r="AS2678" s="6" t="str">
        <f>HYPERLINK("https://creighton-primo.hosted.exlibrisgroup.com/primo-explore/search?tab=default_tab&amp;search_scope=EVERYTHING&amp;vid=01CRU&amp;lang=en_US&amp;offset=0&amp;query=any,contains,991000712119702656","Catalog Record")</f>
        <v>Catalog Record</v>
      </c>
      <c r="AT2678" s="6" t="str">
        <f>HYPERLINK("http://www.worldcat.org/oclc/12585335","WorldCat Record")</f>
        <v>WorldCat Record</v>
      </c>
      <c r="AU2678" s="3" t="s">
        <v>32616</v>
      </c>
      <c r="AV2678" s="3" t="s">
        <v>32617</v>
      </c>
      <c r="AW2678" s="3" t="s">
        <v>32618</v>
      </c>
      <c r="AX2678" s="3" t="s">
        <v>32618</v>
      </c>
      <c r="AY2678" s="3" t="s">
        <v>32619</v>
      </c>
      <c r="AZ2678" s="3" t="s">
        <v>73</v>
      </c>
      <c r="BB2678" s="3" t="s">
        <v>32620</v>
      </c>
      <c r="BC2678" s="3" t="s">
        <v>32621</v>
      </c>
      <c r="BD2678" s="3" t="s">
        <v>32622</v>
      </c>
    </row>
    <row r="2679" spans="1:56" ht="51" customHeight="1" x14ac:dyDescent="0.25">
      <c r="A2679" s="7" t="s">
        <v>58</v>
      </c>
      <c r="B2679" s="2" t="s">
        <v>32623</v>
      </c>
      <c r="C2679" s="2" t="s">
        <v>32624</v>
      </c>
      <c r="D2679" s="2" t="s">
        <v>32625</v>
      </c>
      <c r="F2679" s="3" t="s">
        <v>58</v>
      </c>
      <c r="G2679" s="3" t="s">
        <v>59</v>
      </c>
      <c r="H2679" s="3" t="s">
        <v>58</v>
      </c>
      <c r="I2679" s="3" t="s">
        <v>58</v>
      </c>
      <c r="J2679" s="3" t="s">
        <v>60</v>
      </c>
      <c r="K2679" s="2" t="s">
        <v>32626</v>
      </c>
      <c r="L2679" s="2" t="s">
        <v>32627</v>
      </c>
      <c r="M2679" s="3" t="s">
        <v>353</v>
      </c>
      <c r="N2679" s="2" t="s">
        <v>1009</v>
      </c>
      <c r="O2679" s="3" t="s">
        <v>63</v>
      </c>
      <c r="P2679" s="3" t="s">
        <v>214</v>
      </c>
      <c r="R2679" s="3" t="s">
        <v>65</v>
      </c>
      <c r="S2679" s="4">
        <v>7</v>
      </c>
      <c r="T2679" s="4">
        <v>7</v>
      </c>
      <c r="U2679" s="5" t="s">
        <v>14630</v>
      </c>
      <c r="V2679" s="5" t="s">
        <v>14630</v>
      </c>
      <c r="W2679" s="5" t="s">
        <v>31579</v>
      </c>
      <c r="X2679" s="5" t="s">
        <v>31579</v>
      </c>
      <c r="Y2679" s="4">
        <v>1324</v>
      </c>
      <c r="Z2679" s="4">
        <v>1259</v>
      </c>
      <c r="AA2679" s="4">
        <v>1352</v>
      </c>
      <c r="AB2679" s="4">
        <v>10</v>
      </c>
      <c r="AC2679" s="4">
        <v>11</v>
      </c>
      <c r="AD2679" s="4">
        <v>45</v>
      </c>
      <c r="AE2679" s="4">
        <v>47</v>
      </c>
      <c r="AF2679" s="4">
        <v>19</v>
      </c>
      <c r="AG2679" s="4">
        <v>20</v>
      </c>
      <c r="AH2679" s="4">
        <v>9</v>
      </c>
      <c r="AI2679" s="4">
        <v>9</v>
      </c>
      <c r="AJ2679" s="4">
        <v>20</v>
      </c>
      <c r="AK2679" s="4">
        <v>21</v>
      </c>
      <c r="AL2679" s="4">
        <v>7</v>
      </c>
      <c r="AM2679" s="4">
        <v>8</v>
      </c>
      <c r="AN2679" s="4">
        <v>0</v>
      </c>
      <c r="AO2679" s="4">
        <v>0</v>
      </c>
      <c r="AP2679" s="3" t="s">
        <v>58</v>
      </c>
      <c r="AQ2679" s="3" t="s">
        <v>58</v>
      </c>
      <c r="AS2679" s="6" t="str">
        <f>HYPERLINK("https://creighton-primo.hosted.exlibrisgroup.com/primo-explore/search?tab=default_tab&amp;search_scope=EVERYTHING&amp;vid=01CRU&amp;lang=en_US&amp;offset=0&amp;query=any,contains,991000925939702656","Catalog Record")</f>
        <v>Catalog Record</v>
      </c>
      <c r="AT2679" s="6" t="str">
        <f>HYPERLINK("http://www.worldcat.org/oclc/14240157","WorldCat Record")</f>
        <v>WorldCat Record</v>
      </c>
      <c r="AU2679" s="3" t="s">
        <v>32628</v>
      </c>
      <c r="AV2679" s="3" t="s">
        <v>32629</v>
      </c>
      <c r="AW2679" s="3" t="s">
        <v>32630</v>
      </c>
      <c r="AX2679" s="3" t="s">
        <v>32630</v>
      </c>
      <c r="AY2679" s="3" t="s">
        <v>32631</v>
      </c>
      <c r="AZ2679" s="3" t="s">
        <v>73</v>
      </c>
      <c r="BB2679" s="3" t="s">
        <v>32632</v>
      </c>
      <c r="BC2679" s="3" t="s">
        <v>32633</v>
      </c>
      <c r="BD2679" s="3" t="s">
        <v>32634</v>
      </c>
    </row>
    <row r="2680" spans="1:56" ht="51" customHeight="1" x14ac:dyDescent="0.25">
      <c r="A2680" s="7" t="s">
        <v>58</v>
      </c>
      <c r="B2680" s="2" t="s">
        <v>32635</v>
      </c>
      <c r="C2680" s="2" t="s">
        <v>32636</v>
      </c>
      <c r="D2680" s="2" t="s">
        <v>32637</v>
      </c>
      <c r="E2680" s="3" t="s">
        <v>223</v>
      </c>
      <c r="F2680" s="3" t="s">
        <v>58</v>
      </c>
      <c r="G2680" s="3" t="s">
        <v>59</v>
      </c>
      <c r="H2680" s="3" t="s">
        <v>58</v>
      </c>
      <c r="I2680" s="3" t="s">
        <v>58</v>
      </c>
      <c r="J2680" s="3" t="s">
        <v>60</v>
      </c>
      <c r="K2680" s="2" t="s">
        <v>32638</v>
      </c>
      <c r="M2680" s="3" t="s">
        <v>1153</v>
      </c>
      <c r="O2680" s="3" t="s">
        <v>63</v>
      </c>
      <c r="P2680" s="3" t="s">
        <v>32074</v>
      </c>
      <c r="R2680" s="3" t="s">
        <v>65</v>
      </c>
      <c r="S2680" s="4">
        <v>7</v>
      </c>
      <c r="T2680" s="4">
        <v>7</v>
      </c>
      <c r="U2680" s="5" t="s">
        <v>13840</v>
      </c>
      <c r="V2680" s="5" t="s">
        <v>13840</v>
      </c>
      <c r="W2680" s="5" t="s">
        <v>20223</v>
      </c>
      <c r="X2680" s="5" t="s">
        <v>20223</v>
      </c>
      <c r="Y2680" s="4">
        <v>50</v>
      </c>
      <c r="Z2680" s="4">
        <v>33</v>
      </c>
      <c r="AA2680" s="4">
        <v>34</v>
      </c>
      <c r="AB2680" s="4">
        <v>1</v>
      </c>
      <c r="AC2680" s="4">
        <v>1</v>
      </c>
      <c r="AD2680" s="4">
        <v>1</v>
      </c>
      <c r="AE2680" s="4">
        <v>1</v>
      </c>
      <c r="AF2680" s="4">
        <v>0</v>
      </c>
      <c r="AG2680" s="4">
        <v>0</v>
      </c>
      <c r="AH2680" s="4">
        <v>0</v>
      </c>
      <c r="AI2680" s="4">
        <v>0</v>
      </c>
      <c r="AJ2680" s="4">
        <v>1</v>
      </c>
      <c r="AK2680" s="4">
        <v>1</v>
      </c>
      <c r="AL2680" s="4">
        <v>0</v>
      </c>
      <c r="AM2680" s="4">
        <v>0</v>
      </c>
      <c r="AN2680" s="4">
        <v>0</v>
      </c>
      <c r="AO2680" s="4">
        <v>0</v>
      </c>
      <c r="AP2680" s="3" t="s">
        <v>58</v>
      </c>
      <c r="AQ2680" s="3" t="s">
        <v>68</v>
      </c>
      <c r="AR2680" s="6" t="str">
        <f>HYPERLINK("http://catalog.hathitrust.org/Record/102062917","HathiTrust Record")</f>
        <v>HathiTrust Record</v>
      </c>
      <c r="AS2680" s="6" t="str">
        <f>HYPERLINK("https://creighton-primo.hosted.exlibrisgroup.com/primo-explore/search?tab=default_tab&amp;search_scope=EVERYTHING&amp;vid=01CRU&amp;lang=en_US&amp;offset=0&amp;query=any,contains,991003787319702656","Catalog Record")</f>
        <v>Catalog Record</v>
      </c>
      <c r="AT2680" s="6" t="str">
        <f>HYPERLINK("http://www.worldcat.org/oclc/1502748","WorldCat Record")</f>
        <v>WorldCat Record</v>
      </c>
      <c r="AU2680" s="3" t="s">
        <v>32639</v>
      </c>
      <c r="AV2680" s="3" t="s">
        <v>32640</v>
      </c>
      <c r="AW2680" s="3" t="s">
        <v>32641</v>
      </c>
      <c r="AX2680" s="3" t="s">
        <v>32641</v>
      </c>
      <c r="AY2680" s="3" t="s">
        <v>32642</v>
      </c>
      <c r="AZ2680" s="3" t="s">
        <v>73</v>
      </c>
      <c r="BC2680" s="3" t="s">
        <v>32643</v>
      </c>
      <c r="BD2680" s="3" t="s">
        <v>32644</v>
      </c>
    </row>
    <row r="2681" spans="1:56" ht="51" customHeight="1" x14ac:dyDescent="0.25">
      <c r="A2681" s="7" t="s">
        <v>58</v>
      </c>
      <c r="B2681" s="2" t="s">
        <v>32645</v>
      </c>
      <c r="C2681" s="2" t="s">
        <v>32646</v>
      </c>
      <c r="D2681" s="2" t="s">
        <v>32647</v>
      </c>
      <c r="F2681" s="3" t="s">
        <v>58</v>
      </c>
      <c r="G2681" s="3" t="s">
        <v>59</v>
      </c>
      <c r="H2681" s="3" t="s">
        <v>58</v>
      </c>
      <c r="I2681" s="3" t="s">
        <v>58</v>
      </c>
      <c r="J2681" s="3" t="s">
        <v>60</v>
      </c>
      <c r="L2681" s="2" t="s">
        <v>32648</v>
      </c>
      <c r="M2681" s="3" t="s">
        <v>855</v>
      </c>
      <c r="O2681" s="3" t="s">
        <v>63</v>
      </c>
      <c r="P2681" s="3" t="s">
        <v>411</v>
      </c>
      <c r="Q2681" s="2" t="s">
        <v>32649</v>
      </c>
      <c r="R2681" s="3" t="s">
        <v>65</v>
      </c>
      <c r="S2681" s="4">
        <v>0</v>
      </c>
      <c r="T2681" s="4">
        <v>0</v>
      </c>
      <c r="U2681" s="5" t="s">
        <v>264</v>
      </c>
      <c r="V2681" s="5" t="s">
        <v>264</v>
      </c>
      <c r="W2681" s="5" t="s">
        <v>32650</v>
      </c>
      <c r="X2681" s="5" t="s">
        <v>32650</v>
      </c>
      <c r="Y2681" s="4">
        <v>93</v>
      </c>
      <c r="Z2681" s="4">
        <v>73</v>
      </c>
      <c r="AA2681" s="4">
        <v>75</v>
      </c>
      <c r="AB2681" s="4">
        <v>2</v>
      </c>
      <c r="AC2681" s="4">
        <v>2</v>
      </c>
      <c r="AD2681" s="4">
        <v>4</v>
      </c>
      <c r="AE2681" s="4">
        <v>4</v>
      </c>
      <c r="AF2681" s="4">
        <v>1</v>
      </c>
      <c r="AG2681" s="4">
        <v>1</v>
      </c>
      <c r="AH2681" s="4">
        <v>0</v>
      </c>
      <c r="AI2681" s="4">
        <v>0</v>
      </c>
      <c r="AJ2681" s="4">
        <v>3</v>
      </c>
      <c r="AK2681" s="4">
        <v>3</v>
      </c>
      <c r="AL2681" s="4">
        <v>1</v>
      </c>
      <c r="AM2681" s="4">
        <v>1</v>
      </c>
      <c r="AN2681" s="4">
        <v>0</v>
      </c>
      <c r="AO2681" s="4">
        <v>0</v>
      </c>
      <c r="AP2681" s="3" t="s">
        <v>58</v>
      </c>
      <c r="AQ2681" s="3" t="s">
        <v>68</v>
      </c>
      <c r="AR2681" s="6" t="str">
        <f>HYPERLINK("http://catalog.hathitrust.org/Record/003088436","HathiTrust Record")</f>
        <v>HathiTrust Record</v>
      </c>
      <c r="AS2681" s="6" t="str">
        <f>HYPERLINK("https://creighton-primo.hosted.exlibrisgroup.com/primo-explore/search?tab=default_tab&amp;search_scope=EVERYTHING&amp;vid=01CRU&amp;lang=en_US&amp;offset=0&amp;query=any,contains,991002301869702656","Catalog Record")</f>
        <v>Catalog Record</v>
      </c>
      <c r="AT2681" s="6" t="str">
        <f>HYPERLINK("http://www.worldcat.org/oclc/29863776","WorldCat Record")</f>
        <v>WorldCat Record</v>
      </c>
      <c r="AU2681" s="3" t="s">
        <v>32651</v>
      </c>
      <c r="AV2681" s="3" t="s">
        <v>32652</v>
      </c>
      <c r="AW2681" s="3" t="s">
        <v>32653</v>
      </c>
      <c r="AX2681" s="3" t="s">
        <v>32653</v>
      </c>
      <c r="AY2681" s="3" t="s">
        <v>32654</v>
      </c>
      <c r="AZ2681" s="3" t="s">
        <v>73</v>
      </c>
      <c r="BB2681" s="3" t="s">
        <v>32655</v>
      </c>
      <c r="BC2681" s="3" t="s">
        <v>32656</v>
      </c>
      <c r="BD2681" s="3" t="s">
        <v>32657</v>
      </c>
    </row>
    <row r="2682" spans="1:56" ht="51" customHeight="1" x14ac:dyDescent="0.25">
      <c r="A2682" s="7" t="s">
        <v>58</v>
      </c>
      <c r="B2682" s="2" t="s">
        <v>32658</v>
      </c>
      <c r="C2682" s="2" t="s">
        <v>32659</v>
      </c>
      <c r="D2682" s="2" t="s">
        <v>32660</v>
      </c>
      <c r="F2682" s="3" t="s">
        <v>58</v>
      </c>
      <c r="G2682" s="3" t="s">
        <v>59</v>
      </c>
      <c r="H2682" s="3" t="s">
        <v>58</v>
      </c>
      <c r="I2682" s="3" t="s">
        <v>58</v>
      </c>
      <c r="J2682" s="3" t="s">
        <v>60</v>
      </c>
      <c r="K2682" s="2" t="s">
        <v>32661</v>
      </c>
      <c r="L2682" s="2" t="s">
        <v>32662</v>
      </c>
      <c r="M2682" s="3" t="s">
        <v>1153</v>
      </c>
      <c r="O2682" s="3" t="s">
        <v>63</v>
      </c>
      <c r="P2682" s="3" t="s">
        <v>510</v>
      </c>
      <c r="R2682" s="3" t="s">
        <v>65</v>
      </c>
      <c r="S2682" s="4">
        <v>1</v>
      </c>
      <c r="T2682" s="4">
        <v>1</v>
      </c>
      <c r="U2682" s="5" t="s">
        <v>4816</v>
      </c>
      <c r="V2682" s="5" t="s">
        <v>4816</v>
      </c>
      <c r="W2682" s="5" t="s">
        <v>1329</v>
      </c>
      <c r="X2682" s="5" t="s">
        <v>1329</v>
      </c>
      <c r="Y2682" s="4">
        <v>70</v>
      </c>
      <c r="Z2682" s="4">
        <v>55</v>
      </c>
      <c r="AA2682" s="4">
        <v>57</v>
      </c>
      <c r="AB2682" s="4">
        <v>1</v>
      </c>
      <c r="AC2682" s="4">
        <v>1</v>
      </c>
      <c r="AD2682" s="4">
        <v>0</v>
      </c>
      <c r="AE2682" s="4">
        <v>0</v>
      </c>
      <c r="AF2682" s="4">
        <v>0</v>
      </c>
      <c r="AG2682" s="4">
        <v>0</v>
      </c>
      <c r="AH2682" s="4">
        <v>0</v>
      </c>
      <c r="AI2682" s="4">
        <v>0</v>
      </c>
      <c r="AJ2682" s="4">
        <v>0</v>
      </c>
      <c r="AK2682" s="4">
        <v>0</v>
      </c>
      <c r="AL2682" s="4">
        <v>0</v>
      </c>
      <c r="AM2682" s="4">
        <v>0</v>
      </c>
      <c r="AN2682" s="4">
        <v>0</v>
      </c>
      <c r="AO2682" s="4">
        <v>0</v>
      </c>
      <c r="AP2682" s="3" t="s">
        <v>58</v>
      </c>
      <c r="AQ2682" s="3" t="s">
        <v>58</v>
      </c>
      <c r="AS2682" s="6" t="str">
        <f>HYPERLINK("https://creighton-primo.hosted.exlibrisgroup.com/primo-explore/search?tab=default_tab&amp;search_scope=EVERYTHING&amp;vid=01CRU&amp;lang=en_US&amp;offset=0&amp;query=any,contains,991003011199702656","Catalog Record")</f>
        <v>Catalog Record</v>
      </c>
      <c r="AT2682" s="6" t="str">
        <f>HYPERLINK("http://www.worldcat.org/oclc/578009","WorldCat Record")</f>
        <v>WorldCat Record</v>
      </c>
      <c r="AU2682" s="3" t="s">
        <v>32663</v>
      </c>
      <c r="AV2682" s="3" t="s">
        <v>32664</v>
      </c>
      <c r="AW2682" s="3" t="s">
        <v>32665</v>
      </c>
      <c r="AX2682" s="3" t="s">
        <v>32665</v>
      </c>
      <c r="AY2682" s="3" t="s">
        <v>32666</v>
      </c>
      <c r="AZ2682" s="3" t="s">
        <v>73</v>
      </c>
      <c r="BB2682" s="3" t="s">
        <v>32667</v>
      </c>
      <c r="BC2682" s="3" t="s">
        <v>32668</v>
      </c>
      <c r="BD2682" s="3" t="s">
        <v>32669</v>
      </c>
    </row>
    <row r="2683" spans="1:56" ht="51" customHeight="1" x14ac:dyDescent="0.25">
      <c r="A2683" s="7" t="s">
        <v>58</v>
      </c>
      <c r="B2683" s="2" t="s">
        <v>32670</v>
      </c>
      <c r="C2683" s="2" t="s">
        <v>32671</v>
      </c>
      <c r="D2683" s="2" t="s">
        <v>32672</v>
      </c>
      <c r="F2683" s="3" t="s">
        <v>58</v>
      </c>
      <c r="G2683" s="3" t="s">
        <v>59</v>
      </c>
      <c r="H2683" s="3" t="s">
        <v>58</v>
      </c>
      <c r="I2683" s="3" t="s">
        <v>58</v>
      </c>
      <c r="J2683" s="3" t="s">
        <v>60</v>
      </c>
      <c r="K2683" s="2" t="s">
        <v>32673</v>
      </c>
      <c r="L2683" s="2" t="s">
        <v>24709</v>
      </c>
      <c r="M2683" s="3" t="s">
        <v>261</v>
      </c>
      <c r="O2683" s="3" t="s">
        <v>63</v>
      </c>
      <c r="P2683" s="3" t="s">
        <v>214</v>
      </c>
      <c r="R2683" s="3" t="s">
        <v>65</v>
      </c>
      <c r="S2683" s="4">
        <v>3</v>
      </c>
      <c r="T2683" s="4">
        <v>3</v>
      </c>
      <c r="U2683" s="5" t="s">
        <v>13840</v>
      </c>
      <c r="V2683" s="5" t="s">
        <v>13840</v>
      </c>
      <c r="W2683" s="5" t="s">
        <v>32674</v>
      </c>
      <c r="X2683" s="5" t="s">
        <v>32674</v>
      </c>
      <c r="Y2683" s="4">
        <v>599</v>
      </c>
      <c r="Z2683" s="4">
        <v>487</v>
      </c>
      <c r="AA2683" s="4">
        <v>579</v>
      </c>
      <c r="AB2683" s="4">
        <v>5</v>
      </c>
      <c r="AC2683" s="4">
        <v>5</v>
      </c>
      <c r="AD2683" s="4">
        <v>21</v>
      </c>
      <c r="AE2683" s="4">
        <v>23</v>
      </c>
      <c r="AF2683" s="4">
        <v>6</v>
      </c>
      <c r="AG2683" s="4">
        <v>8</v>
      </c>
      <c r="AH2683" s="4">
        <v>6</v>
      </c>
      <c r="AI2683" s="4">
        <v>6</v>
      </c>
      <c r="AJ2683" s="4">
        <v>12</v>
      </c>
      <c r="AK2683" s="4">
        <v>12</v>
      </c>
      <c r="AL2683" s="4">
        <v>4</v>
      </c>
      <c r="AM2683" s="4">
        <v>4</v>
      </c>
      <c r="AN2683" s="4">
        <v>0</v>
      </c>
      <c r="AO2683" s="4">
        <v>0</v>
      </c>
      <c r="AP2683" s="3" t="s">
        <v>58</v>
      </c>
      <c r="AQ2683" s="3" t="s">
        <v>68</v>
      </c>
      <c r="AR2683" s="6" t="str">
        <f>HYPERLINK("http://catalog.hathitrust.org/Record/001606731","HathiTrust Record")</f>
        <v>HathiTrust Record</v>
      </c>
      <c r="AS2683" s="6" t="str">
        <f>HYPERLINK("https://creighton-primo.hosted.exlibrisgroup.com/primo-explore/search?tab=default_tab&amp;search_scope=EVERYTHING&amp;vid=01CRU&amp;lang=en_US&amp;offset=0&amp;query=any,contains,991003747339702656","Catalog Record")</f>
        <v>Catalog Record</v>
      </c>
      <c r="AT2683" s="6" t="str">
        <f>HYPERLINK("http://www.worldcat.org/oclc/1419668","WorldCat Record")</f>
        <v>WorldCat Record</v>
      </c>
      <c r="AU2683" s="3" t="s">
        <v>32675</v>
      </c>
      <c r="AV2683" s="3" t="s">
        <v>32676</v>
      </c>
      <c r="AW2683" s="3" t="s">
        <v>32677</v>
      </c>
      <c r="AX2683" s="3" t="s">
        <v>32677</v>
      </c>
      <c r="AY2683" s="3" t="s">
        <v>32678</v>
      </c>
      <c r="AZ2683" s="3" t="s">
        <v>73</v>
      </c>
      <c r="BB2683" s="3" t="s">
        <v>32679</v>
      </c>
      <c r="BC2683" s="3" t="s">
        <v>32680</v>
      </c>
      <c r="BD2683" s="3" t="s">
        <v>32681</v>
      </c>
    </row>
    <row r="2684" spans="1:56" ht="51" customHeight="1" x14ac:dyDescent="0.25">
      <c r="A2684" s="7" t="s">
        <v>58</v>
      </c>
      <c r="B2684" s="2" t="s">
        <v>32682</v>
      </c>
      <c r="C2684" s="2" t="s">
        <v>32683</v>
      </c>
      <c r="D2684" s="2" t="s">
        <v>32684</v>
      </c>
      <c r="F2684" s="3" t="s">
        <v>58</v>
      </c>
      <c r="G2684" s="3" t="s">
        <v>59</v>
      </c>
      <c r="H2684" s="3" t="s">
        <v>58</v>
      </c>
      <c r="I2684" s="3" t="s">
        <v>58</v>
      </c>
      <c r="J2684" s="3" t="s">
        <v>60</v>
      </c>
      <c r="K2684" s="2" t="s">
        <v>18637</v>
      </c>
      <c r="L2684" s="2" t="s">
        <v>32685</v>
      </c>
      <c r="M2684" s="3" t="s">
        <v>552</v>
      </c>
      <c r="O2684" s="3" t="s">
        <v>63</v>
      </c>
      <c r="P2684" s="3" t="s">
        <v>214</v>
      </c>
      <c r="R2684" s="3" t="s">
        <v>65</v>
      </c>
      <c r="S2684" s="4">
        <v>14</v>
      </c>
      <c r="T2684" s="4">
        <v>14</v>
      </c>
      <c r="U2684" s="5" t="s">
        <v>32396</v>
      </c>
      <c r="V2684" s="5" t="s">
        <v>32396</v>
      </c>
      <c r="W2684" s="5" t="s">
        <v>32686</v>
      </c>
      <c r="X2684" s="5" t="s">
        <v>32686</v>
      </c>
      <c r="Y2684" s="4">
        <v>1324</v>
      </c>
      <c r="Z2684" s="4">
        <v>1240</v>
      </c>
      <c r="AA2684" s="4">
        <v>1253</v>
      </c>
      <c r="AB2684" s="4">
        <v>9</v>
      </c>
      <c r="AC2684" s="4">
        <v>9</v>
      </c>
      <c r="AD2684" s="4">
        <v>35</v>
      </c>
      <c r="AE2684" s="4">
        <v>35</v>
      </c>
      <c r="AF2684" s="4">
        <v>14</v>
      </c>
      <c r="AG2684" s="4">
        <v>14</v>
      </c>
      <c r="AH2684" s="4">
        <v>10</v>
      </c>
      <c r="AI2684" s="4">
        <v>10</v>
      </c>
      <c r="AJ2684" s="4">
        <v>14</v>
      </c>
      <c r="AK2684" s="4">
        <v>14</v>
      </c>
      <c r="AL2684" s="4">
        <v>5</v>
      </c>
      <c r="AM2684" s="4">
        <v>5</v>
      </c>
      <c r="AN2684" s="4">
        <v>0</v>
      </c>
      <c r="AO2684" s="4">
        <v>0</v>
      </c>
      <c r="AP2684" s="3" t="s">
        <v>58</v>
      </c>
      <c r="AQ2684" s="3" t="s">
        <v>58</v>
      </c>
      <c r="AS2684" s="6" t="str">
        <f>HYPERLINK("https://creighton-primo.hosted.exlibrisgroup.com/primo-explore/search?tab=default_tab&amp;search_scope=EVERYTHING&amp;vid=01CRU&amp;lang=en_US&amp;offset=0&amp;query=any,contains,991001490549702656","Catalog Record")</f>
        <v>Catalog Record</v>
      </c>
      <c r="AT2684" s="6" t="str">
        <f>HYPERLINK("http://www.worldcat.org/oclc/19722569","WorldCat Record")</f>
        <v>WorldCat Record</v>
      </c>
      <c r="AU2684" s="3" t="s">
        <v>32687</v>
      </c>
      <c r="AV2684" s="3" t="s">
        <v>32688</v>
      </c>
      <c r="AW2684" s="3" t="s">
        <v>32689</v>
      </c>
      <c r="AX2684" s="3" t="s">
        <v>32689</v>
      </c>
      <c r="AY2684" s="3" t="s">
        <v>32690</v>
      </c>
      <c r="AZ2684" s="3" t="s">
        <v>73</v>
      </c>
      <c r="BB2684" s="3" t="s">
        <v>32691</v>
      </c>
      <c r="BC2684" s="3" t="s">
        <v>32692</v>
      </c>
      <c r="BD2684" s="3" t="s">
        <v>32693</v>
      </c>
    </row>
    <row r="2685" spans="1:56" ht="51" customHeight="1" x14ac:dyDescent="0.25">
      <c r="A2685" s="7" t="s">
        <v>58</v>
      </c>
      <c r="B2685" s="2" t="s">
        <v>32694</v>
      </c>
      <c r="C2685" s="2" t="s">
        <v>32695</v>
      </c>
      <c r="D2685" s="2" t="s">
        <v>32696</v>
      </c>
      <c r="F2685" s="3" t="s">
        <v>58</v>
      </c>
      <c r="G2685" s="3" t="s">
        <v>59</v>
      </c>
      <c r="H2685" s="3" t="s">
        <v>58</v>
      </c>
      <c r="I2685" s="3" t="s">
        <v>58</v>
      </c>
      <c r="J2685" s="3" t="s">
        <v>60</v>
      </c>
      <c r="K2685" s="2" t="s">
        <v>32697</v>
      </c>
      <c r="L2685" s="2" t="s">
        <v>32698</v>
      </c>
      <c r="M2685" s="3" t="s">
        <v>653</v>
      </c>
      <c r="N2685" s="2" t="s">
        <v>338</v>
      </c>
      <c r="O2685" s="3" t="s">
        <v>63</v>
      </c>
      <c r="P2685" s="3" t="s">
        <v>214</v>
      </c>
      <c r="R2685" s="3" t="s">
        <v>65</v>
      </c>
      <c r="S2685" s="4">
        <v>8</v>
      </c>
      <c r="T2685" s="4">
        <v>8</v>
      </c>
      <c r="U2685" s="5" t="s">
        <v>32699</v>
      </c>
      <c r="V2685" s="5" t="s">
        <v>32699</v>
      </c>
      <c r="W2685" s="5" t="s">
        <v>15702</v>
      </c>
      <c r="X2685" s="5" t="s">
        <v>15702</v>
      </c>
      <c r="Y2685" s="4">
        <v>1367</v>
      </c>
      <c r="Z2685" s="4">
        <v>1302</v>
      </c>
      <c r="AA2685" s="4">
        <v>1468</v>
      </c>
      <c r="AB2685" s="4">
        <v>8</v>
      </c>
      <c r="AC2685" s="4">
        <v>10</v>
      </c>
      <c r="AD2685" s="4">
        <v>29</v>
      </c>
      <c r="AE2685" s="4">
        <v>30</v>
      </c>
      <c r="AF2685" s="4">
        <v>13</v>
      </c>
      <c r="AG2685" s="4">
        <v>13</v>
      </c>
      <c r="AH2685" s="4">
        <v>6</v>
      </c>
      <c r="AI2685" s="4">
        <v>6</v>
      </c>
      <c r="AJ2685" s="4">
        <v>15</v>
      </c>
      <c r="AK2685" s="4">
        <v>15</v>
      </c>
      <c r="AL2685" s="4">
        <v>3</v>
      </c>
      <c r="AM2685" s="4">
        <v>4</v>
      </c>
      <c r="AN2685" s="4">
        <v>0</v>
      </c>
      <c r="AO2685" s="4">
        <v>0</v>
      </c>
      <c r="AP2685" s="3" t="s">
        <v>58</v>
      </c>
      <c r="AQ2685" s="3" t="s">
        <v>58</v>
      </c>
      <c r="AS2685" s="6" t="str">
        <f>HYPERLINK("https://creighton-primo.hosted.exlibrisgroup.com/primo-explore/search?tab=default_tab&amp;search_scope=EVERYTHING&amp;vid=01CRU&amp;lang=en_US&amp;offset=0&amp;query=any,contains,991001841139702656","Catalog Record")</f>
        <v>Catalog Record</v>
      </c>
      <c r="AT2685" s="6" t="str">
        <f>HYPERLINK("http://www.worldcat.org/oclc/23140489","WorldCat Record")</f>
        <v>WorldCat Record</v>
      </c>
      <c r="AU2685" s="3" t="s">
        <v>32700</v>
      </c>
      <c r="AV2685" s="3" t="s">
        <v>32701</v>
      </c>
      <c r="AW2685" s="3" t="s">
        <v>32702</v>
      </c>
      <c r="AX2685" s="3" t="s">
        <v>32702</v>
      </c>
      <c r="AY2685" s="3" t="s">
        <v>32703</v>
      </c>
      <c r="AZ2685" s="3" t="s">
        <v>73</v>
      </c>
      <c r="BB2685" s="3" t="s">
        <v>32704</v>
      </c>
      <c r="BC2685" s="3" t="s">
        <v>32705</v>
      </c>
      <c r="BD2685" s="3" t="s">
        <v>32706</v>
      </c>
    </row>
    <row r="2686" spans="1:56" ht="51" customHeight="1" x14ac:dyDescent="0.25">
      <c r="A2686" s="7" t="s">
        <v>58</v>
      </c>
      <c r="B2686" s="2" t="s">
        <v>32707</v>
      </c>
      <c r="C2686" s="2" t="s">
        <v>32708</v>
      </c>
      <c r="D2686" s="2" t="s">
        <v>32709</v>
      </c>
      <c r="F2686" s="3" t="s">
        <v>58</v>
      </c>
      <c r="G2686" s="3" t="s">
        <v>59</v>
      </c>
      <c r="H2686" s="3" t="s">
        <v>58</v>
      </c>
      <c r="I2686" s="3" t="s">
        <v>58</v>
      </c>
      <c r="J2686" s="3" t="s">
        <v>60</v>
      </c>
      <c r="L2686" s="2" t="s">
        <v>32710</v>
      </c>
      <c r="M2686" s="3" t="s">
        <v>1091</v>
      </c>
      <c r="O2686" s="3" t="s">
        <v>63</v>
      </c>
      <c r="P2686" s="3" t="s">
        <v>214</v>
      </c>
      <c r="R2686" s="3" t="s">
        <v>65</v>
      </c>
      <c r="S2686" s="4">
        <v>2</v>
      </c>
      <c r="T2686" s="4">
        <v>2</v>
      </c>
      <c r="U2686" s="5" t="s">
        <v>32711</v>
      </c>
      <c r="V2686" s="5" t="s">
        <v>32711</v>
      </c>
      <c r="W2686" s="5" t="s">
        <v>11149</v>
      </c>
      <c r="X2686" s="5" t="s">
        <v>11149</v>
      </c>
      <c r="Y2686" s="4">
        <v>255</v>
      </c>
      <c r="Z2686" s="4">
        <v>190</v>
      </c>
      <c r="AA2686" s="4">
        <v>407</v>
      </c>
      <c r="AB2686" s="4">
        <v>3</v>
      </c>
      <c r="AC2686" s="4">
        <v>3</v>
      </c>
      <c r="AD2686" s="4">
        <v>9</v>
      </c>
      <c r="AE2686" s="4">
        <v>20</v>
      </c>
      <c r="AF2686" s="4">
        <v>2</v>
      </c>
      <c r="AG2686" s="4">
        <v>10</v>
      </c>
      <c r="AH2686" s="4">
        <v>3</v>
      </c>
      <c r="AI2686" s="4">
        <v>6</v>
      </c>
      <c r="AJ2686" s="4">
        <v>6</v>
      </c>
      <c r="AK2686" s="4">
        <v>8</v>
      </c>
      <c r="AL2686" s="4">
        <v>2</v>
      </c>
      <c r="AM2686" s="4">
        <v>2</v>
      </c>
      <c r="AN2686" s="4">
        <v>0</v>
      </c>
      <c r="AO2686" s="4">
        <v>0</v>
      </c>
      <c r="AP2686" s="3" t="s">
        <v>58</v>
      </c>
      <c r="AQ2686" s="3" t="s">
        <v>68</v>
      </c>
      <c r="AR2686" s="6" t="str">
        <f>HYPERLINK("http://catalog.hathitrust.org/Record/004170468","HathiTrust Record")</f>
        <v>HathiTrust Record</v>
      </c>
      <c r="AS2686" s="6" t="str">
        <f>HYPERLINK("https://creighton-primo.hosted.exlibrisgroup.com/primo-explore/search?tab=default_tab&amp;search_scope=EVERYTHING&amp;vid=01CRU&amp;lang=en_US&amp;offset=0&amp;query=any,contains,991003638049702656","Catalog Record")</f>
        <v>Catalog Record</v>
      </c>
      <c r="AT2686" s="6" t="str">
        <f>HYPERLINK("http://www.worldcat.org/oclc/44683497","WorldCat Record")</f>
        <v>WorldCat Record</v>
      </c>
      <c r="AU2686" s="3" t="s">
        <v>32712</v>
      </c>
      <c r="AV2686" s="3" t="s">
        <v>32713</v>
      </c>
      <c r="AW2686" s="3" t="s">
        <v>32714</v>
      </c>
      <c r="AX2686" s="3" t="s">
        <v>32714</v>
      </c>
      <c r="AY2686" s="3" t="s">
        <v>32715</v>
      </c>
      <c r="AZ2686" s="3" t="s">
        <v>73</v>
      </c>
      <c r="BB2686" s="3" t="s">
        <v>32716</v>
      </c>
      <c r="BC2686" s="3" t="s">
        <v>32717</v>
      </c>
      <c r="BD2686" s="3" t="s">
        <v>32718</v>
      </c>
    </row>
    <row r="2687" spans="1:56" ht="51" customHeight="1" x14ac:dyDescent="0.25">
      <c r="A2687" s="7" t="s">
        <v>58</v>
      </c>
      <c r="B2687" s="2" t="s">
        <v>32719</v>
      </c>
      <c r="C2687" s="2" t="s">
        <v>32720</v>
      </c>
      <c r="D2687" s="2" t="s">
        <v>32721</v>
      </c>
      <c r="F2687" s="3" t="s">
        <v>58</v>
      </c>
      <c r="G2687" s="3" t="s">
        <v>59</v>
      </c>
      <c r="H2687" s="3" t="s">
        <v>58</v>
      </c>
      <c r="I2687" s="3" t="s">
        <v>58</v>
      </c>
      <c r="J2687" s="3" t="s">
        <v>60</v>
      </c>
      <c r="L2687" s="2" t="s">
        <v>32722</v>
      </c>
      <c r="M2687" s="3" t="s">
        <v>1153</v>
      </c>
      <c r="O2687" s="3" t="s">
        <v>63</v>
      </c>
      <c r="P2687" s="3" t="s">
        <v>32074</v>
      </c>
      <c r="R2687" s="3" t="s">
        <v>65</v>
      </c>
      <c r="S2687" s="4">
        <v>7</v>
      </c>
      <c r="T2687" s="4">
        <v>7</v>
      </c>
      <c r="U2687" s="5" t="s">
        <v>32481</v>
      </c>
      <c r="V2687" s="5" t="s">
        <v>32481</v>
      </c>
      <c r="W2687" s="5" t="s">
        <v>32723</v>
      </c>
      <c r="X2687" s="5" t="s">
        <v>32723</v>
      </c>
      <c r="Y2687" s="4">
        <v>61</v>
      </c>
      <c r="Z2687" s="4">
        <v>39</v>
      </c>
      <c r="AA2687" s="4">
        <v>39</v>
      </c>
      <c r="AB2687" s="4">
        <v>2</v>
      </c>
      <c r="AC2687" s="4">
        <v>2</v>
      </c>
      <c r="AD2687" s="4">
        <v>5</v>
      </c>
      <c r="AE2687" s="4">
        <v>5</v>
      </c>
      <c r="AF2687" s="4">
        <v>1</v>
      </c>
      <c r="AG2687" s="4">
        <v>1</v>
      </c>
      <c r="AH2687" s="4">
        <v>2</v>
      </c>
      <c r="AI2687" s="4">
        <v>2</v>
      </c>
      <c r="AJ2687" s="4">
        <v>3</v>
      </c>
      <c r="AK2687" s="4">
        <v>3</v>
      </c>
      <c r="AL2687" s="4">
        <v>1</v>
      </c>
      <c r="AM2687" s="4">
        <v>1</v>
      </c>
      <c r="AN2687" s="4">
        <v>0</v>
      </c>
      <c r="AO2687" s="4">
        <v>0</v>
      </c>
      <c r="AP2687" s="3" t="s">
        <v>58</v>
      </c>
      <c r="AQ2687" s="3" t="s">
        <v>58</v>
      </c>
      <c r="AS2687" s="6" t="str">
        <f>HYPERLINK("https://creighton-primo.hosted.exlibrisgroup.com/primo-explore/search?tab=default_tab&amp;search_scope=EVERYTHING&amp;vid=01CRU&amp;lang=en_US&amp;offset=0&amp;query=any,contains,991003398449702656","Catalog Record")</f>
        <v>Catalog Record</v>
      </c>
      <c r="AT2687" s="6" t="str">
        <f>HYPERLINK("http://www.worldcat.org/oclc/937651","WorldCat Record")</f>
        <v>WorldCat Record</v>
      </c>
      <c r="AU2687" s="3" t="s">
        <v>32724</v>
      </c>
      <c r="AV2687" s="3" t="s">
        <v>32725</v>
      </c>
      <c r="AW2687" s="3" t="s">
        <v>32726</v>
      </c>
      <c r="AX2687" s="3" t="s">
        <v>32726</v>
      </c>
      <c r="AY2687" s="3" t="s">
        <v>32727</v>
      </c>
      <c r="AZ2687" s="3" t="s">
        <v>73</v>
      </c>
      <c r="BC2687" s="3" t="s">
        <v>32728</v>
      </c>
      <c r="BD2687" s="3" t="s">
        <v>32729</v>
      </c>
    </row>
    <row r="2688" spans="1:56" ht="51" customHeight="1" x14ac:dyDescent="0.25">
      <c r="A2688" s="7" t="s">
        <v>58</v>
      </c>
      <c r="B2688" s="2" t="s">
        <v>32730</v>
      </c>
      <c r="C2688" s="2" t="s">
        <v>32731</v>
      </c>
      <c r="D2688" s="2" t="s">
        <v>32732</v>
      </c>
      <c r="F2688" s="3" t="s">
        <v>58</v>
      </c>
      <c r="G2688" s="3" t="s">
        <v>59</v>
      </c>
      <c r="H2688" s="3" t="s">
        <v>58</v>
      </c>
      <c r="I2688" s="3" t="s">
        <v>58</v>
      </c>
      <c r="J2688" s="3" t="s">
        <v>60</v>
      </c>
      <c r="K2688" s="2" t="s">
        <v>32733</v>
      </c>
      <c r="L2688" s="2" t="s">
        <v>32734</v>
      </c>
      <c r="M2688" s="3" t="s">
        <v>2295</v>
      </c>
      <c r="N2688" s="2" t="s">
        <v>32735</v>
      </c>
      <c r="O2688" s="3" t="s">
        <v>63</v>
      </c>
      <c r="P2688" s="3" t="s">
        <v>816</v>
      </c>
      <c r="R2688" s="3" t="s">
        <v>65</v>
      </c>
      <c r="S2688" s="4">
        <v>4</v>
      </c>
      <c r="T2688" s="4">
        <v>4</v>
      </c>
      <c r="U2688" s="5" t="s">
        <v>32736</v>
      </c>
      <c r="V2688" s="5" t="s">
        <v>32736</v>
      </c>
      <c r="W2688" s="5" t="s">
        <v>2243</v>
      </c>
      <c r="X2688" s="5" t="s">
        <v>2243</v>
      </c>
      <c r="Y2688" s="4">
        <v>93</v>
      </c>
      <c r="Z2688" s="4">
        <v>78</v>
      </c>
      <c r="AA2688" s="4">
        <v>422</v>
      </c>
      <c r="AB2688" s="4">
        <v>2</v>
      </c>
      <c r="AC2688" s="4">
        <v>5</v>
      </c>
      <c r="AD2688" s="4">
        <v>3</v>
      </c>
      <c r="AE2688" s="4">
        <v>9</v>
      </c>
      <c r="AF2688" s="4">
        <v>3</v>
      </c>
      <c r="AG2688" s="4">
        <v>3</v>
      </c>
      <c r="AH2688" s="4">
        <v>0</v>
      </c>
      <c r="AI2688" s="4">
        <v>2</v>
      </c>
      <c r="AJ2688" s="4">
        <v>2</v>
      </c>
      <c r="AK2688" s="4">
        <v>6</v>
      </c>
      <c r="AL2688" s="4">
        <v>0</v>
      </c>
      <c r="AM2688" s="4">
        <v>2</v>
      </c>
      <c r="AN2688" s="4">
        <v>0</v>
      </c>
      <c r="AO2688" s="4">
        <v>0</v>
      </c>
      <c r="AP2688" s="3" t="s">
        <v>58</v>
      </c>
      <c r="AQ2688" s="3" t="s">
        <v>58</v>
      </c>
      <c r="AS2688" s="6" t="str">
        <f>HYPERLINK("https://creighton-primo.hosted.exlibrisgroup.com/primo-explore/search?tab=default_tab&amp;search_scope=EVERYTHING&amp;vid=01CRU&amp;lang=en_US&amp;offset=0&amp;query=any,contains,991004164789702656","Catalog Record")</f>
        <v>Catalog Record</v>
      </c>
      <c r="AT2688" s="6" t="str">
        <f>HYPERLINK("http://www.worldcat.org/oclc/51668369","WorldCat Record")</f>
        <v>WorldCat Record</v>
      </c>
      <c r="AU2688" s="3" t="s">
        <v>32737</v>
      </c>
      <c r="AV2688" s="3" t="s">
        <v>32738</v>
      </c>
      <c r="AW2688" s="3" t="s">
        <v>32739</v>
      </c>
      <c r="AX2688" s="3" t="s">
        <v>32739</v>
      </c>
      <c r="AY2688" s="3" t="s">
        <v>32740</v>
      </c>
      <c r="AZ2688" s="3" t="s">
        <v>73</v>
      </c>
      <c r="BB2688" s="3" t="s">
        <v>32741</v>
      </c>
      <c r="BC2688" s="3" t="s">
        <v>32742</v>
      </c>
      <c r="BD2688" s="3" t="s">
        <v>32743</v>
      </c>
    </row>
    <row r="2689" spans="1:56" ht="51" customHeight="1" x14ac:dyDescent="0.25">
      <c r="A2689" s="7" t="s">
        <v>58</v>
      </c>
      <c r="B2689" s="2" t="s">
        <v>32744</v>
      </c>
      <c r="C2689" s="2" t="s">
        <v>32745</v>
      </c>
      <c r="D2689" s="2" t="s">
        <v>32746</v>
      </c>
      <c r="F2689" s="3" t="s">
        <v>58</v>
      </c>
      <c r="G2689" s="3" t="s">
        <v>59</v>
      </c>
      <c r="H2689" s="3" t="s">
        <v>58</v>
      </c>
      <c r="I2689" s="3" t="s">
        <v>58</v>
      </c>
      <c r="J2689" s="3" t="s">
        <v>60</v>
      </c>
      <c r="K2689" s="2" t="s">
        <v>32747</v>
      </c>
      <c r="L2689" s="2" t="s">
        <v>32748</v>
      </c>
      <c r="M2689" s="3" t="s">
        <v>1357</v>
      </c>
      <c r="O2689" s="3" t="s">
        <v>63</v>
      </c>
      <c r="P2689" s="3" t="s">
        <v>510</v>
      </c>
      <c r="R2689" s="3" t="s">
        <v>65</v>
      </c>
      <c r="S2689" s="4">
        <v>2</v>
      </c>
      <c r="T2689" s="4">
        <v>2</v>
      </c>
      <c r="U2689" s="5" t="s">
        <v>32749</v>
      </c>
      <c r="V2689" s="5" t="s">
        <v>32749</v>
      </c>
      <c r="W2689" s="5" t="s">
        <v>32750</v>
      </c>
      <c r="X2689" s="5" t="s">
        <v>32750</v>
      </c>
      <c r="Y2689" s="4">
        <v>234</v>
      </c>
      <c r="Z2689" s="4">
        <v>203</v>
      </c>
      <c r="AA2689" s="4">
        <v>1022</v>
      </c>
      <c r="AB2689" s="4">
        <v>2</v>
      </c>
      <c r="AC2689" s="4">
        <v>8</v>
      </c>
      <c r="AD2689" s="4">
        <v>11</v>
      </c>
      <c r="AE2689" s="4">
        <v>40</v>
      </c>
      <c r="AF2689" s="4">
        <v>7</v>
      </c>
      <c r="AG2689" s="4">
        <v>17</v>
      </c>
      <c r="AH2689" s="4">
        <v>2</v>
      </c>
      <c r="AI2689" s="4">
        <v>9</v>
      </c>
      <c r="AJ2689" s="4">
        <v>5</v>
      </c>
      <c r="AK2689" s="4">
        <v>19</v>
      </c>
      <c r="AL2689" s="4">
        <v>1</v>
      </c>
      <c r="AM2689" s="4">
        <v>5</v>
      </c>
      <c r="AN2689" s="4">
        <v>0</v>
      </c>
      <c r="AO2689" s="4">
        <v>0</v>
      </c>
      <c r="AP2689" s="3" t="s">
        <v>58</v>
      </c>
      <c r="AQ2689" s="3" t="s">
        <v>68</v>
      </c>
      <c r="AR2689" s="6" t="str">
        <f>HYPERLINK("http://catalog.hathitrust.org/Record/102068585","HathiTrust Record")</f>
        <v>HathiTrust Record</v>
      </c>
      <c r="AS2689" s="6" t="str">
        <f>HYPERLINK("https://creighton-primo.hosted.exlibrisgroup.com/primo-explore/search?tab=default_tab&amp;search_scope=EVERYTHING&amp;vid=01CRU&amp;lang=en_US&amp;offset=0&amp;query=any,contains,991000312929702656","Catalog Record")</f>
        <v>Catalog Record</v>
      </c>
      <c r="AT2689" s="6" t="str">
        <f>HYPERLINK("http://www.worldcat.org/oclc/69456","WorldCat Record")</f>
        <v>WorldCat Record</v>
      </c>
      <c r="AU2689" s="3" t="s">
        <v>32751</v>
      </c>
      <c r="AV2689" s="3" t="s">
        <v>32752</v>
      </c>
      <c r="AW2689" s="3" t="s">
        <v>32753</v>
      </c>
      <c r="AX2689" s="3" t="s">
        <v>32753</v>
      </c>
      <c r="AY2689" s="3" t="s">
        <v>32754</v>
      </c>
      <c r="AZ2689" s="3" t="s">
        <v>73</v>
      </c>
      <c r="BB2689" s="3" t="s">
        <v>32755</v>
      </c>
      <c r="BC2689" s="3" t="s">
        <v>32756</v>
      </c>
      <c r="BD2689" s="3" t="s">
        <v>32757</v>
      </c>
    </row>
    <row r="2690" spans="1:56" ht="51" customHeight="1" x14ac:dyDescent="0.25">
      <c r="A2690" s="7" t="s">
        <v>58</v>
      </c>
      <c r="B2690" s="2" t="s">
        <v>32758</v>
      </c>
      <c r="C2690" s="2" t="s">
        <v>32759</v>
      </c>
      <c r="D2690" s="2" t="s">
        <v>32760</v>
      </c>
      <c r="F2690" s="3" t="s">
        <v>58</v>
      </c>
      <c r="G2690" s="3" t="s">
        <v>59</v>
      </c>
      <c r="H2690" s="3" t="s">
        <v>58</v>
      </c>
      <c r="I2690" s="3" t="s">
        <v>58</v>
      </c>
      <c r="J2690" s="3" t="s">
        <v>60</v>
      </c>
      <c r="K2690" s="2" t="s">
        <v>32761</v>
      </c>
      <c r="L2690" s="2" t="s">
        <v>32762</v>
      </c>
      <c r="M2690" s="3" t="s">
        <v>996</v>
      </c>
      <c r="O2690" s="3" t="s">
        <v>63</v>
      </c>
      <c r="P2690" s="3" t="s">
        <v>214</v>
      </c>
      <c r="R2690" s="3" t="s">
        <v>65</v>
      </c>
      <c r="S2690" s="4">
        <v>10</v>
      </c>
      <c r="T2690" s="4">
        <v>10</v>
      </c>
      <c r="U2690" s="5" t="s">
        <v>32481</v>
      </c>
      <c r="V2690" s="5" t="s">
        <v>32481</v>
      </c>
      <c r="W2690" s="5" t="s">
        <v>32750</v>
      </c>
      <c r="X2690" s="5" t="s">
        <v>32750</v>
      </c>
      <c r="Y2690" s="4">
        <v>660</v>
      </c>
      <c r="Z2690" s="4">
        <v>601</v>
      </c>
      <c r="AA2690" s="4">
        <v>608</v>
      </c>
      <c r="AB2690" s="4">
        <v>6</v>
      </c>
      <c r="AC2690" s="4">
        <v>6</v>
      </c>
      <c r="AD2690" s="4">
        <v>13</v>
      </c>
      <c r="AE2690" s="4">
        <v>13</v>
      </c>
      <c r="AF2690" s="4">
        <v>4</v>
      </c>
      <c r="AG2690" s="4">
        <v>4</v>
      </c>
      <c r="AH2690" s="4">
        <v>4</v>
      </c>
      <c r="AI2690" s="4">
        <v>4</v>
      </c>
      <c r="AJ2690" s="4">
        <v>5</v>
      </c>
      <c r="AK2690" s="4">
        <v>5</v>
      </c>
      <c r="AL2690" s="4">
        <v>3</v>
      </c>
      <c r="AM2690" s="4">
        <v>3</v>
      </c>
      <c r="AN2690" s="4">
        <v>0</v>
      </c>
      <c r="AO2690" s="4">
        <v>0</v>
      </c>
      <c r="AP2690" s="3" t="s">
        <v>58</v>
      </c>
      <c r="AQ2690" s="3" t="s">
        <v>68</v>
      </c>
      <c r="AR2690" s="6" t="str">
        <f>HYPERLINK("http://catalog.hathitrust.org/Record/001606746","HathiTrust Record")</f>
        <v>HathiTrust Record</v>
      </c>
      <c r="AS2690" s="6" t="str">
        <f>HYPERLINK("https://creighton-primo.hosted.exlibrisgroup.com/primo-explore/search?tab=default_tab&amp;search_scope=EVERYTHING&amp;vid=01CRU&amp;lang=en_US&amp;offset=0&amp;query=any,contains,991002917409702656","Catalog Record")</f>
        <v>Catalog Record</v>
      </c>
      <c r="AT2690" s="6" t="str">
        <f>HYPERLINK("http://www.worldcat.org/oclc/524545","WorldCat Record")</f>
        <v>WorldCat Record</v>
      </c>
      <c r="AU2690" s="3" t="s">
        <v>32763</v>
      </c>
      <c r="AV2690" s="3" t="s">
        <v>32764</v>
      </c>
      <c r="AW2690" s="3" t="s">
        <v>32765</v>
      </c>
      <c r="AX2690" s="3" t="s">
        <v>32765</v>
      </c>
      <c r="AY2690" s="3" t="s">
        <v>32766</v>
      </c>
      <c r="AZ2690" s="3" t="s">
        <v>73</v>
      </c>
      <c r="BB2690" s="3" t="s">
        <v>32767</v>
      </c>
      <c r="BC2690" s="3" t="s">
        <v>32768</v>
      </c>
      <c r="BD2690" s="3" t="s">
        <v>32769</v>
      </c>
    </row>
    <row r="2691" spans="1:56" ht="51" customHeight="1" x14ac:dyDescent="0.25">
      <c r="A2691" s="7" t="s">
        <v>58</v>
      </c>
      <c r="B2691" s="2" t="s">
        <v>32770</v>
      </c>
      <c r="C2691" s="2" t="s">
        <v>32771</v>
      </c>
      <c r="D2691" s="2" t="s">
        <v>32772</v>
      </c>
      <c r="F2691" s="3" t="s">
        <v>58</v>
      </c>
      <c r="G2691" s="3" t="s">
        <v>59</v>
      </c>
      <c r="H2691" s="3" t="s">
        <v>58</v>
      </c>
      <c r="I2691" s="3" t="s">
        <v>58</v>
      </c>
      <c r="J2691" s="3" t="s">
        <v>60</v>
      </c>
      <c r="K2691" s="2" t="s">
        <v>32773</v>
      </c>
      <c r="L2691" s="2" t="s">
        <v>32774</v>
      </c>
      <c r="M2691" s="3" t="s">
        <v>745</v>
      </c>
      <c r="O2691" s="3" t="s">
        <v>63</v>
      </c>
      <c r="P2691" s="3" t="s">
        <v>816</v>
      </c>
      <c r="Q2691" s="2" t="s">
        <v>32775</v>
      </c>
      <c r="R2691" s="3" t="s">
        <v>65</v>
      </c>
      <c r="S2691" s="4">
        <v>2</v>
      </c>
      <c r="T2691" s="4">
        <v>2</v>
      </c>
      <c r="U2691" s="5" t="s">
        <v>32481</v>
      </c>
      <c r="V2691" s="5" t="s">
        <v>32481</v>
      </c>
      <c r="W2691" s="5" t="s">
        <v>1329</v>
      </c>
      <c r="X2691" s="5" t="s">
        <v>1329</v>
      </c>
      <c r="Y2691" s="4">
        <v>652</v>
      </c>
      <c r="Z2691" s="4">
        <v>558</v>
      </c>
      <c r="AA2691" s="4">
        <v>570</v>
      </c>
      <c r="AB2691" s="4">
        <v>5</v>
      </c>
      <c r="AC2691" s="4">
        <v>5</v>
      </c>
      <c r="AD2691" s="4">
        <v>26</v>
      </c>
      <c r="AE2691" s="4">
        <v>27</v>
      </c>
      <c r="AF2691" s="4">
        <v>7</v>
      </c>
      <c r="AG2691" s="4">
        <v>7</v>
      </c>
      <c r="AH2691" s="4">
        <v>5</v>
      </c>
      <c r="AI2691" s="4">
        <v>6</v>
      </c>
      <c r="AJ2691" s="4">
        <v>16</v>
      </c>
      <c r="AK2691" s="4">
        <v>16</v>
      </c>
      <c r="AL2691" s="4">
        <v>4</v>
      </c>
      <c r="AM2691" s="4">
        <v>4</v>
      </c>
      <c r="AN2691" s="4">
        <v>0</v>
      </c>
      <c r="AO2691" s="4">
        <v>0</v>
      </c>
      <c r="AP2691" s="3" t="s">
        <v>58</v>
      </c>
      <c r="AQ2691" s="3" t="s">
        <v>68</v>
      </c>
      <c r="AR2691" s="6" t="str">
        <f>HYPERLINK("http://catalog.hathitrust.org/Record/003091161","HathiTrust Record")</f>
        <v>HathiTrust Record</v>
      </c>
      <c r="AS2691" s="6" t="str">
        <f>HYPERLINK("https://creighton-primo.hosted.exlibrisgroup.com/primo-explore/search?tab=default_tab&amp;search_scope=EVERYTHING&amp;vid=01CRU&amp;lang=en_US&amp;offset=0&amp;query=any,contains,991004170319702656","Catalog Record")</f>
        <v>Catalog Record</v>
      </c>
      <c r="AT2691" s="6" t="str">
        <f>HYPERLINK("http://www.worldcat.org/oclc/2579698","WorldCat Record")</f>
        <v>WorldCat Record</v>
      </c>
      <c r="AU2691" s="3" t="s">
        <v>32776</v>
      </c>
      <c r="AV2691" s="3" t="s">
        <v>32777</v>
      </c>
      <c r="AW2691" s="3" t="s">
        <v>32778</v>
      </c>
      <c r="AX2691" s="3" t="s">
        <v>32778</v>
      </c>
      <c r="AY2691" s="3" t="s">
        <v>32779</v>
      </c>
      <c r="AZ2691" s="3" t="s">
        <v>73</v>
      </c>
      <c r="BC2691" s="3" t="s">
        <v>32780</v>
      </c>
      <c r="BD2691" s="3" t="s">
        <v>32781</v>
      </c>
    </row>
    <row r="2692" spans="1:56" ht="51" customHeight="1" x14ac:dyDescent="0.25">
      <c r="A2692" s="7" t="s">
        <v>58</v>
      </c>
      <c r="B2692" s="2" t="s">
        <v>32782</v>
      </c>
      <c r="C2692" s="2" t="s">
        <v>32783</v>
      </c>
      <c r="D2692" s="2" t="s">
        <v>32784</v>
      </c>
      <c r="F2692" s="3" t="s">
        <v>58</v>
      </c>
      <c r="G2692" s="3" t="s">
        <v>59</v>
      </c>
      <c r="H2692" s="3" t="s">
        <v>58</v>
      </c>
      <c r="I2692" s="3" t="s">
        <v>58</v>
      </c>
      <c r="J2692" s="3" t="s">
        <v>60</v>
      </c>
      <c r="K2692" s="2" t="s">
        <v>32785</v>
      </c>
      <c r="L2692" s="2" t="s">
        <v>32786</v>
      </c>
      <c r="M2692" s="3" t="s">
        <v>2186</v>
      </c>
      <c r="N2692" s="2" t="s">
        <v>338</v>
      </c>
      <c r="O2692" s="3" t="s">
        <v>63</v>
      </c>
      <c r="P2692" s="3" t="s">
        <v>214</v>
      </c>
      <c r="R2692" s="3" t="s">
        <v>65</v>
      </c>
      <c r="S2692" s="4">
        <v>5</v>
      </c>
      <c r="T2692" s="4">
        <v>5</v>
      </c>
      <c r="U2692" s="5" t="s">
        <v>7092</v>
      </c>
      <c r="V2692" s="5" t="s">
        <v>7092</v>
      </c>
      <c r="W2692" s="5" t="s">
        <v>19584</v>
      </c>
      <c r="X2692" s="5" t="s">
        <v>19584</v>
      </c>
      <c r="Y2692" s="4">
        <v>3076</v>
      </c>
      <c r="Z2692" s="4">
        <v>2939</v>
      </c>
      <c r="AA2692" s="4">
        <v>3151</v>
      </c>
      <c r="AB2692" s="4">
        <v>40</v>
      </c>
      <c r="AC2692" s="4">
        <v>41</v>
      </c>
      <c r="AD2692" s="4">
        <v>48</v>
      </c>
      <c r="AE2692" s="4">
        <v>50</v>
      </c>
      <c r="AF2692" s="4">
        <v>21</v>
      </c>
      <c r="AG2692" s="4">
        <v>21</v>
      </c>
      <c r="AH2692" s="4">
        <v>9</v>
      </c>
      <c r="AI2692" s="4">
        <v>9</v>
      </c>
      <c r="AJ2692" s="4">
        <v>19</v>
      </c>
      <c r="AK2692" s="4">
        <v>20</v>
      </c>
      <c r="AL2692" s="4">
        <v>8</v>
      </c>
      <c r="AM2692" s="4">
        <v>9</v>
      </c>
      <c r="AN2692" s="4">
        <v>1</v>
      </c>
      <c r="AO2692" s="4">
        <v>1</v>
      </c>
      <c r="AP2692" s="3" t="s">
        <v>58</v>
      </c>
      <c r="AQ2692" s="3" t="s">
        <v>58</v>
      </c>
      <c r="AS2692" s="6" t="str">
        <f>HYPERLINK("https://creighton-primo.hosted.exlibrisgroup.com/primo-explore/search?tab=default_tab&amp;search_scope=EVERYTHING&amp;vid=01CRU&amp;lang=en_US&amp;offset=0&amp;query=any,contains,991005206969702656","Catalog Record")</f>
        <v>Catalog Record</v>
      </c>
      <c r="AT2692" s="6" t="str">
        <f>HYPERLINK("http://www.worldcat.org/oclc/137324872","WorldCat Record")</f>
        <v>WorldCat Record</v>
      </c>
      <c r="AU2692" s="3" t="s">
        <v>32787</v>
      </c>
      <c r="AV2692" s="3" t="s">
        <v>32788</v>
      </c>
      <c r="AW2692" s="3" t="s">
        <v>32789</v>
      </c>
      <c r="AX2692" s="3" t="s">
        <v>32789</v>
      </c>
      <c r="AY2692" s="3" t="s">
        <v>32790</v>
      </c>
      <c r="AZ2692" s="3" t="s">
        <v>73</v>
      </c>
      <c r="BB2692" s="3" t="s">
        <v>32791</v>
      </c>
      <c r="BC2692" s="3" t="s">
        <v>32792</v>
      </c>
      <c r="BD2692" s="3" t="s">
        <v>32793</v>
      </c>
    </row>
    <row r="2693" spans="1:56" ht="51" customHeight="1" x14ac:dyDescent="0.25">
      <c r="A2693" s="7" t="s">
        <v>58</v>
      </c>
      <c r="B2693" s="2" t="s">
        <v>32794</v>
      </c>
      <c r="C2693" s="2" t="s">
        <v>32795</v>
      </c>
      <c r="D2693" s="2" t="s">
        <v>32796</v>
      </c>
      <c r="F2693" s="3" t="s">
        <v>58</v>
      </c>
      <c r="G2693" s="3" t="s">
        <v>59</v>
      </c>
      <c r="H2693" s="3" t="s">
        <v>58</v>
      </c>
      <c r="I2693" s="3" t="s">
        <v>58</v>
      </c>
      <c r="J2693" s="3" t="s">
        <v>60</v>
      </c>
      <c r="K2693" s="2" t="s">
        <v>32797</v>
      </c>
      <c r="L2693" s="2" t="s">
        <v>32798</v>
      </c>
      <c r="M2693" s="3" t="s">
        <v>524</v>
      </c>
      <c r="N2693" s="2" t="s">
        <v>338</v>
      </c>
      <c r="O2693" s="3" t="s">
        <v>63</v>
      </c>
      <c r="P2693" s="3" t="s">
        <v>495</v>
      </c>
      <c r="R2693" s="3" t="s">
        <v>65</v>
      </c>
      <c r="S2693" s="4">
        <v>11</v>
      </c>
      <c r="T2693" s="4">
        <v>11</v>
      </c>
      <c r="U2693" s="5" t="s">
        <v>32799</v>
      </c>
      <c r="V2693" s="5" t="s">
        <v>32799</v>
      </c>
      <c r="W2693" s="5" t="s">
        <v>32750</v>
      </c>
      <c r="X2693" s="5" t="s">
        <v>32750</v>
      </c>
      <c r="Y2693" s="4">
        <v>785</v>
      </c>
      <c r="Z2693" s="4">
        <v>695</v>
      </c>
      <c r="AA2693" s="4">
        <v>890</v>
      </c>
      <c r="AB2693" s="4">
        <v>4</v>
      </c>
      <c r="AC2693" s="4">
        <v>5</v>
      </c>
      <c r="AD2693" s="4">
        <v>27</v>
      </c>
      <c r="AE2693" s="4">
        <v>33</v>
      </c>
      <c r="AF2693" s="4">
        <v>11</v>
      </c>
      <c r="AG2693" s="4">
        <v>13</v>
      </c>
      <c r="AH2693" s="4">
        <v>7</v>
      </c>
      <c r="AI2693" s="4">
        <v>9</v>
      </c>
      <c r="AJ2693" s="4">
        <v>15</v>
      </c>
      <c r="AK2693" s="4">
        <v>17</v>
      </c>
      <c r="AL2693" s="4">
        <v>3</v>
      </c>
      <c r="AM2693" s="4">
        <v>4</v>
      </c>
      <c r="AN2693" s="4">
        <v>0</v>
      </c>
      <c r="AO2693" s="4">
        <v>0</v>
      </c>
      <c r="AP2693" s="3" t="s">
        <v>58</v>
      </c>
      <c r="AQ2693" s="3" t="s">
        <v>58</v>
      </c>
      <c r="AS2693" s="6" t="str">
        <f>HYPERLINK("https://creighton-primo.hosted.exlibrisgroup.com/primo-explore/search?tab=default_tab&amp;search_scope=EVERYTHING&amp;vid=01CRU&amp;lang=en_US&amp;offset=0&amp;query=any,contains,991000739139702656","Catalog Record")</f>
        <v>Catalog Record</v>
      </c>
      <c r="AT2693" s="6" t="str">
        <f>HYPERLINK("http://www.worldcat.org/oclc/12804982","WorldCat Record")</f>
        <v>WorldCat Record</v>
      </c>
      <c r="AU2693" s="3" t="s">
        <v>32800</v>
      </c>
      <c r="AV2693" s="3" t="s">
        <v>32801</v>
      </c>
      <c r="AW2693" s="3" t="s">
        <v>32802</v>
      </c>
      <c r="AX2693" s="3" t="s">
        <v>32802</v>
      </c>
      <c r="AY2693" s="3" t="s">
        <v>32803</v>
      </c>
      <c r="AZ2693" s="3" t="s">
        <v>73</v>
      </c>
      <c r="BB2693" s="3" t="s">
        <v>32804</v>
      </c>
      <c r="BC2693" s="3" t="s">
        <v>32805</v>
      </c>
      <c r="BD2693" s="3" t="s">
        <v>32806</v>
      </c>
    </row>
    <row r="2694" spans="1:56" ht="51" customHeight="1" x14ac:dyDescent="0.25">
      <c r="A2694" s="7" t="s">
        <v>58</v>
      </c>
      <c r="B2694" s="2" t="s">
        <v>32807</v>
      </c>
      <c r="C2694" s="2" t="s">
        <v>32808</v>
      </c>
      <c r="D2694" s="2" t="s">
        <v>32809</v>
      </c>
      <c r="F2694" s="3" t="s">
        <v>58</v>
      </c>
      <c r="G2694" s="3" t="s">
        <v>59</v>
      </c>
      <c r="H2694" s="3" t="s">
        <v>58</v>
      </c>
      <c r="I2694" s="3" t="s">
        <v>58</v>
      </c>
      <c r="J2694" s="3" t="s">
        <v>60</v>
      </c>
      <c r="K2694" s="2" t="s">
        <v>32810</v>
      </c>
      <c r="L2694" s="2" t="s">
        <v>32811</v>
      </c>
      <c r="M2694" s="3" t="s">
        <v>261</v>
      </c>
      <c r="O2694" s="3" t="s">
        <v>63</v>
      </c>
      <c r="P2694" s="3" t="s">
        <v>6817</v>
      </c>
      <c r="Q2694" s="2" t="s">
        <v>24798</v>
      </c>
      <c r="R2694" s="3" t="s">
        <v>65</v>
      </c>
      <c r="S2694" s="4">
        <v>4</v>
      </c>
      <c r="T2694" s="4">
        <v>4</v>
      </c>
      <c r="U2694" s="5" t="s">
        <v>32517</v>
      </c>
      <c r="V2694" s="5" t="s">
        <v>32517</v>
      </c>
      <c r="W2694" s="5" t="s">
        <v>572</v>
      </c>
      <c r="X2694" s="5" t="s">
        <v>572</v>
      </c>
      <c r="Y2694" s="4">
        <v>506</v>
      </c>
      <c r="Z2694" s="4">
        <v>447</v>
      </c>
      <c r="AA2694" s="4">
        <v>447</v>
      </c>
      <c r="AB2694" s="4">
        <v>3</v>
      </c>
      <c r="AC2694" s="4">
        <v>3</v>
      </c>
      <c r="AD2694" s="4">
        <v>22</v>
      </c>
      <c r="AE2694" s="4">
        <v>22</v>
      </c>
      <c r="AF2694" s="4">
        <v>9</v>
      </c>
      <c r="AG2694" s="4">
        <v>9</v>
      </c>
      <c r="AH2694" s="4">
        <v>5</v>
      </c>
      <c r="AI2694" s="4">
        <v>5</v>
      </c>
      <c r="AJ2694" s="4">
        <v>11</v>
      </c>
      <c r="AK2694" s="4">
        <v>11</v>
      </c>
      <c r="AL2694" s="4">
        <v>2</v>
      </c>
      <c r="AM2694" s="4">
        <v>2</v>
      </c>
      <c r="AN2694" s="4">
        <v>1</v>
      </c>
      <c r="AO2694" s="4">
        <v>1</v>
      </c>
      <c r="AP2694" s="3" t="s">
        <v>58</v>
      </c>
      <c r="AQ2694" s="3" t="s">
        <v>58</v>
      </c>
      <c r="AS2694" s="6" t="str">
        <f>HYPERLINK("https://creighton-primo.hosted.exlibrisgroup.com/primo-explore/search?tab=default_tab&amp;search_scope=EVERYTHING&amp;vid=01CRU&amp;lang=en_US&amp;offset=0&amp;query=any,contains,991003528179702656","Catalog Record")</f>
        <v>Catalog Record</v>
      </c>
      <c r="AT2694" s="6" t="str">
        <f>HYPERLINK("http://www.worldcat.org/oclc/1091788","WorldCat Record")</f>
        <v>WorldCat Record</v>
      </c>
      <c r="AU2694" s="3" t="s">
        <v>32812</v>
      </c>
      <c r="AV2694" s="3" t="s">
        <v>32813</v>
      </c>
      <c r="AW2694" s="3" t="s">
        <v>32814</v>
      </c>
      <c r="AX2694" s="3" t="s">
        <v>32814</v>
      </c>
      <c r="AY2694" s="3" t="s">
        <v>32815</v>
      </c>
      <c r="AZ2694" s="3" t="s">
        <v>73</v>
      </c>
      <c r="BB2694" s="3" t="s">
        <v>32816</v>
      </c>
      <c r="BC2694" s="3" t="s">
        <v>32817</v>
      </c>
      <c r="BD2694" s="3" t="s">
        <v>32818</v>
      </c>
    </row>
    <row r="2695" spans="1:56" ht="51" customHeight="1" x14ac:dyDescent="0.25">
      <c r="A2695" s="7" t="s">
        <v>58</v>
      </c>
      <c r="B2695" s="2" t="s">
        <v>32819</v>
      </c>
      <c r="C2695" s="2" t="s">
        <v>32820</v>
      </c>
      <c r="D2695" s="2" t="s">
        <v>32821</v>
      </c>
      <c r="F2695" s="3" t="s">
        <v>58</v>
      </c>
      <c r="G2695" s="3" t="s">
        <v>59</v>
      </c>
      <c r="H2695" s="3" t="s">
        <v>58</v>
      </c>
      <c r="I2695" s="3" t="s">
        <v>58</v>
      </c>
      <c r="J2695" s="3" t="s">
        <v>60</v>
      </c>
      <c r="K2695" s="2" t="s">
        <v>32822</v>
      </c>
      <c r="L2695" s="2" t="s">
        <v>32823</v>
      </c>
      <c r="M2695" s="3" t="s">
        <v>325</v>
      </c>
      <c r="O2695" s="3" t="s">
        <v>63</v>
      </c>
      <c r="P2695" s="3" t="s">
        <v>816</v>
      </c>
      <c r="R2695" s="3" t="s">
        <v>65</v>
      </c>
      <c r="S2695" s="4">
        <v>1</v>
      </c>
      <c r="T2695" s="4">
        <v>1</v>
      </c>
      <c r="U2695" s="5" t="s">
        <v>32581</v>
      </c>
      <c r="V2695" s="5" t="s">
        <v>32581</v>
      </c>
      <c r="W2695" s="5" t="s">
        <v>572</v>
      </c>
      <c r="X2695" s="5" t="s">
        <v>572</v>
      </c>
      <c r="Y2695" s="4">
        <v>1200</v>
      </c>
      <c r="Z2695" s="4">
        <v>1086</v>
      </c>
      <c r="AA2695" s="4">
        <v>1430</v>
      </c>
      <c r="AB2695" s="4">
        <v>10</v>
      </c>
      <c r="AC2695" s="4">
        <v>13</v>
      </c>
      <c r="AD2695" s="4">
        <v>40</v>
      </c>
      <c r="AE2695" s="4">
        <v>50</v>
      </c>
      <c r="AF2695" s="4">
        <v>18</v>
      </c>
      <c r="AG2695" s="4">
        <v>24</v>
      </c>
      <c r="AH2695" s="4">
        <v>7</v>
      </c>
      <c r="AI2695" s="4">
        <v>8</v>
      </c>
      <c r="AJ2695" s="4">
        <v>17</v>
      </c>
      <c r="AK2695" s="4">
        <v>21</v>
      </c>
      <c r="AL2695" s="4">
        <v>6</v>
      </c>
      <c r="AM2695" s="4">
        <v>8</v>
      </c>
      <c r="AN2695" s="4">
        <v>0</v>
      </c>
      <c r="AO2695" s="4">
        <v>0</v>
      </c>
      <c r="AP2695" s="3" t="s">
        <v>58</v>
      </c>
      <c r="AQ2695" s="3" t="s">
        <v>68</v>
      </c>
      <c r="AR2695" s="6" t="str">
        <f>HYPERLINK("http://catalog.hathitrust.org/Record/001606749","HathiTrust Record")</f>
        <v>HathiTrust Record</v>
      </c>
      <c r="AS2695" s="6" t="str">
        <f>HYPERLINK("https://creighton-primo.hosted.exlibrisgroup.com/primo-explore/search?tab=default_tab&amp;search_scope=EVERYTHING&amp;vid=01CRU&amp;lang=en_US&amp;offset=0&amp;query=any,contains,991002720699702656","Catalog Record")</f>
        <v>Catalog Record</v>
      </c>
      <c r="AT2695" s="6" t="str">
        <f>HYPERLINK("http://www.worldcat.org/oclc/412555","WorldCat Record")</f>
        <v>WorldCat Record</v>
      </c>
      <c r="AU2695" s="3" t="s">
        <v>32824</v>
      </c>
      <c r="AV2695" s="3" t="s">
        <v>32825</v>
      </c>
      <c r="AW2695" s="3" t="s">
        <v>32826</v>
      </c>
      <c r="AX2695" s="3" t="s">
        <v>32826</v>
      </c>
      <c r="AY2695" s="3" t="s">
        <v>32827</v>
      </c>
      <c r="AZ2695" s="3" t="s">
        <v>73</v>
      </c>
      <c r="BC2695" s="3" t="s">
        <v>32828</v>
      </c>
      <c r="BD2695" s="3" t="s">
        <v>32829</v>
      </c>
    </row>
    <row r="2696" spans="1:56" ht="51" customHeight="1" x14ac:dyDescent="0.25">
      <c r="A2696" s="7" t="s">
        <v>58</v>
      </c>
      <c r="B2696" s="2" t="s">
        <v>32830</v>
      </c>
      <c r="C2696" s="2" t="s">
        <v>32831</v>
      </c>
      <c r="D2696" s="2" t="s">
        <v>32832</v>
      </c>
      <c r="F2696" s="3" t="s">
        <v>58</v>
      </c>
      <c r="G2696" s="3" t="s">
        <v>59</v>
      </c>
      <c r="H2696" s="3" t="s">
        <v>58</v>
      </c>
      <c r="I2696" s="3" t="s">
        <v>58</v>
      </c>
      <c r="J2696" s="3" t="s">
        <v>60</v>
      </c>
      <c r="K2696" s="2" t="s">
        <v>32833</v>
      </c>
      <c r="L2696" s="2" t="s">
        <v>32834</v>
      </c>
      <c r="M2696" s="3" t="s">
        <v>337</v>
      </c>
      <c r="O2696" s="3" t="s">
        <v>63</v>
      </c>
      <c r="P2696" s="3" t="s">
        <v>32835</v>
      </c>
      <c r="R2696" s="3" t="s">
        <v>65</v>
      </c>
      <c r="S2696" s="4">
        <v>1</v>
      </c>
      <c r="T2696" s="4">
        <v>1</v>
      </c>
      <c r="U2696" s="5" t="s">
        <v>7661</v>
      </c>
      <c r="V2696" s="5" t="s">
        <v>7661</v>
      </c>
      <c r="W2696" s="5" t="s">
        <v>7661</v>
      </c>
      <c r="X2696" s="5" t="s">
        <v>7661</v>
      </c>
      <c r="Y2696" s="4">
        <v>209</v>
      </c>
      <c r="Z2696" s="4">
        <v>120</v>
      </c>
      <c r="AA2696" s="4">
        <v>778</v>
      </c>
      <c r="AB2696" s="4">
        <v>1</v>
      </c>
      <c r="AC2696" s="4">
        <v>8</v>
      </c>
      <c r="AD2696" s="4">
        <v>5</v>
      </c>
      <c r="AE2696" s="4">
        <v>32</v>
      </c>
      <c r="AF2696" s="4">
        <v>1</v>
      </c>
      <c r="AG2696" s="4">
        <v>10</v>
      </c>
      <c r="AH2696" s="4">
        <v>2</v>
      </c>
      <c r="AI2696" s="4">
        <v>9</v>
      </c>
      <c r="AJ2696" s="4">
        <v>5</v>
      </c>
      <c r="AK2696" s="4">
        <v>12</v>
      </c>
      <c r="AL2696" s="4">
        <v>0</v>
      </c>
      <c r="AM2696" s="4">
        <v>6</v>
      </c>
      <c r="AN2696" s="4">
        <v>0</v>
      </c>
      <c r="AO2696" s="4">
        <v>1</v>
      </c>
      <c r="AP2696" s="3" t="s">
        <v>58</v>
      </c>
      <c r="AQ2696" s="3" t="s">
        <v>58</v>
      </c>
      <c r="AS2696" s="6" t="str">
        <f>HYPERLINK("https://creighton-primo.hosted.exlibrisgroup.com/primo-explore/search?tab=default_tab&amp;search_scope=EVERYTHING&amp;vid=01CRU&amp;lang=en_US&amp;offset=0&amp;query=any,contains,991004242039702656","Catalog Record")</f>
        <v>Catalog Record</v>
      </c>
      <c r="AT2696" s="6" t="str">
        <f>HYPERLINK("http://www.worldcat.org/oclc/49512753","WorldCat Record")</f>
        <v>WorldCat Record</v>
      </c>
      <c r="AU2696" s="3" t="s">
        <v>32836</v>
      </c>
      <c r="AV2696" s="3" t="s">
        <v>32837</v>
      </c>
      <c r="AW2696" s="3" t="s">
        <v>32838</v>
      </c>
      <c r="AX2696" s="3" t="s">
        <v>32838</v>
      </c>
      <c r="AY2696" s="3" t="s">
        <v>32839</v>
      </c>
      <c r="AZ2696" s="3" t="s">
        <v>73</v>
      </c>
      <c r="BB2696" s="3" t="s">
        <v>32840</v>
      </c>
      <c r="BC2696" s="3" t="s">
        <v>32841</v>
      </c>
      <c r="BD2696" s="3" t="s">
        <v>32842</v>
      </c>
    </row>
    <row r="2697" spans="1:56" ht="51" customHeight="1" x14ac:dyDescent="0.25">
      <c r="A2697" s="7" t="s">
        <v>58</v>
      </c>
      <c r="B2697" s="2" t="s">
        <v>32843</v>
      </c>
      <c r="C2697" s="2" t="s">
        <v>32844</v>
      </c>
      <c r="D2697" s="2" t="s">
        <v>32845</v>
      </c>
      <c r="F2697" s="3" t="s">
        <v>58</v>
      </c>
      <c r="G2697" s="3" t="s">
        <v>59</v>
      </c>
      <c r="H2697" s="3" t="s">
        <v>58</v>
      </c>
      <c r="I2697" s="3" t="s">
        <v>58</v>
      </c>
      <c r="J2697" s="3" t="s">
        <v>60</v>
      </c>
      <c r="K2697" s="2" t="s">
        <v>32846</v>
      </c>
      <c r="L2697" s="2" t="s">
        <v>32847</v>
      </c>
      <c r="M2697" s="3" t="s">
        <v>1091</v>
      </c>
      <c r="N2697" s="2" t="s">
        <v>338</v>
      </c>
      <c r="O2697" s="3" t="s">
        <v>63</v>
      </c>
      <c r="P2697" s="3" t="s">
        <v>214</v>
      </c>
      <c r="R2697" s="3" t="s">
        <v>65</v>
      </c>
      <c r="S2697" s="4">
        <v>6</v>
      </c>
      <c r="T2697" s="4">
        <v>6</v>
      </c>
      <c r="U2697" s="5" t="s">
        <v>3903</v>
      </c>
      <c r="V2697" s="5" t="s">
        <v>3903</v>
      </c>
      <c r="W2697" s="5" t="s">
        <v>32848</v>
      </c>
      <c r="X2697" s="5" t="s">
        <v>32848</v>
      </c>
      <c r="Y2697" s="4">
        <v>930</v>
      </c>
      <c r="Z2697" s="4">
        <v>890</v>
      </c>
      <c r="AA2697" s="4">
        <v>899</v>
      </c>
      <c r="AB2697" s="4">
        <v>8</v>
      </c>
      <c r="AC2697" s="4">
        <v>8</v>
      </c>
      <c r="AD2697" s="4">
        <v>24</v>
      </c>
      <c r="AE2697" s="4">
        <v>24</v>
      </c>
      <c r="AF2697" s="4">
        <v>8</v>
      </c>
      <c r="AG2697" s="4">
        <v>8</v>
      </c>
      <c r="AH2697" s="4">
        <v>7</v>
      </c>
      <c r="AI2697" s="4">
        <v>7</v>
      </c>
      <c r="AJ2697" s="4">
        <v>13</v>
      </c>
      <c r="AK2697" s="4">
        <v>13</v>
      </c>
      <c r="AL2697" s="4">
        <v>3</v>
      </c>
      <c r="AM2697" s="4">
        <v>3</v>
      </c>
      <c r="AN2697" s="4">
        <v>0</v>
      </c>
      <c r="AO2697" s="4">
        <v>0</v>
      </c>
      <c r="AP2697" s="3" t="s">
        <v>58</v>
      </c>
      <c r="AQ2697" s="3" t="s">
        <v>58</v>
      </c>
      <c r="AS2697" s="6" t="str">
        <f>HYPERLINK("https://creighton-primo.hosted.exlibrisgroup.com/primo-explore/search?tab=default_tab&amp;search_scope=EVERYTHING&amp;vid=01CRU&amp;lang=en_US&amp;offset=0&amp;query=any,contains,991003970979702656","Catalog Record")</f>
        <v>Catalog Record</v>
      </c>
      <c r="AT2697" s="6" t="str">
        <f>HYPERLINK("http://www.worldcat.org/oclc/46872329","WorldCat Record")</f>
        <v>WorldCat Record</v>
      </c>
      <c r="AU2697" s="3" t="s">
        <v>32849</v>
      </c>
      <c r="AV2697" s="3" t="s">
        <v>32850</v>
      </c>
      <c r="AW2697" s="3" t="s">
        <v>32851</v>
      </c>
      <c r="AX2697" s="3" t="s">
        <v>32851</v>
      </c>
      <c r="AY2697" s="3" t="s">
        <v>32852</v>
      </c>
      <c r="AZ2697" s="3" t="s">
        <v>73</v>
      </c>
      <c r="BB2697" s="3" t="s">
        <v>32853</v>
      </c>
      <c r="BC2697" s="3" t="s">
        <v>32854</v>
      </c>
      <c r="BD2697" s="3" t="s">
        <v>32855</v>
      </c>
    </row>
    <row r="2698" spans="1:56" ht="51" customHeight="1" x14ac:dyDescent="0.25">
      <c r="A2698" s="7" t="s">
        <v>58</v>
      </c>
      <c r="B2698" s="2" t="s">
        <v>32856</v>
      </c>
      <c r="C2698" s="2" t="s">
        <v>32857</v>
      </c>
      <c r="D2698" s="2" t="s">
        <v>32858</v>
      </c>
      <c r="F2698" s="3" t="s">
        <v>58</v>
      </c>
      <c r="G2698" s="3" t="s">
        <v>59</v>
      </c>
      <c r="H2698" s="3" t="s">
        <v>58</v>
      </c>
      <c r="I2698" s="3" t="s">
        <v>58</v>
      </c>
      <c r="J2698" s="3" t="s">
        <v>60</v>
      </c>
      <c r="K2698" s="2" t="s">
        <v>32859</v>
      </c>
      <c r="L2698" s="2" t="s">
        <v>32860</v>
      </c>
      <c r="M2698" s="3" t="s">
        <v>951</v>
      </c>
      <c r="O2698" s="3" t="s">
        <v>63</v>
      </c>
      <c r="P2698" s="3" t="s">
        <v>214</v>
      </c>
      <c r="R2698" s="3" t="s">
        <v>65</v>
      </c>
      <c r="S2698" s="4">
        <v>3</v>
      </c>
      <c r="T2698" s="4">
        <v>3</v>
      </c>
      <c r="U2698" s="5" t="s">
        <v>3903</v>
      </c>
      <c r="V2698" s="5" t="s">
        <v>3903</v>
      </c>
      <c r="W2698" s="5" t="s">
        <v>32861</v>
      </c>
      <c r="X2698" s="5" t="s">
        <v>32861</v>
      </c>
      <c r="Y2698" s="4">
        <v>421</v>
      </c>
      <c r="Z2698" s="4">
        <v>412</v>
      </c>
      <c r="AA2698" s="4">
        <v>1557</v>
      </c>
      <c r="AB2698" s="4">
        <v>4</v>
      </c>
      <c r="AC2698" s="4">
        <v>19</v>
      </c>
      <c r="AD2698" s="4">
        <v>5</v>
      </c>
      <c r="AE2698" s="4">
        <v>19</v>
      </c>
      <c r="AF2698" s="4">
        <v>2</v>
      </c>
      <c r="AG2698" s="4">
        <v>5</v>
      </c>
      <c r="AH2698" s="4">
        <v>1</v>
      </c>
      <c r="AI2698" s="4">
        <v>5</v>
      </c>
      <c r="AJ2698" s="4">
        <v>1</v>
      </c>
      <c r="AK2698" s="4">
        <v>8</v>
      </c>
      <c r="AL2698" s="4">
        <v>1</v>
      </c>
      <c r="AM2698" s="4">
        <v>5</v>
      </c>
      <c r="AN2698" s="4">
        <v>0</v>
      </c>
      <c r="AO2698" s="4">
        <v>0</v>
      </c>
      <c r="AP2698" s="3" t="s">
        <v>58</v>
      </c>
      <c r="AQ2698" s="3" t="s">
        <v>58</v>
      </c>
      <c r="AS2698" s="6" t="str">
        <f>HYPERLINK("https://creighton-primo.hosted.exlibrisgroup.com/primo-explore/search?tab=default_tab&amp;search_scope=EVERYTHING&amp;vid=01CRU&amp;lang=en_US&amp;offset=0&amp;query=any,contains,991003225849702656","Catalog Record")</f>
        <v>Catalog Record</v>
      </c>
      <c r="AT2698" s="6" t="str">
        <f>HYPERLINK("http://www.worldcat.org/oclc/44139882","WorldCat Record")</f>
        <v>WorldCat Record</v>
      </c>
      <c r="AU2698" s="3" t="s">
        <v>32862</v>
      </c>
      <c r="AV2698" s="3" t="s">
        <v>32863</v>
      </c>
      <c r="AW2698" s="3" t="s">
        <v>32864</v>
      </c>
      <c r="AX2698" s="3" t="s">
        <v>32864</v>
      </c>
      <c r="AY2698" s="3" t="s">
        <v>32865</v>
      </c>
      <c r="AZ2698" s="3" t="s">
        <v>73</v>
      </c>
      <c r="BB2698" s="3" t="s">
        <v>32866</v>
      </c>
      <c r="BC2698" s="3" t="s">
        <v>32867</v>
      </c>
      <c r="BD2698" s="3" t="s">
        <v>32868</v>
      </c>
    </row>
    <row r="2699" spans="1:56" ht="51" customHeight="1" x14ac:dyDescent="0.25">
      <c r="A2699" s="7" t="s">
        <v>58</v>
      </c>
      <c r="B2699" s="2" t="s">
        <v>32869</v>
      </c>
      <c r="C2699" s="2" t="s">
        <v>32870</v>
      </c>
      <c r="D2699" s="2" t="s">
        <v>32871</v>
      </c>
      <c r="F2699" s="3" t="s">
        <v>58</v>
      </c>
      <c r="G2699" s="3" t="s">
        <v>59</v>
      </c>
      <c r="H2699" s="3" t="s">
        <v>58</v>
      </c>
      <c r="I2699" s="3" t="s">
        <v>58</v>
      </c>
      <c r="J2699" s="3" t="s">
        <v>60</v>
      </c>
      <c r="K2699" s="2" t="s">
        <v>32872</v>
      </c>
      <c r="L2699" s="2" t="s">
        <v>32873</v>
      </c>
      <c r="M2699" s="3" t="s">
        <v>22217</v>
      </c>
      <c r="O2699" s="3" t="s">
        <v>63</v>
      </c>
      <c r="P2699" s="3" t="s">
        <v>571</v>
      </c>
      <c r="R2699" s="3" t="s">
        <v>65</v>
      </c>
      <c r="S2699" s="4">
        <v>2</v>
      </c>
      <c r="T2699" s="4">
        <v>2</v>
      </c>
      <c r="U2699" s="5" t="s">
        <v>32874</v>
      </c>
      <c r="V2699" s="5" t="s">
        <v>32874</v>
      </c>
      <c r="W2699" s="5" t="s">
        <v>25126</v>
      </c>
      <c r="X2699" s="5" t="s">
        <v>25126</v>
      </c>
      <c r="Y2699" s="4">
        <v>72</v>
      </c>
      <c r="Z2699" s="4">
        <v>72</v>
      </c>
      <c r="AA2699" s="4">
        <v>147</v>
      </c>
      <c r="AB2699" s="4">
        <v>3</v>
      </c>
      <c r="AC2699" s="4">
        <v>3</v>
      </c>
      <c r="AD2699" s="4">
        <v>11</v>
      </c>
      <c r="AE2699" s="4">
        <v>20</v>
      </c>
      <c r="AF2699" s="4">
        <v>3</v>
      </c>
      <c r="AG2699" s="4">
        <v>5</v>
      </c>
      <c r="AH2699" s="4">
        <v>4</v>
      </c>
      <c r="AI2699" s="4">
        <v>6</v>
      </c>
      <c r="AJ2699" s="4">
        <v>7</v>
      </c>
      <c r="AK2699" s="4">
        <v>15</v>
      </c>
      <c r="AL2699" s="4">
        <v>1</v>
      </c>
      <c r="AM2699" s="4">
        <v>1</v>
      </c>
      <c r="AN2699" s="4">
        <v>0</v>
      </c>
      <c r="AO2699" s="4">
        <v>0</v>
      </c>
      <c r="AP2699" s="3" t="s">
        <v>58</v>
      </c>
      <c r="AQ2699" s="3" t="s">
        <v>58</v>
      </c>
      <c r="AS2699" s="6" t="str">
        <f>HYPERLINK("https://creighton-primo.hosted.exlibrisgroup.com/primo-explore/search?tab=default_tab&amp;search_scope=EVERYTHING&amp;vid=01CRU&amp;lang=en_US&amp;offset=0&amp;query=any,contains,991003974739702656","Catalog Record")</f>
        <v>Catalog Record</v>
      </c>
      <c r="AT2699" s="6" t="str">
        <f>HYPERLINK("http://www.worldcat.org/oclc/2000173","WorldCat Record")</f>
        <v>WorldCat Record</v>
      </c>
      <c r="AU2699" s="3" t="s">
        <v>32875</v>
      </c>
      <c r="AV2699" s="3" t="s">
        <v>32876</v>
      </c>
      <c r="AW2699" s="3" t="s">
        <v>32877</v>
      </c>
      <c r="AX2699" s="3" t="s">
        <v>32877</v>
      </c>
      <c r="AY2699" s="3" t="s">
        <v>32878</v>
      </c>
      <c r="AZ2699" s="3" t="s">
        <v>73</v>
      </c>
      <c r="BC2699" s="3" t="s">
        <v>32879</v>
      </c>
      <c r="BD2699" s="3" t="s">
        <v>32880</v>
      </c>
    </row>
    <row r="2700" spans="1:56" ht="51" customHeight="1" x14ac:dyDescent="0.25">
      <c r="A2700" s="7" t="s">
        <v>58</v>
      </c>
      <c r="B2700" s="2" t="s">
        <v>32881</v>
      </c>
      <c r="C2700" s="2" t="s">
        <v>32882</v>
      </c>
      <c r="D2700" s="2" t="s">
        <v>32883</v>
      </c>
      <c r="F2700" s="3" t="s">
        <v>58</v>
      </c>
      <c r="G2700" s="3" t="s">
        <v>59</v>
      </c>
      <c r="H2700" s="3" t="s">
        <v>58</v>
      </c>
      <c r="I2700" s="3" t="s">
        <v>58</v>
      </c>
      <c r="J2700" s="3" t="s">
        <v>60</v>
      </c>
      <c r="K2700" s="2" t="s">
        <v>32884</v>
      </c>
      <c r="L2700" s="2" t="s">
        <v>32885</v>
      </c>
      <c r="M2700" s="3" t="s">
        <v>951</v>
      </c>
      <c r="O2700" s="3" t="s">
        <v>63</v>
      </c>
      <c r="P2700" s="3" t="s">
        <v>411</v>
      </c>
      <c r="R2700" s="3" t="s">
        <v>65</v>
      </c>
      <c r="S2700" s="4">
        <v>4</v>
      </c>
      <c r="T2700" s="4">
        <v>4</v>
      </c>
      <c r="U2700" s="5" t="s">
        <v>27951</v>
      </c>
      <c r="V2700" s="5" t="s">
        <v>27951</v>
      </c>
      <c r="W2700" s="5" t="s">
        <v>19126</v>
      </c>
      <c r="X2700" s="5" t="s">
        <v>19126</v>
      </c>
      <c r="Y2700" s="4">
        <v>623</v>
      </c>
      <c r="Z2700" s="4">
        <v>590</v>
      </c>
      <c r="AA2700" s="4">
        <v>590</v>
      </c>
      <c r="AB2700" s="4">
        <v>5</v>
      </c>
      <c r="AC2700" s="4">
        <v>5</v>
      </c>
      <c r="AD2700" s="4">
        <v>21</v>
      </c>
      <c r="AE2700" s="4">
        <v>21</v>
      </c>
      <c r="AF2700" s="4">
        <v>9</v>
      </c>
      <c r="AG2700" s="4">
        <v>9</v>
      </c>
      <c r="AH2700" s="4">
        <v>6</v>
      </c>
      <c r="AI2700" s="4">
        <v>6</v>
      </c>
      <c r="AJ2700" s="4">
        <v>11</v>
      </c>
      <c r="AK2700" s="4">
        <v>11</v>
      </c>
      <c r="AL2700" s="4">
        <v>3</v>
      </c>
      <c r="AM2700" s="4">
        <v>3</v>
      </c>
      <c r="AN2700" s="4">
        <v>0</v>
      </c>
      <c r="AO2700" s="4">
        <v>0</v>
      </c>
      <c r="AP2700" s="3" t="s">
        <v>58</v>
      </c>
      <c r="AQ2700" s="3" t="s">
        <v>58</v>
      </c>
      <c r="AS2700" s="6" t="str">
        <f>HYPERLINK("https://creighton-primo.hosted.exlibrisgroup.com/primo-explore/search?tab=default_tab&amp;search_scope=EVERYTHING&amp;vid=01CRU&amp;lang=en_US&amp;offset=0&amp;query=any,contains,991003864669702656","Catalog Record")</f>
        <v>Catalog Record</v>
      </c>
      <c r="AT2700" s="6" t="str">
        <f>HYPERLINK("http://www.worldcat.org/oclc/43384812","WorldCat Record")</f>
        <v>WorldCat Record</v>
      </c>
      <c r="AU2700" s="3" t="s">
        <v>32886</v>
      </c>
      <c r="AV2700" s="3" t="s">
        <v>32887</v>
      </c>
      <c r="AW2700" s="3" t="s">
        <v>32888</v>
      </c>
      <c r="AX2700" s="3" t="s">
        <v>32888</v>
      </c>
      <c r="AY2700" s="3" t="s">
        <v>32889</v>
      </c>
      <c r="AZ2700" s="3" t="s">
        <v>73</v>
      </c>
      <c r="BB2700" s="3" t="s">
        <v>32890</v>
      </c>
      <c r="BC2700" s="3" t="s">
        <v>32891</v>
      </c>
      <c r="BD2700" s="3" t="s">
        <v>32892</v>
      </c>
    </row>
    <row r="2701" spans="1:56" ht="51" customHeight="1" x14ac:dyDescent="0.25">
      <c r="A2701" s="7" t="s">
        <v>58</v>
      </c>
      <c r="B2701" s="2" t="s">
        <v>32893</v>
      </c>
      <c r="C2701" s="2" t="s">
        <v>32894</v>
      </c>
      <c r="D2701" s="2" t="s">
        <v>32895</v>
      </c>
      <c r="F2701" s="3" t="s">
        <v>58</v>
      </c>
      <c r="G2701" s="3" t="s">
        <v>59</v>
      </c>
      <c r="H2701" s="3" t="s">
        <v>58</v>
      </c>
      <c r="I2701" s="3" t="s">
        <v>58</v>
      </c>
      <c r="J2701" s="3" t="s">
        <v>60</v>
      </c>
      <c r="K2701" s="2" t="s">
        <v>32896</v>
      </c>
      <c r="L2701" s="2" t="s">
        <v>32897</v>
      </c>
      <c r="M2701" s="3" t="s">
        <v>368</v>
      </c>
      <c r="N2701" s="2" t="s">
        <v>1611</v>
      </c>
      <c r="O2701" s="3" t="s">
        <v>63</v>
      </c>
      <c r="P2701" s="3" t="s">
        <v>2061</v>
      </c>
      <c r="R2701" s="3" t="s">
        <v>65</v>
      </c>
      <c r="S2701" s="4">
        <v>3</v>
      </c>
      <c r="T2701" s="4">
        <v>3</v>
      </c>
      <c r="U2701" s="5" t="s">
        <v>27951</v>
      </c>
      <c r="V2701" s="5" t="s">
        <v>27951</v>
      </c>
      <c r="W2701" s="5" t="s">
        <v>1329</v>
      </c>
      <c r="X2701" s="5" t="s">
        <v>1329</v>
      </c>
      <c r="Y2701" s="4">
        <v>142</v>
      </c>
      <c r="Z2701" s="4">
        <v>130</v>
      </c>
      <c r="AA2701" s="4">
        <v>284</v>
      </c>
      <c r="AB2701" s="4">
        <v>3</v>
      </c>
      <c r="AC2701" s="4">
        <v>3</v>
      </c>
      <c r="AD2701" s="4">
        <v>5</v>
      </c>
      <c r="AE2701" s="4">
        <v>7</v>
      </c>
      <c r="AF2701" s="4">
        <v>1</v>
      </c>
      <c r="AG2701" s="4">
        <v>2</v>
      </c>
      <c r="AH2701" s="4">
        <v>2</v>
      </c>
      <c r="AI2701" s="4">
        <v>2</v>
      </c>
      <c r="AJ2701" s="4">
        <v>2</v>
      </c>
      <c r="AK2701" s="4">
        <v>4</v>
      </c>
      <c r="AL2701" s="4">
        <v>1</v>
      </c>
      <c r="AM2701" s="4">
        <v>1</v>
      </c>
      <c r="AN2701" s="4">
        <v>0</v>
      </c>
      <c r="AO2701" s="4">
        <v>0</v>
      </c>
      <c r="AP2701" s="3" t="s">
        <v>58</v>
      </c>
      <c r="AQ2701" s="3" t="s">
        <v>68</v>
      </c>
      <c r="AR2701" s="6" t="str">
        <f>HYPERLINK("http://catalog.hathitrust.org/Record/006035152","HathiTrust Record")</f>
        <v>HathiTrust Record</v>
      </c>
      <c r="AS2701" s="6" t="str">
        <f>HYPERLINK("https://creighton-primo.hosted.exlibrisgroup.com/primo-explore/search?tab=default_tab&amp;search_scope=EVERYTHING&amp;vid=01CRU&amp;lang=en_US&amp;offset=0&amp;query=any,contains,991004310989702656","Catalog Record")</f>
        <v>Catalog Record</v>
      </c>
      <c r="AT2701" s="6" t="str">
        <f>HYPERLINK("http://www.worldcat.org/oclc/2994345","WorldCat Record")</f>
        <v>WorldCat Record</v>
      </c>
      <c r="AU2701" s="3" t="s">
        <v>32898</v>
      </c>
      <c r="AV2701" s="3" t="s">
        <v>32899</v>
      </c>
      <c r="AW2701" s="3" t="s">
        <v>32900</v>
      </c>
      <c r="AX2701" s="3" t="s">
        <v>32900</v>
      </c>
      <c r="AY2701" s="3" t="s">
        <v>32901</v>
      </c>
      <c r="AZ2701" s="3" t="s">
        <v>73</v>
      </c>
      <c r="BB2701" s="3" t="s">
        <v>32902</v>
      </c>
      <c r="BC2701" s="3" t="s">
        <v>32903</v>
      </c>
      <c r="BD2701" s="3" t="s">
        <v>32904</v>
      </c>
    </row>
    <row r="2702" spans="1:56" ht="51" customHeight="1" x14ac:dyDescent="0.25">
      <c r="A2702" s="7" t="s">
        <v>58</v>
      </c>
      <c r="B2702" s="2" t="s">
        <v>32905</v>
      </c>
      <c r="C2702" s="2" t="s">
        <v>32906</v>
      </c>
      <c r="D2702" s="2" t="s">
        <v>32907</v>
      </c>
      <c r="F2702" s="3" t="s">
        <v>58</v>
      </c>
      <c r="G2702" s="3" t="s">
        <v>59</v>
      </c>
      <c r="H2702" s="3" t="s">
        <v>58</v>
      </c>
      <c r="I2702" s="3" t="s">
        <v>58</v>
      </c>
      <c r="J2702" s="3" t="s">
        <v>60</v>
      </c>
      <c r="K2702" s="2" t="s">
        <v>32908</v>
      </c>
      <c r="L2702" s="2" t="s">
        <v>32909</v>
      </c>
      <c r="M2702" s="3" t="s">
        <v>800</v>
      </c>
      <c r="N2702" s="2" t="s">
        <v>338</v>
      </c>
      <c r="O2702" s="3" t="s">
        <v>63</v>
      </c>
      <c r="P2702" s="3" t="s">
        <v>214</v>
      </c>
      <c r="R2702" s="3" t="s">
        <v>65</v>
      </c>
      <c r="S2702" s="4">
        <v>1</v>
      </c>
      <c r="T2702" s="4">
        <v>1</v>
      </c>
      <c r="U2702" s="5" t="s">
        <v>27951</v>
      </c>
      <c r="V2702" s="5" t="s">
        <v>27951</v>
      </c>
      <c r="W2702" s="5" t="s">
        <v>6352</v>
      </c>
      <c r="X2702" s="5" t="s">
        <v>6352</v>
      </c>
      <c r="Y2702" s="4">
        <v>431</v>
      </c>
      <c r="Z2702" s="4">
        <v>414</v>
      </c>
      <c r="AA2702" s="4">
        <v>420</v>
      </c>
      <c r="AB2702" s="4">
        <v>5</v>
      </c>
      <c r="AC2702" s="4">
        <v>5</v>
      </c>
      <c r="AD2702" s="4">
        <v>7</v>
      </c>
      <c r="AE2702" s="4">
        <v>7</v>
      </c>
      <c r="AF2702" s="4">
        <v>2</v>
      </c>
      <c r="AG2702" s="4">
        <v>2</v>
      </c>
      <c r="AH2702" s="4">
        <v>2</v>
      </c>
      <c r="AI2702" s="4">
        <v>2</v>
      </c>
      <c r="AJ2702" s="4">
        <v>5</v>
      </c>
      <c r="AK2702" s="4">
        <v>5</v>
      </c>
      <c r="AL2702" s="4">
        <v>2</v>
      </c>
      <c r="AM2702" s="4">
        <v>2</v>
      </c>
      <c r="AN2702" s="4">
        <v>0</v>
      </c>
      <c r="AO2702" s="4">
        <v>0</v>
      </c>
      <c r="AP2702" s="3" t="s">
        <v>58</v>
      </c>
      <c r="AQ2702" s="3" t="s">
        <v>68</v>
      </c>
      <c r="AR2702" s="6" t="str">
        <f>HYPERLINK("http://catalog.hathitrust.org/Record/003061387","HathiTrust Record")</f>
        <v>HathiTrust Record</v>
      </c>
      <c r="AS2702" s="6" t="str">
        <f>HYPERLINK("https://creighton-primo.hosted.exlibrisgroup.com/primo-explore/search?tab=default_tab&amp;search_scope=EVERYTHING&amp;vid=01CRU&amp;lang=en_US&amp;offset=0&amp;query=any,contains,991002408199702656","Catalog Record")</f>
        <v>Catalog Record</v>
      </c>
      <c r="AT2702" s="6" t="str">
        <f>HYPERLINK("http://www.worldcat.org/oclc/31330354","WorldCat Record")</f>
        <v>WorldCat Record</v>
      </c>
      <c r="AU2702" s="3" t="s">
        <v>32910</v>
      </c>
      <c r="AV2702" s="3" t="s">
        <v>32911</v>
      </c>
      <c r="AW2702" s="3" t="s">
        <v>32912</v>
      </c>
      <c r="AX2702" s="3" t="s">
        <v>32912</v>
      </c>
      <c r="AY2702" s="3" t="s">
        <v>32913</v>
      </c>
      <c r="AZ2702" s="3" t="s">
        <v>73</v>
      </c>
      <c r="BB2702" s="3" t="s">
        <v>32914</v>
      </c>
      <c r="BC2702" s="3" t="s">
        <v>32915</v>
      </c>
      <c r="BD2702" s="3" t="s">
        <v>32916</v>
      </c>
    </row>
    <row r="2703" spans="1:56" ht="51" customHeight="1" x14ac:dyDescent="0.25">
      <c r="A2703" s="7" t="s">
        <v>58</v>
      </c>
      <c r="B2703" s="2" t="s">
        <v>32917</v>
      </c>
      <c r="C2703" s="2" t="s">
        <v>32918</v>
      </c>
      <c r="D2703" s="2" t="s">
        <v>32919</v>
      </c>
      <c r="F2703" s="3" t="s">
        <v>58</v>
      </c>
      <c r="G2703" s="3" t="s">
        <v>59</v>
      </c>
      <c r="H2703" s="3" t="s">
        <v>58</v>
      </c>
      <c r="I2703" s="3" t="s">
        <v>58</v>
      </c>
      <c r="J2703" s="3" t="s">
        <v>60</v>
      </c>
      <c r="K2703" s="2" t="s">
        <v>32920</v>
      </c>
      <c r="L2703" s="2" t="s">
        <v>10199</v>
      </c>
      <c r="M2703" s="3" t="s">
        <v>83</v>
      </c>
      <c r="O2703" s="3" t="s">
        <v>63</v>
      </c>
      <c r="P2703" s="3" t="s">
        <v>2061</v>
      </c>
      <c r="Q2703" s="2" t="s">
        <v>32921</v>
      </c>
      <c r="R2703" s="3" t="s">
        <v>65</v>
      </c>
      <c r="S2703" s="4">
        <v>4</v>
      </c>
      <c r="T2703" s="4">
        <v>4</v>
      </c>
      <c r="U2703" s="5" t="s">
        <v>14630</v>
      </c>
      <c r="V2703" s="5" t="s">
        <v>14630</v>
      </c>
      <c r="W2703" s="5" t="s">
        <v>32750</v>
      </c>
      <c r="X2703" s="5" t="s">
        <v>32750</v>
      </c>
      <c r="Y2703" s="4">
        <v>337</v>
      </c>
      <c r="Z2703" s="4">
        <v>281</v>
      </c>
      <c r="AA2703" s="4">
        <v>283</v>
      </c>
      <c r="AB2703" s="4">
        <v>3</v>
      </c>
      <c r="AC2703" s="4">
        <v>3</v>
      </c>
      <c r="AD2703" s="4">
        <v>16</v>
      </c>
      <c r="AE2703" s="4">
        <v>16</v>
      </c>
      <c r="AF2703" s="4">
        <v>6</v>
      </c>
      <c r="AG2703" s="4">
        <v>6</v>
      </c>
      <c r="AH2703" s="4">
        <v>4</v>
      </c>
      <c r="AI2703" s="4">
        <v>4</v>
      </c>
      <c r="AJ2703" s="4">
        <v>11</v>
      </c>
      <c r="AK2703" s="4">
        <v>11</v>
      </c>
      <c r="AL2703" s="4">
        <v>2</v>
      </c>
      <c r="AM2703" s="4">
        <v>2</v>
      </c>
      <c r="AN2703" s="4">
        <v>0</v>
      </c>
      <c r="AO2703" s="4">
        <v>0</v>
      </c>
      <c r="AP2703" s="3" t="s">
        <v>58</v>
      </c>
      <c r="AQ2703" s="3" t="s">
        <v>68</v>
      </c>
      <c r="AR2703" s="6" t="str">
        <f>HYPERLINK("http://catalog.hathitrust.org/Record/000218658","HathiTrust Record")</f>
        <v>HathiTrust Record</v>
      </c>
      <c r="AS2703" s="6" t="str">
        <f>HYPERLINK("https://creighton-primo.hosted.exlibrisgroup.com/primo-explore/search?tab=default_tab&amp;search_scope=EVERYTHING&amp;vid=01CRU&amp;lang=en_US&amp;offset=0&amp;query=any,contains,991004624439702656","Catalog Record")</f>
        <v>Catalog Record</v>
      </c>
      <c r="AT2703" s="6" t="str">
        <f>HYPERLINK("http://www.worldcat.org/oclc/4325501","WorldCat Record")</f>
        <v>WorldCat Record</v>
      </c>
      <c r="AU2703" s="3" t="s">
        <v>32922</v>
      </c>
      <c r="AV2703" s="3" t="s">
        <v>32923</v>
      </c>
      <c r="AW2703" s="3" t="s">
        <v>32924</v>
      </c>
      <c r="AX2703" s="3" t="s">
        <v>32924</v>
      </c>
      <c r="AY2703" s="3" t="s">
        <v>32925</v>
      </c>
      <c r="AZ2703" s="3" t="s">
        <v>73</v>
      </c>
      <c r="BB2703" s="3" t="s">
        <v>32926</v>
      </c>
      <c r="BC2703" s="3" t="s">
        <v>32927</v>
      </c>
      <c r="BD2703" s="3" t="s">
        <v>32928</v>
      </c>
    </row>
    <row r="2704" spans="1:56" ht="51" customHeight="1" x14ac:dyDescent="0.25">
      <c r="A2704" s="7" t="s">
        <v>58</v>
      </c>
      <c r="B2704" s="2" t="s">
        <v>32929</v>
      </c>
      <c r="C2704" s="2" t="s">
        <v>32930</v>
      </c>
      <c r="D2704" s="2" t="s">
        <v>32931</v>
      </c>
      <c r="F2704" s="3" t="s">
        <v>58</v>
      </c>
      <c r="G2704" s="3" t="s">
        <v>59</v>
      </c>
      <c r="H2704" s="3" t="s">
        <v>58</v>
      </c>
      <c r="I2704" s="3" t="s">
        <v>58</v>
      </c>
      <c r="J2704" s="3" t="s">
        <v>60</v>
      </c>
      <c r="K2704" s="2" t="s">
        <v>32932</v>
      </c>
      <c r="L2704" s="2" t="s">
        <v>32933</v>
      </c>
      <c r="M2704" s="3" t="s">
        <v>1153</v>
      </c>
      <c r="O2704" s="3" t="s">
        <v>63</v>
      </c>
      <c r="P2704" s="3" t="s">
        <v>510</v>
      </c>
      <c r="R2704" s="3" t="s">
        <v>65</v>
      </c>
      <c r="S2704" s="4">
        <v>3</v>
      </c>
      <c r="T2704" s="4">
        <v>3</v>
      </c>
      <c r="U2704" s="5" t="s">
        <v>27951</v>
      </c>
      <c r="V2704" s="5" t="s">
        <v>27951</v>
      </c>
      <c r="W2704" s="5" t="s">
        <v>1329</v>
      </c>
      <c r="X2704" s="5" t="s">
        <v>1329</v>
      </c>
      <c r="Y2704" s="4">
        <v>117</v>
      </c>
      <c r="Z2704" s="4">
        <v>93</v>
      </c>
      <c r="AA2704" s="4">
        <v>481</v>
      </c>
      <c r="AB2704" s="4">
        <v>1</v>
      </c>
      <c r="AC2704" s="4">
        <v>2</v>
      </c>
      <c r="AD2704" s="4">
        <v>4</v>
      </c>
      <c r="AE2704" s="4">
        <v>24</v>
      </c>
      <c r="AF2704" s="4">
        <v>1</v>
      </c>
      <c r="AG2704" s="4">
        <v>8</v>
      </c>
      <c r="AH2704" s="4">
        <v>3</v>
      </c>
      <c r="AI2704" s="4">
        <v>8</v>
      </c>
      <c r="AJ2704" s="4">
        <v>1</v>
      </c>
      <c r="AK2704" s="4">
        <v>15</v>
      </c>
      <c r="AL2704" s="4">
        <v>0</v>
      </c>
      <c r="AM2704" s="4">
        <v>1</v>
      </c>
      <c r="AN2704" s="4">
        <v>0</v>
      </c>
      <c r="AO2704" s="4">
        <v>0</v>
      </c>
      <c r="AP2704" s="3" t="s">
        <v>58</v>
      </c>
      <c r="AQ2704" s="3" t="s">
        <v>58</v>
      </c>
      <c r="AS2704" s="6" t="str">
        <f>HYPERLINK("https://creighton-primo.hosted.exlibrisgroup.com/primo-explore/search?tab=default_tab&amp;search_scope=EVERYTHING&amp;vid=01CRU&amp;lang=en_US&amp;offset=0&amp;query=any,contains,991003043869702656","Catalog Record")</f>
        <v>Catalog Record</v>
      </c>
      <c r="AT2704" s="6" t="str">
        <f>HYPERLINK("http://www.worldcat.org/oclc/604959","WorldCat Record")</f>
        <v>WorldCat Record</v>
      </c>
      <c r="AU2704" s="3" t="s">
        <v>32934</v>
      </c>
      <c r="AV2704" s="3" t="s">
        <v>32935</v>
      </c>
      <c r="AW2704" s="3" t="s">
        <v>32936</v>
      </c>
      <c r="AX2704" s="3" t="s">
        <v>32936</v>
      </c>
      <c r="AY2704" s="3" t="s">
        <v>32937</v>
      </c>
      <c r="AZ2704" s="3" t="s">
        <v>73</v>
      </c>
      <c r="BB2704" s="3" t="s">
        <v>32938</v>
      </c>
      <c r="BC2704" s="3" t="s">
        <v>32939</v>
      </c>
      <c r="BD2704" s="3" t="s">
        <v>32940</v>
      </c>
    </row>
    <row r="2705" spans="1:56" ht="51" customHeight="1" x14ac:dyDescent="0.25">
      <c r="A2705" s="7" t="s">
        <v>58</v>
      </c>
      <c r="B2705" s="2" t="s">
        <v>32941</v>
      </c>
      <c r="C2705" s="2" t="s">
        <v>32942</v>
      </c>
      <c r="D2705" s="2" t="s">
        <v>32943</v>
      </c>
      <c r="F2705" s="3" t="s">
        <v>58</v>
      </c>
      <c r="G2705" s="3" t="s">
        <v>59</v>
      </c>
      <c r="H2705" s="3" t="s">
        <v>58</v>
      </c>
      <c r="I2705" s="3" t="s">
        <v>58</v>
      </c>
      <c r="J2705" s="3" t="s">
        <v>60</v>
      </c>
      <c r="L2705" s="2" t="s">
        <v>32944</v>
      </c>
      <c r="M2705" s="3" t="s">
        <v>231</v>
      </c>
      <c r="O2705" s="3" t="s">
        <v>63</v>
      </c>
      <c r="P2705" s="3" t="s">
        <v>32074</v>
      </c>
      <c r="R2705" s="3" t="s">
        <v>65</v>
      </c>
      <c r="S2705" s="4">
        <v>2</v>
      </c>
      <c r="T2705" s="4">
        <v>2</v>
      </c>
      <c r="U2705" s="5" t="s">
        <v>32945</v>
      </c>
      <c r="V2705" s="5" t="s">
        <v>32945</v>
      </c>
      <c r="W2705" s="5" t="s">
        <v>1329</v>
      </c>
      <c r="X2705" s="5" t="s">
        <v>1329</v>
      </c>
      <c r="Y2705" s="4">
        <v>13</v>
      </c>
      <c r="Z2705" s="4">
        <v>11</v>
      </c>
      <c r="AA2705" s="4">
        <v>17</v>
      </c>
      <c r="AB2705" s="4">
        <v>1</v>
      </c>
      <c r="AC2705" s="4">
        <v>1</v>
      </c>
      <c r="AD2705" s="4">
        <v>0</v>
      </c>
      <c r="AE2705" s="4">
        <v>0</v>
      </c>
      <c r="AF2705" s="4">
        <v>0</v>
      </c>
      <c r="AG2705" s="4">
        <v>0</v>
      </c>
      <c r="AH2705" s="4">
        <v>0</v>
      </c>
      <c r="AI2705" s="4">
        <v>0</v>
      </c>
      <c r="AJ2705" s="4">
        <v>0</v>
      </c>
      <c r="AK2705" s="4">
        <v>0</v>
      </c>
      <c r="AL2705" s="4">
        <v>0</v>
      </c>
      <c r="AM2705" s="4">
        <v>0</v>
      </c>
      <c r="AN2705" s="4">
        <v>0</v>
      </c>
      <c r="AO2705" s="4">
        <v>0</v>
      </c>
      <c r="AP2705" s="3" t="s">
        <v>58</v>
      </c>
      <c r="AQ2705" s="3" t="s">
        <v>68</v>
      </c>
      <c r="AR2705" s="6" t="str">
        <f>HYPERLINK("http://catalog.hathitrust.org/Record/102596841","HathiTrust Record")</f>
        <v>HathiTrust Record</v>
      </c>
      <c r="AS2705" s="6" t="str">
        <f>HYPERLINK("https://creighton-primo.hosted.exlibrisgroup.com/primo-explore/search?tab=default_tab&amp;search_scope=EVERYTHING&amp;vid=01CRU&amp;lang=en_US&amp;offset=0&amp;query=any,contains,991001476089702656","Catalog Record")</f>
        <v>Catalog Record</v>
      </c>
      <c r="AT2705" s="6" t="str">
        <f>HYPERLINK("http://www.worldcat.org/oclc/19565589","WorldCat Record")</f>
        <v>WorldCat Record</v>
      </c>
      <c r="AU2705" s="3" t="s">
        <v>32946</v>
      </c>
      <c r="AV2705" s="3" t="s">
        <v>32947</v>
      </c>
      <c r="AW2705" s="3" t="s">
        <v>32948</v>
      </c>
      <c r="AX2705" s="3" t="s">
        <v>32948</v>
      </c>
      <c r="AY2705" s="3" t="s">
        <v>32949</v>
      </c>
      <c r="AZ2705" s="3" t="s">
        <v>73</v>
      </c>
      <c r="BC2705" s="3" t="s">
        <v>32950</v>
      </c>
      <c r="BD2705" s="3" t="s">
        <v>32951</v>
      </c>
    </row>
    <row r="2706" spans="1:56" ht="51" customHeight="1" x14ac:dyDescent="0.25">
      <c r="A2706" s="7" t="s">
        <v>58</v>
      </c>
      <c r="B2706" s="2" t="s">
        <v>32952</v>
      </c>
      <c r="C2706" s="2" t="s">
        <v>32953</v>
      </c>
      <c r="D2706" s="2" t="s">
        <v>32954</v>
      </c>
      <c r="F2706" s="3" t="s">
        <v>58</v>
      </c>
      <c r="G2706" s="3" t="s">
        <v>59</v>
      </c>
      <c r="H2706" s="3" t="s">
        <v>58</v>
      </c>
      <c r="I2706" s="3" t="s">
        <v>58</v>
      </c>
      <c r="J2706" s="3" t="s">
        <v>60</v>
      </c>
      <c r="K2706" s="2" t="s">
        <v>32955</v>
      </c>
      <c r="L2706" s="2" t="s">
        <v>32956</v>
      </c>
      <c r="M2706" s="3" t="s">
        <v>183</v>
      </c>
      <c r="O2706" s="3" t="s">
        <v>63</v>
      </c>
      <c r="P2706" s="3" t="s">
        <v>354</v>
      </c>
      <c r="R2706" s="3" t="s">
        <v>65</v>
      </c>
      <c r="S2706" s="4">
        <v>1</v>
      </c>
      <c r="T2706" s="4">
        <v>1</v>
      </c>
      <c r="U2706" s="5" t="s">
        <v>7631</v>
      </c>
      <c r="V2706" s="5" t="s">
        <v>7631</v>
      </c>
      <c r="W2706" s="5" t="s">
        <v>1329</v>
      </c>
      <c r="X2706" s="5" t="s">
        <v>1329</v>
      </c>
      <c r="Y2706" s="4">
        <v>577</v>
      </c>
      <c r="Z2706" s="4">
        <v>452</v>
      </c>
      <c r="AA2706" s="4">
        <v>470</v>
      </c>
      <c r="AB2706" s="4">
        <v>5</v>
      </c>
      <c r="AC2706" s="4">
        <v>5</v>
      </c>
      <c r="AD2706" s="4">
        <v>20</v>
      </c>
      <c r="AE2706" s="4">
        <v>22</v>
      </c>
      <c r="AF2706" s="4">
        <v>6</v>
      </c>
      <c r="AG2706" s="4">
        <v>7</v>
      </c>
      <c r="AH2706" s="4">
        <v>7</v>
      </c>
      <c r="AI2706" s="4">
        <v>8</v>
      </c>
      <c r="AJ2706" s="4">
        <v>8</v>
      </c>
      <c r="AK2706" s="4">
        <v>8</v>
      </c>
      <c r="AL2706" s="4">
        <v>4</v>
      </c>
      <c r="AM2706" s="4">
        <v>4</v>
      </c>
      <c r="AN2706" s="4">
        <v>0</v>
      </c>
      <c r="AO2706" s="4">
        <v>0</v>
      </c>
      <c r="AP2706" s="3" t="s">
        <v>58</v>
      </c>
      <c r="AQ2706" s="3" t="s">
        <v>68</v>
      </c>
      <c r="AR2706" s="6" t="str">
        <f>HYPERLINK("http://catalog.hathitrust.org/Record/000726188","HathiTrust Record")</f>
        <v>HathiTrust Record</v>
      </c>
      <c r="AS2706" s="6" t="str">
        <f>HYPERLINK("https://creighton-primo.hosted.exlibrisgroup.com/primo-explore/search?tab=default_tab&amp;search_scope=EVERYTHING&amp;vid=01CRU&amp;lang=en_US&amp;offset=0&amp;query=any,contains,991004269199702656","Catalog Record")</f>
        <v>Catalog Record</v>
      </c>
      <c r="AT2706" s="6" t="str">
        <f>HYPERLINK("http://www.worldcat.org/oclc/2874581","WorldCat Record")</f>
        <v>WorldCat Record</v>
      </c>
      <c r="AU2706" s="3" t="s">
        <v>32957</v>
      </c>
      <c r="AV2706" s="3" t="s">
        <v>32958</v>
      </c>
      <c r="AW2706" s="3" t="s">
        <v>32959</v>
      </c>
      <c r="AX2706" s="3" t="s">
        <v>32959</v>
      </c>
      <c r="AY2706" s="3" t="s">
        <v>32960</v>
      </c>
      <c r="AZ2706" s="3" t="s">
        <v>73</v>
      </c>
      <c r="BB2706" s="3" t="s">
        <v>32961</v>
      </c>
      <c r="BC2706" s="3" t="s">
        <v>32962</v>
      </c>
      <c r="BD2706" s="3" t="s">
        <v>32963</v>
      </c>
    </row>
    <row r="2707" spans="1:56" ht="51" customHeight="1" x14ac:dyDescent="0.25">
      <c r="A2707" s="7" t="s">
        <v>58</v>
      </c>
      <c r="B2707" s="2" t="s">
        <v>32964</v>
      </c>
      <c r="C2707" s="2" t="s">
        <v>32965</v>
      </c>
      <c r="D2707" s="2" t="s">
        <v>32966</v>
      </c>
      <c r="F2707" s="3" t="s">
        <v>58</v>
      </c>
      <c r="G2707" s="3" t="s">
        <v>59</v>
      </c>
      <c r="H2707" s="3" t="s">
        <v>58</v>
      </c>
      <c r="I2707" s="3" t="s">
        <v>58</v>
      </c>
      <c r="J2707" s="3" t="s">
        <v>60</v>
      </c>
      <c r="K2707" s="2" t="s">
        <v>32967</v>
      </c>
      <c r="L2707" s="2" t="s">
        <v>32968</v>
      </c>
      <c r="M2707" s="3" t="s">
        <v>183</v>
      </c>
      <c r="O2707" s="3" t="s">
        <v>63</v>
      </c>
      <c r="P2707" s="3" t="s">
        <v>1837</v>
      </c>
      <c r="R2707" s="3" t="s">
        <v>65</v>
      </c>
      <c r="S2707" s="4">
        <v>1</v>
      </c>
      <c r="T2707" s="4">
        <v>1</v>
      </c>
      <c r="U2707" s="5" t="s">
        <v>9872</v>
      </c>
      <c r="V2707" s="5" t="s">
        <v>9872</v>
      </c>
      <c r="W2707" s="5" t="s">
        <v>1329</v>
      </c>
      <c r="X2707" s="5" t="s">
        <v>1329</v>
      </c>
      <c r="Y2707" s="4">
        <v>16</v>
      </c>
      <c r="Z2707" s="4">
        <v>16</v>
      </c>
      <c r="AA2707" s="4">
        <v>17</v>
      </c>
      <c r="AB2707" s="4">
        <v>1</v>
      </c>
      <c r="AC2707" s="4">
        <v>1</v>
      </c>
      <c r="AD2707" s="4">
        <v>0</v>
      </c>
      <c r="AE2707" s="4">
        <v>0</v>
      </c>
      <c r="AF2707" s="4">
        <v>0</v>
      </c>
      <c r="AG2707" s="4">
        <v>0</v>
      </c>
      <c r="AH2707" s="4">
        <v>0</v>
      </c>
      <c r="AI2707" s="4">
        <v>0</v>
      </c>
      <c r="AJ2707" s="4">
        <v>0</v>
      </c>
      <c r="AK2707" s="4">
        <v>0</v>
      </c>
      <c r="AL2707" s="4">
        <v>0</v>
      </c>
      <c r="AM2707" s="4">
        <v>0</v>
      </c>
      <c r="AN2707" s="4">
        <v>0</v>
      </c>
      <c r="AO2707" s="4">
        <v>0</v>
      </c>
      <c r="AP2707" s="3" t="s">
        <v>58</v>
      </c>
      <c r="AQ2707" s="3" t="s">
        <v>58</v>
      </c>
      <c r="AS2707" s="6" t="str">
        <f>HYPERLINK("https://creighton-primo.hosted.exlibrisgroup.com/primo-explore/search?tab=default_tab&amp;search_scope=EVERYTHING&amp;vid=01CRU&amp;lang=en_US&amp;offset=0&amp;query=any,contains,991004900129702656","Catalog Record")</f>
        <v>Catalog Record</v>
      </c>
      <c r="AT2707" s="6" t="str">
        <f>HYPERLINK("http://www.worldcat.org/oclc/5927061","WorldCat Record")</f>
        <v>WorldCat Record</v>
      </c>
      <c r="AU2707" s="3" t="s">
        <v>32969</v>
      </c>
      <c r="AV2707" s="3" t="s">
        <v>32970</v>
      </c>
      <c r="AW2707" s="3" t="s">
        <v>32971</v>
      </c>
      <c r="AX2707" s="3" t="s">
        <v>32971</v>
      </c>
      <c r="AY2707" s="3" t="s">
        <v>32972</v>
      </c>
      <c r="AZ2707" s="3" t="s">
        <v>73</v>
      </c>
      <c r="BC2707" s="3" t="s">
        <v>32973</v>
      </c>
      <c r="BD2707" s="3" t="s">
        <v>32974</v>
      </c>
    </row>
    <row r="2708" spans="1:56" ht="51" customHeight="1" x14ac:dyDescent="0.25">
      <c r="A2708" s="7" t="s">
        <v>58</v>
      </c>
      <c r="B2708" s="2" t="s">
        <v>32975</v>
      </c>
      <c r="C2708" s="2" t="s">
        <v>32976</v>
      </c>
      <c r="D2708" s="2" t="s">
        <v>32977</v>
      </c>
      <c r="F2708" s="3" t="s">
        <v>58</v>
      </c>
      <c r="G2708" s="3" t="s">
        <v>59</v>
      </c>
      <c r="H2708" s="3" t="s">
        <v>58</v>
      </c>
      <c r="I2708" s="3" t="s">
        <v>58</v>
      </c>
      <c r="J2708" s="3" t="s">
        <v>60</v>
      </c>
      <c r="K2708" s="2" t="s">
        <v>32406</v>
      </c>
      <c r="L2708" s="2" t="s">
        <v>32407</v>
      </c>
      <c r="M2708" s="3" t="s">
        <v>1357</v>
      </c>
      <c r="N2708" s="2" t="s">
        <v>1470</v>
      </c>
      <c r="O2708" s="3" t="s">
        <v>63</v>
      </c>
      <c r="P2708" s="3" t="s">
        <v>32074</v>
      </c>
      <c r="Q2708" s="2" t="s">
        <v>32978</v>
      </c>
      <c r="R2708" s="3" t="s">
        <v>65</v>
      </c>
      <c r="S2708" s="4">
        <v>1</v>
      </c>
      <c r="T2708" s="4">
        <v>1</v>
      </c>
      <c r="U2708" s="5" t="s">
        <v>4674</v>
      </c>
      <c r="V2708" s="5" t="s">
        <v>4674</v>
      </c>
      <c r="W2708" s="5" t="s">
        <v>1329</v>
      </c>
      <c r="X2708" s="5" t="s">
        <v>1329</v>
      </c>
      <c r="Y2708" s="4">
        <v>294</v>
      </c>
      <c r="Z2708" s="4">
        <v>182</v>
      </c>
      <c r="AA2708" s="4">
        <v>183</v>
      </c>
      <c r="AB2708" s="4">
        <v>1</v>
      </c>
      <c r="AC2708" s="4">
        <v>1</v>
      </c>
      <c r="AD2708" s="4">
        <v>9</v>
      </c>
      <c r="AE2708" s="4">
        <v>9</v>
      </c>
      <c r="AF2708" s="4">
        <v>2</v>
      </c>
      <c r="AG2708" s="4">
        <v>2</v>
      </c>
      <c r="AH2708" s="4">
        <v>4</v>
      </c>
      <c r="AI2708" s="4">
        <v>4</v>
      </c>
      <c r="AJ2708" s="4">
        <v>6</v>
      </c>
      <c r="AK2708" s="4">
        <v>6</v>
      </c>
      <c r="AL2708" s="4">
        <v>0</v>
      </c>
      <c r="AM2708" s="4">
        <v>0</v>
      </c>
      <c r="AN2708" s="4">
        <v>0</v>
      </c>
      <c r="AO2708" s="4">
        <v>0</v>
      </c>
      <c r="AP2708" s="3" t="s">
        <v>58</v>
      </c>
      <c r="AQ2708" s="3" t="s">
        <v>68</v>
      </c>
      <c r="AR2708" s="6" t="str">
        <f>HYPERLINK("http://catalog.hathitrust.org/Record/001605035","HathiTrust Record")</f>
        <v>HathiTrust Record</v>
      </c>
      <c r="AS2708" s="6" t="str">
        <f>HYPERLINK("https://creighton-primo.hosted.exlibrisgroup.com/primo-explore/search?tab=default_tab&amp;search_scope=EVERYTHING&amp;vid=01CRU&amp;lang=en_US&amp;offset=0&amp;query=any,contains,991002397229702656","Catalog Record")</f>
        <v>Catalog Record</v>
      </c>
      <c r="AT2708" s="6" t="str">
        <f>HYPERLINK("http://www.worldcat.org/oclc/335158","WorldCat Record")</f>
        <v>WorldCat Record</v>
      </c>
      <c r="AU2708" s="3" t="s">
        <v>32979</v>
      </c>
      <c r="AV2708" s="3" t="s">
        <v>32980</v>
      </c>
      <c r="AW2708" s="3" t="s">
        <v>32981</v>
      </c>
      <c r="AX2708" s="3" t="s">
        <v>32981</v>
      </c>
      <c r="AY2708" s="3" t="s">
        <v>32982</v>
      </c>
      <c r="AZ2708" s="3" t="s">
        <v>73</v>
      </c>
      <c r="BC2708" s="3" t="s">
        <v>32983</v>
      </c>
      <c r="BD2708" s="3" t="s">
        <v>32984</v>
      </c>
    </row>
    <row r="2709" spans="1:56" ht="51" customHeight="1" x14ac:dyDescent="0.25">
      <c r="A2709" s="7" t="s">
        <v>58</v>
      </c>
      <c r="B2709" s="2" t="s">
        <v>32985</v>
      </c>
      <c r="C2709" s="2" t="s">
        <v>32986</v>
      </c>
      <c r="D2709" s="2" t="s">
        <v>32987</v>
      </c>
      <c r="F2709" s="3" t="s">
        <v>58</v>
      </c>
      <c r="G2709" s="3" t="s">
        <v>59</v>
      </c>
      <c r="H2709" s="3" t="s">
        <v>58</v>
      </c>
      <c r="I2709" s="3" t="s">
        <v>58</v>
      </c>
      <c r="J2709" s="3" t="s">
        <v>60</v>
      </c>
      <c r="K2709" s="2" t="s">
        <v>25824</v>
      </c>
      <c r="L2709" s="2" t="s">
        <v>32988</v>
      </c>
      <c r="M2709" s="3" t="s">
        <v>626</v>
      </c>
      <c r="O2709" s="3" t="s">
        <v>63</v>
      </c>
      <c r="P2709" s="3" t="s">
        <v>214</v>
      </c>
      <c r="R2709" s="3" t="s">
        <v>65</v>
      </c>
      <c r="S2709" s="4">
        <v>5</v>
      </c>
      <c r="T2709" s="4">
        <v>5</v>
      </c>
      <c r="U2709" s="5" t="s">
        <v>4674</v>
      </c>
      <c r="V2709" s="5" t="s">
        <v>4674</v>
      </c>
      <c r="W2709" s="5" t="s">
        <v>32750</v>
      </c>
      <c r="X2709" s="5" t="s">
        <v>32750</v>
      </c>
      <c r="Y2709" s="4">
        <v>429</v>
      </c>
      <c r="Z2709" s="4">
        <v>355</v>
      </c>
      <c r="AA2709" s="4">
        <v>361</v>
      </c>
      <c r="AB2709" s="4">
        <v>5</v>
      </c>
      <c r="AC2709" s="4">
        <v>5</v>
      </c>
      <c r="AD2709" s="4">
        <v>16</v>
      </c>
      <c r="AE2709" s="4">
        <v>16</v>
      </c>
      <c r="AF2709" s="4">
        <v>5</v>
      </c>
      <c r="AG2709" s="4">
        <v>5</v>
      </c>
      <c r="AH2709" s="4">
        <v>5</v>
      </c>
      <c r="AI2709" s="4">
        <v>5</v>
      </c>
      <c r="AJ2709" s="4">
        <v>6</v>
      </c>
      <c r="AK2709" s="4">
        <v>6</v>
      </c>
      <c r="AL2709" s="4">
        <v>4</v>
      </c>
      <c r="AM2709" s="4">
        <v>4</v>
      </c>
      <c r="AN2709" s="4">
        <v>0</v>
      </c>
      <c r="AO2709" s="4">
        <v>0</v>
      </c>
      <c r="AP2709" s="3" t="s">
        <v>58</v>
      </c>
      <c r="AQ2709" s="3" t="s">
        <v>68</v>
      </c>
      <c r="AR2709" s="6" t="str">
        <f>HYPERLINK("http://catalog.hathitrust.org/Record/000314323","HathiTrust Record")</f>
        <v>HathiTrust Record</v>
      </c>
      <c r="AS2709" s="6" t="str">
        <f>HYPERLINK("https://creighton-primo.hosted.exlibrisgroup.com/primo-explore/search?tab=default_tab&amp;search_scope=EVERYTHING&amp;vid=01CRU&amp;lang=en_US&amp;offset=0&amp;query=any,contains,991000153419702656","Catalog Record")</f>
        <v>Catalog Record</v>
      </c>
      <c r="AT2709" s="6" t="str">
        <f>HYPERLINK("http://www.worldcat.org/oclc/9219028","WorldCat Record")</f>
        <v>WorldCat Record</v>
      </c>
      <c r="AU2709" s="3" t="s">
        <v>32989</v>
      </c>
      <c r="AV2709" s="3" t="s">
        <v>32990</v>
      </c>
      <c r="AW2709" s="3" t="s">
        <v>32991</v>
      </c>
      <c r="AX2709" s="3" t="s">
        <v>32991</v>
      </c>
      <c r="AY2709" s="3" t="s">
        <v>32992</v>
      </c>
      <c r="AZ2709" s="3" t="s">
        <v>73</v>
      </c>
      <c r="BB2709" s="3" t="s">
        <v>32993</v>
      </c>
      <c r="BC2709" s="3" t="s">
        <v>32994</v>
      </c>
      <c r="BD2709" s="3" t="s">
        <v>32995</v>
      </c>
    </row>
    <row r="2710" spans="1:56" ht="51" customHeight="1" x14ac:dyDescent="0.25">
      <c r="A2710" s="7" t="s">
        <v>58</v>
      </c>
      <c r="B2710" s="2" t="s">
        <v>32996</v>
      </c>
      <c r="C2710" s="2" t="s">
        <v>32997</v>
      </c>
      <c r="D2710" s="2" t="s">
        <v>32998</v>
      </c>
      <c r="F2710" s="3" t="s">
        <v>58</v>
      </c>
      <c r="G2710" s="3" t="s">
        <v>59</v>
      </c>
      <c r="H2710" s="3" t="s">
        <v>58</v>
      </c>
      <c r="I2710" s="3" t="s">
        <v>58</v>
      </c>
      <c r="J2710" s="3" t="s">
        <v>60</v>
      </c>
      <c r="K2710" s="2" t="s">
        <v>32406</v>
      </c>
      <c r="L2710" s="2" t="s">
        <v>32999</v>
      </c>
      <c r="M2710" s="3" t="s">
        <v>1784</v>
      </c>
      <c r="O2710" s="3" t="s">
        <v>63</v>
      </c>
      <c r="P2710" s="3" t="s">
        <v>354</v>
      </c>
      <c r="R2710" s="3" t="s">
        <v>65</v>
      </c>
      <c r="S2710" s="4">
        <v>2</v>
      </c>
      <c r="T2710" s="4">
        <v>2</v>
      </c>
      <c r="U2710" s="5" t="s">
        <v>33000</v>
      </c>
      <c r="V2710" s="5" t="s">
        <v>33000</v>
      </c>
      <c r="W2710" s="5" t="s">
        <v>32750</v>
      </c>
      <c r="X2710" s="5" t="s">
        <v>32750</v>
      </c>
      <c r="Y2710" s="4">
        <v>797</v>
      </c>
      <c r="Z2710" s="4">
        <v>728</v>
      </c>
      <c r="AA2710" s="4">
        <v>738</v>
      </c>
      <c r="AB2710" s="4">
        <v>5</v>
      </c>
      <c r="AC2710" s="4">
        <v>5</v>
      </c>
      <c r="AD2710" s="4">
        <v>36</v>
      </c>
      <c r="AE2710" s="4">
        <v>36</v>
      </c>
      <c r="AF2710" s="4">
        <v>16</v>
      </c>
      <c r="AG2710" s="4">
        <v>16</v>
      </c>
      <c r="AH2710" s="4">
        <v>6</v>
      </c>
      <c r="AI2710" s="4">
        <v>6</v>
      </c>
      <c r="AJ2710" s="4">
        <v>17</v>
      </c>
      <c r="AK2710" s="4">
        <v>17</v>
      </c>
      <c r="AL2710" s="4">
        <v>4</v>
      </c>
      <c r="AM2710" s="4">
        <v>4</v>
      </c>
      <c r="AN2710" s="4">
        <v>0</v>
      </c>
      <c r="AO2710" s="4">
        <v>0</v>
      </c>
      <c r="AP2710" s="3" t="s">
        <v>58</v>
      </c>
      <c r="AQ2710" s="3" t="s">
        <v>68</v>
      </c>
      <c r="AR2710" s="6" t="str">
        <f>HYPERLINK("http://catalog.hathitrust.org/Record/000298955","HathiTrust Record")</f>
        <v>HathiTrust Record</v>
      </c>
      <c r="AS2710" s="6" t="str">
        <f>HYPERLINK("https://creighton-primo.hosted.exlibrisgroup.com/primo-explore/search?tab=default_tab&amp;search_scope=EVERYTHING&amp;vid=01CRU&amp;lang=en_US&amp;offset=0&amp;query=any,contains,991004729309702656","Catalog Record")</f>
        <v>Catalog Record</v>
      </c>
      <c r="AT2710" s="6" t="str">
        <f>HYPERLINK("http://www.worldcat.org/oclc/4832589","WorldCat Record")</f>
        <v>WorldCat Record</v>
      </c>
      <c r="AU2710" s="3" t="s">
        <v>33001</v>
      </c>
      <c r="AV2710" s="3" t="s">
        <v>33002</v>
      </c>
      <c r="AW2710" s="3" t="s">
        <v>33003</v>
      </c>
      <c r="AX2710" s="3" t="s">
        <v>33003</v>
      </c>
      <c r="AY2710" s="3" t="s">
        <v>33004</v>
      </c>
      <c r="AZ2710" s="3" t="s">
        <v>73</v>
      </c>
      <c r="BB2710" s="3" t="s">
        <v>33005</v>
      </c>
      <c r="BC2710" s="3" t="s">
        <v>33006</v>
      </c>
      <c r="BD2710" s="3" t="s">
        <v>33007</v>
      </c>
    </row>
    <row r="2711" spans="1:56" ht="51" customHeight="1" x14ac:dyDescent="0.25">
      <c r="A2711" s="7" t="s">
        <v>58</v>
      </c>
      <c r="B2711" s="2" t="s">
        <v>33008</v>
      </c>
      <c r="C2711" s="2" t="s">
        <v>33009</v>
      </c>
      <c r="D2711" s="2" t="s">
        <v>33010</v>
      </c>
      <c r="F2711" s="3" t="s">
        <v>58</v>
      </c>
      <c r="G2711" s="3" t="s">
        <v>59</v>
      </c>
      <c r="H2711" s="3" t="s">
        <v>58</v>
      </c>
      <c r="I2711" s="3" t="s">
        <v>58</v>
      </c>
      <c r="J2711" s="3" t="s">
        <v>60</v>
      </c>
      <c r="K2711" s="2" t="s">
        <v>33011</v>
      </c>
      <c r="L2711" s="2" t="s">
        <v>33012</v>
      </c>
      <c r="M2711" s="3" t="s">
        <v>353</v>
      </c>
      <c r="O2711" s="3" t="s">
        <v>63</v>
      </c>
      <c r="P2711" s="3" t="s">
        <v>2630</v>
      </c>
      <c r="R2711" s="3" t="s">
        <v>65</v>
      </c>
      <c r="S2711" s="4">
        <v>11</v>
      </c>
      <c r="T2711" s="4">
        <v>11</v>
      </c>
      <c r="U2711" s="5" t="s">
        <v>22788</v>
      </c>
      <c r="V2711" s="5" t="s">
        <v>22788</v>
      </c>
      <c r="W2711" s="5" t="s">
        <v>32750</v>
      </c>
      <c r="X2711" s="5" t="s">
        <v>32750</v>
      </c>
      <c r="Y2711" s="4">
        <v>546</v>
      </c>
      <c r="Z2711" s="4">
        <v>474</v>
      </c>
      <c r="AA2711" s="4">
        <v>496</v>
      </c>
      <c r="AB2711" s="4">
        <v>3</v>
      </c>
      <c r="AC2711" s="4">
        <v>3</v>
      </c>
      <c r="AD2711" s="4">
        <v>19</v>
      </c>
      <c r="AE2711" s="4">
        <v>19</v>
      </c>
      <c r="AF2711" s="4">
        <v>8</v>
      </c>
      <c r="AG2711" s="4">
        <v>8</v>
      </c>
      <c r="AH2711" s="4">
        <v>5</v>
      </c>
      <c r="AI2711" s="4">
        <v>5</v>
      </c>
      <c r="AJ2711" s="4">
        <v>10</v>
      </c>
      <c r="AK2711" s="4">
        <v>10</v>
      </c>
      <c r="AL2711" s="4">
        <v>2</v>
      </c>
      <c r="AM2711" s="4">
        <v>2</v>
      </c>
      <c r="AN2711" s="4">
        <v>0</v>
      </c>
      <c r="AO2711" s="4">
        <v>0</v>
      </c>
      <c r="AP2711" s="3" t="s">
        <v>58</v>
      </c>
      <c r="AQ2711" s="3" t="s">
        <v>68</v>
      </c>
      <c r="AR2711" s="6" t="str">
        <f>HYPERLINK("http://catalog.hathitrust.org/Record/000850420","HathiTrust Record")</f>
        <v>HathiTrust Record</v>
      </c>
      <c r="AS2711" s="6" t="str">
        <f>HYPERLINK("https://creighton-primo.hosted.exlibrisgroup.com/primo-explore/search?tab=default_tab&amp;search_scope=EVERYTHING&amp;vid=01CRU&amp;lang=en_US&amp;offset=0&amp;query=any,contains,991001142049702656","Catalog Record")</f>
        <v>Catalog Record</v>
      </c>
      <c r="AT2711" s="6" t="str">
        <f>HYPERLINK("http://www.worldcat.org/oclc/16753053","WorldCat Record")</f>
        <v>WorldCat Record</v>
      </c>
      <c r="AU2711" s="3" t="s">
        <v>33013</v>
      </c>
      <c r="AV2711" s="3" t="s">
        <v>33014</v>
      </c>
      <c r="AW2711" s="3" t="s">
        <v>33015</v>
      </c>
      <c r="AX2711" s="3" t="s">
        <v>33015</v>
      </c>
      <c r="AY2711" s="3" t="s">
        <v>33016</v>
      </c>
      <c r="AZ2711" s="3" t="s">
        <v>73</v>
      </c>
      <c r="BB2711" s="3" t="s">
        <v>33017</v>
      </c>
      <c r="BC2711" s="3" t="s">
        <v>33018</v>
      </c>
      <c r="BD2711" s="3" t="s">
        <v>33019</v>
      </c>
    </row>
    <row r="2712" spans="1:56" ht="51" customHeight="1" x14ac:dyDescent="0.25">
      <c r="A2712" s="7" t="s">
        <v>58</v>
      </c>
      <c r="B2712" s="2" t="s">
        <v>33020</v>
      </c>
      <c r="C2712" s="2" t="s">
        <v>33021</v>
      </c>
      <c r="D2712" s="2" t="s">
        <v>33022</v>
      </c>
      <c r="F2712" s="3" t="s">
        <v>58</v>
      </c>
      <c r="G2712" s="3" t="s">
        <v>59</v>
      </c>
      <c r="H2712" s="3" t="s">
        <v>58</v>
      </c>
      <c r="I2712" s="3" t="s">
        <v>58</v>
      </c>
      <c r="J2712" s="3" t="s">
        <v>60</v>
      </c>
      <c r="K2712" s="2" t="s">
        <v>33023</v>
      </c>
      <c r="L2712" s="2" t="s">
        <v>33024</v>
      </c>
      <c r="M2712" s="3" t="s">
        <v>815</v>
      </c>
      <c r="O2712" s="3" t="s">
        <v>63</v>
      </c>
      <c r="P2712" s="3" t="s">
        <v>32074</v>
      </c>
      <c r="R2712" s="3" t="s">
        <v>65</v>
      </c>
      <c r="S2712" s="4">
        <v>1</v>
      </c>
      <c r="T2712" s="4">
        <v>1</v>
      </c>
      <c r="U2712" s="5" t="s">
        <v>33025</v>
      </c>
      <c r="V2712" s="5" t="s">
        <v>33025</v>
      </c>
      <c r="W2712" s="5" t="s">
        <v>33025</v>
      </c>
      <c r="X2712" s="5" t="s">
        <v>33025</v>
      </c>
      <c r="Y2712" s="4">
        <v>482</v>
      </c>
      <c r="Z2712" s="4">
        <v>382</v>
      </c>
      <c r="AA2712" s="4">
        <v>409</v>
      </c>
      <c r="AB2712" s="4">
        <v>5</v>
      </c>
      <c r="AC2712" s="4">
        <v>5</v>
      </c>
      <c r="AD2712" s="4">
        <v>18</v>
      </c>
      <c r="AE2712" s="4">
        <v>18</v>
      </c>
      <c r="AF2712" s="4">
        <v>8</v>
      </c>
      <c r="AG2712" s="4">
        <v>8</v>
      </c>
      <c r="AH2712" s="4">
        <v>4</v>
      </c>
      <c r="AI2712" s="4">
        <v>4</v>
      </c>
      <c r="AJ2712" s="4">
        <v>5</v>
      </c>
      <c r="AK2712" s="4">
        <v>5</v>
      </c>
      <c r="AL2712" s="4">
        <v>4</v>
      </c>
      <c r="AM2712" s="4">
        <v>4</v>
      </c>
      <c r="AN2712" s="4">
        <v>0</v>
      </c>
      <c r="AO2712" s="4">
        <v>0</v>
      </c>
      <c r="AP2712" s="3" t="s">
        <v>58</v>
      </c>
      <c r="AQ2712" s="3" t="s">
        <v>68</v>
      </c>
      <c r="AR2712" s="6" t="str">
        <f>HYPERLINK("http://catalog.hathitrust.org/Record/006780748","HathiTrust Record")</f>
        <v>HathiTrust Record</v>
      </c>
      <c r="AS2712" s="6" t="str">
        <f>HYPERLINK("https://creighton-primo.hosted.exlibrisgroup.com/primo-explore/search?tab=default_tab&amp;search_scope=EVERYTHING&amp;vid=01CRU&amp;lang=en_US&amp;offset=0&amp;query=any,contains,991005296959702656","Catalog Record")</f>
        <v>Catalog Record</v>
      </c>
      <c r="AT2712" s="6" t="str">
        <f>HYPERLINK("http://www.worldcat.org/oclc/277605671","WorldCat Record")</f>
        <v>WorldCat Record</v>
      </c>
      <c r="AU2712" s="3" t="s">
        <v>33026</v>
      </c>
      <c r="AV2712" s="3" t="s">
        <v>33027</v>
      </c>
      <c r="AW2712" s="3" t="s">
        <v>33028</v>
      </c>
      <c r="AX2712" s="3" t="s">
        <v>33028</v>
      </c>
      <c r="AY2712" s="3" t="s">
        <v>33029</v>
      </c>
      <c r="AZ2712" s="3" t="s">
        <v>73</v>
      </c>
      <c r="BB2712" s="3" t="s">
        <v>33030</v>
      </c>
      <c r="BC2712" s="3" t="s">
        <v>33031</v>
      </c>
      <c r="BD2712" s="3" t="s">
        <v>33032</v>
      </c>
    </row>
    <row r="2713" spans="1:56" ht="51" customHeight="1" x14ac:dyDescent="0.25">
      <c r="A2713" s="7" t="s">
        <v>58</v>
      </c>
      <c r="B2713" s="2" t="s">
        <v>33033</v>
      </c>
      <c r="C2713" s="2" t="s">
        <v>33034</v>
      </c>
      <c r="D2713" s="2" t="s">
        <v>33035</v>
      </c>
      <c r="E2713" s="3" t="s">
        <v>223</v>
      </c>
      <c r="F2713" s="3" t="s">
        <v>68</v>
      </c>
      <c r="G2713" s="3" t="s">
        <v>59</v>
      </c>
      <c r="H2713" s="3" t="s">
        <v>58</v>
      </c>
      <c r="I2713" s="3" t="s">
        <v>58</v>
      </c>
      <c r="J2713" s="3" t="s">
        <v>60</v>
      </c>
      <c r="K2713" s="2" t="s">
        <v>33036</v>
      </c>
      <c r="L2713" s="2" t="s">
        <v>33037</v>
      </c>
      <c r="M2713" s="3" t="s">
        <v>1385</v>
      </c>
      <c r="N2713" s="2" t="s">
        <v>1611</v>
      </c>
      <c r="O2713" s="3" t="s">
        <v>63</v>
      </c>
      <c r="P2713" s="3" t="s">
        <v>32074</v>
      </c>
      <c r="R2713" s="3" t="s">
        <v>65</v>
      </c>
      <c r="S2713" s="4">
        <v>1</v>
      </c>
      <c r="T2713" s="4">
        <v>3</v>
      </c>
      <c r="U2713" s="5" t="s">
        <v>33038</v>
      </c>
      <c r="V2713" s="5" t="s">
        <v>33038</v>
      </c>
      <c r="W2713" s="5" t="s">
        <v>32750</v>
      </c>
      <c r="X2713" s="5" t="s">
        <v>32750</v>
      </c>
      <c r="Y2713" s="4">
        <v>87</v>
      </c>
      <c r="Z2713" s="4">
        <v>77</v>
      </c>
      <c r="AA2713" s="4">
        <v>173</v>
      </c>
      <c r="AB2713" s="4">
        <v>1</v>
      </c>
      <c r="AC2713" s="4">
        <v>1</v>
      </c>
      <c r="AD2713" s="4">
        <v>2</v>
      </c>
      <c r="AE2713" s="4">
        <v>5</v>
      </c>
      <c r="AF2713" s="4">
        <v>1</v>
      </c>
      <c r="AG2713" s="4">
        <v>3</v>
      </c>
      <c r="AH2713" s="4">
        <v>1</v>
      </c>
      <c r="AI2713" s="4">
        <v>2</v>
      </c>
      <c r="AJ2713" s="4">
        <v>2</v>
      </c>
      <c r="AK2713" s="4">
        <v>3</v>
      </c>
      <c r="AL2713" s="4">
        <v>0</v>
      </c>
      <c r="AM2713" s="4">
        <v>0</v>
      </c>
      <c r="AN2713" s="4">
        <v>0</v>
      </c>
      <c r="AO2713" s="4">
        <v>0</v>
      </c>
      <c r="AP2713" s="3" t="s">
        <v>58</v>
      </c>
      <c r="AQ2713" s="3" t="s">
        <v>58</v>
      </c>
      <c r="AS2713" s="6" t="str">
        <f>HYPERLINK("https://creighton-primo.hosted.exlibrisgroup.com/primo-explore/search?tab=default_tab&amp;search_scope=EVERYTHING&amp;vid=01CRU&amp;lang=en_US&amp;offset=0&amp;query=any,contains,991005009879702656","Catalog Record")</f>
        <v>Catalog Record</v>
      </c>
      <c r="AT2713" s="6" t="str">
        <f>HYPERLINK("http://www.worldcat.org/oclc/6596051","WorldCat Record")</f>
        <v>WorldCat Record</v>
      </c>
      <c r="AU2713" s="3" t="s">
        <v>33039</v>
      </c>
      <c r="AV2713" s="3" t="s">
        <v>33040</v>
      </c>
      <c r="AW2713" s="3" t="s">
        <v>33041</v>
      </c>
      <c r="AX2713" s="3" t="s">
        <v>33041</v>
      </c>
      <c r="AY2713" s="3" t="s">
        <v>33042</v>
      </c>
      <c r="AZ2713" s="3" t="s">
        <v>73</v>
      </c>
      <c r="BC2713" s="3" t="s">
        <v>33043</v>
      </c>
      <c r="BD2713" s="3" t="s">
        <v>33044</v>
      </c>
    </row>
    <row r="2714" spans="1:56" ht="51" customHeight="1" x14ac:dyDescent="0.25">
      <c r="A2714" s="7" t="s">
        <v>58</v>
      </c>
      <c r="B2714" s="2" t="s">
        <v>33033</v>
      </c>
      <c r="C2714" s="2" t="s">
        <v>33034</v>
      </c>
      <c r="D2714" s="2" t="s">
        <v>33035</v>
      </c>
      <c r="E2714" s="3" t="s">
        <v>210</v>
      </c>
      <c r="F2714" s="3" t="s">
        <v>68</v>
      </c>
      <c r="G2714" s="3" t="s">
        <v>59</v>
      </c>
      <c r="H2714" s="3" t="s">
        <v>58</v>
      </c>
      <c r="I2714" s="3" t="s">
        <v>58</v>
      </c>
      <c r="J2714" s="3" t="s">
        <v>60</v>
      </c>
      <c r="K2714" s="2" t="s">
        <v>33036</v>
      </c>
      <c r="L2714" s="2" t="s">
        <v>33037</v>
      </c>
      <c r="M2714" s="3" t="s">
        <v>1385</v>
      </c>
      <c r="N2714" s="2" t="s">
        <v>1611</v>
      </c>
      <c r="O2714" s="3" t="s">
        <v>63</v>
      </c>
      <c r="P2714" s="3" t="s">
        <v>32074</v>
      </c>
      <c r="R2714" s="3" t="s">
        <v>65</v>
      </c>
      <c r="S2714" s="4">
        <v>2</v>
      </c>
      <c r="T2714" s="4">
        <v>3</v>
      </c>
      <c r="U2714" s="5" t="s">
        <v>33038</v>
      </c>
      <c r="V2714" s="5" t="s">
        <v>33038</v>
      </c>
      <c r="W2714" s="5" t="s">
        <v>32750</v>
      </c>
      <c r="X2714" s="5" t="s">
        <v>32750</v>
      </c>
      <c r="Y2714" s="4">
        <v>87</v>
      </c>
      <c r="Z2714" s="4">
        <v>77</v>
      </c>
      <c r="AA2714" s="4">
        <v>173</v>
      </c>
      <c r="AB2714" s="4">
        <v>1</v>
      </c>
      <c r="AC2714" s="4">
        <v>1</v>
      </c>
      <c r="AD2714" s="4">
        <v>2</v>
      </c>
      <c r="AE2714" s="4">
        <v>5</v>
      </c>
      <c r="AF2714" s="4">
        <v>1</v>
      </c>
      <c r="AG2714" s="4">
        <v>3</v>
      </c>
      <c r="AH2714" s="4">
        <v>1</v>
      </c>
      <c r="AI2714" s="4">
        <v>2</v>
      </c>
      <c r="AJ2714" s="4">
        <v>2</v>
      </c>
      <c r="AK2714" s="4">
        <v>3</v>
      </c>
      <c r="AL2714" s="4">
        <v>0</v>
      </c>
      <c r="AM2714" s="4">
        <v>0</v>
      </c>
      <c r="AN2714" s="4">
        <v>0</v>
      </c>
      <c r="AO2714" s="4">
        <v>0</v>
      </c>
      <c r="AP2714" s="3" t="s">
        <v>58</v>
      </c>
      <c r="AQ2714" s="3" t="s">
        <v>58</v>
      </c>
      <c r="AS2714" s="6" t="str">
        <f>HYPERLINK("https://creighton-primo.hosted.exlibrisgroup.com/primo-explore/search?tab=default_tab&amp;search_scope=EVERYTHING&amp;vid=01CRU&amp;lang=en_US&amp;offset=0&amp;query=any,contains,991005009879702656","Catalog Record")</f>
        <v>Catalog Record</v>
      </c>
      <c r="AT2714" s="6" t="str">
        <f>HYPERLINK("http://www.worldcat.org/oclc/6596051","WorldCat Record")</f>
        <v>WorldCat Record</v>
      </c>
      <c r="AU2714" s="3" t="s">
        <v>33039</v>
      </c>
      <c r="AV2714" s="3" t="s">
        <v>33040</v>
      </c>
      <c r="AW2714" s="3" t="s">
        <v>33041</v>
      </c>
      <c r="AX2714" s="3" t="s">
        <v>33041</v>
      </c>
      <c r="AY2714" s="3" t="s">
        <v>33042</v>
      </c>
      <c r="AZ2714" s="3" t="s">
        <v>73</v>
      </c>
      <c r="BC2714" s="3" t="s">
        <v>33045</v>
      </c>
      <c r="BD2714" s="3" t="s">
        <v>33046</v>
      </c>
    </row>
    <row r="2715" spans="1:56" ht="51" customHeight="1" x14ac:dyDescent="0.25">
      <c r="A2715" s="7" t="s">
        <v>58</v>
      </c>
      <c r="B2715" s="2" t="s">
        <v>33047</v>
      </c>
      <c r="C2715" s="2" t="s">
        <v>33048</v>
      </c>
      <c r="D2715" s="2" t="s">
        <v>33049</v>
      </c>
      <c r="F2715" s="3" t="s">
        <v>58</v>
      </c>
      <c r="G2715" s="3" t="s">
        <v>59</v>
      </c>
      <c r="H2715" s="3" t="s">
        <v>58</v>
      </c>
      <c r="I2715" s="3" t="s">
        <v>58</v>
      </c>
      <c r="J2715" s="3" t="s">
        <v>60</v>
      </c>
      <c r="K2715" s="2" t="s">
        <v>33050</v>
      </c>
      <c r="L2715" s="2" t="s">
        <v>33051</v>
      </c>
      <c r="M2715" s="3" t="s">
        <v>101</v>
      </c>
      <c r="O2715" s="3" t="s">
        <v>63</v>
      </c>
      <c r="P2715" s="3" t="s">
        <v>571</v>
      </c>
      <c r="R2715" s="3" t="s">
        <v>65</v>
      </c>
      <c r="S2715" s="4">
        <v>2</v>
      </c>
      <c r="T2715" s="4">
        <v>2</v>
      </c>
      <c r="U2715" s="5" t="s">
        <v>12995</v>
      </c>
      <c r="V2715" s="5" t="s">
        <v>12995</v>
      </c>
      <c r="W2715" s="5" t="s">
        <v>23660</v>
      </c>
      <c r="X2715" s="5" t="s">
        <v>23660</v>
      </c>
      <c r="Y2715" s="4">
        <v>63</v>
      </c>
      <c r="Z2715" s="4">
        <v>43</v>
      </c>
      <c r="AA2715" s="4">
        <v>53</v>
      </c>
      <c r="AB2715" s="4">
        <v>2</v>
      </c>
      <c r="AC2715" s="4">
        <v>2</v>
      </c>
      <c r="AD2715" s="4">
        <v>1</v>
      </c>
      <c r="AE2715" s="4">
        <v>1</v>
      </c>
      <c r="AF2715" s="4">
        <v>0</v>
      </c>
      <c r="AG2715" s="4">
        <v>0</v>
      </c>
      <c r="AH2715" s="4">
        <v>0</v>
      </c>
      <c r="AI2715" s="4">
        <v>0</v>
      </c>
      <c r="AJ2715" s="4">
        <v>0</v>
      </c>
      <c r="AK2715" s="4">
        <v>0</v>
      </c>
      <c r="AL2715" s="4">
        <v>1</v>
      </c>
      <c r="AM2715" s="4">
        <v>1</v>
      </c>
      <c r="AN2715" s="4">
        <v>0</v>
      </c>
      <c r="AO2715" s="4">
        <v>0</v>
      </c>
      <c r="AP2715" s="3" t="s">
        <v>58</v>
      </c>
      <c r="AQ2715" s="3" t="s">
        <v>58</v>
      </c>
      <c r="AS2715" s="6" t="str">
        <f>HYPERLINK("https://creighton-primo.hosted.exlibrisgroup.com/primo-explore/search?tab=default_tab&amp;search_scope=EVERYTHING&amp;vid=01CRU&amp;lang=en_US&amp;offset=0&amp;query=any,contains,991000688279702656","Catalog Record")</f>
        <v>Catalog Record</v>
      </c>
      <c r="AT2715" s="6" t="str">
        <f>HYPERLINK("http://www.worldcat.org/oclc/12422333","WorldCat Record")</f>
        <v>WorldCat Record</v>
      </c>
      <c r="AU2715" s="3" t="s">
        <v>33052</v>
      </c>
      <c r="AV2715" s="3" t="s">
        <v>33053</v>
      </c>
      <c r="AW2715" s="3" t="s">
        <v>33054</v>
      </c>
      <c r="AX2715" s="3" t="s">
        <v>33054</v>
      </c>
      <c r="AY2715" s="3" t="s">
        <v>33055</v>
      </c>
      <c r="AZ2715" s="3" t="s">
        <v>73</v>
      </c>
      <c r="BC2715" s="3" t="s">
        <v>33056</v>
      </c>
      <c r="BD2715" s="3" t="s">
        <v>33057</v>
      </c>
    </row>
    <row r="2716" spans="1:56" ht="51" customHeight="1" x14ac:dyDescent="0.25">
      <c r="A2716" s="7" t="s">
        <v>58</v>
      </c>
      <c r="B2716" s="2" t="s">
        <v>33058</v>
      </c>
      <c r="C2716" s="2" t="s">
        <v>33059</v>
      </c>
      <c r="D2716" s="2" t="s">
        <v>33060</v>
      </c>
      <c r="F2716" s="3" t="s">
        <v>58</v>
      </c>
      <c r="G2716" s="3" t="s">
        <v>59</v>
      </c>
      <c r="H2716" s="3" t="s">
        <v>58</v>
      </c>
      <c r="I2716" s="3" t="s">
        <v>58</v>
      </c>
      <c r="J2716" s="3" t="s">
        <v>60</v>
      </c>
      <c r="K2716" s="2" t="s">
        <v>32358</v>
      </c>
      <c r="L2716" s="2" t="s">
        <v>33061</v>
      </c>
      <c r="M2716" s="3" t="s">
        <v>183</v>
      </c>
      <c r="N2716" s="2" t="s">
        <v>1611</v>
      </c>
      <c r="O2716" s="3" t="s">
        <v>63</v>
      </c>
      <c r="P2716" s="3" t="s">
        <v>33062</v>
      </c>
      <c r="R2716" s="3" t="s">
        <v>65</v>
      </c>
      <c r="S2716" s="4">
        <v>2</v>
      </c>
      <c r="T2716" s="4">
        <v>2</v>
      </c>
      <c r="U2716" s="5" t="s">
        <v>25307</v>
      </c>
      <c r="V2716" s="5" t="s">
        <v>25307</v>
      </c>
      <c r="W2716" s="5" t="s">
        <v>32750</v>
      </c>
      <c r="X2716" s="5" t="s">
        <v>32750</v>
      </c>
      <c r="Y2716" s="4">
        <v>12</v>
      </c>
      <c r="Z2716" s="4">
        <v>7</v>
      </c>
      <c r="AA2716" s="4">
        <v>27</v>
      </c>
      <c r="AB2716" s="4">
        <v>1</v>
      </c>
      <c r="AC2716" s="4">
        <v>1</v>
      </c>
      <c r="AD2716" s="4">
        <v>0</v>
      </c>
      <c r="AE2716" s="4">
        <v>1</v>
      </c>
      <c r="AF2716" s="4">
        <v>0</v>
      </c>
      <c r="AG2716" s="4">
        <v>0</v>
      </c>
      <c r="AH2716" s="4">
        <v>0</v>
      </c>
      <c r="AI2716" s="4">
        <v>1</v>
      </c>
      <c r="AJ2716" s="4">
        <v>0</v>
      </c>
      <c r="AK2716" s="4">
        <v>1</v>
      </c>
      <c r="AL2716" s="4">
        <v>0</v>
      </c>
      <c r="AM2716" s="4">
        <v>0</v>
      </c>
      <c r="AN2716" s="4">
        <v>0</v>
      </c>
      <c r="AO2716" s="4">
        <v>0</v>
      </c>
      <c r="AP2716" s="3" t="s">
        <v>58</v>
      </c>
      <c r="AQ2716" s="3" t="s">
        <v>58</v>
      </c>
      <c r="AS2716" s="6" t="str">
        <f>HYPERLINK("https://creighton-primo.hosted.exlibrisgroup.com/primo-explore/search?tab=default_tab&amp;search_scope=EVERYTHING&amp;vid=01CRU&amp;lang=en_US&amp;offset=0&amp;query=any,contains,991004586289702656","Catalog Record")</f>
        <v>Catalog Record</v>
      </c>
      <c r="AT2716" s="6" t="str">
        <f>HYPERLINK("http://www.worldcat.org/oclc/4090003","WorldCat Record")</f>
        <v>WorldCat Record</v>
      </c>
      <c r="AU2716" s="3" t="s">
        <v>33063</v>
      </c>
      <c r="AV2716" s="3" t="s">
        <v>33064</v>
      </c>
      <c r="AW2716" s="3" t="s">
        <v>33065</v>
      </c>
      <c r="AX2716" s="3" t="s">
        <v>33065</v>
      </c>
      <c r="AY2716" s="3" t="s">
        <v>33066</v>
      </c>
      <c r="AZ2716" s="3" t="s">
        <v>73</v>
      </c>
      <c r="BC2716" s="3" t="s">
        <v>33067</v>
      </c>
      <c r="BD2716" s="3" t="s">
        <v>33068</v>
      </c>
    </row>
    <row r="2717" spans="1:56" ht="51" customHeight="1" x14ac:dyDescent="0.25">
      <c r="A2717" s="7" t="s">
        <v>58</v>
      </c>
      <c r="B2717" s="2" t="s">
        <v>33069</v>
      </c>
      <c r="C2717" s="2" t="s">
        <v>33070</v>
      </c>
      <c r="D2717" s="2" t="s">
        <v>33071</v>
      </c>
      <c r="F2717" s="3" t="s">
        <v>58</v>
      </c>
      <c r="G2717" s="3" t="s">
        <v>59</v>
      </c>
      <c r="H2717" s="3" t="s">
        <v>58</v>
      </c>
      <c r="I2717" s="3" t="s">
        <v>58</v>
      </c>
      <c r="J2717" s="3" t="s">
        <v>60</v>
      </c>
      <c r="K2717" s="2" t="s">
        <v>33072</v>
      </c>
      <c r="L2717" s="2" t="s">
        <v>33073</v>
      </c>
      <c r="M2717" s="3" t="s">
        <v>2214</v>
      </c>
      <c r="O2717" s="3" t="s">
        <v>63</v>
      </c>
      <c r="P2717" s="3" t="s">
        <v>584</v>
      </c>
      <c r="R2717" s="3" t="s">
        <v>65</v>
      </c>
      <c r="S2717" s="4">
        <v>2</v>
      </c>
      <c r="T2717" s="4">
        <v>2</v>
      </c>
      <c r="U2717" s="5" t="s">
        <v>14111</v>
      </c>
      <c r="V2717" s="5" t="s">
        <v>14111</v>
      </c>
      <c r="W2717" s="5" t="s">
        <v>14111</v>
      </c>
      <c r="X2717" s="5" t="s">
        <v>14111</v>
      </c>
      <c r="Y2717" s="4">
        <v>367</v>
      </c>
      <c r="Z2717" s="4">
        <v>266</v>
      </c>
      <c r="AA2717" s="4">
        <v>378</v>
      </c>
      <c r="AB2717" s="4">
        <v>2</v>
      </c>
      <c r="AC2717" s="4">
        <v>3</v>
      </c>
      <c r="AD2717" s="4">
        <v>15</v>
      </c>
      <c r="AE2717" s="4">
        <v>20</v>
      </c>
      <c r="AF2717" s="4">
        <v>6</v>
      </c>
      <c r="AG2717" s="4">
        <v>7</v>
      </c>
      <c r="AH2717" s="4">
        <v>4</v>
      </c>
      <c r="AI2717" s="4">
        <v>6</v>
      </c>
      <c r="AJ2717" s="4">
        <v>9</v>
      </c>
      <c r="AK2717" s="4">
        <v>10</v>
      </c>
      <c r="AL2717" s="4">
        <v>1</v>
      </c>
      <c r="AM2717" s="4">
        <v>2</v>
      </c>
      <c r="AN2717" s="4">
        <v>0</v>
      </c>
      <c r="AO2717" s="4">
        <v>0</v>
      </c>
      <c r="AP2717" s="3" t="s">
        <v>58</v>
      </c>
      <c r="AQ2717" s="3" t="s">
        <v>68</v>
      </c>
      <c r="AR2717" s="6" t="str">
        <f>HYPERLINK("http://catalog.hathitrust.org/Record/004959467","HathiTrust Record")</f>
        <v>HathiTrust Record</v>
      </c>
      <c r="AS2717" s="6" t="str">
        <f>HYPERLINK("https://creighton-primo.hosted.exlibrisgroup.com/primo-explore/search?tab=default_tab&amp;search_scope=EVERYTHING&amp;vid=01CRU&amp;lang=en_US&amp;offset=0&amp;query=any,contains,991004547739702656","Catalog Record")</f>
        <v>Catalog Record</v>
      </c>
      <c r="AT2717" s="6" t="str">
        <f>HYPERLINK("http://www.worldcat.org/oclc/54960606","WorldCat Record")</f>
        <v>WorldCat Record</v>
      </c>
      <c r="AU2717" s="3" t="s">
        <v>33074</v>
      </c>
      <c r="AV2717" s="3" t="s">
        <v>33075</v>
      </c>
      <c r="AW2717" s="3" t="s">
        <v>33076</v>
      </c>
      <c r="AX2717" s="3" t="s">
        <v>33076</v>
      </c>
      <c r="AY2717" s="3" t="s">
        <v>33077</v>
      </c>
      <c r="AZ2717" s="3" t="s">
        <v>73</v>
      </c>
      <c r="BB2717" s="3" t="s">
        <v>33078</v>
      </c>
      <c r="BC2717" s="3" t="s">
        <v>33079</v>
      </c>
      <c r="BD2717" s="3" t="s">
        <v>33080</v>
      </c>
    </row>
    <row r="2718" spans="1:56" ht="51" customHeight="1" x14ac:dyDescent="0.25">
      <c r="A2718" s="7" t="s">
        <v>58</v>
      </c>
      <c r="B2718" s="2" t="s">
        <v>33081</v>
      </c>
      <c r="C2718" s="2" t="s">
        <v>33082</v>
      </c>
      <c r="D2718" s="2" t="s">
        <v>33083</v>
      </c>
      <c r="F2718" s="3" t="s">
        <v>58</v>
      </c>
      <c r="G2718" s="3" t="s">
        <v>59</v>
      </c>
      <c r="H2718" s="3" t="s">
        <v>58</v>
      </c>
      <c r="I2718" s="3" t="s">
        <v>58</v>
      </c>
      <c r="J2718" s="3" t="s">
        <v>60</v>
      </c>
      <c r="K2718" s="2" t="s">
        <v>33084</v>
      </c>
      <c r="L2718" s="2" t="s">
        <v>16710</v>
      </c>
      <c r="M2718" s="3" t="s">
        <v>83</v>
      </c>
      <c r="O2718" s="3" t="s">
        <v>63</v>
      </c>
      <c r="P2718" s="3" t="s">
        <v>16711</v>
      </c>
      <c r="R2718" s="3" t="s">
        <v>65</v>
      </c>
      <c r="S2718" s="4">
        <v>3</v>
      </c>
      <c r="T2718" s="4">
        <v>3</v>
      </c>
      <c r="U2718" s="5" t="s">
        <v>33085</v>
      </c>
      <c r="V2718" s="5" t="s">
        <v>33085</v>
      </c>
      <c r="W2718" s="5" t="s">
        <v>32750</v>
      </c>
      <c r="X2718" s="5" t="s">
        <v>32750</v>
      </c>
      <c r="Y2718" s="4">
        <v>432</v>
      </c>
      <c r="Z2718" s="4">
        <v>352</v>
      </c>
      <c r="AA2718" s="4">
        <v>360</v>
      </c>
      <c r="AB2718" s="4">
        <v>4</v>
      </c>
      <c r="AC2718" s="4">
        <v>4</v>
      </c>
      <c r="AD2718" s="4">
        <v>17</v>
      </c>
      <c r="AE2718" s="4">
        <v>17</v>
      </c>
      <c r="AF2718" s="4">
        <v>4</v>
      </c>
      <c r="AG2718" s="4">
        <v>4</v>
      </c>
      <c r="AH2718" s="4">
        <v>5</v>
      </c>
      <c r="AI2718" s="4">
        <v>5</v>
      </c>
      <c r="AJ2718" s="4">
        <v>8</v>
      </c>
      <c r="AK2718" s="4">
        <v>8</v>
      </c>
      <c r="AL2718" s="4">
        <v>3</v>
      </c>
      <c r="AM2718" s="4">
        <v>3</v>
      </c>
      <c r="AN2718" s="4">
        <v>0</v>
      </c>
      <c r="AO2718" s="4">
        <v>0</v>
      </c>
      <c r="AP2718" s="3" t="s">
        <v>58</v>
      </c>
      <c r="AQ2718" s="3" t="s">
        <v>68</v>
      </c>
      <c r="AR2718" s="6" t="str">
        <f>HYPERLINK("http://catalog.hathitrust.org/Record/000082958","HathiTrust Record")</f>
        <v>HathiTrust Record</v>
      </c>
      <c r="AS2718" s="6" t="str">
        <f>HYPERLINK("https://creighton-primo.hosted.exlibrisgroup.com/primo-explore/search?tab=default_tab&amp;search_scope=EVERYTHING&amp;vid=01CRU&amp;lang=en_US&amp;offset=0&amp;query=any,contains,991004144969702656","Catalog Record")</f>
        <v>Catalog Record</v>
      </c>
      <c r="AT2718" s="6" t="str">
        <f>HYPERLINK("http://www.worldcat.org/oclc/2508036","WorldCat Record")</f>
        <v>WorldCat Record</v>
      </c>
      <c r="AU2718" s="3" t="s">
        <v>33086</v>
      </c>
      <c r="AV2718" s="3" t="s">
        <v>33087</v>
      </c>
      <c r="AW2718" s="3" t="s">
        <v>33088</v>
      </c>
      <c r="AX2718" s="3" t="s">
        <v>33088</v>
      </c>
      <c r="AY2718" s="3" t="s">
        <v>33089</v>
      </c>
      <c r="AZ2718" s="3" t="s">
        <v>73</v>
      </c>
      <c r="BB2718" s="3" t="s">
        <v>33090</v>
      </c>
      <c r="BC2718" s="3" t="s">
        <v>33091</v>
      </c>
      <c r="BD2718" s="3" t="s">
        <v>33092</v>
      </c>
    </row>
    <row r="2719" spans="1:56" ht="51" customHeight="1" x14ac:dyDescent="0.25">
      <c r="A2719" s="7" t="s">
        <v>58</v>
      </c>
      <c r="B2719" s="2" t="s">
        <v>33093</v>
      </c>
      <c r="C2719" s="2" t="s">
        <v>33094</v>
      </c>
      <c r="D2719" s="2" t="s">
        <v>33095</v>
      </c>
      <c r="F2719" s="3" t="s">
        <v>58</v>
      </c>
      <c r="G2719" s="3" t="s">
        <v>59</v>
      </c>
      <c r="H2719" s="3" t="s">
        <v>58</v>
      </c>
      <c r="I2719" s="3" t="s">
        <v>58</v>
      </c>
      <c r="J2719" s="3" t="s">
        <v>60</v>
      </c>
      <c r="K2719" s="2" t="s">
        <v>33096</v>
      </c>
      <c r="L2719" s="2" t="s">
        <v>33097</v>
      </c>
      <c r="M2719" s="3" t="s">
        <v>337</v>
      </c>
      <c r="O2719" s="3" t="s">
        <v>63</v>
      </c>
      <c r="P2719" s="3" t="s">
        <v>354</v>
      </c>
      <c r="R2719" s="3" t="s">
        <v>65</v>
      </c>
      <c r="S2719" s="4">
        <v>3</v>
      </c>
      <c r="T2719" s="4">
        <v>3</v>
      </c>
      <c r="U2719" s="5" t="s">
        <v>33098</v>
      </c>
      <c r="V2719" s="5" t="s">
        <v>33098</v>
      </c>
      <c r="W2719" s="5" t="s">
        <v>13640</v>
      </c>
      <c r="X2719" s="5" t="s">
        <v>13640</v>
      </c>
      <c r="Y2719" s="4">
        <v>427</v>
      </c>
      <c r="Z2719" s="4">
        <v>370</v>
      </c>
      <c r="AA2719" s="4">
        <v>398</v>
      </c>
      <c r="AB2719" s="4">
        <v>2</v>
      </c>
      <c r="AC2719" s="4">
        <v>2</v>
      </c>
      <c r="AD2719" s="4">
        <v>18</v>
      </c>
      <c r="AE2719" s="4">
        <v>20</v>
      </c>
      <c r="AF2719" s="4">
        <v>11</v>
      </c>
      <c r="AG2719" s="4">
        <v>11</v>
      </c>
      <c r="AH2719" s="4">
        <v>6</v>
      </c>
      <c r="AI2719" s="4">
        <v>7</v>
      </c>
      <c r="AJ2719" s="4">
        <v>8</v>
      </c>
      <c r="AK2719" s="4">
        <v>10</v>
      </c>
      <c r="AL2719" s="4">
        <v>1</v>
      </c>
      <c r="AM2719" s="4">
        <v>1</v>
      </c>
      <c r="AN2719" s="4">
        <v>0</v>
      </c>
      <c r="AO2719" s="4">
        <v>0</v>
      </c>
      <c r="AP2719" s="3" t="s">
        <v>58</v>
      </c>
      <c r="AQ2719" s="3" t="s">
        <v>58</v>
      </c>
      <c r="AS2719" s="6" t="str">
        <f>HYPERLINK("https://creighton-primo.hosted.exlibrisgroup.com/primo-explore/search?tab=default_tab&amp;search_scope=EVERYTHING&amp;vid=01CRU&amp;lang=en_US&amp;offset=0&amp;query=any,contains,991003968819702656","Catalog Record")</f>
        <v>Catalog Record</v>
      </c>
      <c r="AT2719" s="6" t="str">
        <f>HYPERLINK("http://www.worldcat.org/oclc/48170675","WorldCat Record")</f>
        <v>WorldCat Record</v>
      </c>
      <c r="AU2719" s="3" t="s">
        <v>33099</v>
      </c>
      <c r="AV2719" s="3" t="s">
        <v>33100</v>
      </c>
      <c r="AW2719" s="3" t="s">
        <v>33101</v>
      </c>
      <c r="AX2719" s="3" t="s">
        <v>33101</v>
      </c>
      <c r="AY2719" s="3" t="s">
        <v>33102</v>
      </c>
      <c r="AZ2719" s="3" t="s">
        <v>73</v>
      </c>
      <c r="BB2719" s="3" t="s">
        <v>33103</v>
      </c>
      <c r="BC2719" s="3" t="s">
        <v>33104</v>
      </c>
      <c r="BD2719" s="3" t="s">
        <v>33105</v>
      </c>
    </row>
    <row r="2720" spans="1:56" ht="51" customHeight="1" x14ac:dyDescent="0.25">
      <c r="A2720" s="7" t="s">
        <v>58</v>
      </c>
      <c r="B2720" s="2" t="s">
        <v>33106</v>
      </c>
      <c r="C2720" s="2" t="s">
        <v>33107</v>
      </c>
      <c r="D2720" s="2" t="s">
        <v>33108</v>
      </c>
      <c r="F2720" s="3" t="s">
        <v>58</v>
      </c>
      <c r="G2720" s="3" t="s">
        <v>59</v>
      </c>
      <c r="H2720" s="3" t="s">
        <v>58</v>
      </c>
      <c r="I2720" s="3" t="s">
        <v>58</v>
      </c>
      <c r="J2720" s="3" t="s">
        <v>60</v>
      </c>
      <c r="L2720" s="2" t="s">
        <v>33109</v>
      </c>
      <c r="M2720" s="3" t="s">
        <v>1061</v>
      </c>
      <c r="O2720" s="3" t="s">
        <v>63</v>
      </c>
      <c r="P2720" s="3" t="s">
        <v>2061</v>
      </c>
      <c r="Q2720" s="2" t="s">
        <v>33110</v>
      </c>
      <c r="R2720" s="3" t="s">
        <v>65</v>
      </c>
      <c r="S2720" s="4">
        <v>5</v>
      </c>
      <c r="T2720" s="4">
        <v>5</v>
      </c>
      <c r="U2720" s="5" t="s">
        <v>32945</v>
      </c>
      <c r="V2720" s="5" t="s">
        <v>32945</v>
      </c>
      <c r="W2720" s="5" t="s">
        <v>33111</v>
      </c>
      <c r="X2720" s="5" t="s">
        <v>33111</v>
      </c>
      <c r="Y2720" s="4">
        <v>312</v>
      </c>
      <c r="Z2720" s="4">
        <v>251</v>
      </c>
      <c r="AA2720" s="4">
        <v>258</v>
      </c>
      <c r="AB2720" s="4">
        <v>4</v>
      </c>
      <c r="AC2720" s="4">
        <v>4</v>
      </c>
      <c r="AD2720" s="4">
        <v>17</v>
      </c>
      <c r="AE2720" s="4">
        <v>17</v>
      </c>
      <c r="AF2720" s="4">
        <v>6</v>
      </c>
      <c r="AG2720" s="4">
        <v>6</v>
      </c>
      <c r="AH2720" s="4">
        <v>5</v>
      </c>
      <c r="AI2720" s="4">
        <v>5</v>
      </c>
      <c r="AJ2720" s="4">
        <v>9</v>
      </c>
      <c r="AK2720" s="4">
        <v>9</v>
      </c>
      <c r="AL2720" s="4">
        <v>3</v>
      </c>
      <c r="AM2720" s="4">
        <v>3</v>
      </c>
      <c r="AN2720" s="4">
        <v>0</v>
      </c>
      <c r="AO2720" s="4">
        <v>0</v>
      </c>
      <c r="AP2720" s="3" t="s">
        <v>58</v>
      </c>
      <c r="AQ2720" s="3" t="s">
        <v>68</v>
      </c>
      <c r="AR2720" s="6" t="str">
        <f>HYPERLINK("http://catalog.hathitrust.org/Record/003172291","HathiTrust Record")</f>
        <v>HathiTrust Record</v>
      </c>
      <c r="AS2720" s="6" t="str">
        <f>HYPERLINK("https://creighton-primo.hosted.exlibrisgroup.com/primo-explore/search?tab=default_tab&amp;search_scope=EVERYTHING&amp;vid=01CRU&amp;lang=en_US&amp;offset=0&amp;query=any,contains,991002704959702656","Catalog Record")</f>
        <v>Catalog Record</v>
      </c>
      <c r="AT2720" s="6" t="str">
        <f>HYPERLINK("http://www.worldcat.org/oclc/35317786","WorldCat Record")</f>
        <v>WorldCat Record</v>
      </c>
      <c r="AU2720" s="3" t="s">
        <v>33112</v>
      </c>
      <c r="AV2720" s="3" t="s">
        <v>33113</v>
      </c>
      <c r="AW2720" s="3" t="s">
        <v>33114</v>
      </c>
      <c r="AX2720" s="3" t="s">
        <v>33114</v>
      </c>
      <c r="AY2720" s="3" t="s">
        <v>33115</v>
      </c>
      <c r="AZ2720" s="3" t="s">
        <v>73</v>
      </c>
      <c r="BB2720" s="3" t="s">
        <v>33116</v>
      </c>
      <c r="BC2720" s="3" t="s">
        <v>33117</v>
      </c>
      <c r="BD2720" s="3" t="s">
        <v>33118</v>
      </c>
    </row>
    <row r="2721" spans="1:56" ht="51" customHeight="1" x14ac:dyDescent="0.25">
      <c r="A2721" s="7" t="s">
        <v>58</v>
      </c>
      <c r="B2721" s="2" t="s">
        <v>33119</v>
      </c>
      <c r="C2721" s="2" t="s">
        <v>33120</v>
      </c>
      <c r="D2721" s="2" t="s">
        <v>33121</v>
      </c>
      <c r="F2721" s="3" t="s">
        <v>58</v>
      </c>
      <c r="G2721" s="3" t="s">
        <v>59</v>
      </c>
      <c r="H2721" s="3" t="s">
        <v>58</v>
      </c>
      <c r="I2721" s="3" t="s">
        <v>58</v>
      </c>
      <c r="J2721" s="3" t="s">
        <v>60</v>
      </c>
      <c r="K2721" s="2" t="s">
        <v>33122</v>
      </c>
      <c r="L2721" s="2" t="s">
        <v>33123</v>
      </c>
      <c r="M2721" s="3" t="s">
        <v>2295</v>
      </c>
      <c r="O2721" s="3" t="s">
        <v>63</v>
      </c>
      <c r="P2721" s="3" t="s">
        <v>214</v>
      </c>
      <c r="Q2721" s="2" t="s">
        <v>24798</v>
      </c>
      <c r="R2721" s="3" t="s">
        <v>65</v>
      </c>
      <c r="S2721" s="4">
        <v>3</v>
      </c>
      <c r="T2721" s="4">
        <v>3</v>
      </c>
      <c r="U2721" s="5" t="s">
        <v>33124</v>
      </c>
      <c r="V2721" s="5" t="s">
        <v>33124</v>
      </c>
      <c r="W2721" s="5" t="s">
        <v>11428</v>
      </c>
      <c r="X2721" s="5" t="s">
        <v>11428</v>
      </c>
      <c r="Y2721" s="4">
        <v>561</v>
      </c>
      <c r="Z2721" s="4">
        <v>471</v>
      </c>
      <c r="AA2721" s="4">
        <v>935</v>
      </c>
      <c r="AB2721" s="4">
        <v>3</v>
      </c>
      <c r="AC2721" s="4">
        <v>8</v>
      </c>
      <c r="AD2721" s="4">
        <v>26</v>
      </c>
      <c r="AE2721" s="4">
        <v>43</v>
      </c>
      <c r="AF2721" s="4">
        <v>11</v>
      </c>
      <c r="AG2721" s="4">
        <v>17</v>
      </c>
      <c r="AH2721" s="4">
        <v>8</v>
      </c>
      <c r="AI2721" s="4">
        <v>10</v>
      </c>
      <c r="AJ2721" s="4">
        <v>15</v>
      </c>
      <c r="AK2721" s="4">
        <v>19</v>
      </c>
      <c r="AL2721" s="4">
        <v>2</v>
      </c>
      <c r="AM2721" s="4">
        <v>6</v>
      </c>
      <c r="AN2721" s="4">
        <v>0</v>
      </c>
      <c r="AO2721" s="4">
        <v>1</v>
      </c>
      <c r="AP2721" s="3" t="s">
        <v>58</v>
      </c>
      <c r="AQ2721" s="3" t="s">
        <v>68</v>
      </c>
      <c r="AR2721" s="6" t="str">
        <f>HYPERLINK("http://catalog.hathitrust.org/Record/003800472","HathiTrust Record")</f>
        <v>HathiTrust Record</v>
      </c>
      <c r="AS2721" s="6" t="str">
        <f>HYPERLINK("https://creighton-primo.hosted.exlibrisgroup.com/primo-explore/search?tab=default_tab&amp;search_scope=EVERYTHING&amp;vid=01CRU&amp;lang=en_US&amp;offset=0&amp;query=any,contains,991003977319702656","Catalog Record")</f>
        <v>Catalog Record</v>
      </c>
      <c r="AT2721" s="6" t="str">
        <f>HYPERLINK("http://www.worldcat.org/oclc/49891551","WorldCat Record")</f>
        <v>WorldCat Record</v>
      </c>
      <c r="AU2721" s="3" t="s">
        <v>33125</v>
      </c>
      <c r="AV2721" s="3" t="s">
        <v>33126</v>
      </c>
      <c r="AW2721" s="3" t="s">
        <v>33127</v>
      </c>
      <c r="AX2721" s="3" t="s">
        <v>33127</v>
      </c>
      <c r="AY2721" s="3" t="s">
        <v>33128</v>
      </c>
      <c r="AZ2721" s="3" t="s">
        <v>73</v>
      </c>
      <c r="BB2721" s="3" t="s">
        <v>33129</v>
      </c>
      <c r="BC2721" s="3" t="s">
        <v>33130</v>
      </c>
      <c r="BD2721" s="3" t="s">
        <v>33131</v>
      </c>
    </row>
    <row r="2722" spans="1:56" ht="51" customHeight="1" x14ac:dyDescent="0.25">
      <c r="A2722" s="7" t="s">
        <v>58</v>
      </c>
      <c r="B2722" s="2" t="s">
        <v>33132</v>
      </c>
      <c r="C2722" s="2" t="s">
        <v>33133</v>
      </c>
      <c r="D2722" s="2" t="s">
        <v>33134</v>
      </c>
      <c r="F2722" s="3" t="s">
        <v>58</v>
      </c>
      <c r="G2722" s="3" t="s">
        <v>59</v>
      </c>
      <c r="H2722" s="3" t="s">
        <v>58</v>
      </c>
      <c r="I2722" s="3" t="s">
        <v>58</v>
      </c>
      <c r="J2722" s="3" t="s">
        <v>60</v>
      </c>
      <c r="K2722" s="2" t="s">
        <v>33135</v>
      </c>
      <c r="L2722" s="2" t="s">
        <v>33136</v>
      </c>
      <c r="M2722" s="3" t="s">
        <v>382</v>
      </c>
      <c r="O2722" s="3" t="s">
        <v>63</v>
      </c>
      <c r="P2722" s="3" t="s">
        <v>1837</v>
      </c>
      <c r="R2722" s="3" t="s">
        <v>65</v>
      </c>
      <c r="S2722" s="4">
        <v>5</v>
      </c>
      <c r="T2722" s="4">
        <v>5</v>
      </c>
      <c r="U2722" s="5" t="s">
        <v>8890</v>
      </c>
      <c r="V2722" s="5" t="s">
        <v>8890</v>
      </c>
      <c r="W2722" s="5" t="s">
        <v>9807</v>
      </c>
      <c r="X2722" s="5" t="s">
        <v>9807</v>
      </c>
      <c r="Y2722" s="4">
        <v>429</v>
      </c>
      <c r="Z2722" s="4">
        <v>346</v>
      </c>
      <c r="AA2722" s="4">
        <v>509</v>
      </c>
      <c r="AB2722" s="4">
        <v>3</v>
      </c>
      <c r="AC2722" s="4">
        <v>4</v>
      </c>
      <c r="AD2722" s="4">
        <v>22</v>
      </c>
      <c r="AE2722" s="4">
        <v>30</v>
      </c>
      <c r="AF2722" s="4">
        <v>10</v>
      </c>
      <c r="AG2722" s="4">
        <v>12</v>
      </c>
      <c r="AH2722" s="4">
        <v>6</v>
      </c>
      <c r="AI2722" s="4">
        <v>7</v>
      </c>
      <c r="AJ2722" s="4">
        <v>11</v>
      </c>
      <c r="AK2722" s="4">
        <v>13</v>
      </c>
      <c r="AL2722" s="4">
        <v>2</v>
      </c>
      <c r="AM2722" s="4">
        <v>3</v>
      </c>
      <c r="AN2722" s="4">
        <v>0</v>
      </c>
      <c r="AO2722" s="4">
        <v>3</v>
      </c>
      <c r="AP2722" s="3" t="s">
        <v>58</v>
      </c>
      <c r="AQ2722" s="3" t="s">
        <v>68</v>
      </c>
      <c r="AR2722" s="6" t="str">
        <f>HYPERLINK("http://catalog.hathitrust.org/Record/004067852","HathiTrust Record")</f>
        <v>HathiTrust Record</v>
      </c>
      <c r="AS2722" s="6" t="str">
        <f>HYPERLINK("https://creighton-primo.hosted.exlibrisgroup.com/primo-explore/search?tab=default_tab&amp;search_scope=EVERYTHING&amp;vid=01CRU&amp;lang=en_US&amp;offset=0&amp;query=any,contains,991003463379702656","Catalog Record")</f>
        <v>Catalog Record</v>
      </c>
      <c r="AT2722" s="6" t="str">
        <f>HYPERLINK("http://www.worldcat.org/oclc/42462925","WorldCat Record")</f>
        <v>WorldCat Record</v>
      </c>
      <c r="AU2722" s="3" t="s">
        <v>33137</v>
      </c>
      <c r="AV2722" s="3" t="s">
        <v>33138</v>
      </c>
      <c r="AW2722" s="3" t="s">
        <v>33139</v>
      </c>
      <c r="AX2722" s="3" t="s">
        <v>33139</v>
      </c>
      <c r="AY2722" s="3" t="s">
        <v>33140</v>
      </c>
      <c r="AZ2722" s="3" t="s">
        <v>73</v>
      </c>
      <c r="BB2722" s="3" t="s">
        <v>33141</v>
      </c>
      <c r="BC2722" s="3" t="s">
        <v>33142</v>
      </c>
      <c r="BD2722" s="3" t="s">
        <v>33143</v>
      </c>
    </row>
    <row r="2723" spans="1:56" ht="51" customHeight="1" x14ac:dyDescent="0.25">
      <c r="A2723" s="7" t="s">
        <v>58</v>
      </c>
      <c r="B2723" s="2" t="s">
        <v>33144</v>
      </c>
      <c r="C2723" s="2" t="s">
        <v>33145</v>
      </c>
      <c r="D2723" s="2" t="s">
        <v>33146</v>
      </c>
      <c r="F2723" s="3" t="s">
        <v>58</v>
      </c>
      <c r="G2723" s="3" t="s">
        <v>59</v>
      </c>
      <c r="H2723" s="3" t="s">
        <v>58</v>
      </c>
      <c r="I2723" s="3" t="s">
        <v>58</v>
      </c>
      <c r="J2723" s="3" t="s">
        <v>60</v>
      </c>
      <c r="L2723" s="2" t="s">
        <v>33147</v>
      </c>
      <c r="M2723" s="3" t="s">
        <v>1399</v>
      </c>
      <c r="O2723" s="3" t="s">
        <v>63</v>
      </c>
      <c r="P2723" s="3" t="s">
        <v>437</v>
      </c>
      <c r="Q2723" s="2" t="s">
        <v>33148</v>
      </c>
      <c r="R2723" s="3" t="s">
        <v>65</v>
      </c>
      <c r="S2723" s="4">
        <v>3</v>
      </c>
      <c r="T2723" s="4">
        <v>3</v>
      </c>
      <c r="U2723" s="5" t="s">
        <v>33149</v>
      </c>
      <c r="V2723" s="5" t="s">
        <v>33149</v>
      </c>
      <c r="W2723" s="5" t="s">
        <v>33150</v>
      </c>
      <c r="X2723" s="5" t="s">
        <v>33150</v>
      </c>
      <c r="Y2723" s="4">
        <v>251</v>
      </c>
      <c r="Z2723" s="4">
        <v>209</v>
      </c>
      <c r="AA2723" s="4">
        <v>228</v>
      </c>
      <c r="AB2723" s="4">
        <v>3</v>
      </c>
      <c r="AC2723" s="4">
        <v>3</v>
      </c>
      <c r="AD2723" s="4">
        <v>9</v>
      </c>
      <c r="AE2723" s="4">
        <v>9</v>
      </c>
      <c r="AF2723" s="4">
        <v>5</v>
      </c>
      <c r="AG2723" s="4">
        <v>5</v>
      </c>
      <c r="AH2723" s="4">
        <v>0</v>
      </c>
      <c r="AI2723" s="4">
        <v>0</v>
      </c>
      <c r="AJ2723" s="4">
        <v>2</v>
      </c>
      <c r="AK2723" s="4">
        <v>2</v>
      </c>
      <c r="AL2723" s="4">
        <v>2</v>
      </c>
      <c r="AM2723" s="4">
        <v>2</v>
      </c>
      <c r="AN2723" s="4">
        <v>0</v>
      </c>
      <c r="AO2723" s="4">
        <v>0</v>
      </c>
      <c r="AP2723" s="3" t="s">
        <v>58</v>
      </c>
      <c r="AQ2723" s="3" t="s">
        <v>68</v>
      </c>
      <c r="AR2723" s="6" t="str">
        <f>HYPERLINK("http://catalog.hathitrust.org/Record/001548875","HathiTrust Record")</f>
        <v>HathiTrust Record</v>
      </c>
      <c r="AS2723" s="6" t="str">
        <f>HYPERLINK("https://creighton-primo.hosted.exlibrisgroup.com/primo-explore/search?tab=default_tab&amp;search_scope=EVERYTHING&amp;vid=01CRU&amp;lang=en_US&amp;offset=0&amp;query=any,contains,991001101289702656","Catalog Record")</f>
        <v>Catalog Record</v>
      </c>
      <c r="AT2723" s="6" t="str">
        <f>HYPERLINK("http://www.worldcat.org/oclc/16353317","WorldCat Record")</f>
        <v>WorldCat Record</v>
      </c>
      <c r="AU2723" s="3" t="s">
        <v>33151</v>
      </c>
      <c r="AV2723" s="3" t="s">
        <v>33152</v>
      </c>
      <c r="AW2723" s="3" t="s">
        <v>33153</v>
      </c>
      <c r="AX2723" s="3" t="s">
        <v>33153</v>
      </c>
      <c r="AY2723" s="3" t="s">
        <v>33154</v>
      </c>
      <c r="AZ2723" s="3" t="s">
        <v>73</v>
      </c>
      <c r="BB2723" s="3" t="s">
        <v>33155</v>
      </c>
      <c r="BC2723" s="3" t="s">
        <v>33156</v>
      </c>
      <c r="BD2723" s="3" t="s">
        <v>33157</v>
      </c>
    </row>
    <row r="2724" spans="1:56" ht="51" customHeight="1" x14ac:dyDescent="0.25">
      <c r="A2724" s="7" t="s">
        <v>58</v>
      </c>
      <c r="B2724" s="2" t="s">
        <v>33158</v>
      </c>
      <c r="C2724" s="2" t="s">
        <v>33159</v>
      </c>
      <c r="D2724" s="2" t="s">
        <v>33160</v>
      </c>
      <c r="E2724" s="3" t="s">
        <v>279</v>
      </c>
      <c r="F2724" s="3" t="s">
        <v>68</v>
      </c>
      <c r="G2724" s="3" t="s">
        <v>59</v>
      </c>
      <c r="H2724" s="3" t="s">
        <v>58</v>
      </c>
      <c r="I2724" s="3" t="s">
        <v>58</v>
      </c>
      <c r="J2724" s="3" t="s">
        <v>60</v>
      </c>
      <c r="K2724" s="2" t="s">
        <v>33161</v>
      </c>
      <c r="L2724" s="2" t="s">
        <v>33162</v>
      </c>
      <c r="M2724" s="3" t="s">
        <v>2706</v>
      </c>
      <c r="O2724" s="3" t="s">
        <v>2030</v>
      </c>
      <c r="P2724" s="3" t="s">
        <v>2031</v>
      </c>
      <c r="Q2724" s="2" t="s">
        <v>33163</v>
      </c>
      <c r="R2724" s="3" t="s">
        <v>65</v>
      </c>
      <c r="S2724" s="4">
        <v>1</v>
      </c>
      <c r="T2724" s="4">
        <v>1</v>
      </c>
      <c r="U2724" s="5" t="s">
        <v>6157</v>
      </c>
      <c r="V2724" s="5" t="s">
        <v>6157</v>
      </c>
      <c r="W2724" s="5" t="s">
        <v>20416</v>
      </c>
      <c r="X2724" s="5" t="s">
        <v>20416</v>
      </c>
      <c r="Y2724" s="4">
        <v>118</v>
      </c>
      <c r="Z2724" s="4">
        <v>67</v>
      </c>
      <c r="AA2724" s="4">
        <v>68</v>
      </c>
      <c r="AB2724" s="4">
        <v>2</v>
      </c>
      <c r="AC2724" s="4">
        <v>2</v>
      </c>
      <c r="AD2724" s="4">
        <v>4</v>
      </c>
      <c r="AE2724" s="4">
        <v>4</v>
      </c>
      <c r="AF2724" s="4">
        <v>0</v>
      </c>
      <c r="AG2724" s="4">
        <v>0</v>
      </c>
      <c r="AH2724" s="4">
        <v>2</v>
      </c>
      <c r="AI2724" s="4">
        <v>2</v>
      </c>
      <c r="AJ2724" s="4">
        <v>2</v>
      </c>
      <c r="AK2724" s="4">
        <v>2</v>
      </c>
      <c r="AL2724" s="4">
        <v>1</v>
      </c>
      <c r="AM2724" s="4">
        <v>1</v>
      </c>
      <c r="AN2724" s="4">
        <v>0</v>
      </c>
      <c r="AO2724" s="4">
        <v>0</v>
      </c>
      <c r="AP2724" s="3" t="s">
        <v>58</v>
      </c>
      <c r="AQ2724" s="3" t="s">
        <v>68</v>
      </c>
      <c r="AR2724" s="6" t="str">
        <f>HYPERLINK("http://catalog.hathitrust.org/Record/001644975","HathiTrust Record")</f>
        <v>HathiTrust Record</v>
      </c>
      <c r="AS2724" s="6" t="str">
        <f>HYPERLINK("https://creighton-primo.hosted.exlibrisgroup.com/primo-explore/search?tab=default_tab&amp;search_scope=EVERYTHING&amp;vid=01CRU&amp;lang=en_US&amp;offset=0&amp;query=any,contains,991003286059702656","Catalog Record")</f>
        <v>Catalog Record</v>
      </c>
      <c r="AT2724" s="6" t="str">
        <f>HYPERLINK("http://www.worldcat.org/oclc/807922","WorldCat Record")</f>
        <v>WorldCat Record</v>
      </c>
      <c r="AU2724" s="3" t="s">
        <v>33164</v>
      </c>
      <c r="AV2724" s="3" t="s">
        <v>33165</v>
      </c>
      <c r="AW2724" s="3" t="s">
        <v>33166</v>
      </c>
      <c r="AX2724" s="3" t="s">
        <v>33166</v>
      </c>
      <c r="AY2724" s="3" t="s">
        <v>33167</v>
      </c>
      <c r="AZ2724" s="3" t="s">
        <v>73</v>
      </c>
      <c r="BC2724" s="3" t="s">
        <v>33168</v>
      </c>
      <c r="BD2724" s="3" t="s">
        <v>33169</v>
      </c>
    </row>
    <row r="2725" spans="1:56" ht="51" customHeight="1" x14ac:dyDescent="0.25">
      <c r="A2725" s="7" t="s">
        <v>58</v>
      </c>
      <c r="B2725" s="2" t="s">
        <v>33158</v>
      </c>
      <c r="C2725" s="2" t="s">
        <v>33159</v>
      </c>
      <c r="D2725" s="2" t="s">
        <v>33160</v>
      </c>
      <c r="E2725" s="3" t="s">
        <v>210</v>
      </c>
      <c r="F2725" s="3" t="s">
        <v>68</v>
      </c>
      <c r="G2725" s="3" t="s">
        <v>59</v>
      </c>
      <c r="H2725" s="3" t="s">
        <v>58</v>
      </c>
      <c r="I2725" s="3" t="s">
        <v>58</v>
      </c>
      <c r="J2725" s="3" t="s">
        <v>60</v>
      </c>
      <c r="K2725" s="2" t="s">
        <v>33161</v>
      </c>
      <c r="L2725" s="2" t="s">
        <v>33162</v>
      </c>
      <c r="M2725" s="3" t="s">
        <v>2706</v>
      </c>
      <c r="O2725" s="3" t="s">
        <v>2030</v>
      </c>
      <c r="P2725" s="3" t="s">
        <v>2031</v>
      </c>
      <c r="Q2725" s="2" t="s">
        <v>33163</v>
      </c>
      <c r="R2725" s="3" t="s">
        <v>65</v>
      </c>
      <c r="S2725" s="4">
        <v>0</v>
      </c>
      <c r="T2725" s="4">
        <v>1</v>
      </c>
      <c r="U2725" s="5" t="s">
        <v>6157</v>
      </c>
      <c r="V2725" s="5" t="s">
        <v>6157</v>
      </c>
      <c r="W2725" s="5" t="s">
        <v>20416</v>
      </c>
      <c r="X2725" s="5" t="s">
        <v>20416</v>
      </c>
      <c r="Y2725" s="4">
        <v>118</v>
      </c>
      <c r="Z2725" s="4">
        <v>67</v>
      </c>
      <c r="AA2725" s="4">
        <v>68</v>
      </c>
      <c r="AB2725" s="4">
        <v>2</v>
      </c>
      <c r="AC2725" s="4">
        <v>2</v>
      </c>
      <c r="AD2725" s="4">
        <v>4</v>
      </c>
      <c r="AE2725" s="4">
        <v>4</v>
      </c>
      <c r="AF2725" s="4">
        <v>0</v>
      </c>
      <c r="AG2725" s="4">
        <v>0</v>
      </c>
      <c r="AH2725" s="4">
        <v>2</v>
      </c>
      <c r="AI2725" s="4">
        <v>2</v>
      </c>
      <c r="AJ2725" s="4">
        <v>2</v>
      </c>
      <c r="AK2725" s="4">
        <v>2</v>
      </c>
      <c r="AL2725" s="4">
        <v>1</v>
      </c>
      <c r="AM2725" s="4">
        <v>1</v>
      </c>
      <c r="AN2725" s="4">
        <v>0</v>
      </c>
      <c r="AO2725" s="4">
        <v>0</v>
      </c>
      <c r="AP2725" s="3" t="s">
        <v>58</v>
      </c>
      <c r="AQ2725" s="3" t="s">
        <v>68</v>
      </c>
      <c r="AR2725" s="6" t="str">
        <f>HYPERLINK("http://catalog.hathitrust.org/Record/001644975","HathiTrust Record")</f>
        <v>HathiTrust Record</v>
      </c>
      <c r="AS2725" s="6" t="str">
        <f>HYPERLINK("https://creighton-primo.hosted.exlibrisgroup.com/primo-explore/search?tab=default_tab&amp;search_scope=EVERYTHING&amp;vid=01CRU&amp;lang=en_US&amp;offset=0&amp;query=any,contains,991003286059702656","Catalog Record")</f>
        <v>Catalog Record</v>
      </c>
      <c r="AT2725" s="6" t="str">
        <f>HYPERLINK("http://www.worldcat.org/oclc/807922","WorldCat Record")</f>
        <v>WorldCat Record</v>
      </c>
      <c r="AU2725" s="3" t="s">
        <v>33164</v>
      </c>
      <c r="AV2725" s="3" t="s">
        <v>33165</v>
      </c>
      <c r="AW2725" s="3" t="s">
        <v>33166</v>
      </c>
      <c r="AX2725" s="3" t="s">
        <v>33166</v>
      </c>
      <c r="AY2725" s="3" t="s">
        <v>33167</v>
      </c>
      <c r="AZ2725" s="3" t="s">
        <v>73</v>
      </c>
      <c r="BC2725" s="3" t="s">
        <v>33170</v>
      </c>
      <c r="BD2725" s="3" t="s">
        <v>33171</v>
      </c>
    </row>
    <row r="2726" spans="1:56" ht="51" customHeight="1" x14ac:dyDescent="0.25">
      <c r="A2726" s="7" t="s">
        <v>58</v>
      </c>
      <c r="B2726" s="2" t="s">
        <v>33172</v>
      </c>
      <c r="C2726" s="2" t="s">
        <v>33173</v>
      </c>
      <c r="D2726" s="2" t="s">
        <v>33174</v>
      </c>
      <c r="F2726" s="3" t="s">
        <v>58</v>
      </c>
      <c r="G2726" s="3" t="s">
        <v>59</v>
      </c>
      <c r="H2726" s="3" t="s">
        <v>58</v>
      </c>
      <c r="I2726" s="3" t="s">
        <v>58</v>
      </c>
      <c r="J2726" s="3" t="s">
        <v>60</v>
      </c>
      <c r="K2726" s="2" t="s">
        <v>33175</v>
      </c>
      <c r="L2726" s="2" t="s">
        <v>33176</v>
      </c>
      <c r="M2726" s="3" t="s">
        <v>15752</v>
      </c>
      <c r="O2726" s="3" t="s">
        <v>63</v>
      </c>
      <c r="P2726" s="3" t="s">
        <v>495</v>
      </c>
      <c r="R2726" s="3" t="s">
        <v>65</v>
      </c>
      <c r="S2726" s="4">
        <v>0</v>
      </c>
      <c r="T2726" s="4">
        <v>0</v>
      </c>
      <c r="U2726" s="5" t="s">
        <v>10799</v>
      </c>
      <c r="V2726" s="5" t="s">
        <v>10799</v>
      </c>
      <c r="W2726" s="5" t="s">
        <v>20416</v>
      </c>
      <c r="X2726" s="5" t="s">
        <v>20416</v>
      </c>
      <c r="Y2726" s="4">
        <v>373</v>
      </c>
      <c r="Z2726" s="4">
        <v>337</v>
      </c>
      <c r="AA2726" s="4">
        <v>426</v>
      </c>
      <c r="AB2726" s="4">
        <v>2</v>
      </c>
      <c r="AC2726" s="4">
        <v>3</v>
      </c>
      <c r="AD2726" s="4">
        <v>30</v>
      </c>
      <c r="AE2726" s="4">
        <v>33</v>
      </c>
      <c r="AF2726" s="4">
        <v>9</v>
      </c>
      <c r="AG2726" s="4">
        <v>10</v>
      </c>
      <c r="AH2726" s="4">
        <v>8</v>
      </c>
      <c r="AI2726" s="4">
        <v>10</v>
      </c>
      <c r="AJ2726" s="4">
        <v>23</v>
      </c>
      <c r="AK2726" s="4">
        <v>24</v>
      </c>
      <c r="AL2726" s="4">
        <v>0</v>
      </c>
      <c r="AM2726" s="4">
        <v>0</v>
      </c>
      <c r="AN2726" s="4">
        <v>1</v>
      </c>
      <c r="AO2726" s="4">
        <v>1</v>
      </c>
      <c r="AP2726" s="3" t="s">
        <v>58</v>
      </c>
      <c r="AQ2726" s="3" t="s">
        <v>58</v>
      </c>
      <c r="AR2726" s="6" t="str">
        <f>HYPERLINK("http://catalog.hathitrust.org/Record/001241832","HathiTrust Record")</f>
        <v>HathiTrust Record</v>
      </c>
      <c r="AS2726" s="6" t="str">
        <f>HYPERLINK("https://creighton-primo.hosted.exlibrisgroup.com/primo-explore/search?tab=default_tab&amp;search_scope=EVERYTHING&amp;vid=01CRU&amp;lang=en_US&amp;offset=0&amp;query=any,contains,991003173529702656","Catalog Record")</f>
        <v>Catalog Record</v>
      </c>
      <c r="AT2726" s="6" t="str">
        <f>HYPERLINK("http://www.worldcat.org/oclc/708952","WorldCat Record")</f>
        <v>WorldCat Record</v>
      </c>
      <c r="AU2726" s="3" t="s">
        <v>33177</v>
      </c>
      <c r="AV2726" s="3" t="s">
        <v>33178</v>
      </c>
      <c r="AW2726" s="3" t="s">
        <v>33179</v>
      </c>
      <c r="AX2726" s="3" t="s">
        <v>33179</v>
      </c>
      <c r="AY2726" s="3" t="s">
        <v>33180</v>
      </c>
      <c r="AZ2726" s="3" t="s">
        <v>73</v>
      </c>
      <c r="BC2726" s="3" t="s">
        <v>33181</v>
      </c>
      <c r="BD2726" s="3" t="s">
        <v>33182</v>
      </c>
    </row>
    <row r="2727" spans="1:56" ht="51" customHeight="1" x14ac:dyDescent="0.25">
      <c r="A2727" s="7" t="s">
        <v>58</v>
      </c>
      <c r="B2727" s="2" t="s">
        <v>33183</v>
      </c>
      <c r="C2727" s="2" t="s">
        <v>33184</v>
      </c>
      <c r="D2727" s="2" t="s">
        <v>33185</v>
      </c>
      <c r="F2727" s="3" t="s">
        <v>58</v>
      </c>
      <c r="G2727" s="3" t="s">
        <v>59</v>
      </c>
      <c r="H2727" s="3" t="s">
        <v>58</v>
      </c>
      <c r="I2727" s="3" t="s">
        <v>58</v>
      </c>
      <c r="J2727" s="3" t="s">
        <v>60</v>
      </c>
      <c r="K2727" s="2" t="s">
        <v>33186</v>
      </c>
      <c r="L2727" s="2" t="s">
        <v>33187</v>
      </c>
      <c r="M2727" s="3" t="s">
        <v>745</v>
      </c>
      <c r="O2727" s="3" t="s">
        <v>63</v>
      </c>
      <c r="P2727" s="3" t="s">
        <v>214</v>
      </c>
      <c r="Q2727" s="2" t="s">
        <v>20326</v>
      </c>
      <c r="R2727" s="3" t="s">
        <v>65</v>
      </c>
      <c r="S2727" s="4">
        <v>3</v>
      </c>
      <c r="T2727" s="4">
        <v>3</v>
      </c>
      <c r="U2727" s="5" t="s">
        <v>33188</v>
      </c>
      <c r="V2727" s="5" t="s">
        <v>33188</v>
      </c>
      <c r="W2727" s="5" t="s">
        <v>20416</v>
      </c>
      <c r="X2727" s="5" t="s">
        <v>20416</v>
      </c>
      <c r="Y2727" s="4">
        <v>387</v>
      </c>
      <c r="Z2727" s="4">
        <v>365</v>
      </c>
      <c r="AA2727" s="4">
        <v>450</v>
      </c>
      <c r="AB2727" s="4">
        <v>3</v>
      </c>
      <c r="AC2727" s="4">
        <v>3</v>
      </c>
      <c r="AD2727" s="4">
        <v>6</v>
      </c>
      <c r="AE2727" s="4">
        <v>8</v>
      </c>
      <c r="AF2727" s="4">
        <v>2</v>
      </c>
      <c r="AG2727" s="4">
        <v>2</v>
      </c>
      <c r="AH2727" s="4">
        <v>1</v>
      </c>
      <c r="AI2727" s="4">
        <v>2</v>
      </c>
      <c r="AJ2727" s="4">
        <v>1</v>
      </c>
      <c r="AK2727" s="4">
        <v>3</v>
      </c>
      <c r="AL2727" s="4">
        <v>2</v>
      </c>
      <c r="AM2727" s="4">
        <v>2</v>
      </c>
      <c r="AN2727" s="4">
        <v>0</v>
      </c>
      <c r="AO2727" s="4">
        <v>0</v>
      </c>
      <c r="AP2727" s="3" t="s">
        <v>58</v>
      </c>
      <c r="AQ2727" s="3" t="s">
        <v>68</v>
      </c>
      <c r="AR2727" s="6" t="str">
        <f>HYPERLINK("http://catalog.hathitrust.org/Record/010090874","HathiTrust Record")</f>
        <v>HathiTrust Record</v>
      </c>
      <c r="AS2727" s="6" t="str">
        <f>HYPERLINK("https://creighton-primo.hosted.exlibrisgroup.com/primo-explore/search?tab=default_tab&amp;search_scope=EVERYTHING&amp;vid=01CRU&amp;lang=en_US&amp;offset=0&amp;query=any,contains,991003021329702656","Catalog Record")</f>
        <v>Catalog Record</v>
      </c>
      <c r="AT2727" s="6" t="str">
        <f>HYPERLINK("http://www.worldcat.org/oclc/585939","WorldCat Record")</f>
        <v>WorldCat Record</v>
      </c>
      <c r="AU2727" s="3" t="s">
        <v>33189</v>
      </c>
      <c r="AV2727" s="3" t="s">
        <v>33190</v>
      </c>
      <c r="AW2727" s="3" t="s">
        <v>33191</v>
      </c>
      <c r="AX2727" s="3" t="s">
        <v>33191</v>
      </c>
      <c r="AY2727" s="3" t="s">
        <v>33192</v>
      </c>
      <c r="AZ2727" s="3" t="s">
        <v>73</v>
      </c>
      <c r="BC2727" s="3" t="s">
        <v>33193</v>
      </c>
      <c r="BD2727" s="3" t="s">
        <v>33194</v>
      </c>
    </row>
    <row r="2728" spans="1:56" ht="51" customHeight="1" x14ac:dyDescent="0.25">
      <c r="A2728" s="7" t="s">
        <v>58</v>
      </c>
      <c r="B2728" s="2" t="s">
        <v>33195</v>
      </c>
      <c r="C2728" s="2" t="s">
        <v>33196</v>
      </c>
      <c r="D2728" s="2" t="s">
        <v>33197</v>
      </c>
      <c r="F2728" s="3" t="s">
        <v>58</v>
      </c>
      <c r="G2728" s="3" t="s">
        <v>59</v>
      </c>
      <c r="H2728" s="3" t="s">
        <v>58</v>
      </c>
      <c r="I2728" s="3" t="s">
        <v>58</v>
      </c>
      <c r="J2728" s="3" t="s">
        <v>60</v>
      </c>
      <c r="K2728" s="2" t="s">
        <v>11849</v>
      </c>
      <c r="L2728" s="2" t="s">
        <v>33198</v>
      </c>
      <c r="M2728" s="3" t="s">
        <v>598</v>
      </c>
      <c r="O2728" s="3" t="s">
        <v>63</v>
      </c>
      <c r="P2728" s="3" t="s">
        <v>584</v>
      </c>
      <c r="R2728" s="3" t="s">
        <v>65</v>
      </c>
      <c r="S2728" s="4">
        <v>2</v>
      </c>
      <c r="T2728" s="4">
        <v>2</v>
      </c>
      <c r="U2728" s="5" t="s">
        <v>18476</v>
      </c>
      <c r="V2728" s="5" t="s">
        <v>18476</v>
      </c>
      <c r="W2728" s="5" t="s">
        <v>20416</v>
      </c>
      <c r="X2728" s="5" t="s">
        <v>20416</v>
      </c>
      <c r="Y2728" s="4">
        <v>676</v>
      </c>
      <c r="Z2728" s="4">
        <v>553</v>
      </c>
      <c r="AA2728" s="4">
        <v>909</v>
      </c>
      <c r="AB2728" s="4">
        <v>4</v>
      </c>
      <c r="AC2728" s="4">
        <v>7</v>
      </c>
      <c r="AD2728" s="4">
        <v>22</v>
      </c>
      <c r="AE2728" s="4">
        <v>41</v>
      </c>
      <c r="AF2728" s="4">
        <v>8</v>
      </c>
      <c r="AG2728" s="4">
        <v>16</v>
      </c>
      <c r="AH2728" s="4">
        <v>5</v>
      </c>
      <c r="AI2728" s="4">
        <v>10</v>
      </c>
      <c r="AJ2728" s="4">
        <v>13</v>
      </c>
      <c r="AK2728" s="4">
        <v>20</v>
      </c>
      <c r="AL2728" s="4">
        <v>3</v>
      </c>
      <c r="AM2728" s="4">
        <v>6</v>
      </c>
      <c r="AN2728" s="4">
        <v>0</v>
      </c>
      <c r="AO2728" s="4">
        <v>0</v>
      </c>
      <c r="AP2728" s="3" t="s">
        <v>58</v>
      </c>
      <c r="AQ2728" s="3" t="s">
        <v>58</v>
      </c>
      <c r="AS2728" s="6" t="str">
        <f>HYPERLINK("https://creighton-primo.hosted.exlibrisgroup.com/primo-explore/search?tab=default_tab&amp;search_scope=EVERYTHING&amp;vid=01CRU&amp;lang=en_US&amp;offset=0&amp;query=any,contains,991004842349702656","Catalog Record")</f>
        <v>Catalog Record</v>
      </c>
      <c r="AT2728" s="6" t="str">
        <f>HYPERLINK("http://www.worldcat.org/oclc/5510718","WorldCat Record")</f>
        <v>WorldCat Record</v>
      </c>
      <c r="AU2728" s="3" t="s">
        <v>33199</v>
      </c>
      <c r="AV2728" s="3" t="s">
        <v>33200</v>
      </c>
      <c r="AW2728" s="3" t="s">
        <v>33201</v>
      </c>
      <c r="AX2728" s="3" t="s">
        <v>33201</v>
      </c>
      <c r="AY2728" s="3" t="s">
        <v>33202</v>
      </c>
      <c r="AZ2728" s="3" t="s">
        <v>73</v>
      </c>
      <c r="BC2728" s="3" t="s">
        <v>33203</v>
      </c>
      <c r="BD2728" s="3" t="s">
        <v>33204</v>
      </c>
    </row>
    <row r="2729" spans="1:56" ht="51" customHeight="1" x14ac:dyDescent="0.25">
      <c r="A2729" s="7" t="s">
        <v>58</v>
      </c>
      <c r="B2729" s="2" t="s">
        <v>33205</v>
      </c>
      <c r="C2729" s="2" t="s">
        <v>33206</v>
      </c>
      <c r="D2729" s="2" t="s">
        <v>33207</v>
      </c>
      <c r="F2729" s="3" t="s">
        <v>58</v>
      </c>
      <c r="G2729" s="3" t="s">
        <v>59</v>
      </c>
      <c r="H2729" s="3" t="s">
        <v>58</v>
      </c>
      <c r="I2729" s="3" t="s">
        <v>58</v>
      </c>
      <c r="J2729" s="3" t="s">
        <v>60</v>
      </c>
      <c r="K2729" s="2" t="s">
        <v>33208</v>
      </c>
      <c r="L2729" s="2" t="s">
        <v>33209</v>
      </c>
      <c r="M2729" s="3" t="s">
        <v>538</v>
      </c>
      <c r="O2729" s="3" t="s">
        <v>63</v>
      </c>
      <c r="P2729" s="3" t="s">
        <v>584</v>
      </c>
      <c r="R2729" s="3" t="s">
        <v>65</v>
      </c>
      <c r="S2729" s="4">
        <v>2</v>
      </c>
      <c r="T2729" s="4">
        <v>2</v>
      </c>
      <c r="U2729" s="5" t="s">
        <v>3737</v>
      </c>
      <c r="V2729" s="5" t="s">
        <v>3737</v>
      </c>
      <c r="W2729" s="5" t="s">
        <v>20416</v>
      </c>
      <c r="X2729" s="5" t="s">
        <v>20416</v>
      </c>
      <c r="Y2729" s="4">
        <v>648</v>
      </c>
      <c r="Z2729" s="4">
        <v>485</v>
      </c>
      <c r="AA2729" s="4">
        <v>488</v>
      </c>
      <c r="AB2729" s="4">
        <v>3</v>
      </c>
      <c r="AC2729" s="4">
        <v>3</v>
      </c>
      <c r="AD2729" s="4">
        <v>21</v>
      </c>
      <c r="AE2729" s="4">
        <v>21</v>
      </c>
      <c r="AF2729" s="4">
        <v>9</v>
      </c>
      <c r="AG2729" s="4">
        <v>9</v>
      </c>
      <c r="AH2729" s="4">
        <v>4</v>
      </c>
      <c r="AI2729" s="4">
        <v>4</v>
      </c>
      <c r="AJ2729" s="4">
        <v>7</v>
      </c>
      <c r="AK2729" s="4">
        <v>7</v>
      </c>
      <c r="AL2729" s="4">
        <v>2</v>
      </c>
      <c r="AM2729" s="4">
        <v>2</v>
      </c>
      <c r="AN2729" s="4">
        <v>0</v>
      </c>
      <c r="AO2729" s="4">
        <v>0</v>
      </c>
      <c r="AP2729" s="3" t="s">
        <v>58</v>
      </c>
      <c r="AQ2729" s="3" t="s">
        <v>68</v>
      </c>
      <c r="AR2729" s="6" t="str">
        <f>HYPERLINK("http://catalog.hathitrust.org/Record/000000823","HathiTrust Record")</f>
        <v>HathiTrust Record</v>
      </c>
      <c r="AS2729" s="6" t="str">
        <f>HYPERLINK("https://creighton-primo.hosted.exlibrisgroup.com/primo-explore/search?tab=default_tab&amp;search_scope=EVERYTHING&amp;vid=01CRU&amp;lang=en_US&amp;offset=0&amp;query=any,contains,991000305169702656","Catalog Record")</f>
        <v>Catalog Record</v>
      </c>
      <c r="AT2729" s="6" t="str">
        <f>HYPERLINK("http://www.worldcat.org/oclc/69294","WorldCat Record")</f>
        <v>WorldCat Record</v>
      </c>
      <c r="AU2729" s="3" t="s">
        <v>33210</v>
      </c>
      <c r="AV2729" s="3" t="s">
        <v>33211</v>
      </c>
      <c r="AW2729" s="3" t="s">
        <v>33212</v>
      </c>
      <c r="AX2729" s="3" t="s">
        <v>33212</v>
      </c>
      <c r="AY2729" s="3" t="s">
        <v>33213</v>
      </c>
      <c r="AZ2729" s="3" t="s">
        <v>73</v>
      </c>
      <c r="BB2729" s="3" t="s">
        <v>33214</v>
      </c>
      <c r="BC2729" s="3" t="s">
        <v>33215</v>
      </c>
      <c r="BD2729" s="3" t="s">
        <v>33216</v>
      </c>
    </row>
    <row r="2730" spans="1:56" ht="51" customHeight="1" x14ac:dyDescent="0.25">
      <c r="A2730" s="7" t="s">
        <v>58</v>
      </c>
      <c r="B2730" s="2" t="s">
        <v>33217</v>
      </c>
      <c r="C2730" s="2" t="s">
        <v>33218</v>
      </c>
      <c r="D2730" s="2" t="s">
        <v>33219</v>
      </c>
      <c r="F2730" s="3" t="s">
        <v>58</v>
      </c>
      <c r="G2730" s="3" t="s">
        <v>59</v>
      </c>
      <c r="H2730" s="3" t="s">
        <v>58</v>
      </c>
      <c r="I2730" s="3" t="s">
        <v>58</v>
      </c>
      <c r="J2730" s="3" t="s">
        <v>60</v>
      </c>
      <c r="K2730" s="2" t="s">
        <v>33220</v>
      </c>
      <c r="L2730" s="2" t="s">
        <v>33221</v>
      </c>
      <c r="M2730" s="3" t="s">
        <v>423</v>
      </c>
      <c r="N2730" s="2" t="s">
        <v>338</v>
      </c>
      <c r="O2730" s="3" t="s">
        <v>63</v>
      </c>
      <c r="P2730" s="3" t="s">
        <v>584</v>
      </c>
      <c r="R2730" s="3" t="s">
        <v>65</v>
      </c>
      <c r="S2730" s="4">
        <v>2</v>
      </c>
      <c r="T2730" s="4">
        <v>2</v>
      </c>
      <c r="U2730" s="5" t="s">
        <v>30631</v>
      </c>
      <c r="V2730" s="5" t="s">
        <v>30631</v>
      </c>
      <c r="W2730" s="5" t="s">
        <v>1302</v>
      </c>
      <c r="X2730" s="5" t="s">
        <v>1302</v>
      </c>
      <c r="Y2730" s="4">
        <v>166</v>
      </c>
      <c r="Z2730" s="4">
        <v>98</v>
      </c>
      <c r="AA2730" s="4">
        <v>100</v>
      </c>
      <c r="AB2730" s="4">
        <v>1</v>
      </c>
      <c r="AC2730" s="4">
        <v>1</v>
      </c>
      <c r="AD2730" s="4">
        <v>7</v>
      </c>
      <c r="AE2730" s="4">
        <v>7</v>
      </c>
      <c r="AF2730" s="4">
        <v>0</v>
      </c>
      <c r="AG2730" s="4">
        <v>0</v>
      </c>
      <c r="AH2730" s="4">
        <v>4</v>
      </c>
      <c r="AI2730" s="4">
        <v>4</v>
      </c>
      <c r="AJ2730" s="4">
        <v>5</v>
      </c>
      <c r="AK2730" s="4">
        <v>5</v>
      </c>
      <c r="AL2730" s="4">
        <v>0</v>
      </c>
      <c r="AM2730" s="4">
        <v>0</v>
      </c>
      <c r="AN2730" s="4">
        <v>0</v>
      </c>
      <c r="AO2730" s="4">
        <v>0</v>
      </c>
      <c r="AP2730" s="3" t="s">
        <v>58</v>
      </c>
      <c r="AQ2730" s="3" t="s">
        <v>68</v>
      </c>
      <c r="AR2730" s="6" t="str">
        <f>HYPERLINK("http://catalog.hathitrust.org/Record/004039297","HathiTrust Record")</f>
        <v>HathiTrust Record</v>
      </c>
      <c r="AS2730" s="6" t="str">
        <f>HYPERLINK("https://creighton-primo.hosted.exlibrisgroup.com/primo-explore/search?tab=default_tab&amp;search_scope=EVERYTHING&amp;vid=01CRU&amp;lang=en_US&amp;offset=0&amp;query=any,contains,991003480319702656","Catalog Record")</f>
        <v>Catalog Record</v>
      </c>
      <c r="AT2730" s="6" t="str">
        <f>HYPERLINK("http://www.worldcat.org/oclc/41832536","WorldCat Record")</f>
        <v>WorldCat Record</v>
      </c>
      <c r="AU2730" s="3" t="s">
        <v>33222</v>
      </c>
      <c r="AV2730" s="3" t="s">
        <v>33223</v>
      </c>
      <c r="AW2730" s="3" t="s">
        <v>33224</v>
      </c>
      <c r="AX2730" s="3" t="s">
        <v>33224</v>
      </c>
      <c r="AY2730" s="3" t="s">
        <v>33225</v>
      </c>
      <c r="AZ2730" s="3" t="s">
        <v>73</v>
      </c>
      <c r="BB2730" s="3" t="s">
        <v>33226</v>
      </c>
      <c r="BC2730" s="3" t="s">
        <v>33227</v>
      </c>
      <c r="BD2730" s="3" t="s">
        <v>33228</v>
      </c>
    </row>
    <row r="2731" spans="1:56" ht="51" customHeight="1" x14ac:dyDescent="0.25">
      <c r="A2731" s="7" t="s">
        <v>58</v>
      </c>
      <c r="B2731" s="2" t="s">
        <v>33229</v>
      </c>
      <c r="C2731" s="2" t="s">
        <v>33230</v>
      </c>
      <c r="D2731" s="2" t="s">
        <v>33231</v>
      </c>
      <c r="F2731" s="3" t="s">
        <v>58</v>
      </c>
      <c r="G2731" s="3" t="s">
        <v>59</v>
      </c>
      <c r="H2731" s="3" t="s">
        <v>58</v>
      </c>
      <c r="I2731" s="3" t="s">
        <v>58</v>
      </c>
      <c r="J2731" s="3" t="s">
        <v>60</v>
      </c>
      <c r="K2731" s="2" t="s">
        <v>33232</v>
      </c>
      <c r="L2731" s="2" t="s">
        <v>33233</v>
      </c>
      <c r="M2731" s="3" t="s">
        <v>2186</v>
      </c>
      <c r="O2731" s="3" t="s">
        <v>63</v>
      </c>
      <c r="P2731" s="3" t="s">
        <v>584</v>
      </c>
      <c r="Q2731" s="2" t="s">
        <v>33234</v>
      </c>
      <c r="R2731" s="3" t="s">
        <v>65</v>
      </c>
      <c r="S2731" s="4">
        <v>1</v>
      </c>
      <c r="T2731" s="4">
        <v>1</v>
      </c>
      <c r="U2731" s="5" t="s">
        <v>24217</v>
      </c>
      <c r="V2731" s="5" t="s">
        <v>24217</v>
      </c>
      <c r="W2731" s="5" t="s">
        <v>24217</v>
      </c>
      <c r="X2731" s="5" t="s">
        <v>24217</v>
      </c>
      <c r="Y2731" s="4">
        <v>194</v>
      </c>
      <c r="Z2731" s="4">
        <v>147</v>
      </c>
      <c r="AA2731" s="4">
        <v>739</v>
      </c>
      <c r="AB2731" s="4">
        <v>1</v>
      </c>
      <c r="AC2731" s="4">
        <v>14</v>
      </c>
      <c r="AD2731" s="4">
        <v>7</v>
      </c>
      <c r="AE2731" s="4">
        <v>25</v>
      </c>
      <c r="AF2731" s="4">
        <v>4</v>
      </c>
      <c r="AG2731" s="4">
        <v>10</v>
      </c>
      <c r="AH2731" s="4">
        <v>2</v>
      </c>
      <c r="AI2731" s="4">
        <v>5</v>
      </c>
      <c r="AJ2731" s="4">
        <v>4</v>
      </c>
      <c r="AK2731" s="4">
        <v>5</v>
      </c>
      <c r="AL2731" s="4">
        <v>0</v>
      </c>
      <c r="AM2731" s="4">
        <v>9</v>
      </c>
      <c r="AN2731" s="4">
        <v>0</v>
      </c>
      <c r="AO2731" s="4">
        <v>2</v>
      </c>
      <c r="AP2731" s="3" t="s">
        <v>58</v>
      </c>
      <c r="AQ2731" s="3" t="s">
        <v>68</v>
      </c>
      <c r="AR2731" s="6" t="str">
        <f>HYPERLINK("http://catalog.hathitrust.org/Record/005663878","HathiTrust Record")</f>
        <v>HathiTrust Record</v>
      </c>
      <c r="AS2731" s="6" t="str">
        <f>HYPERLINK("https://creighton-primo.hosted.exlibrisgroup.com/primo-explore/search?tab=default_tab&amp;search_scope=EVERYTHING&amp;vid=01CRU&amp;lang=en_US&amp;offset=0&amp;query=any,contains,991005258989702656","Catalog Record")</f>
        <v>Catalog Record</v>
      </c>
      <c r="AT2731" s="6" t="str">
        <f>HYPERLINK("http://www.worldcat.org/oclc/77541184","WorldCat Record")</f>
        <v>WorldCat Record</v>
      </c>
      <c r="AU2731" s="3" t="s">
        <v>33235</v>
      </c>
      <c r="AV2731" s="3" t="s">
        <v>33236</v>
      </c>
      <c r="AW2731" s="3" t="s">
        <v>33237</v>
      </c>
      <c r="AX2731" s="3" t="s">
        <v>33237</v>
      </c>
      <c r="AY2731" s="3" t="s">
        <v>33238</v>
      </c>
      <c r="AZ2731" s="3" t="s">
        <v>73</v>
      </c>
      <c r="BB2731" s="3" t="s">
        <v>33239</v>
      </c>
      <c r="BC2731" s="3" t="s">
        <v>33240</v>
      </c>
      <c r="BD2731" s="3" t="s">
        <v>33241</v>
      </c>
    </row>
    <row r="2732" spans="1:56" ht="51" customHeight="1" x14ac:dyDescent="0.25">
      <c r="A2732" s="7" t="s">
        <v>58</v>
      </c>
      <c r="B2732" s="2" t="s">
        <v>33242</v>
      </c>
      <c r="C2732" s="2" t="s">
        <v>33243</v>
      </c>
      <c r="D2732" s="2" t="s">
        <v>33244</v>
      </c>
      <c r="F2732" s="3" t="s">
        <v>58</v>
      </c>
      <c r="G2732" s="3" t="s">
        <v>59</v>
      </c>
      <c r="H2732" s="3" t="s">
        <v>58</v>
      </c>
      <c r="I2732" s="3" t="s">
        <v>58</v>
      </c>
      <c r="J2732" s="3" t="s">
        <v>60</v>
      </c>
      <c r="K2732" s="2" t="s">
        <v>33245</v>
      </c>
      <c r="L2732" s="2" t="s">
        <v>33246</v>
      </c>
      <c r="M2732" s="3" t="s">
        <v>397</v>
      </c>
      <c r="O2732" s="3" t="s">
        <v>63</v>
      </c>
      <c r="P2732" s="3" t="s">
        <v>411</v>
      </c>
      <c r="R2732" s="3" t="s">
        <v>65</v>
      </c>
      <c r="S2732" s="4">
        <v>5</v>
      </c>
      <c r="T2732" s="4">
        <v>5</v>
      </c>
      <c r="U2732" s="5" t="s">
        <v>33247</v>
      </c>
      <c r="V2732" s="5" t="s">
        <v>33247</v>
      </c>
      <c r="W2732" s="5" t="s">
        <v>2436</v>
      </c>
      <c r="X2732" s="5" t="s">
        <v>2436</v>
      </c>
      <c r="Y2732" s="4">
        <v>68</v>
      </c>
      <c r="Z2732" s="4">
        <v>61</v>
      </c>
      <c r="AA2732" s="4">
        <v>572</v>
      </c>
      <c r="AB2732" s="4">
        <v>2</v>
      </c>
      <c r="AC2732" s="4">
        <v>5</v>
      </c>
      <c r="AD2732" s="4">
        <v>6</v>
      </c>
      <c r="AE2732" s="4">
        <v>33</v>
      </c>
      <c r="AF2732" s="4">
        <v>2</v>
      </c>
      <c r="AG2732" s="4">
        <v>12</v>
      </c>
      <c r="AH2732" s="4">
        <v>1</v>
      </c>
      <c r="AI2732" s="4">
        <v>7</v>
      </c>
      <c r="AJ2732" s="4">
        <v>5</v>
      </c>
      <c r="AK2732" s="4">
        <v>19</v>
      </c>
      <c r="AL2732" s="4">
        <v>1</v>
      </c>
      <c r="AM2732" s="4">
        <v>4</v>
      </c>
      <c r="AN2732" s="4">
        <v>0</v>
      </c>
      <c r="AO2732" s="4">
        <v>0</v>
      </c>
      <c r="AP2732" s="3" t="s">
        <v>58</v>
      </c>
      <c r="AQ2732" s="3" t="s">
        <v>68</v>
      </c>
      <c r="AR2732" s="6" t="str">
        <f>HYPERLINK("http://catalog.hathitrust.org/Record/012285394","HathiTrust Record")</f>
        <v>HathiTrust Record</v>
      </c>
      <c r="AS2732" s="6" t="str">
        <f>HYPERLINK("https://creighton-primo.hosted.exlibrisgroup.com/primo-explore/search?tab=default_tab&amp;search_scope=EVERYTHING&amp;vid=01CRU&amp;lang=en_US&amp;offset=0&amp;query=any,contains,991000665609702656","Catalog Record")</f>
        <v>Catalog Record</v>
      </c>
      <c r="AT2732" s="6" t="str">
        <f>HYPERLINK("http://www.worldcat.org/oclc/12276125","WorldCat Record")</f>
        <v>WorldCat Record</v>
      </c>
      <c r="AU2732" s="3" t="s">
        <v>33248</v>
      </c>
      <c r="AV2732" s="3" t="s">
        <v>33249</v>
      </c>
      <c r="AW2732" s="3" t="s">
        <v>33250</v>
      </c>
      <c r="AX2732" s="3" t="s">
        <v>33250</v>
      </c>
      <c r="AY2732" s="3" t="s">
        <v>33251</v>
      </c>
      <c r="AZ2732" s="3" t="s">
        <v>73</v>
      </c>
      <c r="BB2732" s="3" t="s">
        <v>33252</v>
      </c>
      <c r="BC2732" s="3" t="s">
        <v>33253</v>
      </c>
      <c r="BD2732" s="3" t="s">
        <v>33254</v>
      </c>
    </row>
    <row r="2733" spans="1:56" ht="51" customHeight="1" x14ac:dyDescent="0.25">
      <c r="A2733" s="7" t="s">
        <v>58</v>
      </c>
      <c r="B2733" s="2" t="s">
        <v>33255</v>
      </c>
      <c r="C2733" s="2" t="s">
        <v>33256</v>
      </c>
      <c r="D2733" s="2" t="s">
        <v>33257</v>
      </c>
      <c r="F2733" s="3" t="s">
        <v>58</v>
      </c>
      <c r="G2733" s="3" t="s">
        <v>59</v>
      </c>
      <c r="H2733" s="3" t="s">
        <v>58</v>
      </c>
      <c r="I2733" s="3" t="s">
        <v>58</v>
      </c>
      <c r="J2733" s="3" t="s">
        <v>60</v>
      </c>
      <c r="K2733" s="2" t="s">
        <v>33258</v>
      </c>
      <c r="L2733" s="2" t="s">
        <v>33259</v>
      </c>
      <c r="M2733" s="3" t="s">
        <v>951</v>
      </c>
      <c r="O2733" s="3" t="s">
        <v>63</v>
      </c>
      <c r="P2733" s="3" t="s">
        <v>584</v>
      </c>
      <c r="Q2733" s="2" t="s">
        <v>33260</v>
      </c>
      <c r="R2733" s="3" t="s">
        <v>65</v>
      </c>
      <c r="S2733" s="4">
        <v>1</v>
      </c>
      <c r="T2733" s="4">
        <v>1</v>
      </c>
      <c r="U2733" s="5" t="s">
        <v>4115</v>
      </c>
      <c r="V2733" s="5" t="s">
        <v>4115</v>
      </c>
      <c r="W2733" s="5" t="s">
        <v>4115</v>
      </c>
      <c r="X2733" s="5" t="s">
        <v>4115</v>
      </c>
      <c r="Y2733" s="4">
        <v>214</v>
      </c>
      <c r="Z2733" s="4">
        <v>164</v>
      </c>
      <c r="AA2733" s="4">
        <v>173</v>
      </c>
      <c r="AB2733" s="4">
        <v>1</v>
      </c>
      <c r="AC2733" s="4">
        <v>1</v>
      </c>
      <c r="AD2733" s="4">
        <v>15</v>
      </c>
      <c r="AE2733" s="4">
        <v>16</v>
      </c>
      <c r="AF2733" s="4">
        <v>5</v>
      </c>
      <c r="AG2733" s="4">
        <v>5</v>
      </c>
      <c r="AH2733" s="4">
        <v>5</v>
      </c>
      <c r="AI2733" s="4">
        <v>5</v>
      </c>
      <c r="AJ2733" s="4">
        <v>10</v>
      </c>
      <c r="AK2733" s="4">
        <v>11</v>
      </c>
      <c r="AL2733" s="4">
        <v>0</v>
      </c>
      <c r="AM2733" s="4">
        <v>0</v>
      </c>
      <c r="AN2733" s="4">
        <v>0</v>
      </c>
      <c r="AO2733" s="4">
        <v>0</v>
      </c>
      <c r="AP2733" s="3" t="s">
        <v>58</v>
      </c>
      <c r="AQ2733" s="3" t="s">
        <v>58</v>
      </c>
      <c r="AS2733" s="6" t="str">
        <f>HYPERLINK("https://creighton-primo.hosted.exlibrisgroup.com/primo-explore/search?tab=default_tab&amp;search_scope=EVERYTHING&amp;vid=01CRU&amp;lang=en_US&amp;offset=0&amp;query=any,contains,991004204939702656","Catalog Record")</f>
        <v>Catalog Record</v>
      </c>
      <c r="AT2733" s="6" t="str">
        <f>HYPERLINK("http://www.worldcat.org/oclc/43819599","WorldCat Record")</f>
        <v>WorldCat Record</v>
      </c>
      <c r="AU2733" s="3" t="s">
        <v>33261</v>
      </c>
      <c r="AV2733" s="3" t="s">
        <v>33262</v>
      </c>
      <c r="AW2733" s="3" t="s">
        <v>33263</v>
      </c>
      <c r="AX2733" s="3" t="s">
        <v>33263</v>
      </c>
      <c r="AY2733" s="3" t="s">
        <v>33264</v>
      </c>
      <c r="AZ2733" s="3" t="s">
        <v>73</v>
      </c>
      <c r="BB2733" s="3" t="s">
        <v>33265</v>
      </c>
      <c r="BC2733" s="3" t="s">
        <v>33266</v>
      </c>
      <c r="BD2733" s="3" t="s">
        <v>33267</v>
      </c>
    </row>
    <row r="2734" spans="1:56" ht="51" customHeight="1" x14ac:dyDescent="0.25">
      <c r="A2734" s="7" t="s">
        <v>58</v>
      </c>
      <c r="B2734" s="2" t="s">
        <v>33268</v>
      </c>
      <c r="C2734" s="2" t="s">
        <v>33269</v>
      </c>
      <c r="D2734" s="2" t="s">
        <v>33270</v>
      </c>
      <c r="F2734" s="3" t="s">
        <v>58</v>
      </c>
      <c r="G2734" s="3" t="s">
        <v>59</v>
      </c>
      <c r="H2734" s="3" t="s">
        <v>58</v>
      </c>
      <c r="I2734" s="3" t="s">
        <v>58</v>
      </c>
      <c r="J2734" s="3" t="s">
        <v>60</v>
      </c>
      <c r="L2734" s="2" t="s">
        <v>33271</v>
      </c>
      <c r="M2734" s="3" t="s">
        <v>552</v>
      </c>
      <c r="O2734" s="3" t="s">
        <v>63</v>
      </c>
      <c r="P2734" s="3" t="s">
        <v>33272</v>
      </c>
      <c r="Q2734" s="2" t="s">
        <v>33273</v>
      </c>
      <c r="R2734" s="3" t="s">
        <v>65</v>
      </c>
      <c r="S2734" s="4">
        <v>9</v>
      </c>
      <c r="T2734" s="4">
        <v>9</v>
      </c>
      <c r="U2734" s="5" t="s">
        <v>19716</v>
      </c>
      <c r="V2734" s="5" t="s">
        <v>19716</v>
      </c>
      <c r="W2734" s="5" t="s">
        <v>21155</v>
      </c>
      <c r="X2734" s="5" t="s">
        <v>21155</v>
      </c>
      <c r="Y2734" s="4">
        <v>177</v>
      </c>
      <c r="Z2734" s="4">
        <v>93</v>
      </c>
      <c r="AA2734" s="4">
        <v>93</v>
      </c>
      <c r="AB2734" s="4">
        <v>1</v>
      </c>
      <c r="AC2734" s="4">
        <v>1</v>
      </c>
      <c r="AD2734" s="4">
        <v>3</v>
      </c>
      <c r="AE2734" s="4">
        <v>3</v>
      </c>
      <c r="AF2734" s="4">
        <v>0</v>
      </c>
      <c r="AG2734" s="4">
        <v>0</v>
      </c>
      <c r="AH2734" s="4">
        <v>0</v>
      </c>
      <c r="AI2734" s="4">
        <v>0</v>
      </c>
      <c r="AJ2734" s="4">
        <v>3</v>
      </c>
      <c r="AK2734" s="4">
        <v>3</v>
      </c>
      <c r="AL2734" s="4">
        <v>0</v>
      </c>
      <c r="AM2734" s="4">
        <v>0</v>
      </c>
      <c r="AN2734" s="4">
        <v>0</v>
      </c>
      <c r="AO2734" s="4">
        <v>0</v>
      </c>
      <c r="AP2734" s="3" t="s">
        <v>58</v>
      </c>
      <c r="AQ2734" s="3" t="s">
        <v>58</v>
      </c>
      <c r="AS2734" s="6" t="str">
        <f>HYPERLINK("https://creighton-primo.hosted.exlibrisgroup.com/primo-explore/search?tab=default_tab&amp;search_scope=EVERYTHING&amp;vid=01CRU&amp;lang=en_US&amp;offset=0&amp;query=any,contains,991001946989702656","Catalog Record")</f>
        <v>Catalog Record</v>
      </c>
      <c r="AT2734" s="6" t="str">
        <f>HYPERLINK("http://www.worldcat.org/oclc/24617652","WorldCat Record")</f>
        <v>WorldCat Record</v>
      </c>
      <c r="AU2734" s="3" t="s">
        <v>33274</v>
      </c>
      <c r="AV2734" s="3" t="s">
        <v>33275</v>
      </c>
      <c r="AW2734" s="3" t="s">
        <v>33276</v>
      </c>
      <c r="AX2734" s="3" t="s">
        <v>33276</v>
      </c>
      <c r="AY2734" s="3" t="s">
        <v>33277</v>
      </c>
      <c r="AZ2734" s="3" t="s">
        <v>73</v>
      </c>
      <c r="BB2734" s="3" t="s">
        <v>33278</v>
      </c>
      <c r="BC2734" s="3" t="s">
        <v>33279</v>
      </c>
      <c r="BD2734" s="3" t="s">
        <v>33280</v>
      </c>
    </row>
    <row r="2735" spans="1:56" ht="51" customHeight="1" x14ac:dyDescent="0.25">
      <c r="A2735" s="7" t="s">
        <v>58</v>
      </c>
      <c r="B2735" s="2" t="s">
        <v>33281</v>
      </c>
      <c r="C2735" s="2" t="s">
        <v>33282</v>
      </c>
      <c r="D2735" s="2" t="s">
        <v>33283</v>
      </c>
      <c r="F2735" s="3" t="s">
        <v>58</v>
      </c>
      <c r="G2735" s="3" t="s">
        <v>59</v>
      </c>
      <c r="H2735" s="3" t="s">
        <v>58</v>
      </c>
      <c r="I2735" s="3" t="s">
        <v>58</v>
      </c>
      <c r="J2735" s="3" t="s">
        <v>60</v>
      </c>
      <c r="K2735" s="2" t="s">
        <v>33284</v>
      </c>
      <c r="L2735" s="2" t="s">
        <v>33285</v>
      </c>
      <c r="M2735" s="3" t="s">
        <v>2295</v>
      </c>
      <c r="O2735" s="3" t="s">
        <v>63</v>
      </c>
      <c r="P2735" s="3" t="s">
        <v>2061</v>
      </c>
      <c r="R2735" s="3" t="s">
        <v>65</v>
      </c>
      <c r="S2735" s="4">
        <v>4</v>
      </c>
      <c r="T2735" s="4">
        <v>4</v>
      </c>
      <c r="U2735" s="5" t="s">
        <v>982</v>
      </c>
      <c r="V2735" s="5" t="s">
        <v>982</v>
      </c>
      <c r="W2735" s="5" t="s">
        <v>33286</v>
      </c>
      <c r="X2735" s="5" t="s">
        <v>33286</v>
      </c>
      <c r="Y2735" s="4">
        <v>509</v>
      </c>
      <c r="Z2735" s="4">
        <v>409</v>
      </c>
      <c r="AA2735" s="4">
        <v>416</v>
      </c>
      <c r="AB2735" s="4">
        <v>3</v>
      </c>
      <c r="AC2735" s="4">
        <v>3</v>
      </c>
      <c r="AD2735" s="4">
        <v>27</v>
      </c>
      <c r="AE2735" s="4">
        <v>27</v>
      </c>
      <c r="AF2735" s="4">
        <v>12</v>
      </c>
      <c r="AG2735" s="4">
        <v>12</v>
      </c>
      <c r="AH2735" s="4">
        <v>8</v>
      </c>
      <c r="AI2735" s="4">
        <v>8</v>
      </c>
      <c r="AJ2735" s="4">
        <v>13</v>
      </c>
      <c r="AK2735" s="4">
        <v>13</v>
      </c>
      <c r="AL2735" s="4">
        <v>2</v>
      </c>
      <c r="AM2735" s="4">
        <v>2</v>
      </c>
      <c r="AN2735" s="4">
        <v>0</v>
      </c>
      <c r="AO2735" s="4">
        <v>0</v>
      </c>
      <c r="AP2735" s="3" t="s">
        <v>58</v>
      </c>
      <c r="AQ2735" s="3" t="s">
        <v>58</v>
      </c>
      <c r="AS2735" s="6" t="str">
        <f>HYPERLINK("https://creighton-primo.hosted.exlibrisgroup.com/primo-explore/search?tab=default_tab&amp;search_scope=EVERYTHING&amp;vid=01CRU&amp;lang=en_US&amp;offset=0&amp;query=any,contains,991004201299702656","Catalog Record")</f>
        <v>Catalog Record</v>
      </c>
      <c r="AT2735" s="6" t="str">
        <f>HYPERLINK("http://www.worldcat.org/oclc/52001730","WorldCat Record")</f>
        <v>WorldCat Record</v>
      </c>
      <c r="AU2735" s="3" t="s">
        <v>33287</v>
      </c>
      <c r="AV2735" s="3" t="s">
        <v>33288</v>
      </c>
      <c r="AW2735" s="3" t="s">
        <v>33289</v>
      </c>
      <c r="AX2735" s="3" t="s">
        <v>33289</v>
      </c>
      <c r="AY2735" s="3" t="s">
        <v>33290</v>
      </c>
      <c r="AZ2735" s="3" t="s">
        <v>73</v>
      </c>
      <c r="BB2735" s="3" t="s">
        <v>33291</v>
      </c>
      <c r="BC2735" s="3" t="s">
        <v>33292</v>
      </c>
      <c r="BD2735" s="3" t="s">
        <v>33293</v>
      </c>
    </row>
    <row r="2736" spans="1:56" ht="51" customHeight="1" x14ac:dyDescent="0.25">
      <c r="A2736" s="7" t="s">
        <v>58</v>
      </c>
      <c r="B2736" s="2" t="s">
        <v>33294</v>
      </c>
      <c r="C2736" s="2" t="s">
        <v>33295</v>
      </c>
      <c r="D2736" s="2" t="s">
        <v>33296</v>
      </c>
      <c r="F2736" s="3" t="s">
        <v>58</v>
      </c>
      <c r="G2736" s="3" t="s">
        <v>59</v>
      </c>
      <c r="H2736" s="3" t="s">
        <v>58</v>
      </c>
      <c r="I2736" s="3" t="s">
        <v>58</v>
      </c>
      <c r="J2736" s="3" t="s">
        <v>60</v>
      </c>
      <c r="L2736" s="2" t="s">
        <v>33297</v>
      </c>
      <c r="M2736" s="3" t="s">
        <v>855</v>
      </c>
      <c r="O2736" s="3" t="s">
        <v>63</v>
      </c>
      <c r="P2736" s="3" t="s">
        <v>584</v>
      </c>
      <c r="Q2736" s="2" t="s">
        <v>33298</v>
      </c>
      <c r="R2736" s="3" t="s">
        <v>65</v>
      </c>
      <c r="S2736" s="4">
        <v>1</v>
      </c>
      <c r="T2736" s="4">
        <v>1</v>
      </c>
      <c r="U2736" s="5" t="s">
        <v>33299</v>
      </c>
      <c r="V2736" s="5" t="s">
        <v>33299</v>
      </c>
      <c r="W2736" s="5" t="s">
        <v>1625</v>
      </c>
      <c r="X2736" s="5" t="s">
        <v>1625</v>
      </c>
      <c r="Y2736" s="4">
        <v>289</v>
      </c>
      <c r="Z2736" s="4">
        <v>207</v>
      </c>
      <c r="AA2736" s="4">
        <v>218</v>
      </c>
      <c r="AB2736" s="4">
        <v>2</v>
      </c>
      <c r="AC2736" s="4">
        <v>2</v>
      </c>
      <c r="AD2736" s="4">
        <v>16</v>
      </c>
      <c r="AE2736" s="4">
        <v>16</v>
      </c>
      <c r="AF2736" s="4">
        <v>5</v>
      </c>
      <c r="AG2736" s="4">
        <v>5</v>
      </c>
      <c r="AH2736" s="4">
        <v>4</v>
      </c>
      <c r="AI2736" s="4">
        <v>4</v>
      </c>
      <c r="AJ2736" s="4">
        <v>11</v>
      </c>
      <c r="AK2736" s="4">
        <v>11</v>
      </c>
      <c r="AL2736" s="4">
        <v>1</v>
      </c>
      <c r="AM2736" s="4">
        <v>1</v>
      </c>
      <c r="AN2736" s="4">
        <v>0</v>
      </c>
      <c r="AO2736" s="4">
        <v>0</v>
      </c>
      <c r="AP2736" s="3" t="s">
        <v>58</v>
      </c>
      <c r="AQ2736" s="3" t="s">
        <v>68</v>
      </c>
      <c r="AR2736" s="6" t="str">
        <f>HYPERLINK("http://catalog.hathitrust.org/Record/002732487","HathiTrust Record")</f>
        <v>HathiTrust Record</v>
      </c>
      <c r="AS2736" s="6" t="str">
        <f>HYPERLINK("https://creighton-primo.hosted.exlibrisgroup.com/primo-explore/search?tab=default_tab&amp;search_scope=EVERYTHING&amp;vid=01CRU&amp;lang=en_US&amp;offset=0&amp;query=any,contains,991002207769702656","Catalog Record")</f>
        <v>Catalog Record</v>
      </c>
      <c r="AT2736" s="6" t="str">
        <f>HYPERLINK("http://www.worldcat.org/oclc/42719747","WorldCat Record")</f>
        <v>WorldCat Record</v>
      </c>
      <c r="AU2736" s="3" t="s">
        <v>33300</v>
      </c>
      <c r="AV2736" s="3" t="s">
        <v>33301</v>
      </c>
      <c r="AW2736" s="3" t="s">
        <v>33302</v>
      </c>
      <c r="AX2736" s="3" t="s">
        <v>33302</v>
      </c>
      <c r="AY2736" s="3" t="s">
        <v>33303</v>
      </c>
      <c r="AZ2736" s="3" t="s">
        <v>73</v>
      </c>
      <c r="BB2736" s="3" t="s">
        <v>33304</v>
      </c>
      <c r="BC2736" s="3" t="s">
        <v>33305</v>
      </c>
      <c r="BD2736" s="3" t="s">
        <v>33306</v>
      </c>
    </row>
    <row r="2737" spans="1:56" ht="51" customHeight="1" x14ac:dyDescent="0.25">
      <c r="A2737" s="7" t="s">
        <v>58</v>
      </c>
      <c r="B2737" s="2" t="s">
        <v>33307</v>
      </c>
      <c r="C2737" s="2" t="s">
        <v>33308</v>
      </c>
      <c r="D2737" s="2" t="s">
        <v>33309</v>
      </c>
      <c r="F2737" s="3" t="s">
        <v>58</v>
      </c>
      <c r="G2737" s="3" t="s">
        <v>59</v>
      </c>
      <c r="H2737" s="3" t="s">
        <v>58</v>
      </c>
      <c r="I2737" s="3" t="s">
        <v>58</v>
      </c>
      <c r="J2737" s="3" t="s">
        <v>60</v>
      </c>
      <c r="K2737" s="2" t="s">
        <v>33310</v>
      </c>
      <c r="L2737" s="2" t="s">
        <v>33311</v>
      </c>
      <c r="M2737" s="3" t="s">
        <v>1357</v>
      </c>
      <c r="O2737" s="3" t="s">
        <v>63</v>
      </c>
      <c r="P2737" s="3" t="s">
        <v>510</v>
      </c>
      <c r="Q2737" s="2" t="s">
        <v>33312</v>
      </c>
      <c r="R2737" s="3" t="s">
        <v>65</v>
      </c>
      <c r="S2737" s="4">
        <v>2</v>
      </c>
      <c r="T2737" s="4">
        <v>2</v>
      </c>
      <c r="U2737" s="5" t="s">
        <v>33313</v>
      </c>
      <c r="V2737" s="5" t="s">
        <v>33313</v>
      </c>
      <c r="W2737" s="5" t="s">
        <v>20416</v>
      </c>
      <c r="X2737" s="5" t="s">
        <v>20416</v>
      </c>
      <c r="Y2737" s="4">
        <v>176</v>
      </c>
      <c r="Z2737" s="4">
        <v>150</v>
      </c>
      <c r="AA2737" s="4">
        <v>225</v>
      </c>
      <c r="AB2737" s="4">
        <v>2</v>
      </c>
      <c r="AC2737" s="4">
        <v>2</v>
      </c>
      <c r="AD2737" s="4">
        <v>8</v>
      </c>
      <c r="AE2737" s="4">
        <v>9</v>
      </c>
      <c r="AF2737" s="4">
        <v>4</v>
      </c>
      <c r="AG2737" s="4">
        <v>5</v>
      </c>
      <c r="AH2737" s="4">
        <v>2</v>
      </c>
      <c r="AI2737" s="4">
        <v>2</v>
      </c>
      <c r="AJ2737" s="4">
        <v>2</v>
      </c>
      <c r="AK2737" s="4">
        <v>3</v>
      </c>
      <c r="AL2737" s="4">
        <v>1</v>
      </c>
      <c r="AM2737" s="4">
        <v>1</v>
      </c>
      <c r="AN2737" s="4">
        <v>0</v>
      </c>
      <c r="AO2737" s="4">
        <v>0</v>
      </c>
      <c r="AP2737" s="3" t="s">
        <v>58</v>
      </c>
      <c r="AQ2737" s="3" t="s">
        <v>68</v>
      </c>
      <c r="AR2737" s="6" t="str">
        <f>HYPERLINK("http://catalog.hathitrust.org/Record/001241863","HathiTrust Record")</f>
        <v>HathiTrust Record</v>
      </c>
      <c r="AS2737" s="6" t="str">
        <f>HYPERLINK("https://creighton-primo.hosted.exlibrisgroup.com/primo-explore/search?tab=default_tab&amp;search_scope=EVERYTHING&amp;vid=01CRU&amp;lang=en_US&amp;offset=0&amp;query=any,contains,991000612499702656","Catalog Record")</f>
        <v>Catalog Record</v>
      </c>
      <c r="AT2737" s="6" t="str">
        <f>HYPERLINK("http://www.worldcat.org/oclc/100773","WorldCat Record")</f>
        <v>WorldCat Record</v>
      </c>
      <c r="AU2737" s="3" t="s">
        <v>33314</v>
      </c>
      <c r="AV2737" s="3" t="s">
        <v>33315</v>
      </c>
      <c r="AW2737" s="3" t="s">
        <v>33316</v>
      </c>
      <c r="AX2737" s="3" t="s">
        <v>33316</v>
      </c>
      <c r="AY2737" s="3" t="s">
        <v>33317</v>
      </c>
      <c r="AZ2737" s="3" t="s">
        <v>73</v>
      </c>
      <c r="BB2737" s="3" t="s">
        <v>33318</v>
      </c>
      <c r="BC2737" s="3" t="s">
        <v>33319</v>
      </c>
      <c r="BD2737" s="3" t="s">
        <v>33320</v>
      </c>
    </row>
    <row r="2738" spans="1:56" ht="51" customHeight="1" x14ac:dyDescent="0.25">
      <c r="A2738" s="7" t="s">
        <v>58</v>
      </c>
      <c r="B2738" s="2" t="s">
        <v>33321</v>
      </c>
      <c r="C2738" s="2" t="s">
        <v>33322</v>
      </c>
      <c r="D2738" s="2" t="s">
        <v>33323</v>
      </c>
      <c r="F2738" s="3" t="s">
        <v>58</v>
      </c>
      <c r="G2738" s="3" t="s">
        <v>59</v>
      </c>
      <c r="H2738" s="3" t="s">
        <v>58</v>
      </c>
      <c r="I2738" s="3" t="s">
        <v>58</v>
      </c>
      <c r="J2738" s="3" t="s">
        <v>60</v>
      </c>
      <c r="K2738" s="2" t="s">
        <v>33324</v>
      </c>
      <c r="L2738" s="2" t="s">
        <v>33325</v>
      </c>
      <c r="M2738" s="3" t="s">
        <v>951</v>
      </c>
      <c r="O2738" s="3" t="s">
        <v>63</v>
      </c>
      <c r="P2738" s="3" t="s">
        <v>584</v>
      </c>
      <c r="R2738" s="3" t="s">
        <v>65</v>
      </c>
      <c r="S2738" s="4">
        <v>1</v>
      </c>
      <c r="T2738" s="4">
        <v>1</v>
      </c>
      <c r="U2738" s="5" t="s">
        <v>22853</v>
      </c>
      <c r="V2738" s="5" t="s">
        <v>22853</v>
      </c>
      <c r="W2738" s="5" t="s">
        <v>33326</v>
      </c>
      <c r="X2738" s="5" t="s">
        <v>33326</v>
      </c>
      <c r="Y2738" s="4">
        <v>275</v>
      </c>
      <c r="Z2738" s="4">
        <v>192</v>
      </c>
      <c r="AA2738" s="4">
        <v>239</v>
      </c>
      <c r="AB2738" s="4">
        <v>1</v>
      </c>
      <c r="AC2738" s="4">
        <v>2</v>
      </c>
      <c r="AD2738" s="4">
        <v>10</v>
      </c>
      <c r="AE2738" s="4">
        <v>12</v>
      </c>
      <c r="AF2738" s="4">
        <v>2</v>
      </c>
      <c r="AG2738" s="4">
        <v>3</v>
      </c>
      <c r="AH2738" s="4">
        <v>4</v>
      </c>
      <c r="AI2738" s="4">
        <v>4</v>
      </c>
      <c r="AJ2738" s="4">
        <v>8</v>
      </c>
      <c r="AK2738" s="4">
        <v>8</v>
      </c>
      <c r="AL2738" s="4">
        <v>0</v>
      </c>
      <c r="AM2738" s="4">
        <v>1</v>
      </c>
      <c r="AN2738" s="4">
        <v>0</v>
      </c>
      <c r="AO2738" s="4">
        <v>0</v>
      </c>
      <c r="AP2738" s="3" t="s">
        <v>58</v>
      </c>
      <c r="AQ2738" s="3" t="s">
        <v>68</v>
      </c>
      <c r="AR2738" s="6" t="str">
        <f>HYPERLINK("http://catalog.hathitrust.org/Record/004084728","HathiTrust Record")</f>
        <v>HathiTrust Record</v>
      </c>
      <c r="AS2738" s="6" t="str">
        <f>HYPERLINK("https://creighton-primo.hosted.exlibrisgroup.com/primo-explore/search?tab=default_tab&amp;search_scope=EVERYTHING&amp;vid=01CRU&amp;lang=en_US&amp;offset=0&amp;query=any,contains,991003572129702656","Catalog Record")</f>
        <v>Catalog Record</v>
      </c>
      <c r="AT2738" s="6" t="str">
        <f>HYPERLINK("http://www.worldcat.org/oclc/43477628","WorldCat Record")</f>
        <v>WorldCat Record</v>
      </c>
      <c r="AU2738" s="3" t="s">
        <v>33327</v>
      </c>
      <c r="AV2738" s="3" t="s">
        <v>33328</v>
      </c>
      <c r="AW2738" s="3" t="s">
        <v>33329</v>
      </c>
      <c r="AX2738" s="3" t="s">
        <v>33329</v>
      </c>
      <c r="AY2738" s="3" t="s">
        <v>33330</v>
      </c>
      <c r="AZ2738" s="3" t="s">
        <v>73</v>
      </c>
      <c r="BB2738" s="3" t="s">
        <v>33331</v>
      </c>
      <c r="BC2738" s="3" t="s">
        <v>33332</v>
      </c>
      <c r="BD2738" s="3" t="s">
        <v>33333</v>
      </c>
    </row>
    <row r="2739" spans="1:56" ht="51" customHeight="1" x14ac:dyDescent="0.25">
      <c r="A2739" s="7" t="s">
        <v>58</v>
      </c>
      <c r="B2739" s="2" t="s">
        <v>33334</v>
      </c>
      <c r="C2739" s="2" t="s">
        <v>33335</v>
      </c>
      <c r="D2739" s="2" t="s">
        <v>33336</v>
      </c>
      <c r="F2739" s="3" t="s">
        <v>58</v>
      </c>
      <c r="G2739" s="3" t="s">
        <v>59</v>
      </c>
      <c r="H2739" s="3" t="s">
        <v>58</v>
      </c>
      <c r="I2739" s="3" t="s">
        <v>58</v>
      </c>
      <c r="J2739" s="3" t="s">
        <v>60</v>
      </c>
      <c r="K2739" s="2" t="s">
        <v>33337</v>
      </c>
      <c r="L2739" s="2" t="s">
        <v>33338</v>
      </c>
      <c r="M2739" s="3" t="s">
        <v>382</v>
      </c>
      <c r="O2739" s="3" t="s">
        <v>63</v>
      </c>
      <c r="P2739" s="3" t="s">
        <v>584</v>
      </c>
      <c r="R2739" s="3" t="s">
        <v>65</v>
      </c>
      <c r="S2739" s="4">
        <v>1</v>
      </c>
      <c r="T2739" s="4">
        <v>1</v>
      </c>
      <c r="U2739" s="5" t="s">
        <v>9807</v>
      </c>
      <c r="V2739" s="5" t="s">
        <v>9807</v>
      </c>
      <c r="W2739" s="5" t="s">
        <v>9807</v>
      </c>
      <c r="X2739" s="5" t="s">
        <v>9807</v>
      </c>
      <c r="Y2739" s="4">
        <v>14</v>
      </c>
      <c r="Z2739" s="4">
        <v>5</v>
      </c>
      <c r="AA2739" s="4">
        <v>328</v>
      </c>
      <c r="AB2739" s="4">
        <v>1</v>
      </c>
      <c r="AC2739" s="4">
        <v>4</v>
      </c>
      <c r="AD2739" s="4">
        <v>0</v>
      </c>
      <c r="AE2739" s="4">
        <v>19</v>
      </c>
      <c r="AF2739" s="4">
        <v>0</v>
      </c>
      <c r="AG2739" s="4">
        <v>5</v>
      </c>
      <c r="AH2739" s="4">
        <v>0</v>
      </c>
      <c r="AI2739" s="4">
        <v>5</v>
      </c>
      <c r="AJ2739" s="4">
        <v>0</v>
      </c>
      <c r="AK2739" s="4">
        <v>13</v>
      </c>
      <c r="AL2739" s="4">
        <v>0</v>
      </c>
      <c r="AM2739" s="4">
        <v>3</v>
      </c>
      <c r="AN2739" s="4">
        <v>0</v>
      </c>
      <c r="AO2739" s="4">
        <v>0</v>
      </c>
      <c r="AP2739" s="3" t="s">
        <v>58</v>
      </c>
      <c r="AQ2739" s="3" t="s">
        <v>58</v>
      </c>
      <c r="AS2739" s="6" t="str">
        <f>HYPERLINK("https://creighton-primo.hosted.exlibrisgroup.com/primo-explore/search?tab=default_tab&amp;search_scope=EVERYTHING&amp;vid=01CRU&amp;lang=en_US&amp;offset=0&amp;query=any,contains,991003235979702656","Catalog Record")</f>
        <v>Catalog Record</v>
      </c>
      <c r="AT2739" s="6" t="str">
        <f>HYPERLINK("http://www.worldcat.org/oclc/810728509","WorldCat Record")</f>
        <v>WorldCat Record</v>
      </c>
      <c r="AU2739" s="3" t="s">
        <v>33339</v>
      </c>
      <c r="AV2739" s="3" t="s">
        <v>33340</v>
      </c>
      <c r="AW2739" s="3" t="s">
        <v>33341</v>
      </c>
      <c r="AX2739" s="3" t="s">
        <v>33341</v>
      </c>
      <c r="AY2739" s="3" t="s">
        <v>33342</v>
      </c>
      <c r="AZ2739" s="3" t="s">
        <v>73</v>
      </c>
      <c r="BB2739" s="3" t="s">
        <v>33343</v>
      </c>
      <c r="BC2739" s="3" t="s">
        <v>33344</v>
      </c>
      <c r="BD2739" s="3" t="s">
        <v>33345</v>
      </c>
    </row>
    <row r="2740" spans="1:56" ht="51" customHeight="1" x14ac:dyDescent="0.25">
      <c r="A2740" s="7" t="s">
        <v>58</v>
      </c>
      <c r="B2740" s="2" t="s">
        <v>33346</v>
      </c>
      <c r="C2740" s="2" t="s">
        <v>33347</v>
      </c>
      <c r="D2740" s="2" t="s">
        <v>33348</v>
      </c>
      <c r="F2740" s="3" t="s">
        <v>58</v>
      </c>
      <c r="G2740" s="3" t="s">
        <v>59</v>
      </c>
      <c r="H2740" s="3" t="s">
        <v>58</v>
      </c>
      <c r="I2740" s="3" t="s">
        <v>58</v>
      </c>
      <c r="J2740" s="3" t="s">
        <v>60</v>
      </c>
      <c r="L2740" s="2" t="s">
        <v>33349</v>
      </c>
      <c r="M2740" s="3" t="s">
        <v>2186</v>
      </c>
      <c r="N2740" s="2" t="s">
        <v>338</v>
      </c>
      <c r="O2740" s="3" t="s">
        <v>63</v>
      </c>
      <c r="P2740" s="3" t="s">
        <v>584</v>
      </c>
      <c r="R2740" s="3" t="s">
        <v>65</v>
      </c>
      <c r="S2740" s="4">
        <v>2</v>
      </c>
      <c r="T2740" s="4">
        <v>2</v>
      </c>
      <c r="U2740" s="5" t="s">
        <v>33025</v>
      </c>
      <c r="V2740" s="5" t="s">
        <v>33025</v>
      </c>
      <c r="W2740" s="5" t="s">
        <v>33025</v>
      </c>
      <c r="X2740" s="5" t="s">
        <v>33025</v>
      </c>
      <c r="Y2740" s="4">
        <v>97</v>
      </c>
      <c r="Z2740" s="4">
        <v>69</v>
      </c>
      <c r="AA2740" s="4">
        <v>721</v>
      </c>
      <c r="AB2740" s="4">
        <v>1</v>
      </c>
      <c r="AC2740" s="4">
        <v>7</v>
      </c>
      <c r="AD2740" s="4">
        <v>4</v>
      </c>
      <c r="AE2740" s="4">
        <v>26</v>
      </c>
      <c r="AF2740" s="4">
        <v>0</v>
      </c>
      <c r="AG2740" s="4">
        <v>8</v>
      </c>
      <c r="AH2740" s="4">
        <v>3</v>
      </c>
      <c r="AI2740" s="4">
        <v>7</v>
      </c>
      <c r="AJ2740" s="4">
        <v>3</v>
      </c>
      <c r="AK2740" s="4">
        <v>9</v>
      </c>
      <c r="AL2740" s="4">
        <v>0</v>
      </c>
      <c r="AM2740" s="4">
        <v>6</v>
      </c>
      <c r="AN2740" s="4">
        <v>0</v>
      </c>
      <c r="AO2740" s="4">
        <v>1</v>
      </c>
      <c r="AP2740" s="3" t="s">
        <v>58</v>
      </c>
      <c r="AQ2740" s="3" t="s">
        <v>68</v>
      </c>
      <c r="AR2740" s="6" t="str">
        <f>HYPERLINK("http://catalog.hathitrust.org/Record/005567079","HathiTrust Record")</f>
        <v>HathiTrust Record</v>
      </c>
      <c r="AS2740" s="6" t="str">
        <f>HYPERLINK("https://creighton-primo.hosted.exlibrisgroup.com/primo-explore/search?tab=default_tab&amp;search_scope=EVERYTHING&amp;vid=01CRU&amp;lang=en_US&amp;offset=0&amp;query=any,contains,991005291709702656","Catalog Record")</f>
        <v>Catalog Record</v>
      </c>
      <c r="AT2740" s="6" t="str">
        <f>HYPERLINK("http://www.worldcat.org/oclc/132690640","WorldCat Record")</f>
        <v>WorldCat Record</v>
      </c>
      <c r="AU2740" s="3" t="s">
        <v>33350</v>
      </c>
      <c r="AV2740" s="3" t="s">
        <v>33351</v>
      </c>
      <c r="AW2740" s="3" t="s">
        <v>33352</v>
      </c>
      <c r="AX2740" s="3" t="s">
        <v>33352</v>
      </c>
      <c r="AY2740" s="3" t="s">
        <v>33353</v>
      </c>
      <c r="AZ2740" s="3" t="s">
        <v>73</v>
      </c>
      <c r="BB2740" s="3" t="s">
        <v>33354</v>
      </c>
      <c r="BC2740" s="3" t="s">
        <v>33355</v>
      </c>
      <c r="BD2740" s="3" t="s">
        <v>33356</v>
      </c>
    </row>
    <row r="2741" spans="1:56" ht="51" customHeight="1" x14ac:dyDescent="0.25">
      <c r="A2741" s="7" t="s">
        <v>58</v>
      </c>
      <c r="B2741" s="2" t="s">
        <v>33357</v>
      </c>
      <c r="C2741" s="2" t="s">
        <v>33358</v>
      </c>
      <c r="D2741" s="2" t="s">
        <v>33359</v>
      </c>
      <c r="F2741" s="3" t="s">
        <v>58</v>
      </c>
      <c r="G2741" s="3" t="s">
        <v>59</v>
      </c>
      <c r="H2741" s="3" t="s">
        <v>58</v>
      </c>
      <c r="I2741" s="3" t="s">
        <v>58</v>
      </c>
      <c r="J2741" s="3" t="s">
        <v>60</v>
      </c>
      <c r="K2741" s="2" t="s">
        <v>13676</v>
      </c>
      <c r="L2741" s="2" t="s">
        <v>33360</v>
      </c>
      <c r="M2741" s="3" t="s">
        <v>996</v>
      </c>
      <c r="O2741" s="3" t="s">
        <v>63</v>
      </c>
      <c r="P2741" s="3" t="s">
        <v>214</v>
      </c>
      <c r="R2741" s="3" t="s">
        <v>65</v>
      </c>
      <c r="S2741" s="4">
        <v>6</v>
      </c>
      <c r="T2741" s="4">
        <v>6</v>
      </c>
      <c r="U2741" s="5" t="s">
        <v>28761</v>
      </c>
      <c r="V2741" s="5" t="s">
        <v>28761</v>
      </c>
      <c r="W2741" s="5" t="s">
        <v>20416</v>
      </c>
      <c r="X2741" s="5" t="s">
        <v>20416</v>
      </c>
      <c r="Y2741" s="4">
        <v>213</v>
      </c>
      <c r="Z2741" s="4">
        <v>180</v>
      </c>
      <c r="AA2741" s="4">
        <v>492</v>
      </c>
      <c r="AB2741" s="4">
        <v>2</v>
      </c>
      <c r="AC2741" s="4">
        <v>4</v>
      </c>
      <c r="AD2741" s="4">
        <v>6</v>
      </c>
      <c r="AE2741" s="4">
        <v>16</v>
      </c>
      <c r="AF2741" s="4">
        <v>2</v>
      </c>
      <c r="AG2741" s="4">
        <v>5</v>
      </c>
      <c r="AH2741" s="4">
        <v>2</v>
      </c>
      <c r="AI2741" s="4">
        <v>6</v>
      </c>
      <c r="AJ2741" s="4">
        <v>2</v>
      </c>
      <c r="AK2741" s="4">
        <v>7</v>
      </c>
      <c r="AL2741" s="4">
        <v>1</v>
      </c>
      <c r="AM2741" s="4">
        <v>3</v>
      </c>
      <c r="AN2741" s="4">
        <v>0</v>
      </c>
      <c r="AO2741" s="4">
        <v>0</v>
      </c>
      <c r="AP2741" s="3" t="s">
        <v>58</v>
      </c>
      <c r="AQ2741" s="3" t="s">
        <v>68</v>
      </c>
      <c r="AR2741" s="6" t="str">
        <f>HYPERLINK("http://catalog.hathitrust.org/Record/009907803","HathiTrust Record")</f>
        <v>HathiTrust Record</v>
      </c>
      <c r="AS2741" s="6" t="str">
        <f>HYPERLINK("https://creighton-primo.hosted.exlibrisgroup.com/primo-explore/search?tab=default_tab&amp;search_scope=EVERYTHING&amp;vid=01CRU&amp;lang=en_US&amp;offset=0&amp;query=any,contains,991002799479702656","Catalog Record")</f>
        <v>Catalog Record</v>
      </c>
      <c r="AT2741" s="6" t="str">
        <f>HYPERLINK("http://www.worldcat.org/oclc/446253","WorldCat Record")</f>
        <v>WorldCat Record</v>
      </c>
      <c r="AU2741" s="3" t="s">
        <v>33361</v>
      </c>
      <c r="AV2741" s="3" t="s">
        <v>33362</v>
      </c>
      <c r="AW2741" s="3" t="s">
        <v>33363</v>
      </c>
      <c r="AX2741" s="3" t="s">
        <v>33363</v>
      </c>
      <c r="AY2741" s="3" t="s">
        <v>33364</v>
      </c>
      <c r="AZ2741" s="3" t="s">
        <v>73</v>
      </c>
      <c r="BB2741" s="3" t="s">
        <v>33365</v>
      </c>
      <c r="BC2741" s="3" t="s">
        <v>33366</v>
      </c>
      <c r="BD2741" s="3" t="s">
        <v>33367</v>
      </c>
    </row>
    <row r="2742" spans="1:56" ht="51" customHeight="1" x14ac:dyDescent="0.25">
      <c r="A2742" s="7" t="s">
        <v>58</v>
      </c>
      <c r="B2742" s="2" t="s">
        <v>33368</v>
      </c>
      <c r="C2742" s="2" t="s">
        <v>33369</v>
      </c>
      <c r="D2742" s="2" t="s">
        <v>33370</v>
      </c>
      <c r="F2742" s="3" t="s">
        <v>58</v>
      </c>
      <c r="G2742" s="3" t="s">
        <v>59</v>
      </c>
      <c r="H2742" s="3" t="s">
        <v>58</v>
      </c>
      <c r="I2742" s="3" t="s">
        <v>58</v>
      </c>
      <c r="J2742" s="3" t="s">
        <v>60</v>
      </c>
      <c r="K2742" s="2" t="s">
        <v>33371</v>
      </c>
      <c r="L2742" s="2" t="s">
        <v>33372</v>
      </c>
      <c r="M2742" s="3" t="s">
        <v>183</v>
      </c>
      <c r="N2742" s="2" t="s">
        <v>1611</v>
      </c>
      <c r="O2742" s="3" t="s">
        <v>63</v>
      </c>
      <c r="P2742" s="3" t="s">
        <v>214</v>
      </c>
      <c r="R2742" s="3" t="s">
        <v>65</v>
      </c>
      <c r="S2742" s="4">
        <v>5</v>
      </c>
      <c r="T2742" s="4">
        <v>5</v>
      </c>
      <c r="U2742" s="5" t="s">
        <v>20803</v>
      </c>
      <c r="V2742" s="5" t="s">
        <v>20803</v>
      </c>
      <c r="W2742" s="5" t="s">
        <v>17640</v>
      </c>
      <c r="X2742" s="5" t="s">
        <v>17640</v>
      </c>
      <c r="Y2742" s="4">
        <v>319</v>
      </c>
      <c r="Z2742" s="4">
        <v>248</v>
      </c>
      <c r="AA2742" s="4">
        <v>419</v>
      </c>
      <c r="AB2742" s="4">
        <v>2</v>
      </c>
      <c r="AC2742" s="4">
        <v>3</v>
      </c>
      <c r="AD2742" s="4">
        <v>13</v>
      </c>
      <c r="AE2742" s="4">
        <v>22</v>
      </c>
      <c r="AF2742" s="4">
        <v>6</v>
      </c>
      <c r="AG2742" s="4">
        <v>11</v>
      </c>
      <c r="AH2742" s="4">
        <v>6</v>
      </c>
      <c r="AI2742" s="4">
        <v>7</v>
      </c>
      <c r="AJ2742" s="4">
        <v>5</v>
      </c>
      <c r="AK2742" s="4">
        <v>8</v>
      </c>
      <c r="AL2742" s="4">
        <v>1</v>
      </c>
      <c r="AM2742" s="4">
        <v>2</v>
      </c>
      <c r="AN2742" s="4">
        <v>0</v>
      </c>
      <c r="AO2742" s="4">
        <v>0</v>
      </c>
      <c r="AP2742" s="3" t="s">
        <v>58</v>
      </c>
      <c r="AQ2742" s="3" t="s">
        <v>68</v>
      </c>
      <c r="AR2742" s="6" t="str">
        <f>HYPERLINK("http://catalog.hathitrust.org/Record/007878565","HathiTrust Record")</f>
        <v>HathiTrust Record</v>
      </c>
      <c r="AS2742" s="6" t="str">
        <f>HYPERLINK("https://creighton-primo.hosted.exlibrisgroup.com/primo-explore/search?tab=default_tab&amp;search_scope=EVERYTHING&amp;vid=01CRU&amp;lang=en_US&amp;offset=0&amp;query=any,contains,991004268059702656","Catalog Record")</f>
        <v>Catalog Record</v>
      </c>
      <c r="AT2742" s="6" t="str">
        <f>HYPERLINK("http://www.worldcat.org/oclc/2873532","WorldCat Record")</f>
        <v>WorldCat Record</v>
      </c>
      <c r="AU2742" s="3" t="s">
        <v>33373</v>
      </c>
      <c r="AV2742" s="3" t="s">
        <v>33374</v>
      </c>
      <c r="AW2742" s="3" t="s">
        <v>33375</v>
      </c>
      <c r="AX2742" s="3" t="s">
        <v>33375</v>
      </c>
      <c r="AY2742" s="3" t="s">
        <v>33376</v>
      </c>
      <c r="AZ2742" s="3" t="s">
        <v>73</v>
      </c>
      <c r="BB2742" s="3" t="s">
        <v>33377</v>
      </c>
      <c r="BC2742" s="3" t="s">
        <v>33378</v>
      </c>
      <c r="BD2742" s="3" t="s">
        <v>33379</v>
      </c>
    </row>
    <row r="2743" spans="1:56" ht="51" customHeight="1" x14ac:dyDescent="0.25">
      <c r="A2743" s="7" t="s">
        <v>58</v>
      </c>
      <c r="B2743" s="2" t="s">
        <v>33380</v>
      </c>
      <c r="C2743" s="2" t="s">
        <v>33381</v>
      </c>
      <c r="D2743" s="2" t="s">
        <v>33382</v>
      </c>
      <c r="F2743" s="3" t="s">
        <v>58</v>
      </c>
      <c r="G2743" s="3" t="s">
        <v>59</v>
      </c>
      <c r="H2743" s="3" t="s">
        <v>58</v>
      </c>
      <c r="I2743" s="3" t="s">
        <v>58</v>
      </c>
      <c r="J2743" s="3" t="s">
        <v>60</v>
      </c>
      <c r="K2743" s="2" t="s">
        <v>4258</v>
      </c>
      <c r="L2743" s="2" t="s">
        <v>33383</v>
      </c>
      <c r="M2743" s="3" t="s">
        <v>626</v>
      </c>
      <c r="O2743" s="3" t="s">
        <v>63</v>
      </c>
      <c r="P2743" s="3" t="s">
        <v>2630</v>
      </c>
      <c r="Q2743" s="2" t="s">
        <v>12630</v>
      </c>
      <c r="R2743" s="3" t="s">
        <v>65</v>
      </c>
      <c r="S2743" s="4">
        <v>2</v>
      </c>
      <c r="T2743" s="4">
        <v>2</v>
      </c>
      <c r="U2743" s="5" t="s">
        <v>17129</v>
      </c>
      <c r="V2743" s="5" t="s">
        <v>17129</v>
      </c>
      <c r="W2743" s="5" t="s">
        <v>17640</v>
      </c>
      <c r="X2743" s="5" t="s">
        <v>17640</v>
      </c>
      <c r="Y2743" s="4">
        <v>292</v>
      </c>
      <c r="Z2743" s="4">
        <v>225</v>
      </c>
      <c r="AA2743" s="4">
        <v>251</v>
      </c>
      <c r="AB2743" s="4">
        <v>4</v>
      </c>
      <c r="AC2743" s="4">
        <v>4</v>
      </c>
      <c r="AD2743" s="4">
        <v>8</v>
      </c>
      <c r="AE2743" s="4">
        <v>8</v>
      </c>
      <c r="AF2743" s="4">
        <v>1</v>
      </c>
      <c r="AG2743" s="4">
        <v>1</v>
      </c>
      <c r="AH2743" s="4">
        <v>2</v>
      </c>
      <c r="AI2743" s="4">
        <v>2</v>
      </c>
      <c r="AJ2743" s="4">
        <v>4</v>
      </c>
      <c r="AK2743" s="4">
        <v>4</v>
      </c>
      <c r="AL2743" s="4">
        <v>3</v>
      </c>
      <c r="AM2743" s="4">
        <v>3</v>
      </c>
      <c r="AN2743" s="4">
        <v>0</v>
      </c>
      <c r="AO2743" s="4">
        <v>0</v>
      </c>
      <c r="AP2743" s="3" t="s">
        <v>58</v>
      </c>
      <c r="AQ2743" s="3" t="s">
        <v>68</v>
      </c>
      <c r="AR2743" s="6" t="str">
        <f>HYPERLINK("http://catalog.hathitrust.org/Record/000116955","HathiTrust Record")</f>
        <v>HathiTrust Record</v>
      </c>
      <c r="AS2743" s="6" t="str">
        <f>HYPERLINK("https://creighton-primo.hosted.exlibrisgroup.com/primo-explore/search?tab=default_tab&amp;search_scope=EVERYTHING&amp;vid=01CRU&amp;lang=en_US&amp;offset=0&amp;query=any,contains,991000101069702656","Catalog Record")</f>
        <v>Catalog Record</v>
      </c>
      <c r="AT2743" s="6" t="str">
        <f>HYPERLINK("http://www.worldcat.org/oclc/8953472","WorldCat Record")</f>
        <v>WorldCat Record</v>
      </c>
      <c r="AU2743" s="3" t="s">
        <v>33384</v>
      </c>
      <c r="AV2743" s="3" t="s">
        <v>33385</v>
      </c>
      <c r="AW2743" s="3" t="s">
        <v>33386</v>
      </c>
      <c r="AX2743" s="3" t="s">
        <v>33386</v>
      </c>
      <c r="AY2743" s="3" t="s">
        <v>33387</v>
      </c>
      <c r="AZ2743" s="3" t="s">
        <v>73</v>
      </c>
      <c r="BB2743" s="3" t="s">
        <v>33388</v>
      </c>
      <c r="BC2743" s="3" t="s">
        <v>33389</v>
      </c>
      <c r="BD2743" s="3" t="s">
        <v>33390</v>
      </c>
    </row>
    <row r="2744" spans="1:56" ht="51" customHeight="1" x14ac:dyDescent="0.25">
      <c r="A2744" s="7" t="s">
        <v>58</v>
      </c>
      <c r="B2744" s="2" t="s">
        <v>33391</v>
      </c>
      <c r="C2744" s="2" t="s">
        <v>33392</v>
      </c>
      <c r="D2744" s="2" t="s">
        <v>33393</v>
      </c>
      <c r="F2744" s="3" t="s">
        <v>58</v>
      </c>
      <c r="G2744" s="3" t="s">
        <v>59</v>
      </c>
      <c r="H2744" s="3" t="s">
        <v>58</v>
      </c>
      <c r="I2744" s="3" t="s">
        <v>58</v>
      </c>
      <c r="J2744" s="3" t="s">
        <v>60</v>
      </c>
      <c r="K2744" s="2" t="s">
        <v>33394</v>
      </c>
      <c r="L2744" s="2" t="s">
        <v>33395</v>
      </c>
      <c r="M2744" s="3" t="s">
        <v>1784</v>
      </c>
      <c r="O2744" s="3" t="s">
        <v>63</v>
      </c>
      <c r="P2744" s="3" t="s">
        <v>214</v>
      </c>
      <c r="R2744" s="3" t="s">
        <v>65</v>
      </c>
      <c r="S2744" s="4">
        <v>6</v>
      </c>
      <c r="T2744" s="4">
        <v>6</v>
      </c>
      <c r="U2744" s="5" t="s">
        <v>17129</v>
      </c>
      <c r="V2744" s="5" t="s">
        <v>17129</v>
      </c>
      <c r="W2744" s="5" t="s">
        <v>17640</v>
      </c>
      <c r="X2744" s="5" t="s">
        <v>17640</v>
      </c>
      <c r="Y2744" s="4">
        <v>245</v>
      </c>
      <c r="Z2744" s="4">
        <v>224</v>
      </c>
      <c r="AA2744" s="4">
        <v>293</v>
      </c>
      <c r="AB2744" s="4">
        <v>1</v>
      </c>
      <c r="AC2744" s="4">
        <v>3</v>
      </c>
      <c r="AD2744" s="4">
        <v>7</v>
      </c>
      <c r="AE2744" s="4">
        <v>9</v>
      </c>
      <c r="AF2744" s="4">
        <v>1</v>
      </c>
      <c r="AG2744" s="4">
        <v>1</v>
      </c>
      <c r="AH2744" s="4">
        <v>2</v>
      </c>
      <c r="AI2744" s="4">
        <v>2</v>
      </c>
      <c r="AJ2744" s="4">
        <v>5</v>
      </c>
      <c r="AK2744" s="4">
        <v>5</v>
      </c>
      <c r="AL2744" s="4">
        <v>0</v>
      </c>
      <c r="AM2744" s="4">
        <v>2</v>
      </c>
      <c r="AN2744" s="4">
        <v>0</v>
      </c>
      <c r="AO2744" s="4">
        <v>0</v>
      </c>
      <c r="AP2744" s="3" t="s">
        <v>58</v>
      </c>
      <c r="AQ2744" s="3" t="s">
        <v>58</v>
      </c>
      <c r="AS2744" s="6" t="str">
        <f>HYPERLINK("https://creighton-primo.hosted.exlibrisgroup.com/primo-explore/search?tab=default_tab&amp;search_scope=EVERYTHING&amp;vid=01CRU&amp;lang=en_US&amp;offset=0&amp;query=any,contains,991004662669702656","Catalog Record")</f>
        <v>Catalog Record</v>
      </c>
      <c r="AT2744" s="6" t="str">
        <f>HYPERLINK("http://www.worldcat.org/oclc/4497977","WorldCat Record")</f>
        <v>WorldCat Record</v>
      </c>
      <c r="AU2744" s="3" t="s">
        <v>33396</v>
      </c>
      <c r="AV2744" s="3" t="s">
        <v>33397</v>
      </c>
      <c r="AW2744" s="3" t="s">
        <v>33398</v>
      </c>
      <c r="AX2744" s="3" t="s">
        <v>33398</v>
      </c>
      <c r="AY2744" s="3" t="s">
        <v>33399</v>
      </c>
      <c r="AZ2744" s="3" t="s">
        <v>73</v>
      </c>
      <c r="BB2744" s="3" t="s">
        <v>33400</v>
      </c>
      <c r="BC2744" s="3" t="s">
        <v>33401</v>
      </c>
      <c r="BD2744" s="3" t="s">
        <v>33402</v>
      </c>
    </row>
    <row r="2745" spans="1:56" ht="51" customHeight="1" x14ac:dyDescent="0.25">
      <c r="A2745" s="7" t="s">
        <v>58</v>
      </c>
      <c r="B2745" s="2" t="s">
        <v>33403</v>
      </c>
      <c r="C2745" s="2" t="s">
        <v>33404</v>
      </c>
      <c r="D2745" s="2" t="s">
        <v>33405</v>
      </c>
      <c r="F2745" s="3" t="s">
        <v>58</v>
      </c>
      <c r="G2745" s="3" t="s">
        <v>59</v>
      </c>
      <c r="H2745" s="3" t="s">
        <v>58</v>
      </c>
      <c r="I2745" s="3" t="s">
        <v>58</v>
      </c>
      <c r="J2745" s="3" t="s">
        <v>60</v>
      </c>
      <c r="K2745" s="2" t="s">
        <v>33406</v>
      </c>
      <c r="L2745" s="2" t="s">
        <v>33407</v>
      </c>
      <c r="M2745" s="3" t="s">
        <v>2214</v>
      </c>
      <c r="O2745" s="3" t="s">
        <v>63</v>
      </c>
      <c r="P2745" s="3" t="s">
        <v>1092</v>
      </c>
      <c r="R2745" s="3" t="s">
        <v>65</v>
      </c>
      <c r="S2745" s="4">
        <v>1</v>
      </c>
      <c r="T2745" s="4">
        <v>1</v>
      </c>
      <c r="U2745" s="5" t="s">
        <v>4128</v>
      </c>
      <c r="V2745" s="5" t="s">
        <v>4128</v>
      </c>
      <c r="W2745" s="5" t="s">
        <v>4128</v>
      </c>
      <c r="X2745" s="5" t="s">
        <v>4128</v>
      </c>
      <c r="Y2745" s="4">
        <v>196</v>
      </c>
      <c r="Z2745" s="4">
        <v>160</v>
      </c>
      <c r="AA2745" s="4">
        <v>170</v>
      </c>
      <c r="AB2745" s="4">
        <v>1</v>
      </c>
      <c r="AC2745" s="4">
        <v>1</v>
      </c>
      <c r="AD2745" s="4">
        <v>11</v>
      </c>
      <c r="AE2745" s="4">
        <v>11</v>
      </c>
      <c r="AF2745" s="4">
        <v>3</v>
      </c>
      <c r="AG2745" s="4">
        <v>3</v>
      </c>
      <c r="AH2745" s="4">
        <v>5</v>
      </c>
      <c r="AI2745" s="4">
        <v>5</v>
      </c>
      <c r="AJ2745" s="4">
        <v>7</v>
      </c>
      <c r="AK2745" s="4">
        <v>7</v>
      </c>
      <c r="AL2745" s="4">
        <v>0</v>
      </c>
      <c r="AM2745" s="4">
        <v>0</v>
      </c>
      <c r="AN2745" s="4">
        <v>0</v>
      </c>
      <c r="AO2745" s="4">
        <v>0</v>
      </c>
      <c r="AP2745" s="3" t="s">
        <v>58</v>
      </c>
      <c r="AQ2745" s="3" t="s">
        <v>68</v>
      </c>
      <c r="AR2745" s="6" t="str">
        <f>HYPERLINK("http://catalog.hathitrust.org/Record/004968761","HathiTrust Record")</f>
        <v>HathiTrust Record</v>
      </c>
      <c r="AS2745" s="6" t="str">
        <f>HYPERLINK("https://creighton-primo.hosted.exlibrisgroup.com/primo-explore/search?tab=default_tab&amp;search_scope=EVERYTHING&amp;vid=01CRU&amp;lang=en_US&amp;offset=0&amp;query=any,contains,991004776589702656","Catalog Record")</f>
        <v>Catalog Record</v>
      </c>
      <c r="AT2745" s="6" t="str">
        <f>HYPERLINK("http://www.worldcat.org/oclc/55124329","WorldCat Record")</f>
        <v>WorldCat Record</v>
      </c>
      <c r="AU2745" s="3" t="s">
        <v>33408</v>
      </c>
      <c r="AV2745" s="3" t="s">
        <v>33409</v>
      </c>
      <c r="AW2745" s="3" t="s">
        <v>33410</v>
      </c>
      <c r="AX2745" s="3" t="s">
        <v>33410</v>
      </c>
      <c r="AY2745" s="3" t="s">
        <v>33411</v>
      </c>
      <c r="AZ2745" s="3" t="s">
        <v>73</v>
      </c>
      <c r="BB2745" s="3" t="s">
        <v>33412</v>
      </c>
      <c r="BC2745" s="3" t="s">
        <v>33413</v>
      </c>
      <c r="BD2745" s="3" t="s">
        <v>33414</v>
      </c>
    </row>
    <row r="2746" spans="1:56" ht="51" customHeight="1" x14ac:dyDescent="0.25">
      <c r="A2746" s="7" t="s">
        <v>58</v>
      </c>
      <c r="B2746" s="2" t="s">
        <v>33415</v>
      </c>
      <c r="C2746" s="2" t="s">
        <v>33416</v>
      </c>
      <c r="D2746" s="2" t="s">
        <v>33417</v>
      </c>
      <c r="F2746" s="3" t="s">
        <v>58</v>
      </c>
      <c r="G2746" s="3" t="s">
        <v>59</v>
      </c>
      <c r="H2746" s="3" t="s">
        <v>58</v>
      </c>
      <c r="I2746" s="3" t="s">
        <v>58</v>
      </c>
      <c r="J2746" s="3" t="s">
        <v>60</v>
      </c>
      <c r="L2746" s="2" t="s">
        <v>33418</v>
      </c>
      <c r="M2746" s="3" t="s">
        <v>524</v>
      </c>
      <c r="O2746" s="3" t="s">
        <v>63</v>
      </c>
      <c r="P2746" s="3" t="s">
        <v>214</v>
      </c>
      <c r="R2746" s="3" t="s">
        <v>65</v>
      </c>
      <c r="S2746" s="4">
        <v>12</v>
      </c>
      <c r="T2746" s="4">
        <v>12</v>
      </c>
      <c r="U2746" s="5" t="s">
        <v>17129</v>
      </c>
      <c r="V2746" s="5" t="s">
        <v>17129</v>
      </c>
      <c r="W2746" s="5" t="s">
        <v>33419</v>
      </c>
      <c r="X2746" s="5" t="s">
        <v>33419</v>
      </c>
      <c r="Y2746" s="4">
        <v>315</v>
      </c>
      <c r="Z2746" s="4">
        <v>294</v>
      </c>
      <c r="AA2746" s="4">
        <v>380</v>
      </c>
      <c r="AB2746" s="4">
        <v>3</v>
      </c>
      <c r="AC2746" s="4">
        <v>3</v>
      </c>
      <c r="AD2746" s="4">
        <v>12</v>
      </c>
      <c r="AE2746" s="4">
        <v>13</v>
      </c>
      <c r="AF2746" s="4">
        <v>3</v>
      </c>
      <c r="AG2746" s="4">
        <v>3</v>
      </c>
      <c r="AH2746" s="4">
        <v>4</v>
      </c>
      <c r="AI2746" s="4">
        <v>5</v>
      </c>
      <c r="AJ2746" s="4">
        <v>5</v>
      </c>
      <c r="AK2746" s="4">
        <v>6</v>
      </c>
      <c r="AL2746" s="4">
        <v>2</v>
      </c>
      <c r="AM2746" s="4">
        <v>2</v>
      </c>
      <c r="AN2746" s="4">
        <v>0</v>
      </c>
      <c r="AO2746" s="4">
        <v>0</v>
      </c>
      <c r="AP2746" s="3" t="s">
        <v>58</v>
      </c>
      <c r="AQ2746" s="3" t="s">
        <v>58</v>
      </c>
      <c r="AS2746" s="6" t="str">
        <f>HYPERLINK("https://creighton-primo.hosted.exlibrisgroup.com/primo-explore/search?tab=default_tab&amp;search_scope=EVERYTHING&amp;vid=01CRU&amp;lang=en_US&amp;offset=0&amp;query=any,contains,991000674919702656","Catalog Record")</f>
        <v>Catalog Record</v>
      </c>
      <c r="AT2746" s="6" t="str">
        <f>HYPERLINK("http://www.worldcat.org/oclc/12343668","WorldCat Record")</f>
        <v>WorldCat Record</v>
      </c>
      <c r="AU2746" s="3" t="s">
        <v>33420</v>
      </c>
      <c r="AV2746" s="3" t="s">
        <v>33421</v>
      </c>
      <c r="AW2746" s="3" t="s">
        <v>33422</v>
      </c>
      <c r="AX2746" s="3" t="s">
        <v>33422</v>
      </c>
      <c r="AY2746" s="3" t="s">
        <v>33423</v>
      </c>
      <c r="AZ2746" s="3" t="s">
        <v>73</v>
      </c>
      <c r="BB2746" s="3" t="s">
        <v>33424</v>
      </c>
      <c r="BC2746" s="3" t="s">
        <v>33425</v>
      </c>
      <c r="BD2746" s="3" t="s">
        <v>33426</v>
      </c>
    </row>
    <row r="2747" spans="1:56" ht="51" customHeight="1" x14ac:dyDescent="0.25">
      <c r="A2747" s="7" t="s">
        <v>58</v>
      </c>
      <c r="B2747" s="2" t="s">
        <v>33427</v>
      </c>
      <c r="C2747" s="2" t="s">
        <v>33428</v>
      </c>
      <c r="D2747" s="2" t="s">
        <v>33429</v>
      </c>
      <c r="F2747" s="3" t="s">
        <v>58</v>
      </c>
      <c r="G2747" s="3" t="s">
        <v>59</v>
      </c>
      <c r="H2747" s="3" t="s">
        <v>58</v>
      </c>
      <c r="I2747" s="3" t="s">
        <v>58</v>
      </c>
      <c r="J2747" s="3" t="s">
        <v>60</v>
      </c>
      <c r="K2747" s="2" t="s">
        <v>33430</v>
      </c>
      <c r="L2747" s="2" t="s">
        <v>33431</v>
      </c>
      <c r="M2747" s="3" t="s">
        <v>1399</v>
      </c>
      <c r="N2747" s="2" t="s">
        <v>1009</v>
      </c>
      <c r="O2747" s="3" t="s">
        <v>63</v>
      </c>
      <c r="P2747" s="3" t="s">
        <v>214</v>
      </c>
      <c r="R2747" s="3" t="s">
        <v>65</v>
      </c>
      <c r="S2747" s="4">
        <v>8</v>
      </c>
      <c r="T2747" s="4">
        <v>8</v>
      </c>
      <c r="U2747" s="5" t="s">
        <v>15497</v>
      </c>
      <c r="V2747" s="5" t="s">
        <v>15497</v>
      </c>
      <c r="W2747" s="5" t="s">
        <v>585</v>
      </c>
      <c r="X2747" s="5" t="s">
        <v>585</v>
      </c>
      <c r="Y2747" s="4">
        <v>647</v>
      </c>
      <c r="Z2747" s="4">
        <v>612</v>
      </c>
      <c r="AA2747" s="4">
        <v>677</v>
      </c>
      <c r="AB2747" s="4">
        <v>1</v>
      </c>
      <c r="AC2747" s="4">
        <v>1</v>
      </c>
      <c r="AD2747" s="4">
        <v>15</v>
      </c>
      <c r="AE2747" s="4">
        <v>18</v>
      </c>
      <c r="AF2747" s="4">
        <v>6</v>
      </c>
      <c r="AG2747" s="4">
        <v>6</v>
      </c>
      <c r="AH2747" s="4">
        <v>4</v>
      </c>
      <c r="AI2747" s="4">
        <v>5</v>
      </c>
      <c r="AJ2747" s="4">
        <v>8</v>
      </c>
      <c r="AK2747" s="4">
        <v>11</v>
      </c>
      <c r="AL2747" s="4">
        <v>0</v>
      </c>
      <c r="AM2747" s="4">
        <v>0</v>
      </c>
      <c r="AN2747" s="4">
        <v>0</v>
      </c>
      <c r="AO2747" s="4">
        <v>0</v>
      </c>
      <c r="AP2747" s="3" t="s">
        <v>58</v>
      </c>
      <c r="AQ2747" s="3" t="s">
        <v>58</v>
      </c>
      <c r="AS2747" s="6" t="str">
        <f>HYPERLINK("https://creighton-primo.hosted.exlibrisgroup.com/primo-explore/search?tab=default_tab&amp;search_scope=EVERYTHING&amp;vid=01CRU&amp;lang=en_US&amp;offset=0&amp;query=any,contains,991001205929702656","Catalog Record")</f>
        <v>Catalog Record</v>
      </c>
      <c r="AT2747" s="6" t="str">
        <f>HYPERLINK("http://www.worldcat.org/oclc/17353630","WorldCat Record")</f>
        <v>WorldCat Record</v>
      </c>
      <c r="AU2747" s="3" t="s">
        <v>33432</v>
      </c>
      <c r="AV2747" s="3" t="s">
        <v>33433</v>
      </c>
      <c r="AW2747" s="3" t="s">
        <v>33434</v>
      </c>
      <c r="AX2747" s="3" t="s">
        <v>33434</v>
      </c>
      <c r="AY2747" s="3" t="s">
        <v>33435</v>
      </c>
      <c r="AZ2747" s="3" t="s">
        <v>73</v>
      </c>
      <c r="BB2747" s="3" t="s">
        <v>33436</v>
      </c>
      <c r="BC2747" s="3" t="s">
        <v>33437</v>
      </c>
      <c r="BD2747" s="3" t="s">
        <v>33438</v>
      </c>
    </row>
    <row r="2748" spans="1:56" ht="51" customHeight="1" x14ac:dyDescent="0.25">
      <c r="A2748" s="7" t="s">
        <v>58</v>
      </c>
      <c r="B2748" s="2" t="s">
        <v>33439</v>
      </c>
      <c r="C2748" s="2" t="s">
        <v>33440</v>
      </c>
      <c r="D2748" s="2" t="s">
        <v>33441</v>
      </c>
      <c r="F2748" s="3" t="s">
        <v>58</v>
      </c>
      <c r="G2748" s="3" t="s">
        <v>59</v>
      </c>
      <c r="H2748" s="3" t="s">
        <v>58</v>
      </c>
      <c r="I2748" s="3" t="s">
        <v>58</v>
      </c>
      <c r="J2748" s="3" t="s">
        <v>60</v>
      </c>
      <c r="K2748" s="2" t="s">
        <v>33442</v>
      </c>
      <c r="L2748" s="2" t="s">
        <v>33443</v>
      </c>
      <c r="M2748" s="3" t="s">
        <v>2186</v>
      </c>
      <c r="O2748" s="3" t="s">
        <v>63</v>
      </c>
      <c r="P2748" s="3" t="s">
        <v>584</v>
      </c>
      <c r="Q2748" s="2" t="s">
        <v>33444</v>
      </c>
      <c r="R2748" s="3" t="s">
        <v>65</v>
      </c>
      <c r="S2748" s="4">
        <v>2</v>
      </c>
      <c r="T2748" s="4">
        <v>2</v>
      </c>
      <c r="U2748" s="5" t="s">
        <v>27937</v>
      </c>
      <c r="V2748" s="5" t="s">
        <v>27937</v>
      </c>
      <c r="W2748" s="5" t="s">
        <v>33445</v>
      </c>
      <c r="X2748" s="5" t="s">
        <v>33445</v>
      </c>
      <c r="Y2748" s="4">
        <v>216</v>
      </c>
      <c r="Z2748" s="4">
        <v>158</v>
      </c>
      <c r="AA2748" s="4">
        <v>736</v>
      </c>
      <c r="AB2748" s="4">
        <v>2</v>
      </c>
      <c r="AC2748" s="4">
        <v>15</v>
      </c>
      <c r="AD2748" s="4">
        <v>10</v>
      </c>
      <c r="AE2748" s="4">
        <v>31</v>
      </c>
      <c r="AF2748" s="4">
        <v>1</v>
      </c>
      <c r="AG2748" s="4">
        <v>10</v>
      </c>
      <c r="AH2748" s="4">
        <v>4</v>
      </c>
      <c r="AI2748" s="4">
        <v>8</v>
      </c>
      <c r="AJ2748" s="4">
        <v>6</v>
      </c>
      <c r="AK2748" s="4">
        <v>9</v>
      </c>
      <c r="AL2748" s="4">
        <v>1</v>
      </c>
      <c r="AM2748" s="4">
        <v>10</v>
      </c>
      <c r="AN2748" s="4">
        <v>0</v>
      </c>
      <c r="AO2748" s="4">
        <v>0</v>
      </c>
      <c r="AP2748" s="3" t="s">
        <v>58</v>
      </c>
      <c r="AQ2748" s="3" t="s">
        <v>68</v>
      </c>
      <c r="AR2748" s="6" t="str">
        <f>HYPERLINK("http://catalog.hathitrust.org/Record/005400095","HathiTrust Record")</f>
        <v>HathiTrust Record</v>
      </c>
      <c r="AS2748" s="6" t="str">
        <f>HYPERLINK("https://creighton-primo.hosted.exlibrisgroup.com/primo-explore/search?tab=default_tab&amp;search_scope=EVERYTHING&amp;vid=01CRU&amp;lang=en_US&amp;offset=0&amp;query=any,contains,991005124339702656","Catalog Record")</f>
        <v>Catalog Record</v>
      </c>
      <c r="AT2748" s="6" t="str">
        <f>HYPERLINK("http://www.worldcat.org/oclc/76797532","WorldCat Record")</f>
        <v>WorldCat Record</v>
      </c>
      <c r="AU2748" s="3" t="s">
        <v>33446</v>
      </c>
      <c r="AV2748" s="3" t="s">
        <v>33447</v>
      </c>
      <c r="AW2748" s="3" t="s">
        <v>33448</v>
      </c>
      <c r="AX2748" s="3" t="s">
        <v>33448</v>
      </c>
      <c r="AY2748" s="3" t="s">
        <v>33449</v>
      </c>
      <c r="AZ2748" s="3" t="s">
        <v>73</v>
      </c>
      <c r="BB2748" s="3" t="s">
        <v>33450</v>
      </c>
      <c r="BC2748" s="3" t="s">
        <v>33451</v>
      </c>
      <c r="BD2748" s="3" t="s">
        <v>33452</v>
      </c>
    </row>
    <row r="2749" spans="1:56" ht="51" customHeight="1" x14ac:dyDescent="0.25">
      <c r="A2749" s="7" t="s">
        <v>58</v>
      </c>
      <c r="B2749" s="2" t="s">
        <v>33453</v>
      </c>
      <c r="C2749" s="2" t="s">
        <v>33454</v>
      </c>
      <c r="D2749" s="2" t="s">
        <v>33455</v>
      </c>
      <c r="E2749" s="3" t="s">
        <v>691</v>
      </c>
      <c r="F2749" s="3" t="s">
        <v>58</v>
      </c>
      <c r="G2749" s="3" t="s">
        <v>59</v>
      </c>
      <c r="H2749" s="3" t="s">
        <v>58</v>
      </c>
      <c r="I2749" s="3" t="s">
        <v>58</v>
      </c>
      <c r="J2749" s="3" t="s">
        <v>60</v>
      </c>
      <c r="K2749" s="2" t="s">
        <v>33456</v>
      </c>
      <c r="L2749" s="2" t="s">
        <v>33457</v>
      </c>
      <c r="M2749" s="3" t="s">
        <v>815</v>
      </c>
      <c r="O2749" s="3" t="s">
        <v>63</v>
      </c>
      <c r="P2749" s="3" t="s">
        <v>84</v>
      </c>
      <c r="Q2749" s="2" t="s">
        <v>33458</v>
      </c>
      <c r="R2749" s="3" t="s">
        <v>65</v>
      </c>
      <c r="S2749" s="4">
        <v>1</v>
      </c>
      <c r="T2749" s="4">
        <v>1</v>
      </c>
      <c r="U2749" s="5" t="s">
        <v>1180</v>
      </c>
      <c r="V2749" s="5" t="s">
        <v>1180</v>
      </c>
      <c r="W2749" s="5" t="s">
        <v>1180</v>
      </c>
      <c r="X2749" s="5" t="s">
        <v>1180</v>
      </c>
      <c r="Y2749" s="4">
        <v>52</v>
      </c>
      <c r="Z2749" s="4">
        <v>32</v>
      </c>
      <c r="AA2749" s="4">
        <v>48</v>
      </c>
      <c r="AB2749" s="4">
        <v>1</v>
      </c>
      <c r="AC2749" s="4">
        <v>2</v>
      </c>
      <c r="AD2749" s="4">
        <v>0</v>
      </c>
      <c r="AE2749" s="4">
        <v>2</v>
      </c>
      <c r="AF2749" s="4">
        <v>0</v>
      </c>
      <c r="AG2749" s="4">
        <v>1</v>
      </c>
      <c r="AH2749" s="4">
        <v>0</v>
      </c>
      <c r="AI2749" s="4">
        <v>1</v>
      </c>
      <c r="AJ2749" s="4">
        <v>0</v>
      </c>
      <c r="AK2749" s="4">
        <v>0</v>
      </c>
      <c r="AL2749" s="4">
        <v>0</v>
      </c>
      <c r="AM2749" s="4">
        <v>1</v>
      </c>
      <c r="AN2749" s="4">
        <v>0</v>
      </c>
      <c r="AO2749" s="4">
        <v>0</v>
      </c>
      <c r="AP2749" s="3" t="s">
        <v>58</v>
      </c>
      <c r="AQ2749" s="3" t="s">
        <v>68</v>
      </c>
      <c r="AR2749" s="6" t="str">
        <f>HYPERLINK("http://catalog.hathitrust.org/Record/008564877","HathiTrust Record")</f>
        <v>HathiTrust Record</v>
      </c>
      <c r="AS2749" s="6" t="str">
        <f>HYPERLINK("https://creighton-primo.hosted.exlibrisgroup.com/primo-explore/search?tab=default_tab&amp;search_scope=EVERYTHING&amp;vid=01CRU&amp;lang=en_US&amp;offset=0&amp;query=any,contains,991005351909702656","Catalog Record")</f>
        <v>Catalog Record</v>
      </c>
      <c r="AT2749" s="6" t="str">
        <f>HYPERLINK("http://www.worldcat.org/oclc/319946711","WorldCat Record")</f>
        <v>WorldCat Record</v>
      </c>
      <c r="AU2749" s="3" t="s">
        <v>33459</v>
      </c>
      <c r="AV2749" s="3" t="s">
        <v>33460</v>
      </c>
      <c r="AW2749" s="3" t="s">
        <v>33461</v>
      </c>
      <c r="AX2749" s="3" t="s">
        <v>33461</v>
      </c>
      <c r="AY2749" s="3" t="s">
        <v>33462</v>
      </c>
      <c r="AZ2749" s="3" t="s">
        <v>73</v>
      </c>
      <c r="BB2749" s="3" t="s">
        <v>33463</v>
      </c>
      <c r="BC2749" s="3" t="s">
        <v>33464</v>
      </c>
      <c r="BD2749" s="3" t="s">
        <v>33465</v>
      </c>
    </row>
    <row r="2750" spans="1:56" ht="51" customHeight="1" x14ac:dyDescent="0.25">
      <c r="A2750" s="7" t="s">
        <v>58</v>
      </c>
      <c r="B2750" s="2" t="s">
        <v>33466</v>
      </c>
      <c r="C2750" s="2" t="s">
        <v>33467</v>
      </c>
      <c r="D2750" s="2" t="s">
        <v>33468</v>
      </c>
      <c r="F2750" s="3" t="s">
        <v>58</v>
      </c>
      <c r="G2750" s="3" t="s">
        <v>59</v>
      </c>
      <c r="H2750" s="3" t="s">
        <v>58</v>
      </c>
      <c r="I2750" s="3" t="s">
        <v>58</v>
      </c>
      <c r="J2750" s="3" t="s">
        <v>60</v>
      </c>
      <c r="K2750" s="2" t="s">
        <v>33469</v>
      </c>
      <c r="L2750" s="2" t="s">
        <v>33470</v>
      </c>
      <c r="M2750" s="3" t="s">
        <v>2186</v>
      </c>
      <c r="N2750" s="2" t="s">
        <v>19140</v>
      </c>
      <c r="O2750" s="3" t="s">
        <v>63</v>
      </c>
      <c r="P2750" s="3" t="s">
        <v>584</v>
      </c>
      <c r="R2750" s="3" t="s">
        <v>65</v>
      </c>
      <c r="S2750" s="4">
        <v>2</v>
      </c>
      <c r="T2750" s="4">
        <v>2</v>
      </c>
      <c r="U2750" s="5" t="s">
        <v>14208</v>
      </c>
      <c r="V2750" s="5" t="s">
        <v>14208</v>
      </c>
      <c r="W2750" s="5" t="s">
        <v>33471</v>
      </c>
      <c r="X2750" s="5" t="s">
        <v>33471</v>
      </c>
      <c r="Y2750" s="4">
        <v>266</v>
      </c>
      <c r="Z2750" s="4">
        <v>168</v>
      </c>
      <c r="AA2750" s="4">
        <v>564</v>
      </c>
      <c r="AB2750" s="4">
        <v>1</v>
      </c>
      <c r="AC2750" s="4">
        <v>5</v>
      </c>
      <c r="AD2750" s="4">
        <v>7</v>
      </c>
      <c r="AE2750" s="4">
        <v>27</v>
      </c>
      <c r="AF2750" s="4">
        <v>2</v>
      </c>
      <c r="AG2750" s="4">
        <v>9</v>
      </c>
      <c r="AH2750" s="4">
        <v>4</v>
      </c>
      <c r="AI2750" s="4">
        <v>8</v>
      </c>
      <c r="AJ2750" s="4">
        <v>5</v>
      </c>
      <c r="AK2750" s="4">
        <v>12</v>
      </c>
      <c r="AL2750" s="4">
        <v>0</v>
      </c>
      <c r="AM2750" s="4">
        <v>4</v>
      </c>
      <c r="AN2750" s="4">
        <v>0</v>
      </c>
      <c r="AO2750" s="4">
        <v>1</v>
      </c>
      <c r="AP2750" s="3" t="s">
        <v>58</v>
      </c>
      <c r="AQ2750" s="3" t="s">
        <v>58</v>
      </c>
      <c r="AS2750" s="6" t="str">
        <f>HYPERLINK("https://creighton-primo.hosted.exlibrisgroup.com/primo-explore/search?tab=default_tab&amp;search_scope=EVERYTHING&amp;vid=01CRU&amp;lang=en_US&amp;offset=0&amp;query=any,contains,991005136789702656","Catalog Record")</f>
        <v>Catalog Record</v>
      </c>
      <c r="AT2750" s="6" t="str">
        <f>HYPERLINK("http://www.worldcat.org/oclc/55067557","WorldCat Record")</f>
        <v>WorldCat Record</v>
      </c>
      <c r="AU2750" s="3" t="s">
        <v>33472</v>
      </c>
      <c r="AV2750" s="3" t="s">
        <v>33473</v>
      </c>
      <c r="AW2750" s="3" t="s">
        <v>33474</v>
      </c>
      <c r="AX2750" s="3" t="s">
        <v>33474</v>
      </c>
      <c r="AY2750" s="3" t="s">
        <v>33475</v>
      </c>
      <c r="AZ2750" s="3" t="s">
        <v>73</v>
      </c>
      <c r="BB2750" s="3" t="s">
        <v>33476</v>
      </c>
      <c r="BC2750" s="3" t="s">
        <v>33477</v>
      </c>
      <c r="BD2750" s="3" t="s">
        <v>33478</v>
      </c>
    </row>
    <row r="2751" spans="1:56" ht="51" customHeight="1" x14ac:dyDescent="0.25">
      <c r="A2751" s="7" t="s">
        <v>58</v>
      </c>
      <c r="B2751" s="2" t="s">
        <v>33479</v>
      </c>
      <c r="C2751" s="2" t="s">
        <v>33480</v>
      </c>
      <c r="D2751" s="2" t="s">
        <v>33481</v>
      </c>
      <c r="F2751" s="3" t="s">
        <v>58</v>
      </c>
      <c r="G2751" s="3" t="s">
        <v>59</v>
      </c>
      <c r="H2751" s="3" t="s">
        <v>58</v>
      </c>
      <c r="I2751" s="3" t="s">
        <v>58</v>
      </c>
      <c r="J2751" s="3" t="s">
        <v>60</v>
      </c>
      <c r="K2751" s="2" t="s">
        <v>33482</v>
      </c>
      <c r="L2751" s="2" t="s">
        <v>33483</v>
      </c>
      <c r="M2751" s="3" t="s">
        <v>353</v>
      </c>
      <c r="O2751" s="3" t="s">
        <v>63</v>
      </c>
      <c r="P2751" s="3" t="s">
        <v>1299</v>
      </c>
      <c r="R2751" s="3" t="s">
        <v>65</v>
      </c>
      <c r="S2751" s="4">
        <v>4</v>
      </c>
      <c r="T2751" s="4">
        <v>4</v>
      </c>
      <c r="U2751" s="5" t="s">
        <v>9520</v>
      </c>
      <c r="V2751" s="5" t="s">
        <v>9520</v>
      </c>
      <c r="W2751" s="5" t="s">
        <v>31631</v>
      </c>
      <c r="X2751" s="5" t="s">
        <v>31631</v>
      </c>
      <c r="Y2751" s="4">
        <v>460</v>
      </c>
      <c r="Z2751" s="4">
        <v>359</v>
      </c>
      <c r="AA2751" s="4">
        <v>372</v>
      </c>
      <c r="AB2751" s="4">
        <v>1</v>
      </c>
      <c r="AC2751" s="4">
        <v>1</v>
      </c>
      <c r="AD2751" s="4">
        <v>17</v>
      </c>
      <c r="AE2751" s="4">
        <v>17</v>
      </c>
      <c r="AF2751" s="4">
        <v>7</v>
      </c>
      <c r="AG2751" s="4">
        <v>7</v>
      </c>
      <c r="AH2751" s="4">
        <v>6</v>
      </c>
      <c r="AI2751" s="4">
        <v>6</v>
      </c>
      <c r="AJ2751" s="4">
        <v>9</v>
      </c>
      <c r="AK2751" s="4">
        <v>9</v>
      </c>
      <c r="AL2751" s="4">
        <v>0</v>
      </c>
      <c r="AM2751" s="4">
        <v>0</v>
      </c>
      <c r="AN2751" s="4">
        <v>0</v>
      </c>
      <c r="AO2751" s="4">
        <v>0</v>
      </c>
      <c r="AP2751" s="3" t="s">
        <v>58</v>
      </c>
      <c r="AQ2751" s="3" t="s">
        <v>68</v>
      </c>
      <c r="AR2751" s="6" t="str">
        <f>HYPERLINK("http://catalog.hathitrust.org/Record/000845341","HathiTrust Record")</f>
        <v>HathiTrust Record</v>
      </c>
      <c r="AS2751" s="6" t="str">
        <f>HYPERLINK("https://creighton-primo.hosted.exlibrisgroup.com/primo-explore/search?tab=default_tab&amp;search_scope=EVERYTHING&amp;vid=01CRU&amp;lang=en_US&amp;offset=0&amp;query=any,contains,991000947809702656","Catalog Record")</f>
        <v>Catalog Record</v>
      </c>
      <c r="AT2751" s="6" t="str">
        <f>HYPERLINK("http://www.worldcat.org/oclc/14588494","WorldCat Record")</f>
        <v>WorldCat Record</v>
      </c>
      <c r="AU2751" s="3" t="s">
        <v>33484</v>
      </c>
      <c r="AV2751" s="3" t="s">
        <v>33485</v>
      </c>
      <c r="AW2751" s="3" t="s">
        <v>33486</v>
      </c>
      <c r="AX2751" s="3" t="s">
        <v>33486</v>
      </c>
      <c r="AY2751" s="3" t="s">
        <v>33487</v>
      </c>
      <c r="AZ2751" s="3" t="s">
        <v>73</v>
      </c>
      <c r="BB2751" s="3" t="s">
        <v>33488</v>
      </c>
      <c r="BC2751" s="3" t="s">
        <v>33489</v>
      </c>
      <c r="BD2751" s="3" t="s">
        <v>33490</v>
      </c>
    </row>
    <row r="2752" spans="1:56" ht="51" customHeight="1" x14ac:dyDescent="0.25">
      <c r="A2752" s="7" t="s">
        <v>58</v>
      </c>
      <c r="B2752" s="2" t="s">
        <v>33491</v>
      </c>
      <c r="C2752" s="2" t="s">
        <v>33492</v>
      </c>
      <c r="D2752" s="2" t="s">
        <v>33493</v>
      </c>
      <c r="F2752" s="3" t="s">
        <v>58</v>
      </c>
      <c r="G2752" s="3" t="s">
        <v>59</v>
      </c>
      <c r="H2752" s="3" t="s">
        <v>58</v>
      </c>
      <c r="I2752" s="3" t="s">
        <v>58</v>
      </c>
      <c r="J2752" s="3" t="s">
        <v>60</v>
      </c>
      <c r="L2752" s="2" t="s">
        <v>33494</v>
      </c>
      <c r="M2752" s="3" t="s">
        <v>196</v>
      </c>
      <c r="O2752" s="3" t="s">
        <v>63</v>
      </c>
      <c r="P2752" s="3" t="s">
        <v>3109</v>
      </c>
      <c r="R2752" s="3" t="s">
        <v>65</v>
      </c>
      <c r="S2752" s="4">
        <v>2</v>
      </c>
      <c r="T2752" s="4">
        <v>2</v>
      </c>
      <c r="U2752" s="5" t="s">
        <v>899</v>
      </c>
      <c r="V2752" s="5" t="s">
        <v>899</v>
      </c>
      <c r="W2752" s="5" t="s">
        <v>33495</v>
      </c>
      <c r="X2752" s="5" t="s">
        <v>33495</v>
      </c>
      <c r="Y2752" s="4">
        <v>158</v>
      </c>
      <c r="Z2752" s="4">
        <v>109</v>
      </c>
      <c r="AA2752" s="4">
        <v>109</v>
      </c>
      <c r="AB2752" s="4">
        <v>1</v>
      </c>
      <c r="AC2752" s="4">
        <v>1</v>
      </c>
      <c r="AD2752" s="4">
        <v>5</v>
      </c>
      <c r="AE2752" s="4">
        <v>5</v>
      </c>
      <c r="AF2752" s="4">
        <v>1</v>
      </c>
      <c r="AG2752" s="4">
        <v>1</v>
      </c>
      <c r="AH2752" s="4">
        <v>1</v>
      </c>
      <c r="AI2752" s="4">
        <v>1</v>
      </c>
      <c r="AJ2752" s="4">
        <v>4</v>
      </c>
      <c r="AK2752" s="4">
        <v>4</v>
      </c>
      <c r="AL2752" s="4">
        <v>0</v>
      </c>
      <c r="AM2752" s="4">
        <v>0</v>
      </c>
      <c r="AN2752" s="4">
        <v>0</v>
      </c>
      <c r="AO2752" s="4">
        <v>0</v>
      </c>
      <c r="AP2752" s="3" t="s">
        <v>58</v>
      </c>
      <c r="AQ2752" s="3" t="s">
        <v>58</v>
      </c>
      <c r="AS2752" s="6" t="str">
        <f>HYPERLINK("https://creighton-primo.hosted.exlibrisgroup.com/primo-explore/search?tab=default_tab&amp;search_scope=EVERYTHING&amp;vid=01CRU&amp;lang=en_US&amp;offset=0&amp;query=any,contains,991002612669702656","Catalog Record")</f>
        <v>Catalog Record</v>
      </c>
      <c r="AT2752" s="6" t="str">
        <f>HYPERLINK("http://www.worldcat.org/oclc/34244364","WorldCat Record")</f>
        <v>WorldCat Record</v>
      </c>
      <c r="AU2752" s="3" t="s">
        <v>33496</v>
      </c>
      <c r="AV2752" s="3" t="s">
        <v>33497</v>
      </c>
      <c r="AW2752" s="3" t="s">
        <v>33498</v>
      </c>
      <c r="AX2752" s="3" t="s">
        <v>33498</v>
      </c>
      <c r="AY2752" s="3" t="s">
        <v>33499</v>
      </c>
      <c r="AZ2752" s="3" t="s">
        <v>73</v>
      </c>
      <c r="BB2752" s="3" t="s">
        <v>33500</v>
      </c>
      <c r="BC2752" s="3" t="s">
        <v>33501</v>
      </c>
      <c r="BD2752" s="3" t="s">
        <v>33502</v>
      </c>
    </row>
    <row r="2753" spans="1:56" ht="51" customHeight="1" x14ac:dyDescent="0.25">
      <c r="A2753" s="7" t="s">
        <v>58</v>
      </c>
      <c r="B2753" s="2" t="s">
        <v>33503</v>
      </c>
      <c r="C2753" s="2" t="s">
        <v>33504</v>
      </c>
      <c r="D2753" s="2" t="s">
        <v>33505</v>
      </c>
      <c r="F2753" s="3" t="s">
        <v>58</v>
      </c>
      <c r="G2753" s="3" t="s">
        <v>59</v>
      </c>
      <c r="H2753" s="3" t="s">
        <v>58</v>
      </c>
      <c r="I2753" s="3" t="s">
        <v>58</v>
      </c>
      <c r="J2753" s="3" t="s">
        <v>60</v>
      </c>
      <c r="K2753" s="2" t="s">
        <v>33506</v>
      </c>
      <c r="L2753" s="2" t="s">
        <v>33507</v>
      </c>
      <c r="M2753" s="3" t="s">
        <v>1544</v>
      </c>
      <c r="O2753" s="3" t="s">
        <v>63</v>
      </c>
      <c r="P2753" s="3" t="s">
        <v>760</v>
      </c>
      <c r="R2753" s="3" t="s">
        <v>65</v>
      </c>
      <c r="S2753" s="4">
        <v>1</v>
      </c>
      <c r="T2753" s="4">
        <v>1</v>
      </c>
      <c r="U2753" s="5" t="s">
        <v>33508</v>
      </c>
      <c r="V2753" s="5" t="s">
        <v>33508</v>
      </c>
      <c r="W2753" s="5" t="s">
        <v>19986</v>
      </c>
      <c r="X2753" s="5" t="s">
        <v>19986</v>
      </c>
      <c r="Y2753" s="4">
        <v>360</v>
      </c>
      <c r="Z2753" s="4">
        <v>279</v>
      </c>
      <c r="AA2753" s="4">
        <v>323</v>
      </c>
      <c r="AB2753" s="4">
        <v>3</v>
      </c>
      <c r="AC2753" s="4">
        <v>3</v>
      </c>
      <c r="AD2753" s="4">
        <v>16</v>
      </c>
      <c r="AE2753" s="4">
        <v>20</v>
      </c>
      <c r="AF2753" s="4">
        <v>3</v>
      </c>
      <c r="AG2753" s="4">
        <v>6</v>
      </c>
      <c r="AH2753" s="4">
        <v>5</v>
      </c>
      <c r="AI2753" s="4">
        <v>6</v>
      </c>
      <c r="AJ2753" s="4">
        <v>10</v>
      </c>
      <c r="AK2753" s="4">
        <v>13</v>
      </c>
      <c r="AL2753" s="4">
        <v>2</v>
      </c>
      <c r="AM2753" s="4">
        <v>2</v>
      </c>
      <c r="AN2753" s="4">
        <v>0</v>
      </c>
      <c r="AO2753" s="4">
        <v>0</v>
      </c>
      <c r="AP2753" s="3" t="s">
        <v>58</v>
      </c>
      <c r="AQ2753" s="3" t="s">
        <v>68</v>
      </c>
      <c r="AR2753" s="6" t="str">
        <f>HYPERLINK("http://catalog.hathitrust.org/Record/002702673","HathiTrust Record")</f>
        <v>HathiTrust Record</v>
      </c>
      <c r="AS2753" s="6" t="str">
        <f>HYPERLINK("https://creighton-primo.hosted.exlibrisgroup.com/primo-explore/search?tab=default_tab&amp;search_scope=EVERYTHING&amp;vid=01CRU&amp;lang=en_US&amp;offset=0&amp;query=any,contains,991002073289702656","Catalog Record")</f>
        <v>Catalog Record</v>
      </c>
      <c r="AT2753" s="6" t="str">
        <f>HYPERLINK("http://www.worldcat.org/oclc/26553018","WorldCat Record")</f>
        <v>WorldCat Record</v>
      </c>
      <c r="AU2753" s="3" t="s">
        <v>33509</v>
      </c>
      <c r="AV2753" s="3" t="s">
        <v>33510</v>
      </c>
      <c r="AW2753" s="3" t="s">
        <v>33511</v>
      </c>
      <c r="AX2753" s="3" t="s">
        <v>33511</v>
      </c>
      <c r="AY2753" s="3" t="s">
        <v>33512</v>
      </c>
      <c r="AZ2753" s="3" t="s">
        <v>73</v>
      </c>
      <c r="BB2753" s="3" t="s">
        <v>33513</v>
      </c>
      <c r="BC2753" s="3" t="s">
        <v>33514</v>
      </c>
      <c r="BD2753" s="3" t="s">
        <v>33515</v>
      </c>
    </row>
    <row r="2754" spans="1:56" ht="51" customHeight="1" x14ac:dyDescent="0.25">
      <c r="A2754" s="7" t="s">
        <v>58</v>
      </c>
      <c r="B2754" s="2" t="s">
        <v>33516</v>
      </c>
      <c r="C2754" s="2" t="s">
        <v>33517</v>
      </c>
      <c r="D2754" s="2" t="s">
        <v>33518</v>
      </c>
      <c r="F2754" s="3" t="s">
        <v>68</v>
      </c>
      <c r="G2754" s="3" t="s">
        <v>59</v>
      </c>
      <c r="H2754" s="3" t="s">
        <v>68</v>
      </c>
      <c r="I2754" s="3" t="s">
        <v>58</v>
      </c>
      <c r="J2754" s="3" t="s">
        <v>60</v>
      </c>
      <c r="K2754" s="2" t="s">
        <v>33519</v>
      </c>
      <c r="L2754" s="2" t="s">
        <v>33520</v>
      </c>
      <c r="M2754" s="3" t="s">
        <v>898</v>
      </c>
      <c r="O2754" s="3" t="s">
        <v>63</v>
      </c>
      <c r="P2754" s="3" t="s">
        <v>411</v>
      </c>
      <c r="Q2754" s="2" t="s">
        <v>33521</v>
      </c>
      <c r="R2754" s="3" t="s">
        <v>65</v>
      </c>
      <c r="S2754" s="4">
        <v>1</v>
      </c>
      <c r="T2754" s="4">
        <v>2</v>
      </c>
      <c r="U2754" s="5" t="s">
        <v>33522</v>
      </c>
      <c r="V2754" s="5" t="s">
        <v>33522</v>
      </c>
      <c r="W2754" s="5" t="s">
        <v>33522</v>
      </c>
      <c r="X2754" s="5" t="s">
        <v>33522</v>
      </c>
      <c r="Y2754" s="4">
        <v>93</v>
      </c>
      <c r="Z2754" s="4">
        <v>70</v>
      </c>
      <c r="AA2754" s="4">
        <v>102</v>
      </c>
      <c r="AB2754" s="4">
        <v>1</v>
      </c>
      <c r="AC2754" s="4">
        <v>1</v>
      </c>
      <c r="AD2754" s="4">
        <v>0</v>
      </c>
      <c r="AE2754" s="4">
        <v>2</v>
      </c>
      <c r="AF2754" s="4">
        <v>0</v>
      </c>
      <c r="AG2754" s="4">
        <v>1</v>
      </c>
      <c r="AH2754" s="4">
        <v>0</v>
      </c>
      <c r="AI2754" s="4">
        <v>1</v>
      </c>
      <c r="AJ2754" s="4">
        <v>0</v>
      </c>
      <c r="AK2754" s="4">
        <v>0</v>
      </c>
      <c r="AL2754" s="4">
        <v>0</v>
      </c>
      <c r="AM2754" s="4">
        <v>0</v>
      </c>
      <c r="AN2754" s="4">
        <v>0</v>
      </c>
      <c r="AO2754" s="4">
        <v>0</v>
      </c>
      <c r="AP2754" s="3" t="s">
        <v>58</v>
      </c>
      <c r="AQ2754" s="3" t="s">
        <v>68</v>
      </c>
      <c r="AR2754" s="6" t="str">
        <f>HYPERLINK("http://catalog.hathitrust.org/Record/005584895","HathiTrust Record")</f>
        <v>HathiTrust Record</v>
      </c>
      <c r="AS2754" s="6" t="str">
        <f>HYPERLINK("https://creighton-primo.hosted.exlibrisgroup.com/primo-explore/search?tab=default_tab&amp;search_scope=EVERYTHING&amp;vid=01CRU&amp;lang=en_US&amp;offset=0&amp;query=any,contains,991005076809702656","Catalog Record")</f>
        <v>Catalog Record</v>
      </c>
      <c r="AT2754" s="6" t="str">
        <f>HYPERLINK("http://www.worldcat.org/oclc/173509257","WorldCat Record")</f>
        <v>WorldCat Record</v>
      </c>
      <c r="AU2754" s="3" t="s">
        <v>33523</v>
      </c>
      <c r="AV2754" s="3" t="s">
        <v>33524</v>
      </c>
      <c r="AW2754" s="3" t="s">
        <v>33525</v>
      </c>
      <c r="AX2754" s="3" t="s">
        <v>33525</v>
      </c>
      <c r="AY2754" s="3" t="s">
        <v>33526</v>
      </c>
      <c r="AZ2754" s="3" t="s">
        <v>73</v>
      </c>
      <c r="BB2754" s="3" t="s">
        <v>33527</v>
      </c>
      <c r="BC2754" s="3" t="s">
        <v>33528</v>
      </c>
      <c r="BD2754" s="3" t="s">
        <v>33529</v>
      </c>
    </row>
    <row r="2755" spans="1:56" ht="51" customHeight="1" x14ac:dyDescent="0.25">
      <c r="A2755" s="7" t="s">
        <v>58</v>
      </c>
      <c r="B2755" s="2" t="s">
        <v>33530</v>
      </c>
      <c r="C2755" s="2" t="s">
        <v>33531</v>
      </c>
      <c r="D2755" s="2" t="s">
        <v>33518</v>
      </c>
      <c r="E2755" s="3" t="s">
        <v>33532</v>
      </c>
      <c r="F2755" s="3" t="s">
        <v>68</v>
      </c>
      <c r="G2755" s="3" t="s">
        <v>59</v>
      </c>
      <c r="H2755" s="3" t="s">
        <v>58</v>
      </c>
      <c r="I2755" s="3" t="s">
        <v>58</v>
      </c>
      <c r="J2755" s="3" t="s">
        <v>60</v>
      </c>
      <c r="K2755" s="2" t="s">
        <v>33519</v>
      </c>
      <c r="L2755" s="2" t="s">
        <v>33520</v>
      </c>
      <c r="M2755" s="3" t="s">
        <v>898</v>
      </c>
      <c r="O2755" s="3" t="s">
        <v>63</v>
      </c>
      <c r="P2755" s="3" t="s">
        <v>411</v>
      </c>
      <c r="Q2755" s="2" t="s">
        <v>33521</v>
      </c>
      <c r="R2755" s="3" t="s">
        <v>65</v>
      </c>
      <c r="S2755" s="4">
        <v>1</v>
      </c>
      <c r="T2755" s="4">
        <v>2</v>
      </c>
      <c r="U2755" s="5" t="s">
        <v>33522</v>
      </c>
      <c r="V2755" s="5" t="s">
        <v>33522</v>
      </c>
      <c r="W2755" s="5" t="s">
        <v>33522</v>
      </c>
      <c r="X2755" s="5" t="s">
        <v>33522</v>
      </c>
      <c r="Y2755" s="4">
        <v>93</v>
      </c>
      <c r="Z2755" s="4">
        <v>70</v>
      </c>
      <c r="AA2755" s="4">
        <v>102</v>
      </c>
      <c r="AB2755" s="4">
        <v>1</v>
      </c>
      <c r="AC2755" s="4">
        <v>1</v>
      </c>
      <c r="AD2755" s="4">
        <v>0</v>
      </c>
      <c r="AE2755" s="4">
        <v>2</v>
      </c>
      <c r="AF2755" s="4">
        <v>0</v>
      </c>
      <c r="AG2755" s="4">
        <v>1</v>
      </c>
      <c r="AH2755" s="4">
        <v>0</v>
      </c>
      <c r="AI2755" s="4">
        <v>1</v>
      </c>
      <c r="AJ2755" s="4">
        <v>0</v>
      </c>
      <c r="AK2755" s="4">
        <v>0</v>
      </c>
      <c r="AL2755" s="4">
        <v>0</v>
      </c>
      <c r="AM2755" s="4">
        <v>0</v>
      </c>
      <c r="AN2755" s="4">
        <v>0</v>
      </c>
      <c r="AO2755" s="4">
        <v>0</v>
      </c>
      <c r="AP2755" s="3" t="s">
        <v>58</v>
      </c>
      <c r="AQ2755" s="3" t="s">
        <v>68</v>
      </c>
      <c r="AR2755" s="6" t="str">
        <f>HYPERLINK("http://catalog.hathitrust.org/Record/005584895","HathiTrust Record")</f>
        <v>HathiTrust Record</v>
      </c>
      <c r="AS2755" s="6" t="str">
        <f>HYPERLINK("https://creighton-primo.hosted.exlibrisgroup.com/primo-explore/search?tab=default_tab&amp;search_scope=EVERYTHING&amp;vid=01CRU&amp;lang=en_US&amp;offset=0&amp;query=any,contains,991005076809702656","Catalog Record")</f>
        <v>Catalog Record</v>
      </c>
      <c r="AT2755" s="6" t="str">
        <f>HYPERLINK("http://www.worldcat.org/oclc/173509257","WorldCat Record")</f>
        <v>WorldCat Record</v>
      </c>
      <c r="AU2755" s="3" t="s">
        <v>33523</v>
      </c>
      <c r="AV2755" s="3" t="s">
        <v>33524</v>
      </c>
      <c r="AW2755" s="3" t="s">
        <v>33525</v>
      </c>
      <c r="AX2755" s="3" t="s">
        <v>33525</v>
      </c>
      <c r="AY2755" s="3" t="s">
        <v>33526</v>
      </c>
      <c r="AZ2755" s="3" t="s">
        <v>73</v>
      </c>
      <c r="BB2755" s="3" t="s">
        <v>33527</v>
      </c>
      <c r="BC2755" s="3" t="s">
        <v>33533</v>
      </c>
      <c r="BD2755" s="3" t="s">
        <v>33534</v>
      </c>
    </row>
    <row r="2756" spans="1:56" ht="51" customHeight="1" x14ac:dyDescent="0.25">
      <c r="A2756" s="7" t="s">
        <v>58</v>
      </c>
      <c r="B2756" s="2" t="s">
        <v>33535</v>
      </c>
      <c r="C2756" s="2" t="s">
        <v>33536</v>
      </c>
      <c r="D2756" s="2" t="s">
        <v>33537</v>
      </c>
      <c r="F2756" s="3" t="s">
        <v>58</v>
      </c>
      <c r="G2756" s="3" t="s">
        <v>59</v>
      </c>
      <c r="H2756" s="3" t="s">
        <v>58</v>
      </c>
      <c r="I2756" s="3" t="s">
        <v>58</v>
      </c>
      <c r="J2756" s="3" t="s">
        <v>60</v>
      </c>
      <c r="K2756" s="2" t="s">
        <v>33538</v>
      </c>
      <c r="L2756" s="2" t="s">
        <v>33539</v>
      </c>
      <c r="M2756" s="3" t="s">
        <v>626</v>
      </c>
      <c r="O2756" s="3" t="s">
        <v>63</v>
      </c>
      <c r="P2756" s="3" t="s">
        <v>760</v>
      </c>
      <c r="R2756" s="3" t="s">
        <v>65</v>
      </c>
      <c r="S2756" s="4">
        <v>3</v>
      </c>
      <c r="T2756" s="4">
        <v>3</v>
      </c>
      <c r="U2756" s="5" t="s">
        <v>11427</v>
      </c>
      <c r="V2756" s="5" t="s">
        <v>11427</v>
      </c>
      <c r="W2756" s="5" t="s">
        <v>17640</v>
      </c>
      <c r="X2756" s="5" t="s">
        <v>17640</v>
      </c>
      <c r="Y2756" s="4">
        <v>693</v>
      </c>
      <c r="Z2756" s="4">
        <v>541</v>
      </c>
      <c r="AA2756" s="4">
        <v>542</v>
      </c>
      <c r="AB2756" s="4">
        <v>6</v>
      </c>
      <c r="AC2756" s="4">
        <v>6</v>
      </c>
      <c r="AD2756" s="4">
        <v>36</v>
      </c>
      <c r="AE2756" s="4">
        <v>36</v>
      </c>
      <c r="AF2756" s="4">
        <v>15</v>
      </c>
      <c r="AG2756" s="4">
        <v>15</v>
      </c>
      <c r="AH2756" s="4">
        <v>8</v>
      </c>
      <c r="AI2756" s="4">
        <v>8</v>
      </c>
      <c r="AJ2756" s="4">
        <v>17</v>
      </c>
      <c r="AK2756" s="4">
        <v>17</v>
      </c>
      <c r="AL2756" s="4">
        <v>5</v>
      </c>
      <c r="AM2756" s="4">
        <v>5</v>
      </c>
      <c r="AN2756" s="4">
        <v>0</v>
      </c>
      <c r="AO2756" s="4">
        <v>0</v>
      </c>
      <c r="AP2756" s="3" t="s">
        <v>58</v>
      </c>
      <c r="AQ2756" s="3" t="s">
        <v>58</v>
      </c>
      <c r="AS2756" s="6" t="str">
        <f>HYPERLINK("https://creighton-primo.hosted.exlibrisgroup.com/primo-explore/search?tab=default_tab&amp;search_scope=EVERYTHING&amp;vid=01CRU&amp;lang=en_US&amp;offset=0&amp;query=any,contains,991000075649702656","Catalog Record")</f>
        <v>Catalog Record</v>
      </c>
      <c r="AT2756" s="6" t="str">
        <f>HYPERLINK("http://www.worldcat.org/oclc/8805927","WorldCat Record")</f>
        <v>WorldCat Record</v>
      </c>
      <c r="AU2756" s="3" t="s">
        <v>33540</v>
      </c>
      <c r="AV2756" s="3" t="s">
        <v>33541</v>
      </c>
      <c r="AW2756" s="3" t="s">
        <v>33542</v>
      </c>
      <c r="AX2756" s="3" t="s">
        <v>33542</v>
      </c>
      <c r="AY2756" s="3" t="s">
        <v>33543</v>
      </c>
      <c r="AZ2756" s="3" t="s">
        <v>73</v>
      </c>
      <c r="BB2756" s="3" t="s">
        <v>33544</v>
      </c>
      <c r="BC2756" s="3" t="s">
        <v>33545</v>
      </c>
      <c r="BD2756" s="3" t="s">
        <v>33546</v>
      </c>
    </row>
  </sheetData>
  <sheetProtection sheet="1" objects="1" scenarios="1"/>
  <protectedRanges>
    <protectedRange sqref="A2:A2756" name="Range1"/>
    <protectedRange sqref="A1" name="Range1_1"/>
  </protectedRanges>
  <dataValidations count="1">
    <dataValidation type="list" allowBlank="1" showInputMessage="1" showErrorMessage="1" sqref="A2:A2756" xr:uid="{051AA56B-0D76-479B-9E4B-59C0B6ECA4B5}">
      <formula1>"Yes,No"</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FBB38ED5D0D274CB2EE2DBFB4DF27AF" ma:contentTypeVersion="16" ma:contentTypeDescription="Create a new document." ma:contentTypeScope="" ma:versionID="343be7708d3bfc8b8cd1354f85bdb4ef">
  <xsd:schema xmlns:xsd="http://www.w3.org/2001/XMLSchema" xmlns:xs="http://www.w3.org/2001/XMLSchema" xmlns:p="http://schemas.microsoft.com/office/2006/metadata/properties" xmlns:ns1="7623ea29-c77c-4024-9954-09e8d33ddb63" xmlns:ns3="a2717908-15ff-42bd-a5fc-d9ac8b8728f4" targetNamespace="http://schemas.microsoft.com/office/2006/metadata/properties" ma:root="true" ma:fieldsID="ba37602cec7d275ad63d8520a3e085f5" ns1:_="" ns3:_="">
    <xsd:import namespace="7623ea29-c77c-4024-9954-09e8d33ddb63"/>
    <xsd:import namespace="a2717908-15ff-42bd-a5fc-d9ac8b8728f4"/>
    <xsd:element name="properties">
      <xsd:complexType>
        <xsd:sequence>
          <xsd:element name="documentManagement">
            <xsd:complexType>
              <xsd:all>
                <xsd:element ref="ns1:Number" minOccurs="0"/>
                <xsd:element ref="ns1:MediaServiceMetadata" minOccurs="0"/>
                <xsd:element ref="ns1:MediaServiceFastMetadata" minOccurs="0"/>
                <xsd:element ref="ns1:MediaServiceDateTaken" minOccurs="0"/>
                <xsd:element ref="ns3:SharedWithUsers" minOccurs="0"/>
                <xsd:element ref="ns3:SharedWithDetails" minOccurs="0"/>
                <xsd:element ref="ns1:MediaServiceAutoKeyPoints" minOccurs="0"/>
                <xsd:element ref="ns1:MediaServiceKeyPoints" minOccurs="0"/>
                <xsd:element ref="ns1:MediaServiceAutoTags" minOccurs="0"/>
                <xsd:element ref="ns1:MediaServiceOCR" minOccurs="0"/>
                <xsd:element ref="ns1:MediaServiceGenerationTime" minOccurs="0"/>
                <xsd:element ref="ns1:MediaServiceEventHashCode" minOccurs="0"/>
                <xsd:element ref="ns1:MediaServiceLocation" minOccurs="0"/>
                <xsd:element ref="ns1:MediaLengthInSeconds" minOccurs="0"/>
                <xsd:element ref="ns1:statuswithucomm" minOccurs="0"/>
                <xsd:element ref="ns1:submittedtoUCOm"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23ea29-c77c-4024-9954-09e8d33ddb63" elementFormDefault="qualified">
    <xsd:import namespace="http://schemas.microsoft.com/office/2006/documentManagement/types"/>
    <xsd:import namespace="http://schemas.microsoft.com/office/infopath/2007/PartnerControls"/>
    <xsd:element name="Number" ma:index="0" nillable="true" ma:displayName="Number" ma:description="Sort Order" ma:format="Dropdown" ma:internalName="Number" ma:percentage="FALSE">
      <xsd:simpleType>
        <xsd:restriction base="dms:Number"/>
      </xsd:simpleType>
    </xsd:element>
    <xsd:element name="MediaServiceMetadata" ma:index="6" nillable="true" ma:displayName="MediaServiceMetadata" ma:hidden="true" ma:internalName="MediaServiceMetadata" ma:readOnly="true">
      <xsd:simpleType>
        <xsd:restriction base="dms:Note"/>
      </xsd:simpleType>
    </xsd:element>
    <xsd:element name="MediaServiceFastMetadata" ma:index="7" nillable="true" ma:displayName="MediaServiceFastMetadata" ma:hidden="true" ma:internalName="MediaServiceFastMetadata" ma:readOnly="true">
      <xsd:simpleType>
        <xsd:restriction base="dms:Note"/>
      </xsd:simpleType>
    </xsd:element>
    <xsd:element name="MediaServiceDateTaken" ma:index="8" nillable="true" ma:displayName="MediaServiceDateTaken" ma:hidden="true" ma:internalName="MediaServiceDateTaken" ma:readOnly="true">
      <xsd:simpleType>
        <xsd:restriction base="dms:Text"/>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internalName="MediaServiceLocation" ma:readOnly="true">
      <xsd:simpleType>
        <xsd:restriction base="dms:Text"/>
      </xsd:simpleType>
    </xsd:element>
    <xsd:element name="MediaLengthInSeconds" ma:index="21" nillable="true" ma:displayName="Length (seconds)" ma:internalName="MediaLengthInSeconds" ma:readOnly="true">
      <xsd:simpleType>
        <xsd:restriction base="dms:Unknown"/>
      </xsd:simpleType>
    </xsd:element>
    <xsd:element name="statuswithucomm" ma:index="22" nillable="true" ma:displayName="status with ucomm" ma:format="Dropdown" ma:internalName="statuswithucomm">
      <xsd:simpleType>
        <xsd:restriction base="dms:Text">
          <xsd:maxLength value="255"/>
        </xsd:restriction>
      </xsd:simpleType>
    </xsd:element>
    <xsd:element name="submittedtoUCOm" ma:index="23" nillable="true" ma:displayName="submitted to UCOm" ma:default="0" ma:format="Dropdown" ma:internalName="submittedtoUCOm">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a2717908-15ff-42bd-a5fc-d9ac8b8728f4" elementFormDefault="qualified">
    <xsd:import namespace="http://schemas.microsoft.com/office/2006/documentManagement/types"/>
    <xsd:import namespace="http://schemas.microsoft.com/office/infopath/2007/PartnerControls"/>
    <xsd:element name="SharedWithUsers" ma:index="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3" ma:displayName="Content Type"/>
        <xsd:element ref="dc:title" minOccurs="0" maxOccurs="1" ma:index="2"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Number xmlns="7623ea29-c77c-4024-9954-09e8d33ddb63" xsi:nil="true"/>
    <SharedWithUsers xmlns="a2717908-15ff-42bd-a5fc-d9ac8b8728f4">
      <UserInfo>
        <DisplayName/>
        <AccountId xsi:nil="true"/>
        <AccountType/>
      </UserInfo>
    </SharedWithUsers>
    <MediaLengthInSeconds xmlns="7623ea29-c77c-4024-9954-09e8d33ddb63" xsi:nil="true"/>
    <submittedtoUCOm xmlns="7623ea29-c77c-4024-9954-09e8d33ddb63">false</submittedtoUCOm>
    <statuswithucomm xmlns="7623ea29-c77c-4024-9954-09e8d33ddb63" xsi:nil="true"/>
  </documentManagement>
</p:properties>
</file>

<file path=customXml/itemProps1.xml><?xml version="1.0" encoding="utf-8"?>
<ds:datastoreItem xmlns:ds="http://schemas.openxmlformats.org/officeDocument/2006/customXml" ds:itemID="{598CD4D9-7E48-4A68-A153-069410717AF2}"/>
</file>

<file path=customXml/itemProps2.xml><?xml version="1.0" encoding="utf-8"?>
<ds:datastoreItem xmlns:ds="http://schemas.openxmlformats.org/officeDocument/2006/customXml" ds:itemID="{DCBDE800-A04F-4725-A6E4-E6A797E1BD1F}"/>
</file>

<file path=customXml/itemProps3.xml><?xml version="1.0" encoding="utf-8"?>
<ds:datastoreItem xmlns:ds="http://schemas.openxmlformats.org/officeDocument/2006/customXml" ds:itemID="{98DF8081-4D30-40F4-B54B-0A5DA2DA0B1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Kiscaden, Elizabeth J</dc:creator>
  <cp:lastModifiedBy>Kiscaden, Elizabeth J</cp:lastModifiedBy>
  <dcterms:created xsi:type="dcterms:W3CDTF">2022-03-03T23:43:30Z</dcterms:created>
  <dcterms:modified xsi:type="dcterms:W3CDTF">2022-03-03T23:45:12Z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0x0101007FBB38ED5D0D274CB2EE2DBFB4DF27AF</vt:lpwstr>
  </property>
  <property fmtid="{D5CDD505-2E9C-101B-9397-08002B2CF9AE}" pid="3" name="Order">
    <vt:r8>283900</vt:r8>
  </property>
  <property fmtid="{D5CDD505-2E9C-101B-9397-08002B2CF9AE}" pid="4" name="_ExtendedDescription">
    <vt:lpwstr/>
  </property>
  <property fmtid="{D5CDD505-2E9C-101B-9397-08002B2CF9AE}" pid="5" name="TriggerFlowInfo">
    <vt:lpwstr/>
  </property>
  <property fmtid="{D5CDD505-2E9C-101B-9397-08002B2CF9AE}" pid="6" name="_SourceUrl">
    <vt:lpwstr/>
  </property>
  <property fmtid="{D5CDD505-2E9C-101B-9397-08002B2CF9AE}" pid="7" name="_SharedFileIndex">
    <vt:lpwstr/>
  </property>
  <property fmtid="{D5CDD505-2E9C-101B-9397-08002B2CF9AE}" pid="8" name="ComplianceAssetId">
    <vt:lpwstr/>
  </property>
</Properties>
</file>